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embeddings/oleObject13.bin" ContentType="application/vnd.openxmlformats-officedocument.oleObject"/>
  <Override PartName="/xl/embeddings/oleObject14.bin" ContentType="application/vnd.openxmlformats-officedocument.oleObject"/>
  <Override PartName="/xl/embeddings/oleObject15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xl/embeddings/oleObject18.bin" ContentType="application/vnd.openxmlformats-officedocument.oleObject"/>
  <Override PartName="/xl/embeddings/oleObject19.bin" ContentType="application/vnd.openxmlformats-officedocument.oleObject"/>
  <Override PartName="/xl/embeddings/oleObject20.bin" ContentType="application/vnd.openxmlformats-officedocument.oleObject"/>
  <Override PartName="/xl/embeddings/oleObject21.bin" ContentType="application/vnd.openxmlformats-officedocument.oleObject"/>
  <Override PartName="/xl/embeddings/oleObject22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embeddings/oleObject23.bin" ContentType="application/vnd.openxmlformats-officedocument.oleObject"/>
  <Override PartName="/xl/embeddings/oleObject24.bin" ContentType="application/vnd.openxmlformats-officedocument.oleObject"/>
  <Override PartName="/xl/embeddings/oleObject25.bin" ContentType="application/vnd.openxmlformats-officedocument.oleObject"/>
  <Override PartName="/xl/embeddings/oleObject26.bin" ContentType="application/vnd.openxmlformats-officedocument.oleObject"/>
  <Override PartName="/xl/embeddings/oleObject27.bin" ContentType="application/vnd.openxmlformats-officedocument.oleObject"/>
  <Override PartName="/xl/embeddings/oleObject28.bin" ContentType="application/vnd.openxmlformats-officedocument.oleObject"/>
  <Override PartName="/xl/embeddings/oleObject29.bin" ContentType="application/vnd.openxmlformats-officedocument.oleObject"/>
  <Override PartName="/xl/embeddings/oleObject30.bin" ContentType="application/vnd.openxmlformats-officedocument.oleObject"/>
  <Override PartName="/xl/embeddings/oleObject31.bin" ContentType="application/vnd.openxmlformats-officedocument.oleObject"/>
  <Override PartName="/xl/embeddings/oleObject32.bin" ContentType="application/vnd.openxmlformats-officedocument.oleObject"/>
  <Override PartName="/xl/embeddings/oleObject33.bin" ContentType="application/vnd.openxmlformats-officedocument.oleObject"/>
  <Override PartName="/xl/embeddings/oleObject34.bin" ContentType="application/vnd.openxmlformats-officedocument.oleObject"/>
  <Override PartName="/xl/embeddings/oleObject35.bin" ContentType="application/vnd.openxmlformats-officedocument.oleObject"/>
  <Override PartName="/xl/embeddings/oleObject36.bin" ContentType="application/vnd.openxmlformats-officedocument.oleObject"/>
  <Override PartName="/xl/embeddings/oleObject37.bin" ContentType="application/vnd.openxmlformats-officedocument.oleObject"/>
  <Override PartName="/xl/embeddings/oleObject38.bin" ContentType="application/vnd.openxmlformats-officedocument.oleObject"/>
  <Override PartName="/xl/embeddings/oleObject39.bin" ContentType="application/vnd.openxmlformats-officedocument.oleObject"/>
  <Override PartName="/xl/embeddings/oleObject40.bin" ContentType="application/vnd.openxmlformats-officedocument.oleObject"/>
  <Override PartName="/xl/embeddings/oleObject41.bin" ContentType="application/vnd.openxmlformats-officedocument.oleObject"/>
  <Override PartName="/xl/embeddings/oleObject42.bin" ContentType="application/vnd.openxmlformats-officedocument.oleObject"/>
  <Override PartName="/xl/embeddings/oleObject43.bin" ContentType="application/vnd.openxmlformats-officedocument.oleObject"/>
  <Override PartName="/xl/embeddings/oleObject44.bin" ContentType="application/vnd.openxmlformats-officedocument.oleObject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embeddings/oleObject45.bin" ContentType="application/vnd.openxmlformats-officedocument.oleObject"/>
  <Override PartName="/xl/embeddings/oleObject46.bin" ContentType="application/vnd.openxmlformats-officedocument.oleObject"/>
  <Override PartName="/xl/embeddings/oleObject47.bin" ContentType="application/vnd.openxmlformats-officedocument.oleObject"/>
  <Override PartName="/xl/embeddings/oleObject48.bin" ContentType="application/vnd.openxmlformats-officedocument.oleObject"/>
  <Override PartName="/xl/embeddings/oleObject49.bin" ContentType="application/vnd.openxmlformats-officedocument.oleObject"/>
  <Override PartName="/xl/embeddings/oleObject50.bin" ContentType="application/vnd.openxmlformats-officedocument.oleObject"/>
  <Override PartName="/xl/embeddings/oleObject51.bin" ContentType="application/vnd.openxmlformats-officedocument.oleObject"/>
  <Override PartName="/xl/embeddings/oleObject52.bin" ContentType="application/vnd.openxmlformats-officedocument.oleObject"/>
  <Override PartName="/xl/embeddings/oleObject53.bin" ContentType="application/vnd.openxmlformats-officedocument.oleObject"/>
  <Override PartName="/xl/embeddings/oleObject54.bin" ContentType="application/vnd.openxmlformats-officedocument.oleObject"/>
  <Override PartName="/xl/embeddings/oleObject55.bin" ContentType="application/vnd.openxmlformats-officedocument.oleObject"/>
  <Override PartName="/xl/embeddings/oleObject56.bin" ContentType="application/vnd.openxmlformats-officedocument.oleObject"/>
  <Override PartName="/xl/embeddings/oleObject57.bin" ContentType="application/vnd.openxmlformats-officedocument.oleObject"/>
  <Override PartName="/xl/embeddings/oleObject58.bin" ContentType="application/vnd.openxmlformats-officedocument.oleObject"/>
  <Override PartName="/xl/embeddings/oleObject59.bin" ContentType="application/vnd.openxmlformats-officedocument.oleObject"/>
  <Override PartName="/xl/embeddings/oleObject60.bin" ContentType="application/vnd.openxmlformats-officedocument.oleObject"/>
  <Override PartName="/xl/embeddings/oleObject61.bin" ContentType="application/vnd.openxmlformats-officedocument.oleObject"/>
  <Override PartName="/xl/embeddings/oleObject62.bin" ContentType="application/vnd.openxmlformats-officedocument.oleObject"/>
  <Override PartName="/xl/embeddings/oleObject63.bin" ContentType="application/vnd.openxmlformats-officedocument.oleObject"/>
  <Override PartName="/xl/embeddings/oleObject64.bin" ContentType="application/vnd.openxmlformats-officedocument.oleObject"/>
  <Override PartName="/xl/embeddings/oleObject65.bin" ContentType="application/vnd.openxmlformats-officedocument.oleObject"/>
  <Override PartName="/xl/embeddings/oleObject66.bin" ContentType="application/vnd.openxmlformats-officedocument.oleObject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Cachapuz\Lab Calibração\Calibração LABWEIGH\"/>
    </mc:Choice>
  </mc:AlternateContent>
  <xr:revisionPtr revIDLastSave="0" documentId="13_ncr:1_{0F58CA8C-11CB-4823-8281-B388E404F279}" xr6:coauthVersionLast="47" xr6:coauthVersionMax="47" xr10:uidLastSave="{00000000-0000-0000-0000-000000000000}"/>
  <bookViews>
    <workbookView xWindow="-120" yWindow="-120" windowWidth="24240" windowHeight="13140" tabRatio="863" xr2:uid="{00000000-000D-0000-FFFF-FFFF00000000}"/>
  </bookViews>
  <sheets>
    <sheet name="Registo Calibração" sheetId="4" r:id="rId1"/>
    <sheet name="2º MR-MI" sheetId="32" r:id="rId2"/>
    <sheet name="3º MR-MI" sheetId="34" r:id="rId3"/>
    <sheet name="Cert 1Esc até 8P" sheetId="17" r:id="rId4"/>
    <sheet name="Cert 2 Escalas até 8P" sheetId="33" r:id="rId5"/>
    <sheet name="Cert 3 Escalas até 8P" sheetId="35" r:id="rId6"/>
    <sheet name="Anexo Cert Bal Quadrante" sheetId="36" r:id="rId7"/>
    <sheet name="Folha1" sheetId="37" r:id="rId8"/>
  </sheets>
  <definedNames>
    <definedName name="_xlnm.Print_Area" localSheetId="1">'2º MR-MI'!$A$2:$AF$71</definedName>
    <definedName name="_xlnm.Print_Area" localSheetId="2">'3º MR-MI'!$A$2:$AF$71</definedName>
    <definedName name="_xlnm.Print_Area" localSheetId="6">'Anexo Cert Bal Quadrante'!$A$1:$AW$57</definedName>
    <definedName name="_xlnm.Print_Area" localSheetId="3">'Cert 1Esc até 8P'!$A$1:$AW$125</definedName>
    <definedName name="_xlnm.Print_Area" localSheetId="4">'Cert 2 Escalas até 8P'!$A$1:$AW$190</definedName>
    <definedName name="_xlnm.Print_Area" localSheetId="5">'Cert 3 Escalas até 8P'!$A$1:$AW$256</definedName>
    <definedName name="_xlnm.Print_Area" localSheetId="0">'Registo Calibração'!$A$2:$AF$71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5" i="4" l="1"/>
  <c r="D25" i="4"/>
  <c r="C25" i="4"/>
  <c r="B25" i="4"/>
  <c r="A25" i="4"/>
  <c r="AI21" i="32"/>
  <c r="AN217" i="34"/>
  <c r="AN216" i="34"/>
  <c r="AN215" i="34"/>
  <c r="AN214" i="34"/>
  <c r="AN213" i="34"/>
  <c r="AN212" i="34"/>
  <c r="AN211" i="34"/>
  <c r="AN210" i="34"/>
  <c r="AN209" i="34"/>
  <c r="AN208" i="34"/>
  <c r="AN207" i="34"/>
  <c r="AN206" i="34"/>
  <c r="AN205" i="34"/>
  <c r="AN204" i="34"/>
  <c r="AN203" i="34"/>
  <c r="AN202" i="34"/>
  <c r="AN201" i="34"/>
  <c r="AN200" i="34"/>
  <c r="AN199" i="34"/>
  <c r="AN198" i="34"/>
  <c r="AN197" i="34"/>
  <c r="AN196" i="34"/>
  <c r="AN195" i="34"/>
  <c r="AN194" i="34"/>
  <c r="AN193" i="34"/>
  <c r="AN192" i="34"/>
  <c r="AN191" i="34"/>
  <c r="AN190" i="34"/>
  <c r="AN217" i="32"/>
  <c r="AN216" i="32"/>
  <c r="AN215" i="32"/>
  <c r="AN214" i="32"/>
  <c r="AN213" i="32"/>
  <c r="AN212" i="32"/>
  <c r="AN211" i="32"/>
  <c r="AN210" i="32"/>
  <c r="AN209" i="32"/>
  <c r="AN208" i="32"/>
  <c r="AN207" i="32"/>
  <c r="AN206" i="32"/>
  <c r="AN205" i="32"/>
  <c r="AN204" i="32"/>
  <c r="AN203" i="32"/>
  <c r="AN202" i="32"/>
  <c r="AN201" i="32"/>
  <c r="AN200" i="32"/>
  <c r="AN199" i="32"/>
  <c r="AN198" i="32"/>
  <c r="AN197" i="32"/>
  <c r="AN196" i="32"/>
  <c r="AN195" i="32"/>
  <c r="AN194" i="32"/>
  <c r="AN193" i="32"/>
  <c r="AN192" i="32"/>
  <c r="AN191" i="32"/>
  <c r="AN190" i="32"/>
  <c r="AN217" i="4"/>
  <c r="AN216" i="4"/>
  <c r="AN215" i="4"/>
  <c r="AN214" i="4"/>
  <c r="AN213" i="4"/>
  <c r="AN212" i="4"/>
  <c r="AN211" i="4"/>
  <c r="AN210" i="4"/>
  <c r="AN209" i="4"/>
  <c r="AN208" i="4"/>
  <c r="AN207" i="4"/>
  <c r="AN206" i="4"/>
  <c r="AN205" i="4"/>
  <c r="AN204" i="4"/>
  <c r="AN203" i="4"/>
  <c r="AN202" i="4"/>
  <c r="AN201" i="4"/>
  <c r="AN200" i="4"/>
  <c r="AN199" i="4"/>
  <c r="AN198" i="4"/>
  <c r="AN197" i="4"/>
  <c r="AN196" i="4"/>
  <c r="AN195" i="4"/>
  <c r="AN194" i="4"/>
  <c r="AN193" i="4"/>
  <c r="AN192" i="4"/>
  <c r="AN191" i="4"/>
  <c r="AN190" i="4"/>
  <c r="G56" i="4"/>
  <c r="G57" i="4"/>
  <c r="G58" i="4"/>
  <c r="G59" i="4"/>
  <c r="G52" i="4"/>
  <c r="G53" i="4"/>
  <c r="G44" i="4"/>
  <c r="G45" i="4" s="1"/>
  <c r="G33" i="4"/>
  <c r="G34" i="4" s="1"/>
  <c r="G38" i="4"/>
  <c r="G39" i="4" s="1"/>
  <c r="G50" i="4"/>
  <c r="G51" i="4"/>
  <c r="G62" i="4"/>
  <c r="G63" i="4"/>
  <c r="G64" i="4"/>
  <c r="G65" i="4"/>
  <c r="J11" i="4"/>
  <c r="AI13" i="4"/>
  <c r="AI15" i="4" s="1"/>
  <c r="E26" i="4" s="1"/>
  <c r="AI14" i="4"/>
  <c r="H11" i="4"/>
  <c r="AW19" i="4"/>
  <c r="AR29" i="35"/>
  <c r="AK29" i="35"/>
  <c r="AR27" i="35"/>
  <c r="AK27" i="35"/>
  <c r="AR29" i="33"/>
  <c r="AK29" i="33"/>
  <c r="AR27" i="33"/>
  <c r="AK27" i="33"/>
  <c r="AR30" i="17"/>
  <c r="AK30" i="17"/>
  <c r="AR28" i="17"/>
  <c r="AK28" i="17"/>
  <c r="G74" i="4"/>
  <c r="G75" i="4"/>
  <c r="G76" i="4"/>
  <c r="G77" i="4"/>
  <c r="M28" i="4"/>
  <c r="I253" i="35"/>
  <c r="I187" i="35"/>
  <c r="I121" i="35"/>
  <c r="I56" i="35"/>
  <c r="I187" i="33"/>
  <c r="I121" i="33"/>
  <c r="I56" i="33"/>
  <c r="I122" i="17"/>
  <c r="I57" i="17"/>
  <c r="F91" i="17"/>
  <c r="U96" i="17" s="1"/>
  <c r="K26" i="4"/>
  <c r="A26" i="4"/>
  <c r="F222" i="35"/>
  <c r="AJ224" i="35"/>
  <c r="AJ225" i="35"/>
  <c r="AJ226" i="35"/>
  <c r="AJ227" i="35"/>
  <c r="AJ228" i="35"/>
  <c r="AJ229" i="35"/>
  <c r="AJ230" i="35"/>
  <c r="AJ231" i="35"/>
  <c r="AJ232" i="35"/>
  <c r="AJ223" i="35"/>
  <c r="F156" i="35"/>
  <c r="AJ159" i="35" s="1"/>
  <c r="AJ165" i="35"/>
  <c r="F90" i="35"/>
  <c r="D26" i="4"/>
  <c r="F26" i="4"/>
  <c r="G26" i="4"/>
  <c r="U97" i="17" s="1"/>
  <c r="H26" i="4"/>
  <c r="I26" i="4"/>
  <c r="J26" i="4"/>
  <c r="B156" i="33"/>
  <c r="U161" i="33" s="1"/>
  <c r="E90" i="33"/>
  <c r="U99" i="33" s="1"/>
  <c r="U100" i="17"/>
  <c r="AI14" i="34"/>
  <c r="AI13" i="34"/>
  <c r="AI14" i="32"/>
  <c r="AI13" i="32"/>
  <c r="G38" i="34"/>
  <c r="G39" i="34"/>
  <c r="G40" i="34"/>
  <c r="G41" i="34"/>
  <c r="G33" i="34"/>
  <c r="G34" i="34"/>
  <c r="G35" i="34"/>
  <c r="G36" i="34"/>
  <c r="G44" i="32"/>
  <c r="G45" i="32" s="1"/>
  <c r="G38" i="32"/>
  <c r="G39" i="32" s="1"/>
  <c r="G33" i="32"/>
  <c r="G34" i="32" s="1"/>
  <c r="G35" i="32" s="1"/>
  <c r="C25" i="32"/>
  <c r="B25" i="32"/>
  <c r="A25" i="32"/>
  <c r="AN248" i="34"/>
  <c r="AM248" i="34"/>
  <c r="AN249" i="34"/>
  <c r="AM249" i="34"/>
  <c r="AN250" i="34"/>
  <c r="AM250" i="34"/>
  <c r="AN251" i="34"/>
  <c r="AM251" i="34"/>
  <c r="AO7" i="34"/>
  <c r="AO8" i="34"/>
  <c r="AO9" i="34"/>
  <c r="AO10" i="34"/>
  <c r="AO11" i="34"/>
  <c r="AO12" i="34"/>
  <c r="AO13" i="34"/>
  <c r="AO14" i="34"/>
  <c r="AO15" i="34"/>
  <c r="AO16" i="34"/>
  <c r="AO17" i="34"/>
  <c r="AO18" i="34"/>
  <c r="AO19" i="34"/>
  <c r="AO20" i="34"/>
  <c r="AO21" i="34"/>
  <c r="AO22" i="34"/>
  <c r="AO23" i="34"/>
  <c r="AO24" i="34"/>
  <c r="AO25" i="34"/>
  <c r="AO26" i="34"/>
  <c r="AO27" i="34"/>
  <c r="AO28" i="34"/>
  <c r="AO29" i="34"/>
  <c r="AO30" i="34"/>
  <c r="AO31" i="34"/>
  <c r="AP33" i="34"/>
  <c r="AP34" i="34"/>
  <c r="AP35" i="34"/>
  <c r="AP36" i="34"/>
  <c r="AP37" i="34"/>
  <c r="AP38" i="34"/>
  <c r="AP39" i="34"/>
  <c r="AP40" i="34"/>
  <c r="AP41" i="34"/>
  <c r="AP42" i="34"/>
  <c r="AP43" i="34"/>
  <c r="AP44" i="34"/>
  <c r="AP45" i="34"/>
  <c r="AP46" i="34"/>
  <c r="AP47" i="34"/>
  <c r="AP48" i="34"/>
  <c r="AP49" i="34"/>
  <c r="AP50" i="34"/>
  <c r="AP51" i="34"/>
  <c r="AP52" i="34"/>
  <c r="AP53" i="34"/>
  <c r="AP54" i="34"/>
  <c r="AP55" i="34"/>
  <c r="AP56" i="34"/>
  <c r="AP57" i="34"/>
  <c r="AP58" i="34"/>
  <c r="AP59" i="34"/>
  <c r="AP60" i="34"/>
  <c r="AP32" i="34"/>
  <c r="AO32" i="34"/>
  <c r="AO33" i="34"/>
  <c r="AO34" i="34"/>
  <c r="AO35" i="34"/>
  <c r="AO36" i="34"/>
  <c r="AO37" i="34"/>
  <c r="AO38" i="34"/>
  <c r="AO39" i="34"/>
  <c r="AO40" i="34"/>
  <c r="AO41" i="34"/>
  <c r="AO42" i="34"/>
  <c r="AO43" i="34"/>
  <c r="AO44" i="34"/>
  <c r="AO45" i="34"/>
  <c r="AO46" i="34"/>
  <c r="AO47" i="34"/>
  <c r="AO48" i="34"/>
  <c r="AO49" i="34"/>
  <c r="AO50" i="34"/>
  <c r="AO51" i="34"/>
  <c r="AO52" i="34"/>
  <c r="AO53" i="34"/>
  <c r="AO54" i="34"/>
  <c r="AO55" i="34"/>
  <c r="AO56" i="34"/>
  <c r="AO57" i="34"/>
  <c r="AO58" i="34"/>
  <c r="AO59" i="34"/>
  <c r="AO60" i="34"/>
  <c r="AP62" i="34"/>
  <c r="AP61" i="34"/>
  <c r="AO61" i="34"/>
  <c r="AO62" i="34"/>
  <c r="AO63" i="34"/>
  <c r="AP65" i="34"/>
  <c r="AP66" i="34"/>
  <c r="AP67" i="34"/>
  <c r="AP68" i="34"/>
  <c r="AP69" i="34"/>
  <c r="AP70" i="34"/>
  <c r="AP71" i="34"/>
  <c r="AP72" i="34"/>
  <c r="AP73" i="34"/>
  <c r="AP74" i="34"/>
  <c r="AP75" i="34"/>
  <c r="AP76" i="34"/>
  <c r="AP77" i="34"/>
  <c r="AP78" i="34"/>
  <c r="AP79" i="34"/>
  <c r="AP80" i="34"/>
  <c r="AP81" i="34"/>
  <c r="AP82" i="34"/>
  <c r="AP83" i="34"/>
  <c r="AP84" i="34"/>
  <c r="AP85" i="34"/>
  <c r="AP86" i="34"/>
  <c r="AP87" i="34"/>
  <c r="AP88" i="34"/>
  <c r="AP89" i="34"/>
  <c r="AP90" i="34"/>
  <c r="AP91" i="34"/>
  <c r="AP92" i="34"/>
  <c r="AP93" i="34"/>
  <c r="AP94" i="34"/>
  <c r="AP95" i="34"/>
  <c r="AP96" i="34"/>
  <c r="AP97" i="34"/>
  <c r="AP98" i="34"/>
  <c r="AP99" i="34"/>
  <c r="AP100" i="34"/>
  <c r="AP101" i="34"/>
  <c r="AP102" i="34"/>
  <c r="AP103" i="34"/>
  <c r="AP104" i="34"/>
  <c r="AP105" i="34"/>
  <c r="AP106" i="34"/>
  <c r="AP107" i="34"/>
  <c r="AP108" i="34"/>
  <c r="AP109" i="34"/>
  <c r="AP110" i="34"/>
  <c r="AP111" i="34"/>
  <c r="AP112" i="34"/>
  <c r="AP113" i="34"/>
  <c r="AP114" i="34"/>
  <c r="AP115" i="34"/>
  <c r="AP116" i="34"/>
  <c r="AP117" i="34"/>
  <c r="AP118" i="34"/>
  <c r="AP119" i="34"/>
  <c r="AP64" i="34"/>
  <c r="AO64" i="34"/>
  <c r="AO65" i="34"/>
  <c r="AO66" i="34"/>
  <c r="AO67" i="34"/>
  <c r="AO68" i="34"/>
  <c r="AO69" i="34"/>
  <c r="AO70" i="34"/>
  <c r="AO71" i="34"/>
  <c r="AO72" i="34"/>
  <c r="AO73" i="34"/>
  <c r="AO74" i="34"/>
  <c r="AO75" i="34"/>
  <c r="AO76" i="34"/>
  <c r="AO77" i="34"/>
  <c r="AO78" i="34"/>
  <c r="AO79" i="34"/>
  <c r="AO80" i="34"/>
  <c r="AO81" i="34"/>
  <c r="AO82" i="34"/>
  <c r="AO83" i="34"/>
  <c r="AO84" i="34"/>
  <c r="AO85" i="34"/>
  <c r="AO86" i="34"/>
  <c r="AO87" i="34"/>
  <c r="AO88" i="34"/>
  <c r="AO89" i="34"/>
  <c r="AO90" i="34"/>
  <c r="AO91" i="34"/>
  <c r="AO92" i="34"/>
  <c r="AO93" i="34"/>
  <c r="AO94" i="34"/>
  <c r="AO95" i="34"/>
  <c r="AO96" i="34"/>
  <c r="AO97" i="34"/>
  <c r="AO98" i="34"/>
  <c r="AO99" i="34"/>
  <c r="AO100" i="34"/>
  <c r="AO101" i="34"/>
  <c r="AO102" i="34"/>
  <c r="AO103" i="34"/>
  <c r="AO104" i="34"/>
  <c r="AO105" i="34"/>
  <c r="AO106" i="34"/>
  <c r="AO107" i="34"/>
  <c r="AO108" i="34"/>
  <c r="AO109" i="34"/>
  <c r="AO110" i="34"/>
  <c r="AO111" i="34"/>
  <c r="AO112" i="34"/>
  <c r="AO113" i="34"/>
  <c r="AO114" i="34"/>
  <c r="AO115" i="34"/>
  <c r="AO116" i="34"/>
  <c r="AO117" i="34"/>
  <c r="AO118" i="34"/>
  <c r="AO119" i="34"/>
  <c r="AP121" i="34"/>
  <c r="AP122" i="34"/>
  <c r="AP123" i="34"/>
  <c r="AP124" i="34"/>
  <c r="AP125" i="34"/>
  <c r="AP126" i="34"/>
  <c r="AP127" i="34"/>
  <c r="AP128" i="34"/>
  <c r="AP129" i="34"/>
  <c r="AP130" i="34"/>
  <c r="AP131" i="34"/>
  <c r="AP132" i="34"/>
  <c r="AP133" i="34"/>
  <c r="AP134" i="34"/>
  <c r="AP135" i="34"/>
  <c r="AP136" i="34"/>
  <c r="AP137" i="34"/>
  <c r="AP138" i="34"/>
  <c r="AP139" i="34"/>
  <c r="AP140" i="34"/>
  <c r="AP120" i="34"/>
  <c r="AO120" i="34"/>
  <c r="AO121" i="34"/>
  <c r="AO122" i="34"/>
  <c r="AO123" i="34"/>
  <c r="AO124" i="34"/>
  <c r="AO125" i="34"/>
  <c r="AO126" i="34"/>
  <c r="AO127" i="34"/>
  <c r="AO128" i="34"/>
  <c r="AO129" i="34"/>
  <c r="AO130" i="34"/>
  <c r="AO131" i="34"/>
  <c r="AO132" i="34"/>
  <c r="AO133" i="34"/>
  <c r="AO134" i="34"/>
  <c r="AO135" i="34"/>
  <c r="AO136" i="34"/>
  <c r="AO137" i="34"/>
  <c r="AO138" i="34"/>
  <c r="AO139" i="34"/>
  <c r="AO140" i="34"/>
  <c r="AP142" i="34"/>
  <c r="AP143" i="34"/>
  <c r="AP144" i="34"/>
  <c r="AP145" i="34"/>
  <c r="AP146" i="34"/>
  <c r="AP147" i="34"/>
  <c r="AP148" i="34"/>
  <c r="AP149" i="34"/>
  <c r="AP150" i="34"/>
  <c r="AP151" i="34"/>
  <c r="AP141" i="34"/>
  <c r="AO141" i="34"/>
  <c r="AN142" i="34"/>
  <c r="AO142" i="34"/>
  <c r="AN143" i="34"/>
  <c r="AO143" i="34"/>
  <c r="AN144" i="34"/>
  <c r="AO144" i="34"/>
  <c r="AN145" i="34"/>
  <c r="AO145" i="34"/>
  <c r="AN146" i="34"/>
  <c r="AO146" i="34"/>
  <c r="AN147" i="34"/>
  <c r="AO147" i="34"/>
  <c r="AN148" i="34"/>
  <c r="AO148" i="34"/>
  <c r="AN149" i="34"/>
  <c r="AO149" i="34"/>
  <c r="AN150" i="34"/>
  <c r="AO150" i="34"/>
  <c r="AN151" i="34"/>
  <c r="AO151" i="34"/>
  <c r="AP153" i="34"/>
  <c r="AP154" i="34"/>
  <c r="AP155" i="34"/>
  <c r="AP156" i="34"/>
  <c r="AP157" i="34"/>
  <c r="AP158" i="34"/>
  <c r="AP159" i="34"/>
  <c r="AP160" i="34"/>
  <c r="AP161" i="34"/>
  <c r="AP162" i="34"/>
  <c r="AP152" i="34"/>
  <c r="AO152" i="34"/>
  <c r="AN153" i="34"/>
  <c r="AO153" i="34"/>
  <c r="AN154" i="34"/>
  <c r="AO154" i="34"/>
  <c r="AN155" i="34"/>
  <c r="AO155" i="34"/>
  <c r="AN156" i="34"/>
  <c r="AO156" i="34"/>
  <c r="AN157" i="34"/>
  <c r="AO157" i="34"/>
  <c r="AN158" i="34"/>
  <c r="AO158" i="34"/>
  <c r="AN159" i="34"/>
  <c r="AO159" i="34"/>
  <c r="AN160" i="34"/>
  <c r="AO160" i="34"/>
  <c r="AN161" i="34"/>
  <c r="AO161" i="34"/>
  <c r="AN162" i="34"/>
  <c r="AO162" i="34"/>
  <c r="AP164" i="34"/>
  <c r="AP165" i="34"/>
  <c r="AP163" i="34"/>
  <c r="AO163" i="34"/>
  <c r="AO164" i="34"/>
  <c r="AO165" i="34"/>
  <c r="AP167" i="34"/>
  <c r="AP168" i="34"/>
  <c r="AP166" i="34"/>
  <c r="AO166" i="34"/>
  <c r="AO167" i="34"/>
  <c r="AO168" i="34"/>
  <c r="AP170" i="34"/>
  <c r="AP171" i="34"/>
  <c r="AP172" i="34"/>
  <c r="AP173" i="34"/>
  <c r="AP174" i="34"/>
  <c r="AP175" i="34"/>
  <c r="AP176" i="34"/>
  <c r="AP177" i="34"/>
  <c r="AP178" i="34"/>
  <c r="AP169" i="34"/>
  <c r="AO169" i="34"/>
  <c r="AO170" i="34"/>
  <c r="AO171" i="34"/>
  <c r="AO172" i="34"/>
  <c r="AO173" i="34"/>
  <c r="AO174" i="34"/>
  <c r="AO175" i="34"/>
  <c r="AO176" i="34"/>
  <c r="AO177" i="34"/>
  <c r="AO178" i="34"/>
  <c r="AP180" i="34"/>
  <c r="AP181" i="34"/>
  <c r="AP182" i="34"/>
  <c r="AP183" i="34"/>
  <c r="AP184" i="34"/>
  <c r="AP185" i="34"/>
  <c r="AP186" i="34"/>
  <c r="AP187" i="34"/>
  <c r="AP188" i="34"/>
  <c r="AP179" i="34"/>
  <c r="AO179" i="34"/>
  <c r="AN180" i="34"/>
  <c r="AO180" i="34"/>
  <c r="AO181" i="34"/>
  <c r="AO183" i="34"/>
  <c r="AO184" i="34"/>
  <c r="AO186" i="34"/>
  <c r="AO187" i="34"/>
  <c r="AO188" i="34"/>
  <c r="AP190" i="34"/>
  <c r="AP191" i="34"/>
  <c r="AP192" i="34"/>
  <c r="AP193" i="34"/>
  <c r="AP194" i="34"/>
  <c r="AP195" i="34"/>
  <c r="AP196" i="34"/>
  <c r="AP197" i="34"/>
  <c r="AP198" i="34"/>
  <c r="AP199" i="34"/>
  <c r="AP200" i="34"/>
  <c r="AP201" i="34"/>
  <c r="AP202" i="34"/>
  <c r="AP203" i="34"/>
  <c r="AP204" i="34"/>
  <c r="AP205" i="34"/>
  <c r="AP206" i="34"/>
  <c r="AP207" i="34"/>
  <c r="AP208" i="34"/>
  <c r="AP209" i="34"/>
  <c r="AP210" i="34"/>
  <c r="AP211" i="34"/>
  <c r="AP212" i="34"/>
  <c r="AP213" i="34"/>
  <c r="AP214" i="34"/>
  <c r="AP215" i="34"/>
  <c r="AP216" i="34"/>
  <c r="AP217" i="34"/>
  <c r="AP189" i="34"/>
  <c r="AO189" i="34"/>
  <c r="AO190" i="34"/>
  <c r="AO191" i="34"/>
  <c r="AO192" i="34"/>
  <c r="AO193" i="34"/>
  <c r="AO194" i="34"/>
  <c r="AO195" i="34"/>
  <c r="AO196" i="34"/>
  <c r="AO197" i="34"/>
  <c r="AO198" i="34"/>
  <c r="AO199" i="34"/>
  <c r="AO200" i="34"/>
  <c r="AO201" i="34"/>
  <c r="AO202" i="34"/>
  <c r="AO203" i="34"/>
  <c r="AO204" i="34"/>
  <c r="AO205" i="34"/>
  <c r="AO206" i="34"/>
  <c r="AO207" i="34"/>
  <c r="AO208" i="34"/>
  <c r="AO209" i="34"/>
  <c r="AO210" i="34"/>
  <c r="AO211" i="34"/>
  <c r="AO212" i="34"/>
  <c r="AO213" i="34"/>
  <c r="AO214" i="34"/>
  <c r="AO215" i="34"/>
  <c r="AO216" i="34"/>
  <c r="AO217" i="34"/>
  <c r="AP219" i="34"/>
  <c r="AP220" i="34"/>
  <c r="AP221" i="34"/>
  <c r="AP222" i="34"/>
  <c r="AP223" i="34"/>
  <c r="AP224" i="34"/>
  <c r="AP225" i="34"/>
  <c r="AP226" i="34"/>
  <c r="AP227" i="34"/>
  <c r="AP228" i="34"/>
  <c r="AP229" i="34"/>
  <c r="AP230" i="34"/>
  <c r="AP231" i="34"/>
  <c r="AP232" i="34"/>
  <c r="AP233" i="34"/>
  <c r="AP234" i="34"/>
  <c r="AP235" i="34"/>
  <c r="AP236" i="34"/>
  <c r="AP237" i="34"/>
  <c r="AP238" i="34"/>
  <c r="AP239" i="34"/>
  <c r="AP240" i="34"/>
  <c r="AP241" i="34"/>
  <c r="AP242" i="34"/>
  <c r="AP243" i="34"/>
  <c r="AP244" i="34"/>
  <c r="AP245" i="34"/>
  <c r="AP246" i="34"/>
  <c r="AP218" i="34"/>
  <c r="AO218" i="34"/>
  <c r="AO219" i="34"/>
  <c r="AO220" i="34"/>
  <c r="AO221" i="34"/>
  <c r="AO222" i="34"/>
  <c r="AO223" i="34"/>
  <c r="AO224" i="34"/>
  <c r="AO225" i="34"/>
  <c r="AO226" i="34"/>
  <c r="AO227" i="34"/>
  <c r="AO228" i="34"/>
  <c r="AO229" i="34"/>
  <c r="AO230" i="34"/>
  <c r="AO231" i="34"/>
  <c r="AO232" i="34"/>
  <c r="AO233" i="34"/>
  <c r="AO234" i="34"/>
  <c r="AO235" i="34"/>
  <c r="AO236" i="34"/>
  <c r="AO237" i="34"/>
  <c r="AO238" i="34"/>
  <c r="AO239" i="34"/>
  <c r="AO240" i="34"/>
  <c r="AO241" i="34"/>
  <c r="AO242" i="34"/>
  <c r="AO243" i="34"/>
  <c r="AO244" i="34"/>
  <c r="AO245" i="34"/>
  <c r="AO246" i="34"/>
  <c r="AP248" i="34"/>
  <c r="AP249" i="34"/>
  <c r="AP250" i="34"/>
  <c r="AP251" i="34"/>
  <c r="AN252" i="34"/>
  <c r="AM252" i="34"/>
  <c r="AP252" i="34"/>
  <c r="AN253" i="34"/>
  <c r="AM253" i="34"/>
  <c r="AP253" i="34"/>
  <c r="AN254" i="34"/>
  <c r="AM254" i="34"/>
  <c r="AP254" i="34"/>
  <c r="AN255" i="34"/>
  <c r="AM255" i="34"/>
  <c r="AP255" i="34"/>
  <c r="AP247" i="34"/>
  <c r="AO247" i="34"/>
  <c r="AK28" i="34"/>
  <c r="O32" i="34" s="1"/>
  <c r="AK29" i="34"/>
  <c r="O33" i="34" s="1"/>
  <c r="AK30" i="34"/>
  <c r="O34" i="34" s="1"/>
  <c r="AK31" i="34"/>
  <c r="O35" i="34" s="1"/>
  <c r="AK32" i="34"/>
  <c r="O36" i="34" s="1"/>
  <c r="AL28" i="34"/>
  <c r="P32" i="34" s="1"/>
  <c r="AL29" i="34"/>
  <c r="P33" i="34" s="1"/>
  <c r="AL30" i="34"/>
  <c r="P34" i="34" s="1"/>
  <c r="AL31" i="34"/>
  <c r="P35" i="34" s="1"/>
  <c r="AL32" i="34"/>
  <c r="P36" i="34" s="1"/>
  <c r="S32" i="34"/>
  <c r="T32" i="34"/>
  <c r="S33" i="34"/>
  <c r="T33" i="34"/>
  <c r="S34" i="34"/>
  <c r="T34" i="34"/>
  <c r="S35" i="34"/>
  <c r="T35" i="34"/>
  <c r="S36" i="34"/>
  <c r="T36" i="34"/>
  <c r="Q32" i="34"/>
  <c r="R32" i="34"/>
  <c r="Q33" i="34"/>
  <c r="R33" i="34"/>
  <c r="Q34" i="34"/>
  <c r="R34" i="34"/>
  <c r="Q35" i="34"/>
  <c r="R35" i="34"/>
  <c r="Q36" i="34"/>
  <c r="R36" i="34"/>
  <c r="V36" i="34"/>
  <c r="W36" i="34"/>
  <c r="X36" i="34"/>
  <c r="AF3" i="34"/>
  <c r="H14" i="34"/>
  <c r="V29" i="34"/>
  <c r="W29" i="34"/>
  <c r="X29" i="34"/>
  <c r="V30" i="34"/>
  <c r="W30" i="34"/>
  <c r="X30" i="34"/>
  <c r="F25" i="4"/>
  <c r="G25" i="4"/>
  <c r="H25" i="4"/>
  <c r="I25" i="4"/>
  <c r="J25" i="4"/>
  <c r="K25" i="4"/>
  <c r="AI28" i="34"/>
  <c r="AI29" i="34"/>
  <c r="AI30" i="34"/>
  <c r="AI31" i="34"/>
  <c r="AI32" i="34"/>
  <c r="AJ28" i="34"/>
  <c r="AJ29" i="34"/>
  <c r="AJ30" i="34"/>
  <c r="AJ31" i="34"/>
  <c r="AJ32" i="34"/>
  <c r="V32" i="34"/>
  <c r="Z32" i="34"/>
  <c r="W32" i="34"/>
  <c r="X32" i="34"/>
  <c r="V33" i="34"/>
  <c r="W33" i="34" s="1"/>
  <c r="X33" i="34" s="1"/>
  <c r="AV77" i="34"/>
  <c r="AV78" i="34"/>
  <c r="AK33" i="34"/>
  <c r="O37" i="34" s="1"/>
  <c r="AK34" i="34"/>
  <c r="O38" i="34" s="1"/>
  <c r="AK35" i="34"/>
  <c r="O39" i="34" s="1"/>
  <c r="AK36" i="34"/>
  <c r="O40" i="34" s="1"/>
  <c r="AK37" i="34"/>
  <c r="O41" i="34" s="1"/>
  <c r="AL33" i="34"/>
  <c r="P37" i="34" s="1"/>
  <c r="AL34" i="34"/>
  <c r="P38" i="34" s="1"/>
  <c r="AL35" i="34"/>
  <c r="P39" i="34" s="1"/>
  <c r="AL36" i="34"/>
  <c r="P40" i="34" s="1"/>
  <c r="AL37" i="34"/>
  <c r="P41" i="34" s="1"/>
  <c r="S37" i="34"/>
  <c r="T37" i="34"/>
  <c r="S38" i="34"/>
  <c r="T38" i="34"/>
  <c r="S39" i="34"/>
  <c r="T39" i="34"/>
  <c r="S40" i="34"/>
  <c r="T40" i="34"/>
  <c r="S41" i="34"/>
  <c r="T41" i="34"/>
  <c r="Q37" i="34"/>
  <c r="R37" i="34"/>
  <c r="Q38" i="34"/>
  <c r="R38" i="34"/>
  <c r="Q39" i="34"/>
  <c r="R39" i="34"/>
  <c r="Q40" i="34"/>
  <c r="R40" i="34"/>
  <c r="Q41" i="34"/>
  <c r="R41" i="34"/>
  <c r="V42" i="34"/>
  <c r="W42" i="34"/>
  <c r="X42" i="34"/>
  <c r="AI33" i="34"/>
  <c r="AI34" i="34"/>
  <c r="AI35" i="34"/>
  <c r="AI36" i="34"/>
  <c r="AI37" i="34"/>
  <c r="AJ33" i="34"/>
  <c r="AJ34" i="34"/>
  <c r="AJ35" i="34"/>
  <c r="AJ36" i="34"/>
  <c r="AJ37" i="34"/>
  <c r="V38" i="34"/>
  <c r="Z38" i="34"/>
  <c r="W38" i="34"/>
  <c r="X38" i="34"/>
  <c r="V39" i="34"/>
  <c r="W39" i="34" s="1"/>
  <c r="X39" i="34" s="1"/>
  <c r="AK38" i="34"/>
  <c r="O43" i="34" s="1"/>
  <c r="AK39" i="34"/>
  <c r="O44" i="34" s="1"/>
  <c r="AK40" i="34"/>
  <c r="O45" i="34" s="1"/>
  <c r="AK41" i="34"/>
  <c r="O46" i="34" s="1"/>
  <c r="AK42" i="34"/>
  <c r="O47" i="34" s="1"/>
  <c r="AL38" i="34"/>
  <c r="P43" i="34" s="1"/>
  <c r="AL39" i="34"/>
  <c r="P44" i="34" s="1"/>
  <c r="AL40" i="34"/>
  <c r="P45" i="34" s="1"/>
  <c r="AL41" i="34"/>
  <c r="P46" i="34" s="1"/>
  <c r="AL42" i="34"/>
  <c r="P47" i="34" s="1"/>
  <c r="S43" i="34"/>
  <c r="T43" i="34"/>
  <c r="S44" i="34"/>
  <c r="T44" i="34"/>
  <c r="S45" i="34"/>
  <c r="T45" i="34"/>
  <c r="S46" i="34"/>
  <c r="T46" i="34"/>
  <c r="S47" i="34"/>
  <c r="T47" i="34"/>
  <c r="Q43" i="34"/>
  <c r="R43" i="34"/>
  <c r="Q44" i="34"/>
  <c r="R44" i="34"/>
  <c r="Q45" i="34"/>
  <c r="R45" i="34"/>
  <c r="Q46" i="34"/>
  <c r="R46" i="34"/>
  <c r="Q47" i="34"/>
  <c r="R47" i="34"/>
  <c r="V48" i="34"/>
  <c r="W48" i="34"/>
  <c r="X48" i="34"/>
  <c r="AI38" i="34"/>
  <c r="AI39" i="34"/>
  <c r="AI40" i="34"/>
  <c r="AI41" i="34"/>
  <c r="AI42" i="34"/>
  <c r="AJ38" i="34"/>
  <c r="AJ39" i="34"/>
  <c r="AJ40" i="34"/>
  <c r="AJ41" i="34"/>
  <c r="AJ42" i="34"/>
  <c r="G44" i="34"/>
  <c r="G45" i="34"/>
  <c r="G46" i="34"/>
  <c r="G47" i="34"/>
  <c r="V44" i="34"/>
  <c r="Z44" i="34"/>
  <c r="W44" i="34"/>
  <c r="X44" i="34"/>
  <c r="V45" i="34"/>
  <c r="W45" i="34" s="1"/>
  <c r="X45" i="34" s="1"/>
  <c r="AK43" i="34"/>
  <c r="O49" i="34" s="1"/>
  <c r="AK44" i="34"/>
  <c r="O50" i="34" s="1"/>
  <c r="AK45" i="34"/>
  <c r="O51" i="34" s="1"/>
  <c r="AK46" i="34"/>
  <c r="O52" i="34" s="1"/>
  <c r="AK47" i="34"/>
  <c r="O53" i="34" s="1"/>
  <c r="AL43" i="34"/>
  <c r="P49" i="34" s="1"/>
  <c r="AL44" i="34"/>
  <c r="P50" i="34" s="1"/>
  <c r="AL45" i="34"/>
  <c r="P51" i="34" s="1"/>
  <c r="AL46" i="34"/>
  <c r="P52" i="34" s="1"/>
  <c r="AL47" i="34"/>
  <c r="P53" i="34" s="1"/>
  <c r="S49" i="34"/>
  <c r="T49" i="34"/>
  <c r="S50" i="34"/>
  <c r="T50" i="34"/>
  <c r="S51" i="34"/>
  <c r="T51" i="34"/>
  <c r="S52" i="34"/>
  <c r="T52" i="34"/>
  <c r="S53" i="34"/>
  <c r="T53" i="34"/>
  <c r="Q49" i="34"/>
  <c r="R49" i="34"/>
  <c r="Q50" i="34"/>
  <c r="R50" i="34"/>
  <c r="Q51" i="34"/>
  <c r="R51" i="34"/>
  <c r="Q52" i="34"/>
  <c r="R52" i="34"/>
  <c r="Q53" i="34"/>
  <c r="R53" i="34"/>
  <c r="V54" i="34"/>
  <c r="W54" i="34"/>
  <c r="X54" i="34"/>
  <c r="AI43" i="34"/>
  <c r="AI44" i="34"/>
  <c r="AI45" i="34"/>
  <c r="AI46" i="34"/>
  <c r="AI47" i="34"/>
  <c r="AJ43" i="34"/>
  <c r="AJ44" i="34"/>
  <c r="AJ45" i="34"/>
  <c r="AJ46" i="34"/>
  <c r="AJ47" i="34"/>
  <c r="G50" i="34"/>
  <c r="G51" i="34"/>
  <c r="G52" i="34"/>
  <c r="G53" i="34"/>
  <c r="V50" i="34"/>
  <c r="Z50" i="34"/>
  <c r="W50" i="34"/>
  <c r="X50" i="34"/>
  <c r="V51" i="34"/>
  <c r="W51" i="34" s="1"/>
  <c r="X51" i="34" s="1"/>
  <c r="AK48" i="34"/>
  <c r="O55" i="34" s="1"/>
  <c r="AK49" i="34"/>
  <c r="O56" i="34" s="1"/>
  <c r="AK50" i="34"/>
  <c r="O57" i="34" s="1"/>
  <c r="AK51" i="34"/>
  <c r="O58" i="34" s="1"/>
  <c r="AK52" i="34"/>
  <c r="O59" i="34" s="1"/>
  <c r="AL48" i="34"/>
  <c r="P55" i="34" s="1"/>
  <c r="AL49" i="34"/>
  <c r="P56" i="34" s="1"/>
  <c r="AL50" i="34"/>
  <c r="P57" i="34" s="1"/>
  <c r="AL51" i="34"/>
  <c r="P58" i="34" s="1"/>
  <c r="AL52" i="34"/>
  <c r="P59" i="34" s="1"/>
  <c r="S55" i="34"/>
  <c r="T55" i="34"/>
  <c r="S56" i="34"/>
  <c r="T56" i="34"/>
  <c r="S57" i="34"/>
  <c r="T57" i="34"/>
  <c r="S58" i="34"/>
  <c r="T58" i="34"/>
  <c r="S59" i="34"/>
  <c r="T59" i="34"/>
  <c r="Q55" i="34"/>
  <c r="R55" i="34"/>
  <c r="Q56" i="34"/>
  <c r="R56" i="34"/>
  <c r="Q57" i="34"/>
  <c r="R57" i="34"/>
  <c r="Q58" i="34"/>
  <c r="R58" i="34"/>
  <c r="Q59" i="34"/>
  <c r="R59" i="34"/>
  <c r="V60" i="34"/>
  <c r="W60" i="34"/>
  <c r="X60" i="34"/>
  <c r="AI48" i="34"/>
  <c r="AI49" i="34"/>
  <c r="AI50" i="34"/>
  <c r="AI51" i="34"/>
  <c r="AI52" i="34"/>
  <c r="AJ48" i="34"/>
  <c r="AJ49" i="34"/>
  <c r="AJ50" i="34"/>
  <c r="AJ51" i="34"/>
  <c r="AJ52" i="34"/>
  <c r="G56" i="34"/>
  <c r="G57" i="34"/>
  <c r="G58" i="34"/>
  <c r="G59" i="34"/>
  <c r="V56" i="34"/>
  <c r="Z56" i="34"/>
  <c r="W56" i="34"/>
  <c r="X56" i="34"/>
  <c r="V57" i="34"/>
  <c r="W57" i="34" s="1"/>
  <c r="X57" i="34" s="1"/>
  <c r="AK53" i="34"/>
  <c r="O61" i="34" s="1"/>
  <c r="AK54" i="34"/>
  <c r="O62" i="34" s="1"/>
  <c r="AK55" i="34"/>
  <c r="O63" i="34" s="1"/>
  <c r="AK56" i="34"/>
  <c r="O64" i="34" s="1"/>
  <c r="AK57" i="34"/>
  <c r="O65" i="34" s="1"/>
  <c r="AL53" i="34"/>
  <c r="P61" i="34" s="1"/>
  <c r="AL54" i="34"/>
  <c r="P62" i="34" s="1"/>
  <c r="AL55" i="34"/>
  <c r="P63" i="34" s="1"/>
  <c r="AL56" i="34"/>
  <c r="P64" i="34" s="1"/>
  <c r="AL57" i="34"/>
  <c r="P65" i="34" s="1"/>
  <c r="S61" i="34"/>
  <c r="T61" i="34"/>
  <c r="S62" i="34"/>
  <c r="T62" i="34"/>
  <c r="S63" i="34"/>
  <c r="T63" i="34"/>
  <c r="S64" i="34"/>
  <c r="T64" i="34"/>
  <c r="S65" i="34"/>
  <c r="T65" i="34"/>
  <c r="Q61" i="34"/>
  <c r="R61" i="34"/>
  <c r="Q62" i="34"/>
  <c r="R62" i="34"/>
  <c r="Q63" i="34"/>
  <c r="R63" i="34"/>
  <c r="Q64" i="34"/>
  <c r="R64" i="34"/>
  <c r="Q65" i="34"/>
  <c r="R65" i="34"/>
  <c r="V66" i="34"/>
  <c r="W66" i="34"/>
  <c r="X66" i="34"/>
  <c r="AI53" i="34"/>
  <c r="AI54" i="34"/>
  <c r="AI55" i="34"/>
  <c r="AI56" i="34"/>
  <c r="AI57" i="34"/>
  <c r="AJ53" i="34"/>
  <c r="AJ54" i="34"/>
  <c r="AJ55" i="34"/>
  <c r="AJ56" i="34"/>
  <c r="AJ57" i="34"/>
  <c r="G62" i="34"/>
  <c r="G63" i="34"/>
  <c r="G64" i="34"/>
  <c r="G65" i="34"/>
  <c r="V62" i="34"/>
  <c r="Z62" i="34"/>
  <c r="W62" i="34"/>
  <c r="X62" i="34"/>
  <c r="V63" i="34"/>
  <c r="W63" i="34" s="1"/>
  <c r="X63" i="34" s="1"/>
  <c r="AK58" i="34"/>
  <c r="O67" i="34" s="1"/>
  <c r="AK59" i="34"/>
  <c r="O68" i="34" s="1"/>
  <c r="AK60" i="34"/>
  <c r="O69" i="34" s="1"/>
  <c r="AK61" i="34"/>
  <c r="O70" i="34" s="1"/>
  <c r="AK62" i="34"/>
  <c r="O71" i="34" s="1"/>
  <c r="AL58" i="34"/>
  <c r="P67" i="34" s="1"/>
  <c r="AL59" i="34"/>
  <c r="P68" i="34" s="1"/>
  <c r="AL60" i="34"/>
  <c r="P69" i="34" s="1"/>
  <c r="AL61" i="34"/>
  <c r="P70" i="34" s="1"/>
  <c r="AL62" i="34"/>
  <c r="P71" i="34" s="1"/>
  <c r="S67" i="34"/>
  <c r="T67" i="34"/>
  <c r="S68" i="34"/>
  <c r="T68" i="34"/>
  <c r="S69" i="34"/>
  <c r="T69" i="34"/>
  <c r="S70" i="34"/>
  <c r="T70" i="34"/>
  <c r="S71" i="34"/>
  <c r="T71" i="34"/>
  <c r="Q67" i="34"/>
  <c r="R67" i="34"/>
  <c r="Q68" i="34"/>
  <c r="R68" i="34"/>
  <c r="Q69" i="34"/>
  <c r="R69" i="34"/>
  <c r="Q70" i="34"/>
  <c r="R70" i="34"/>
  <c r="Q71" i="34"/>
  <c r="R71" i="34"/>
  <c r="V72" i="34"/>
  <c r="W72" i="34"/>
  <c r="X72" i="34"/>
  <c r="AI58" i="34"/>
  <c r="AI59" i="34"/>
  <c r="AI60" i="34"/>
  <c r="AI61" i="34"/>
  <c r="AI62" i="34"/>
  <c r="AJ58" i="34"/>
  <c r="AJ59" i="34"/>
  <c r="AJ60" i="34"/>
  <c r="AJ61" i="34"/>
  <c r="AJ62" i="34"/>
  <c r="G68" i="34"/>
  <c r="G69" i="34"/>
  <c r="G70" i="34"/>
  <c r="G71" i="34"/>
  <c r="V68" i="34"/>
  <c r="Z68" i="34"/>
  <c r="W68" i="34"/>
  <c r="X68" i="34"/>
  <c r="V69" i="34"/>
  <c r="W69" i="34" s="1"/>
  <c r="X69" i="34" s="1"/>
  <c r="AI63" i="34"/>
  <c r="AI64" i="34"/>
  <c r="AI65" i="34"/>
  <c r="AI66" i="34"/>
  <c r="AI67" i="34"/>
  <c r="AJ63" i="34"/>
  <c r="AJ64" i="34"/>
  <c r="AJ65" i="34"/>
  <c r="AJ66" i="34"/>
  <c r="AJ67" i="34"/>
  <c r="AI15" i="34"/>
  <c r="AI15" i="32"/>
  <c r="AP137" i="33" s="1"/>
  <c r="L26" i="32"/>
  <c r="AN248" i="32"/>
  <c r="AM248" i="32"/>
  <c r="AN249" i="32"/>
  <c r="AM249" i="32"/>
  <c r="AN250" i="32"/>
  <c r="AM250" i="32"/>
  <c r="AN251" i="32"/>
  <c r="AM251" i="32"/>
  <c r="AO7" i="32"/>
  <c r="AO8" i="32"/>
  <c r="AO9" i="32"/>
  <c r="AO10" i="32"/>
  <c r="AO11" i="32"/>
  <c r="AO12" i="32"/>
  <c r="AO13" i="32"/>
  <c r="AO14" i="32"/>
  <c r="AO15" i="32"/>
  <c r="AO16" i="32"/>
  <c r="AO17" i="32"/>
  <c r="AO18" i="32"/>
  <c r="AO19" i="32"/>
  <c r="AO20" i="32"/>
  <c r="AO21" i="32"/>
  <c r="AO22" i="32"/>
  <c r="AO23" i="32"/>
  <c r="AO24" i="32"/>
  <c r="AO25" i="32"/>
  <c r="AO26" i="32"/>
  <c r="AO27" i="32"/>
  <c r="AO28" i="32"/>
  <c r="AO29" i="32"/>
  <c r="AO30" i="32"/>
  <c r="AO31" i="32"/>
  <c r="AP33" i="32"/>
  <c r="AP34" i="32"/>
  <c r="AP35" i="32"/>
  <c r="AP36" i="32"/>
  <c r="AP37" i="32"/>
  <c r="AP38" i="32"/>
  <c r="AP39" i="32"/>
  <c r="AP40" i="32"/>
  <c r="AP41" i="32"/>
  <c r="AP42" i="32"/>
  <c r="AP43" i="32"/>
  <c r="AP44" i="32"/>
  <c r="AP45" i="32"/>
  <c r="AP46" i="32"/>
  <c r="AP47" i="32"/>
  <c r="AP48" i="32"/>
  <c r="AP49" i="32"/>
  <c r="AP50" i="32"/>
  <c r="AP51" i="32"/>
  <c r="AP52" i="32"/>
  <c r="AP53" i="32"/>
  <c r="AP54" i="32"/>
  <c r="AP55" i="32"/>
  <c r="AP56" i="32"/>
  <c r="AP57" i="32"/>
  <c r="AP58" i="32"/>
  <c r="AP59" i="32"/>
  <c r="AP60" i="32"/>
  <c r="AO33" i="32"/>
  <c r="AO34" i="32"/>
  <c r="AO35" i="32"/>
  <c r="AO36" i="32"/>
  <c r="AO37" i="32"/>
  <c r="AO38" i="32"/>
  <c r="AO39" i="32"/>
  <c r="AO40" i="32"/>
  <c r="AO41" i="32"/>
  <c r="AO42" i="32"/>
  <c r="AO43" i="32"/>
  <c r="AO44" i="32"/>
  <c r="AO45" i="32"/>
  <c r="AO46" i="32"/>
  <c r="AO47" i="32"/>
  <c r="AO48" i="32"/>
  <c r="AO49" i="32"/>
  <c r="AO50" i="32"/>
  <c r="AO51" i="32"/>
  <c r="AO52" i="32"/>
  <c r="AO53" i="32"/>
  <c r="AO54" i="32"/>
  <c r="AO55" i="32"/>
  <c r="AO56" i="32"/>
  <c r="AO57" i="32"/>
  <c r="AO58" i="32"/>
  <c r="AO59" i="32"/>
  <c r="AO60" i="32"/>
  <c r="AP62" i="32"/>
  <c r="AP61" i="32" s="1"/>
  <c r="AO61" i="32" s="1"/>
  <c r="AT10" i="32" s="1"/>
  <c r="AO62" i="32"/>
  <c r="AO63" i="32"/>
  <c r="AP65" i="32"/>
  <c r="AP66" i="32"/>
  <c r="AP67" i="32"/>
  <c r="AP68" i="32"/>
  <c r="AP69" i="32"/>
  <c r="AP70" i="32"/>
  <c r="AP71" i="32"/>
  <c r="AP72" i="32"/>
  <c r="AP73" i="32"/>
  <c r="AP74" i="32"/>
  <c r="AP75" i="32"/>
  <c r="AP76" i="32"/>
  <c r="AP77" i="32"/>
  <c r="AP78" i="32"/>
  <c r="AP79" i="32"/>
  <c r="AP80" i="32"/>
  <c r="AP81" i="32"/>
  <c r="AP82" i="32"/>
  <c r="AP83" i="32"/>
  <c r="AP84" i="32"/>
  <c r="AP85" i="32"/>
  <c r="AP86" i="32"/>
  <c r="AP87" i="32"/>
  <c r="AP88" i="32"/>
  <c r="AP89" i="32"/>
  <c r="AP90" i="32"/>
  <c r="AP91" i="32"/>
  <c r="AP92" i="32"/>
  <c r="AP93" i="32"/>
  <c r="AP94" i="32"/>
  <c r="AP95" i="32"/>
  <c r="AP96" i="32"/>
  <c r="AP97" i="32"/>
  <c r="AP98" i="32"/>
  <c r="AP99" i="32"/>
  <c r="AP100" i="32"/>
  <c r="AP101" i="32"/>
  <c r="AP102" i="32"/>
  <c r="AP103" i="32"/>
  <c r="AP104" i="32"/>
  <c r="AP105" i="32"/>
  <c r="AP106" i="32"/>
  <c r="AP107" i="32"/>
  <c r="AP108" i="32"/>
  <c r="AP109" i="32"/>
  <c r="AP110" i="32"/>
  <c r="AP111" i="32"/>
  <c r="AP112" i="32"/>
  <c r="AP113" i="32"/>
  <c r="AP114" i="32"/>
  <c r="AP115" i="32"/>
  <c r="AP116" i="32"/>
  <c r="AP117" i="32"/>
  <c r="AP118" i="32"/>
  <c r="AP119" i="32"/>
  <c r="AO65" i="32"/>
  <c r="AO66" i="32"/>
  <c r="AO67" i="32"/>
  <c r="AO68" i="32"/>
  <c r="AO69" i="32"/>
  <c r="AO70" i="32"/>
  <c r="AO71" i="32"/>
  <c r="AO72" i="32"/>
  <c r="AO73" i="32"/>
  <c r="AO74" i="32"/>
  <c r="AO75" i="32"/>
  <c r="AO76" i="32"/>
  <c r="AO77" i="32"/>
  <c r="AO78" i="32"/>
  <c r="AO79" i="32"/>
  <c r="AO80" i="32"/>
  <c r="AO81" i="32"/>
  <c r="AO82" i="32"/>
  <c r="AO83" i="32"/>
  <c r="AO84" i="32"/>
  <c r="AO85" i="32"/>
  <c r="AO86" i="32"/>
  <c r="AO87" i="32"/>
  <c r="AO88" i="32"/>
  <c r="AO89" i="32"/>
  <c r="AO90" i="32"/>
  <c r="AO91" i="32"/>
  <c r="AO92" i="32"/>
  <c r="AO93" i="32"/>
  <c r="AO94" i="32"/>
  <c r="AO95" i="32"/>
  <c r="AO96" i="32"/>
  <c r="AO97" i="32"/>
  <c r="AO98" i="32"/>
  <c r="AO99" i="32"/>
  <c r="AO100" i="32"/>
  <c r="AO101" i="32"/>
  <c r="AO102" i="32"/>
  <c r="AO103" i="32"/>
  <c r="AO104" i="32"/>
  <c r="AO105" i="32"/>
  <c r="AO106" i="32"/>
  <c r="AO107" i="32"/>
  <c r="AO108" i="32"/>
  <c r="AO109" i="32"/>
  <c r="AO110" i="32"/>
  <c r="AO111" i="32"/>
  <c r="AO112" i="32"/>
  <c r="AO113" i="32"/>
  <c r="AO114" i="32"/>
  <c r="AO115" i="32"/>
  <c r="AO116" i="32"/>
  <c r="AO117" i="32"/>
  <c r="AO118" i="32"/>
  <c r="AO119" i="32"/>
  <c r="AP121" i="32"/>
  <c r="AP122" i="32"/>
  <c r="AP123" i="32"/>
  <c r="AP124" i="32"/>
  <c r="AP125" i="32"/>
  <c r="AP126" i="32"/>
  <c r="AP127" i="32"/>
  <c r="AP128" i="32"/>
  <c r="AP129" i="32"/>
  <c r="AP130" i="32"/>
  <c r="AP131" i="32"/>
  <c r="AP132" i="32"/>
  <c r="AP133" i="32"/>
  <c r="AP134" i="32"/>
  <c r="AP135" i="32"/>
  <c r="AP136" i="32"/>
  <c r="AP137" i="32"/>
  <c r="AP138" i="32"/>
  <c r="AP139" i="32"/>
  <c r="AP140" i="32"/>
  <c r="AO121" i="32"/>
  <c r="AO122" i="32"/>
  <c r="AO123" i="32"/>
  <c r="AO124" i="32"/>
  <c r="AO125" i="32"/>
  <c r="AO126" i="32"/>
  <c r="AO127" i="32"/>
  <c r="AO128" i="32"/>
  <c r="AO129" i="32"/>
  <c r="AO130" i="32"/>
  <c r="AO131" i="32"/>
  <c r="AO132" i="32"/>
  <c r="AO133" i="32"/>
  <c r="AO134" i="32"/>
  <c r="AO135" i="32"/>
  <c r="AO136" i="32"/>
  <c r="AO137" i="32"/>
  <c r="AO138" i="32"/>
  <c r="AO139" i="32"/>
  <c r="AO140" i="32"/>
  <c r="AP142" i="32"/>
  <c r="AP143" i="32"/>
  <c r="AP144" i="32"/>
  <c r="AP145" i="32"/>
  <c r="AP146" i="32"/>
  <c r="AP147" i="32"/>
  <c r="AP148" i="32"/>
  <c r="AP149" i="32"/>
  <c r="AP150" i="32"/>
  <c r="AP151" i="32"/>
  <c r="AN142" i="32"/>
  <c r="AO142" i="32"/>
  <c r="AN143" i="32"/>
  <c r="AO143" i="32"/>
  <c r="AN144" i="32"/>
  <c r="AO144" i="32"/>
  <c r="AN145" i="32"/>
  <c r="AO145" i="32"/>
  <c r="AN146" i="32"/>
  <c r="AO146" i="32"/>
  <c r="AN147" i="32"/>
  <c r="AO147" i="32"/>
  <c r="AN148" i="32"/>
  <c r="AO148" i="32"/>
  <c r="AN149" i="32"/>
  <c r="AO149" i="32"/>
  <c r="AN150" i="32"/>
  <c r="AO150" i="32"/>
  <c r="AN151" i="32"/>
  <c r="AO151" i="32"/>
  <c r="AP153" i="32"/>
  <c r="AP154" i="32"/>
  <c r="AP155" i="32"/>
  <c r="AP156" i="32"/>
  <c r="AP157" i="32"/>
  <c r="AP158" i="32"/>
  <c r="AP159" i="32"/>
  <c r="AP160" i="32"/>
  <c r="AP161" i="32"/>
  <c r="AP162" i="32"/>
  <c r="AN153" i="32"/>
  <c r="AO153" i="32"/>
  <c r="AN154" i="32"/>
  <c r="AO154" i="32"/>
  <c r="AN155" i="32"/>
  <c r="AO155" i="32"/>
  <c r="AN156" i="32"/>
  <c r="AO156" i="32"/>
  <c r="AN157" i="32"/>
  <c r="AO157" i="32"/>
  <c r="AN158" i="32"/>
  <c r="AO158" i="32"/>
  <c r="AN159" i="32"/>
  <c r="AO159" i="32"/>
  <c r="AN160" i="32"/>
  <c r="AO160" i="32"/>
  <c r="AN161" i="32"/>
  <c r="AO161" i="32"/>
  <c r="AN162" i="32"/>
  <c r="AO162" i="32"/>
  <c r="AP164" i="32"/>
  <c r="AP165" i="32"/>
  <c r="AO164" i="32"/>
  <c r="AO165" i="32"/>
  <c r="AP167" i="32"/>
  <c r="AP166" i="32" s="1"/>
  <c r="AO166" i="32" s="1"/>
  <c r="AT16" i="32" s="1"/>
  <c r="AP168" i="32"/>
  <c r="AO167" i="32"/>
  <c r="AO168" i="32"/>
  <c r="AP170" i="32"/>
  <c r="AP171" i="32"/>
  <c r="AP172" i="32"/>
  <c r="AP173" i="32"/>
  <c r="AP174" i="32"/>
  <c r="AP175" i="32"/>
  <c r="AP176" i="32"/>
  <c r="AP177" i="32"/>
  <c r="AP178" i="32"/>
  <c r="AO170" i="32"/>
  <c r="AO171" i="32"/>
  <c r="AO172" i="32"/>
  <c r="AO173" i="32"/>
  <c r="AO174" i="32"/>
  <c r="AO175" i="32"/>
  <c r="AO176" i="32"/>
  <c r="AO177" i="32"/>
  <c r="AO178" i="32"/>
  <c r="AP180" i="32"/>
  <c r="AP181" i="32"/>
  <c r="AP182" i="32"/>
  <c r="AP183" i="32"/>
  <c r="AP184" i="32"/>
  <c r="AP185" i="32"/>
  <c r="AP186" i="32"/>
  <c r="AP187" i="32"/>
  <c r="AP188" i="32"/>
  <c r="AN180" i="32"/>
  <c r="AO180" i="32"/>
  <c r="AO181" i="32"/>
  <c r="AO183" i="32"/>
  <c r="AO184" i="32"/>
  <c r="AO186" i="32"/>
  <c r="AO187" i="32"/>
  <c r="AO188" i="32"/>
  <c r="AP190" i="32"/>
  <c r="AP191" i="32"/>
  <c r="AP192" i="32"/>
  <c r="AP193" i="32"/>
  <c r="AP194" i="32"/>
  <c r="AP195" i="32"/>
  <c r="AP196" i="32"/>
  <c r="AP197" i="32"/>
  <c r="AP198" i="32"/>
  <c r="AP199" i="32"/>
  <c r="AP200" i="32"/>
  <c r="AP201" i="32"/>
  <c r="AP202" i="32"/>
  <c r="AP203" i="32"/>
  <c r="AP204" i="32"/>
  <c r="AP205" i="32"/>
  <c r="AP206" i="32"/>
  <c r="AP207" i="32"/>
  <c r="AP208" i="32"/>
  <c r="AP209" i="32"/>
  <c r="AP210" i="32"/>
  <c r="AP211" i="32"/>
  <c r="AP212" i="32"/>
  <c r="AP213" i="32"/>
  <c r="AP214" i="32"/>
  <c r="AP215" i="32"/>
  <c r="AP216" i="32"/>
  <c r="AP217" i="32"/>
  <c r="AO190" i="32"/>
  <c r="AO191" i="32"/>
  <c r="AO192" i="32"/>
  <c r="AO193" i="32"/>
  <c r="AO194" i="32"/>
  <c r="AO195" i="32"/>
  <c r="AO196" i="32"/>
  <c r="AO197" i="32"/>
  <c r="AO198" i="32"/>
  <c r="AO199" i="32"/>
  <c r="AO200" i="32"/>
  <c r="AO201" i="32"/>
  <c r="AO202" i="32"/>
  <c r="AO203" i="32"/>
  <c r="AO204" i="32"/>
  <c r="AO205" i="32"/>
  <c r="AO206" i="32"/>
  <c r="AO207" i="32"/>
  <c r="AO208" i="32"/>
  <c r="AO209" i="32"/>
  <c r="AO210" i="32"/>
  <c r="AO211" i="32"/>
  <c r="AO212" i="32"/>
  <c r="AO213" i="32"/>
  <c r="AO214" i="32"/>
  <c r="AO215" i="32"/>
  <c r="AO216" i="32"/>
  <c r="AO217" i="32"/>
  <c r="AP219" i="32"/>
  <c r="AP220" i="32"/>
  <c r="AP221" i="32"/>
  <c r="AP222" i="32"/>
  <c r="AP223" i="32"/>
  <c r="AP224" i="32"/>
  <c r="AP225" i="32"/>
  <c r="AP226" i="32"/>
  <c r="AP227" i="32"/>
  <c r="AP228" i="32"/>
  <c r="AP229" i="32"/>
  <c r="AP230" i="32"/>
  <c r="AP231" i="32"/>
  <c r="AP232" i="32"/>
  <c r="AP233" i="32"/>
  <c r="AP234" i="32"/>
  <c r="AP235" i="32"/>
  <c r="AP236" i="32"/>
  <c r="AP237" i="32"/>
  <c r="AP238" i="32"/>
  <c r="AP239" i="32"/>
  <c r="AP240" i="32"/>
  <c r="AP241" i="32"/>
  <c r="AP242" i="32"/>
  <c r="AP243" i="32"/>
  <c r="AP244" i="32"/>
  <c r="AP245" i="32"/>
  <c r="AP246" i="32"/>
  <c r="AO219" i="32"/>
  <c r="AO220" i="32"/>
  <c r="AO221" i="32"/>
  <c r="AO222" i="32"/>
  <c r="AO223" i="32"/>
  <c r="AO224" i="32"/>
  <c r="AO225" i="32"/>
  <c r="AO226" i="32"/>
  <c r="AO227" i="32"/>
  <c r="AO228" i="32"/>
  <c r="AO229" i="32"/>
  <c r="AO230" i="32"/>
  <c r="AO231" i="32"/>
  <c r="AO232" i="32"/>
  <c r="AO233" i="32"/>
  <c r="AO234" i="32"/>
  <c r="AO235" i="32"/>
  <c r="AO236" i="32"/>
  <c r="AO237" i="32"/>
  <c r="AO238" i="32"/>
  <c r="AO239" i="32"/>
  <c r="AO240" i="32"/>
  <c r="AO241" i="32"/>
  <c r="AO242" i="32"/>
  <c r="AO243" i="32"/>
  <c r="AO244" i="32"/>
  <c r="AO245" i="32"/>
  <c r="AO246" i="32"/>
  <c r="AP248" i="32"/>
  <c r="AP249" i="32"/>
  <c r="AP250" i="32"/>
  <c r="AP251" i="32"/>
  <c r="AN252" i="32"/>
  <c r="AM252" i="32"/>
  <c r="AP252" i="32"/>
  <c r="AN253" i="32"/>
  <c r="AM253" i="32"/>
  <c r="AP253" i="32"/>
  <c r="AN254" i="32"/>
  <c r="AM254" i="32"/>
  <c r="AP254" i="32"/>
  <c r="AN255" i="32"/>
  <c r="AM255" i="32"/>
  <c r="AP255" i="32"/>
  <c r="AK28" i="32"/>
  <c r="O32" i="32" s="1"/>
  <c r="AK29" i="32"/>
  <c r="O33" i="32" s="1"/>
  <c r="AK30" i="32"/>
  <c r="O34" i="32" s="1"/>
  <c r="AK31" i="32"/>
  <c r="O35" i="32" s="1"/>
  <c r="AK32" i="32"/>
  <c r="O36" i="32" s="1"/>
  <c r="AL28" i="32"/>
  <c r="P32" i="32" s="1"/>
  <c r="AL29" i="32"/>
  <c r="P33" i="32" s="1"/>
  <c r="AL30" i="32"/>
  <c r="P34" i="32" s="1"/>
  <c r="AL31" i="32"/>
  <c r="P35" i="32" s="1"/>
  <c r="AL32" i="32"/>
  <c r="P36" i="32" s="1"/>
  <c r="S32" i="32"/>
  <c r="T32" i="32"/>
  <c r="S33" i="32"/>
  <c r="T33" i="32"/>
  <c r="S34" i="32"/>
  <c r="T34" i="32"/>
  <c r="S35" i="32"/>
  <c r="T35" i="32"/>
  <c r="S36" i="32"/>
  <c r="T36" i="32"/>
  <c r="Q32" i="32"/>
  <c r="R32" i="32"/>
  <c r="Q33" i="32"/>
  <c r="R33" i="32"/>
  <c r="Q34" i="32"/>
  <c r="R34" i="32"/>
  <c r="Q35" i="32"/>
  <c r="R35" i="32"/>
  <c r="Q36" i="32"/>
  <c r="R36" i="32"/>
  <c r="AF3" i="32"/>
  <c r="H14" i="32"/>
  <c r="V29" i="32"/>
  <c r="W29" i="32" s="1"/>
  <c r="X29" i="32" s="1"/>
  <c r="AA29" i="32" s="1"/>
  <c r="V30" i="32"/>
  <c r="W30" i="32"/>
  <c r="X30" i="32" s="1"/>
  <c r="AA30" i="32" s="1"/>
  <c r="AI28" i="32"/>
  <c r="AI29" i="32"/>
  <c r="AI30" i="32"/>
  <c r="AI31" i="32"/>
  <c r="AI32" i="32"/>
  <c r="AJ28" i="32"/>
  <c r="AJ29" i="32"/>
  <c r="AJ30" i="32"/>
  <c r="AJ31" i="32"/>
  <c r="AJ32" i="32"/>
  <c r="V33" i="32"/>
  <c r="W33" i="32" s="1"/>
  <c r="X33" i="32" s="1"/>
  <c r="AV77" i="32"/>
  <c r="AV78" i="32" s="1"/>
  <c r="AK24" i="32" s="1"/>
  <c r="AK33" i="32"/>
  <c r="O37" i="32" s="1"/>
  <c r="AK34" i="32"/>
  <c r="O38" i="32" s="1"/>
  <c r="AK35" i="32"/>
  <c r="O39" i="32" s="1"/>
  <c r="AK36" i="32"/>
  <c r="O40" i="32" s="1"/>
  <c r="AK37" i="32"/>
  <c r="O41" i="32" s="1"/>
  <c r="AL33" i="32"/>
  <c r="P37" i="32" s="1"/>
  <c r="AL34" i="32"/>
  <c r="P38" i="32" s="1"/>
  <c r="AL35" i="32"/>
  <c r="P39" i="32" s="1"/>
  <c r="AL36" i="32"/>
  <c r="P40" i="32" s="1"/>
  <c r="AL37" i="32"/>
  <c r="P41" i="32" s="1"/>
  <c r="S37" i="32"/>
  <c r="T37" i="32"/>
  <c r="S38" i="32"/>
  <c r="T38" i="32"/>
  <c r="S39" i="32"/>
  <c r="T39" i="32"/>
  <c r="S40" i="32"/>
  <c r="T40" i="32"/>
  <c r="S41" i="32"/>
  <c r="T41" i="32"/>
  <c r="AI33" i="32"/>
  <c r="AI34" i="32"/>
  <c r="AI35" i="32"/>
  <c r="AI36" i="32"/>
  <c r="AI37" i="32"/>
  <c r="AJ33" i="32"/>
  <c r="AJ34" i="32"/>
  <c r="AJ35" i="32"/>
  <c r="AJ36" i="32"/>
  <c r="AJ37" i="32"/>
  <c r="V39" i="32"/>
  <c r="W39" i="32" s="1"/>
  <c r="X39" i="32" s="1"/>
  <c r="Q37" i="32"/>
  <c r="R37" i="32"/>
  <c r="Q38" i="32"/>
  <c r="R38" i="32"/>
  <c r="Q39" i="32"/>
  <c r="R39" i="32"/>
  <c r="Q40" i="32"/>
  <c r="R40" i="32"/>
  <c r="Q41" i="32"/>
  <c r="R41" i="32"/>
  <c r="AK38" i="32"/>
  <c r="O43" i="32" s="1"/>
  <c r="AK39" i="32"/>
  <c r="O44" i="32" s="1"/>
  <c r="AK40" i="32"/>
  <c r="O45" i="32" s="1"/>
  <c r="AK41" i="32"/>
  <c r="O46" i="32" s="1"/>
  <c r="AK42" i="32"/>
  <c r="O47" i="32" s="1"/>
  <c r="AL38" i="32"/>
  <c r="P43" i="32" s="1"/>
  <c r="AL39" i="32"/>
  <c r="P44" i="32" s="1"/>
  <c r="AL40" i="32"/>
  <c r="P45" i="32" s="1"/>
  <c r="AL41" i="32"/>
  <c r="P46" i="32" s="1"/>
  <c r="AL42" i="32"/>
  <c r="P47" i="32" s="1"/>
  <c r="S43" i="32"/>
  <c r="T43" i="32"/>
  <c r="S44" i="32"/>
  <c r="T44" i="32"/>
  <c r="S45" i="32"/>
  <c r="T45" i="32"/>
  <c r="S46" i="32"/>
  <c r="T46" i="32"/>
  <c r="S47" i="32"/>
  <c r="T47" i="32"/>
  <c r="Q43" i="32"/>
  <c r="V48" i="32" s="1"/>
  <c r="W48" i="32" s="1"/>
  <c r="X48" i="32" s="1"/>
  <c r="R43" i="32"/>
  <c r="Q44" i="32"/>
  <c r="R44" i="32"/>
  <c r="Q45" i="32"/>
  <c r="R45" i="32"/>
  <c r="Q46" i="32"/>
  <c r="R46" i="32"/>
  <c r="Q47" i="32"/>
  <c r="R47" i="32"/>
  <c r="AI38" i="32"/>
  <c r="AI39" i="32"/>
  <c r="AI40" i="32"/>
  <c r="AI41" i="32"/>
  <c r="AI42" i="32"/>
  <c r="AJ38" i="32"/>
  <c r="AJ39" i="32"/>
  <c r="AJ40" i="32"/>
  <c r="AJ41" i="32"/>
  <c r="AJ42" i="32"/>
  <c r="V45" i="32"/>
  <c r="W45" i="32" s="1"/>
  <c r="X45" i="32" s="1"/>
  <c r="AK43" i="32"/>
  <c r="O49" i="32" s="1"/>
  <c r="AK44" i="32"/>
  <c r="O50" i="32" s="1"/>
  <c r="AK45" i="32"/>
  <c r="O51" i="32" s="1"/>
  <c r="AK46" i="32"/>
  <c r="O52" i="32" s="1"/>
  <c r="AK47" i="32"/>
  <c r="O53" i="32" s="1"/>
  <c r="AL43" i="32"/>
  <c r="P49" i="32" s="1"/>
  <c r="AL44" i="32"/>
  <c r="P50" i="32" s="1"/>
  <c r="AL45" i="32"/>
  <c r="P51" i="32" s="1"/>
  <c r="AL46" i="32"/>
  <c r="P52" i="32" s="1"/>
  <c r="AL47" i="32"/>
  <c r="P53" i="32" s="1"/>
  <c r="S49" i="32"/>
  <c r="T49" i="32"/>
  <c r="S50" i="32"/>
  <c r="T50" i="32"/>
  <c r="S51" i="32"/>
  <c r="T51" i="32"/>
  <c r="S52" i="32"/>
  <c r="T52" i="32"/>
  <c r="S53" i="32"/>
  <c r="T53" i="32"/>
  <c r="Q49" i="32"/>
  <c r="R49" i="32"/>
  <c r="Q50" i="32"/>
  <c r="R50" i="32"/>
  <c r="Q51" i="32"/>
  <c r="R51" i="32"/>
  <c r="Q52" i="32"/>
  <c r="R52" i="32"/>
  <c r="Q53" i="32"/>
  <c r="R53" i="32"/>
  <c r="V54" i="32"/>
  <c r="W54" i="32" s="1"/>
  <c r="X54" i="32" s="1"/>
  <c r="AA54" i="32" s="1"/>
  <c r="AI43" i="32"/>
  <c r="AI44" i="32"/>
  <c r="AI45" i="32"/>
  <c r="AI46" i="32"/>
  <c r="AI47" i="32"/>
  <c r="AJ43" i="32"/>
  <c r="AJ44" i="32"/>
  <c r="AJ45" i="32"/>
  <c r="AJ46" i="32"/>
  <c r="AJ47" i="32"/>
  <c r="G50" i="32"/>
  <c r="G51" i="32"/>
  <c r="G52" i="32"/>
  <c r="G53" i="32"/>
  <c r="V50" i="32"/>
  <c r="W50" i="32" s="1"/>
  <c r="X50" i="32" s="1"/>
  <c r="AA50" i="32" s="1"/>
  <c r="Z50" i="32"/>
  <c r="V51" i="32"/>
  <c r="W51" i="32" s="1"/>
  <c r="X51" i="32" s="1"/>
  <c r="AK48" i="32"/>
  <c r="O55" i="32" s="1"/>
  <c r="AK49" i="32"/>
  <c r="O56" i="32" s="1"/>
  <c r="AK50" i="32"/>
  <c r="O57" i="32" s="1"/>
  <c r="AK51" i="32"/>
  <c r="O58" i="32" s="1"/>
  <c r="AK52" i="32"/>
  <c r="O59" i="32" s="1"/>
  <c r="AL48" i="32"/>
  <c r="P55" i="32" s="1"/>
  <c r="AL49" i="32"/>
  <c r="P56" i="32" s="1"/>
  <c r="AL50" i="32"/>
  <c r="P57" i="32" s="1"/>
  <c r="AL51" i="32"/>
  <c r="P58" i="32" s="1"/>
  <c r="AL52" i="32"/>
  <c r="P59" i="32" s="1"/>
  <c r="S55" i="32"/>
  <c r="T55" i="32"/>
  <c r="S56" i="32"/>
  <c r="T56" i="32"/>
  <c r="S57" i="32"/>
  <c r="T57" i="32"/>
  <c r="S58" i="32"/>
  <c r="T58" i="32"/>
  <c r="S59" i="32"/>
  <c r="T59" i="32"/>
  <c r="Q55" i="32"/>
  <c r="R55" i="32"/>
  <c r="Q56" i="32"/>
  <c r="R56" i="32"/>
  <c r="Q57" i="32"/>
  <c r="R57" i="32"/>
  <c r="Q58" i="32"/>
  <c r="R58" i="32"/>
  <c r="Q59" i="32"/>
  <c r="R59" i="32"/>
  <c r="V60" i="32"/>
  <c r="W60" i="32" s="1"/>
  <c r="X60" i="32" s="1"/>
  <c r="AI48" i="32"/>
  <c r="AI49" i="32"/>
  <c r="AI50" i="32"/>
  <c r="AI51" i="32"/>
  <c r="AI52" i="32"/>
  <c r="AJ48" i="32"/>
  <c r="AJ49" i="32"/>
  <c r="AJ50" i="32"/>
  <c r="AJ51" i="32"/>
  <c r="AJ52" i="32"/>
  <c r="G56" i="32"/>
  <c r="G57" i="32"/>
  <c r="G58" i="32"/>
  <c r="G59" i="32"/>
  <c r="V56" i="32"/>
  <c r="W56" i="32" s="1"/>
  <c r="X56" i="32" s="1"/>
  <c r="AA56" i="32" s="1"/>
  <c r="Z56" i="32"/>
  <c r="V57" i="32"/>
  <c r="W57" i="32" s="1"/>
  <c r="X57" i="32" s="1"/>
  <c r="AK53" i="32"/>
  <c r="O61" i="32" s="1"/>
  <c r="AK54" i="32"/>
  <c r="O62" i="32" s="1"/>
  <c r="AK55" i="32"/>
  <c r="O63" i="32" s="1"/>
  <c r="AK56" i="32"/>
  <c r="O64" i="32" s="1"/>
  <c r="AK57" i="32"/>
  <c r="O65" i="32" s="1"/>
  <c r="AL53" i="32"/>
  <c r="P61" i="32" s="1"/>
  <c r="AL54" i="32"/>
  <c r="P62" i="32" s="1"/>
  <c r="AL55" i="32"/>
  <c r="P63" i="32" s="1"/>
  <c r="AL56" i="32"/>
  <c r="P64" i="32" s="1"/>
  <c r="AL57" i="32"/>
  <c r="P65" i="32" s="1"/>
  <c r="S61" i="32"/>
  <c r="T61" i="32"/>
  <c r="S62" i="32"/>
  <c r="T62" i="32"/>
  <c r="S63" i="32"/>
  <c r="T63" i="32"/>
  <c r="S64" i="32"/>
  <c r="T64" i="32"/>
  <c r="S65" i="32"/>
  <c r="T65" i="32"/>
  <c r="Q61" i="32"/>
  <c r="R61" i="32"/>
  <c r="Q62" i="32"/>
  <c r="R62" i="32"/>
  <c r="Q63" i="32"/>
  <c r="R63" i="32"/>
  <c r="Q64" i="32"/>
  <c r="R64" i="32"/>
  <c r="Q65" i="32"/>
  <c r="R65" i="32"/>
  <c r="V66" i="32"/>
  <c r="W66" i="32" s="1"/>
  <c r="X66" i="32" s="1"/>
  <c r="AI53" i="32"/>
  <c r="AI54" i="32"/>
  <c r="AI55" i="32"/>
  <c r="AI56" i="32"/>
  <c r="AI57" i="32"/>
  <c r="AJ53" i="32"/>
  <c r="AJ54" i="32"/>
  <c r="AJ55" i="32"/>
  <c r="AJ56" i="32"/>
  <c r="AJ57" i="32"/>
  <c r="G62" i="32"/>
  <c r="G63" i="32"/>
  <c r="G64" i="32"/>
  <c r="G65" i="32"/>
  <c r="V62" i="32"/>
  <c r="W62" i="32" s="1"/>
  <c r="X62" i="32" s="1"/>
  <c r="AA62" i="32" s="1"/>
  <c r="Z62" i="32"/>
  <c r="V63" i="32"/>
  <c r="W63" i="32" s="1"/>
  <c r="X63" i="32" s="1"/>
  <c r="AK58" i="32"/>
  <c r="O67" i="32" s="1"/>
  <c r="AK59" i="32"/>
  <c r="O68" i="32" s="1"/>
  <c r="AK60" i="32"/>
  <c r="O69" i="32" s="1"/>
  <c r="AK61" i="32"/>
  <c r="O70" i="32" s="1"/>
  <c r="AK62" i="32"/>
  <c r="O71" i="32" s="1"/>
  <c r="AL58" i="32"/>
  <c r="P67" i="32" s="1"/>
  <c r="AL59" i="32"/>
  <c r="P68" i="32" s="1"/>
  <c r="AL60" i="32"/>
  <c r="P69" i="32" s="1"/>
  <c r="AL61" i="32"/>
  <c r="P70" i="32" s="1"/>
  <c r="AL62" i="32"/>
  <c r="P71" i="32" s="1"/>
  <c r="S67" i="32"/>
  <c r="T67" i="32"/>
  <c r="S68" i="32"/>
  <c r="T68" i="32"/>
  <c r="S69" i="32"/>
  <c r="T69" i="32"/>
  <c r="S70" i="32"/>
  <c r="T70" i="32"/>
  <c r="S71" i="32"/>
  <c r="T71" i="32"/>
  <c r="Q67" i="32"/>
  <c r="R67" i="32"/>
  <c r="Q68" i="32"/>
  <c r="R68" i="32"/>
  <c r="Q69" i="32"/>
  <c r="R69" i="32"/>
  <c r="Q70" i="32"/>
  <c r="R70" i="32"/>
  <c r="Q71" i="32"/>
  <c r="R71" i="32"/>
  <c r="V72" i="32"/>
  <c r="W72" i="32" s="1"/>
  <c r="X72" i="32" s="1"/>
  <c r="AI58" i="32"/>
  <c r="AI59" i="32"/>
  <c r="AI60" i="32"/>
  <c r="AI61" i="32"/>
  <c r="AI62" i="32"/>
  <c r="AJ58" i="32"/>
  <c r="AJ59" i="32"/>
  <c r="AJ60" i="32"/>
  <c r="AJ61" i="32"/>
  <c r="AJ62" i="32"/>
  <c r="G68" i="32"/>
  <c r="G69" i="32"/>
  <c r="G70" i="32"/>
  <c r="G71" i="32"/>
  <c r="V68" i="32"/>
  <c r="W68" i="32" s="1"/>
  <c r="X68" i="32" s="1"/>
  <c r="AA68" i="32" s="1"/>
  <c r="Z68" i="32"/>
  <c r="V69" i="32"/>
  <c r="W69" i="32" s="1"/>
  <c r="X69" i="32" s="1"/>
  <c r="AI63" i="32"/>
  <c r="AI64" i="32"/>
  <c r="AI65" i="32"/>
  <c r="AI66" i="32"/>
  <c r="AI67" i="32"/>
  <c r="AJ63" i="32"/>
  <c r="AJ64" i="32"/>
  <c r="AJ65" i="32"/>
  <c r="AJ66" i="32"/>
  <c r="AJ67" i="32"/>
  <c r="AN248" i="4"/>
  <c r="AM248" i="4"/>
  <c r="AN249" i="4"/>
  <c r="AM249" i="4"/>
  <c r="AN250" i="4"/>
  <c r="AM250" i="4"/>
  <c r="AN251" i="4"/>
  <c r="AM251" i="4"/>
  <c r="AO7" i="4"/>
  <c r="AO8" i="4"/>
  <c r="AO9" i="4"/>
  <c r="AO10" i="4"/>
  <c r="AO11" i="4"/>
  <c r="AO12" i="4"/>
  <c r="AO13" i="4"/>
  <c r="AO14" i="4"/>
  <c r="AO15" i="4"/>
  <c r="AO16" i="4"/>
  <c r="AO17" i="4"/>
  <c r="AO18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O33" i="4"/>
  <c r="AO34" i="4"/>
  <c r="AO35" i="4"/>
  <c r="AO36" i="4"/>
  <c r="AO37" i="4"/>
  <c r="AO38" i="4"/>
  <c r="AO39" i="4"/>
  <c r="AO40" i="4"/>
  <c r="AO41" i="4"/>
  <c r="AO42" i="4"/>
  <c r="AO43" i="4"/>
  <c r="AO44" i="4"/>
  <c r="AO45" i="4"/>
  <c r="AO46" i="4"/>
  <c r="AO47" i="4"/>
  <c r="AO48" i="4"/>
  <c r="AO49" i="4"/>
  <c r="AO50" i="4"/>
  <c r="AO51" i="4"/>
  <c r="AO52" i="4"/>
  <c r="AO53" i="4"/>
  <c r="AO54" i="4"/>
  <c r="AO55" i="4"/>
  <c r="AO56" i="4"/>
  <c r="AO57" i="4"/>
  <c r="AO58" i="4"/>
  <c r="AO59" i="4"/>
  <c r="AO60" i="4"/>
  <c r="AP62" i="4"/>
  <c r="AP61" i="4" s="1"/>
  <c r="AO61" i="4" s="1"/>
  <c r="AO62" i="4"/>
  <c r="AO63" i="4"/>
  <c r="AP65" i="4"/>
  <c r="AP66" i="4"/>
  <c r="AP67" i="4"/>
  <c r="AP68" i="4"/>
  <c r="AP69" i="4"/>
  <c r="AP70" i="4"/>
  <c r="AP71" i="4"/>
  <c r="AP72" i="4"/>
  <c r="AP73" i="4"/>
  <c r="AP74" i="4"/>
  <c r="AP75" i="4"/>
  <c r="AP76" i="4"/>
  <c r="AP77" i="4"/>
  <c r="AP78" i="4"/>
  <c r="AP79" i="4"/>
  <c r="AP80" i="4"/>
  <c r="AP81" i="4"/>
  <c r="AP82" i="4"/>
  <c r="AP83" i="4"/>
  <c r="AP84" i="4"/>
  <c r="AP85" i="4"/>
  <c r="AP86" i="4"/>
  <c r="AP87" i="4"/>
  <c r="AP88" i="4"/>
  <c r="AP89" i="4"/>
  <c r="AP90" i="4"/>
  <c r="AP91" i="4"/>
  <c r="AP92" i="4"/>
  <c r="AP93" i="4"/>
  <c r="AP94" i="4"/>
  <c r="AP95" i="4"/>
  <c r="AP96" i="4"/>
  <c r="AP97" i="4"/>
  <c r="AP98" i="4"/>
  <c r="AP99" i="4"/>
  <c r="AP100" i="4"/>
  <c r="AP101" i="4"/>
  <c r="AP102" i="4"/>
  <c r="AP103" i="4"/>
  <c r="AP104" i="4"/>
  <c r="AP105" i="4"/>
  <c r="AP106" i="4"/>
  <c r="AP107" i="4"/>
  <c r="AP108" i="4"/>
  <c r="AP109" i="4"/>
  <c r="AP110" i="4"/>
  <c r="AP111" i="4"/>
  <c r="AP112" i="4"/>
  <c r="AP113" i="4"/>
  <c r="AP114" i="4"/>
  <c r="AP115" i="4"/>
  <c r="AP116" i="4"/>
  <c r="AP117" i="4"/>
  <c r="AP118" i="4"/>
  <c r="AP119" i="4"/>
  <c r="AO65" i="4"/>
  <c r="AO66" i="4"/>
  <c r="AO67" i="4"/>
  <c r="AO68" i="4"/>
  <c r="AO69" i="4"/>
  <c r="AO70" i="4"/>
  <c r="AO71" i="4"/>
  <c r="AO72" i="4"/>
  <c r="AO73" i="4"/>
  <c r="AO74" i="4"/>
  <c r="AO75" i="4"/>
  <c r="AO76" i="4"/>
  <c r="AO77" i="4"/>
  <c r="AO78" i="4"/>
  <c r="AO79" i="4"/>
  <c r="AO80" i="4"/>
  <c r="AO81" i="4"/>
  <c r="AO82" i="4"/>
  <c r="AO83" i="4"/>
  <c r="AO84" i="4"/>
  <c r="AO85" i="4"/>
  <c r="AO86" i="4"/>
  <c r="AO87" i="4"/>
  <c r="AO88" i="4"/>
  <c r="AO89" i="4"/>
  <c r="AO90" i="4"/>
  <c r="AO91" i="4"/>
  <c r="AO92" i="4"/>
  <c r="AO93" i="4"/>
  <c r="AO94" i="4"/>
  <c r="AO95" i="4"/>
  <c r="AO96" i="4"/>
  <c r="AO97" i="4"/>
  <c r="AO98" i="4"/>
  <c r="AO99" i="4"/>
  <c r="AO100" i="4"/>
  <c r="AO101" i="4"/>
  <c r="AO102" i="4"/>
  <c r="AO103" i="4"/>
  <c r="AO104" i="4"/>
  <c r="AO105" i="4"/>
  <c r="AO106" i="4"/>
  <c r="AO107" i="4"/>
  <c r="AO108" i="4"/>
  <c r="AO109" i="4"/>
  <c r="AO110" i="4"/>
  <c r="AO111" i="4"/>
  <c r="AO112" i="4"/>
  <c r="AO113" i="4"/>
  <c r="AO114" i="4"/>
  <c r="AO115" i="4"/>
  <c r="AO116" i="4"/>
  <c r="AO117" i="4"/>
  <c r="AO118" i="4"/>
  <c r="AO119" i="4"/>
  <c r="AP121" i="4"/>
  <c r="AP122" i="4"/>
  <c r="AP123" i="4"/>
  <c r="AP124" i="4"/>
  <c r="AP125" i="4"/>
  <c r="AP126" i="4"/>
  <c r="AP127" i="4"/>
  <c r="AP128" i="4"/>
  <c r="AP129" i="4"/>
  <c r="AP130" i="4"/>
  <c r="AP131" i="4"/>
  <c r="AP132" i="4"/>
  <c r="AP133" i="4"/>
  <c r="AP134" i="4"/>
  <c r="AP135" i="4"/>
  <c r="AP136" i="4"/>
  <c r="AP137" i="4"/>
  <c r="AP138" i="4"/>
  <c r="AP139" i="4"/>
  <c r="AP140" i="4"/>
  <c r="AO121" i="4"/>
  <c r="AO122" i="4"/>
  <c r="AO123" i="4"/>
  <c r="AO124" i="4"/>
  <c r="AO125" i="4"/>
  <c r="AO126" i="4"/>
  <c r="AO127" i="4"/>
  <c r="AO128" i="4"/>
  <c r="AO129" i="4"/>
  <c r="AO130" i="4"/>
  <c r="AO131" i="4"/>
  <c r="AO132" i="4"/>
  <c r="AO133" i="4"/>
  <c r="AO134" i="4"/>
  <c r="AO135" i="4"/>
  <c r="AO136" i="4"/>
  <c r="AO137" i="4"/>
  <c r="AO138" i="4"/>
  <c r="AO139" i="4"/>
  <c r="AO140" i="4"/>
  <c r="AP142" i="4"/>
  <c r="AP143" i="4"/>
  <c r="AP144" i="4"/>
  <c r="AP145" i="4"/>
  <c r="AP146" i="4"/>
  <c r="AP147" i="4"/>
  <c r="AP148" i="4"/>
  <c r="AP149" i="4"/>
  <c r="AP150" i="4"/>
  <c r="AP151" i="4"/>
  <c r="AN142" i="4"/>
  <c r="AO142" i="4"/>
  <c r="AN143" i="4"/>
  <c r="AO143" i="4"/>
  <c r="AN144" i="4"/>
  <c r="AO144" i="4"/>
  <c r="AN145" i="4"/>
  <c r="AO145" i="4"/>
  <c r="AN146" i="4"/>
  <c r="AO146" i="4"/>
  <c r="AN147" i="4"/>
  <c r="AO147" i="4"/>
  <c r="AN148" i="4"/>
  <c r="AO148" i="4"/>
  <c r="AN149" i="4"/>
  <c r="AO149" i="4"/>
  <c r="AN150" i="4"/>
  <c r="AO150" i="4"/>
  <c r="AN151" i="4"/>
  <c r="AO151" i="4"/>
  <c r="AP153" i="4"/>
  <c r="AP154" i="4"/>
  <c r="AP155" i="4"/>
  <c r="AP156" i="4"/>
  <c r="AP157" i="4"/>
  <c r="AP158" i="4"/>
  <c r="AP159" i="4"/>
  <c r="AP160" i="4"/>
  <c r="AP161" i="4"/>
  <c r="AP162" i="4"/>
  <c r="AN153" i="4"/>
  <c r="AO153" i="4"/>
  <c r="AN154" i="4"/>
  <c r="AO154" i="4"/>
  <c r="AN155" i="4"/>
  <c r="AO155" i="4"/>
  <c r="AN156" i="4"/>
  <c r="AO156" i="4"/>
  <c r="AN157" i="4"/>
  <c r="AO157" i="4"/>
  <c r="AN158" i="4"/>
  <c r="AO158" i="4"/>
  <c r="AN159" i="4"/>
  <c r="AO159" i="4"/>
  <c r="AN160" i="4"/>
  <c r="AO160" i="4"/>
  <c r="AN161" i="4"/>
  <c r="AO161" i="4"/>
  <c r="AN162" i="4"/>
  <c r="AO162" i="4"/>
  <c r="AP164" i="4"/>
  <c r="AP165" i="4"/>
  <c r="AO164" i="4"/>
  <c r="AO165" i="4"/>
  <c r="AP167" i="4"/>
  <c r="AP168" i="4"/>
  <c r="AO167" i="4"/>
  <c r="AO168" i="4"/>
  <c r="AP170" i="4"/>
  <c r="AP171" i="4"/>
  <c r="AP172" i="4"/>
  <c r="AP173" i="4"/>
  <c r="AP174" i="4"/>
  <c r="AP175" i="4"/>
  <c r="AP176" i="4"/>
  <c r="AP177" i="4"/>
  <c r="AP178" i="4"/>
  <c r="AO170" i="4"/>
  <c r="AO171" i="4"/>
  <c r="AO172" i="4"/>
  <c r="AO173" i="4"/>
  <c r="AO174" i="4"/>
  <c r="AO175" i="4"/>
  <c r="AO176" i="4"/>
  <c r="AO177" i="4"/>
  <c r="AO178" i="4"/>
  <c r="AP180" i="4"/>
  <c r="AP181" i="4"/>
  <c r="AP182" i="4"/>
  <c r="AP183" i="4"/>
  <c r="AP184" i="4"/>
  <c r="AP185" i="4"/>
  <c r="AP186" i="4"/>
  <c r="AP187" i="4"/>
  <c r="AP188" i="4"/>
  <c r="AN180" i="4"/>
  <c r="AO180" i="4"/>
  <c r="AO181" i="4"/>
  <c r="AO183" i="4"/>
  <c r="AO184" i="4"/>
  <c r="AO186" i="4"/>
  <c r="AO187" i="4"/>
  <c r="AO188" i="4"/>
  <c r="AP190" i="4"/>
  <c r="AP191" i="4"/>
  <c r="AP192" i="4"/>
  <c r="AP193" i="4"/>
  <c r="AP194" i="4"/>
  <c r="AP195" i="4"/>
  <c r="AP196" i="4"/>
  <c r="AP197" i="4"/>
  <c r="AP198" i="4"/>
  <c r="AP199" i="4"/>
  <c r="AP200" i="4"/>
  <c r="AP201" i="4"/>
  <c r="AP202" i="4"/>
  <c r="AP203" i="4"/>
  <c r="AP204" i="4"/>
  <c r="AP205" i="4"/>
  <c r="AP206" i="4"/>
  <c r="AP207" i="4"/>
  <c r="AP208" i="4"/>
  <c r="AP209" i="4"/>
  <c r="AP210" i="4"/>
  <c r="AP211" i="4"/>
  <c r="AP212" i="4"/>
  <c r="AP213" i="4"/>
  <c r="AP214" i="4"/>
  <c r="AP215" i="4"/>
  <c r="AP216" i="4"/>
  <c r="AP217" i="4"/>
  <c r="AO190" i="4"/>
  <c r="AO191" i="4"/>
  <c r="AO192" i="4"/>
  <c r="AO193" i="4"/>
  <c r="AO194" i="4"/>
  <c r="AO195" i="4"/>
  <c r="AO196" i="4"/>
  <c r="AO197" i="4"/>
  <c r="AO198" i="4"/>
  <c r="AO199" i="4"/>
  <c r="AO200" i="4"/>
  <c r="AO201" i="4"/>
  <c r="AO202" i="4"/>
  <c r="AO203" i="4"/>
  <c r="AO204" i="4"/>
  <c r="AO205" i="4"/>
  <c r="AO206" i="4"/>
  <c r="AO207" i="4"/>
  <c r="AO208" i="4"/>
  <c r="AO209" i="4"/>
  <c r="AO210" i="4"/>
  <c r="AO211" i="4"/>
  <c r="AO212" i="4"/>
  <c r="AO213" i="4"/>
  <c r="AO214" i="4"/>
  <c r="AO215" i="4"/>
  <c r="AO216" i="4"/>
  <c r="AO217" i="4"/>
  <c r="AP219" i="4"/>
  <c r="AP220" i="4"/>
  <c r="AP221" i="4"/>
  <c r="AP222" i="4"/>
  <c r="AP223" i="4"/>
  <c r="AP224" i="4"/>
  <c r="AP225" i="4"/>
  <c r="AP226" i="4"/>
  <c r="AP227" i="4"/>
  <c r="AP228" i="4"/>
  <c r="AP229" i="4"/>
  <c r="AP230" i="4"/>
  <c r="AP231" i="4"/>
  <c r="AP232" i="4"/>
  <c r="AP233" i="4"/>
  <c r="AP234" i="4"/>
  <c r="AP235" i="4"/>
  <c r="AP236" i="4"/>
  <c r="AP237" i="4"/>
  <c r="AP238" i="4"/>
  <c r="AP239" i="4"/>
  <c r="AP240" i="4"/>
  <c r="AP241" i="4"/>
  <c r="AP242" i="4"/>
  <c r="AP243" i="4"/>
  <c r="AP244" i="4"/>
  <c r="AP245" i="4"/>
  <c r="AP246" i="4"/>
  <c r="AO219" i="4"/>
  <c r="AO220" i="4"/>
  <c r="AO221" i="4"/>
  <c r="AO222" i="4"/>
  <c r="AO223" i="4"/>
  <c r="AO224" i="4"/>
  <c r="AO225" i="4"/>
  <c r="AO226" i="4"/>
  <c r="AO227" i="4"/>
  <c r="AO228" i="4"/>
  <c r="AO229" i="4"/>
  <c r="AO230" i="4"/>
  <c r="AO231" i="4"/>
  <c r="AO232" i="4"/>
  <c r="AO233" i="4"/>
  <c r="AO234" i="4"/>
  <c r="AO235" i="4"/>
  <c r="AO236" i="4"/>
  <c r="AO237" i="4"/>
  <c r="AO238" i="4"/>
  <c r="AO239" i="4"/>
  <c r="AO240" i="4"/>
  <c r="AO241" i="4"/>
  <c r="AO242" i="4"/>
  <c r="AO243" i="4"/>
  <c r="AO244" i="4"/>
  <c r="AO245" i="4"/>
  <c r="AO246" i="4"/>
  <c r="AP248" i="4"/>
  <c r="AP249" i="4"/>
  <c r="AP250" i="4"/>
  <c r="AP251" i="4"/>
  <c r="AN252" i="4"/>
  <c r="AM252" i="4"/>
  <c r="AP252" i="4"/>
  <c r="AN253" i="4"/>
  <c r="AM253" i="4"/>
  <c r="AN254" i="4"/>
  <c r="AM254" i="4"/>
  <c r="AP254" i="4"/>
  <c r="AN255" i="4"/>
  <c r="AM255" i="4"/>
  <c r="AP255" i="4"/>
  <c r="AK28" i="4"/>
  <c r="O32" i="4" s="1"/>
  <c r="AK19" i="4"/>
  <c r="J19" i="4" s="1"/>
  <c r="Q32" i="4"/>
  <c r="R32" i="4"/>
  <c r="Q33" i="4"/>
  <c r="R33" i="4"/>
  <c r="Q34" i="4"/>
  <c r="R34" i="4"/>
  <c r="Q35" i="4"/>
  <c r="R35" i="4"/>
  <c r="Q36" i="4"/>
  <c r="R36" i="4"/>
  <c r="AF3" i="4"/>
  <c r="H14" i="4"/>
  <c r="V29" i="4"/>
  <c r="W29" i="4"/>
  <c r="X29" i="4"/>
  <c r="V30" i="4"/>
  <c r="W30" i="4" s="1"/>
  <c r="X30" i="4" s="1"/>
  <c r="AA30" i="4" s="1"/>
  <c r="AI28" i="4"/>
  <c r="AI29" i="4"/>
  <c r="AI30" i="4"/>
  <c r="AI31" i="4"/>
  <c r="AI32" i="4"/>
  <c r="AJ28" i="4"/>
  <c r="AJ29" i="4"/>
  <c r="AJ30" i="4"/>
  <c r="AJ31" i="4"/>
  <c r="AJ32" i="4"/>
  <c r="AK3" i="4"/>
  <c r="I9" i="4"/>
  <c r="V33" i="4"/>
  <c r="AV77" i="4"/>
  <c r="AV78" i="4" s="1"/>
  <c r="AK24" i="4" s="1"/>
  <c r="AK33" i="4"/>
  <c r="O37" i="4" s="1"/>
  <c r="Q37" i="4"/>
  <c r="R37" i="4"/>
  <c r="Q38" i="4"/>
  <c r="R38" i="4"/>
  <c r="Q39" i="4"/>
  <c r="R39" i="4"/>
  <c r="Q40" i="4"/>
  <c r="R40" i="4"/>
  <c r="Q41" i="4"/>
  <c r="R41" i="4"/>
  <c r="AI33" i="4"/>
  <c r="AI34" i="4"/>
  <c r="AI35" i="4"/>
  <c r="AI36" i="4"/>
  <c r="AI37" i="4"/>
  <c r="AJ33" i="4"/>
  <c r="AJ34" i="4"/>
  <c r="AJ35" i="4"/>
  <c r="AJ36" i="4"/>
  <c r="AJ37" i="4"/>
  <c r="V39" i="4"/>
  <c r="W39" i="4" s="1"/>
  <c r="X39" i="4" s="1"/>
  <c r="AK38" i="4"/>
  <c r="O43" i="4" s="1"/>
  <c r="Q43" i="4"/>
  <c r="R43" i="4"/>
  <c r="Q44" i="4"/>
  <c r="R44" i="4"/>
  <c r="Q45" i="4"/>
  <c r="R45" i="4"/>
  <c r="Q46" i="4"/>
  <c r="R46" i="4"/>
  <c r="Q47" i="4"/>
  <c r="R47" i="4"/>
  <c r="AI38" i="4"/>
  <c r="AI39" i="4"/>
  <c r="AI40" i="4"/>
  <c r="AI41" i="4"/>
  <c r="AI42" i="4"/>
  <c r="AJ38" i="4"/>
  <c r="AJ39" i="4"/>
  <c r="AJ40" i="4"/>
  <c r="AJ41" i="4"/>
  <c r="AJ42" i="4"/>
  <c r="V45" i="4"/>
  <c r="W45" i="4" s="1"/>
  <c r="X45" i="4" s="1"/>
  <c r="AK43" i="4"/>
  <c r="O49" i="4" s="1"/>
  <c r="AK44" i="4"/>
  <c r="O50" i="4" s="1"/>
  <c r="Q49" i="4"/>
  <c r="R49" i="4"/>
  <c r="Q50" i="4"/>
  <c r="R50" i="4"/>
  <c r="Q51" i="4"/>
  <c r="R51" i="4"/>
  <c r="Q52" i="4"/>
  <c r="R52" i="4"/>
  <c r="Q53" i="4"/>
  <c r="R53" i="4"/>
  <c r="AI43" i="4"/>
  <c r="AI44" i="4"/>
  <c r="AI45" i="4"/>
  <c r="AI46" i="4"/>
  <c r="AI47" i="4"/>
  <c r="AJ43" i="4"/>
  <c r="AJ44" i="4"/>
  <c r="AJ45" i="4"/>
  <c r="AJ46" i="4"/>
  <c r="AJ47" i="4"/>
  <c r="V51" i="4"/>
  <c r="W51" i="4" s="1"/>
  <c r="X51" i="4" s="1"/>
  <c r="AK48" i="4"/>
  <c r="O55" i="4" s="1"/>
  <c r="AK49" i="4"/>
  <c r="O56" i="4" s="1"/>
  <c r="Q55" i="4"/>
  <c r="R55" i="4"/>
  <c r="Q56" i="4"/>
  <c r="R56" i="4"/>
  <c r="Q57" i="4"/>
  <c r="R57" i="4"/>
  <c r="Q58" i="4"/>
  <c r="R58" i="4"/>
  <c r="Q59" i="4"/>
  <c r="R59" i="4"/>
  <c r="AI48" i="4"/>
  <c r="AI49" i="4"/>
  <c r="AI50" i="4"/>
  <c r="AI51" i="4"/>
  <c r="AI52" i="4"/>
  <c r="AJ48" i="4"/>
  <c r="AJ49" i="4"/>
  <c r="AJ50" i="4"/>
  <c r="AJ51" i="4"/>
  <c r="AJ52" i="4"/>
  <c r="V57" i="4"/>
  <c r="W57" i="4" s="1"/>
  <c r="X57" i="4" s="1"/>
  <c r="Q61" i="4"/>
  <c r="R61" i="4"/>
  <c r="Q62" i="4"/>
  <c r="R62" i="4"/>
  <c r="Q63" i="4"/>
  <c r="R63" i="4"/>
  <c r="Q64" i="4"/>
  <c r="R64" i="4"/>
  <c r="Q65" i="4"/>
  <c r="R65" i="4"/>
  <c r="AI53" i="4"/>
  <c r="AI54" i="4"/>
  <c r="AI55" i="4"/>
  <c r="AI56" i="4"/>
  <c r="AI57" i="4"/>
  <c r="AJ53" i="4"/>
  <c r="AJ54" i="4"/>
  <c r="AJ55" i="4"/>
  <c r="AJ56" i="4"/>
  <c r="AJ57" i="4"/>
  <c r="V63" i="4"/>
  <c r="W63" i="4" s="1"/>
  <c r="X63" i="4" s="1"/>
  <c r="Q67" i="4"/>
  <c r="R67" i="4"/>
  <c r="Q68" i="4"/>
  <c r="R68" i="4"/>
  <c r="Q69" i="4"/>
  <c r="R69" i="4"/>
  <c r="Q70" i="4"/>
  <c r="R70" i="4"/>
  <c r="Q71" i="4"/>
  <c r="R71" i="4"/>
  <c r="AI58" i="4"/>
  <c r="AI59" i="4"/>
  <c r="AI60" i="4"/>
  <c r="AI61" i="4"/>
  <c r="AI62" i="4"/>
  <c r="AJ58" i="4"/>
  <c r="AJ59" i="4"/>
  <c r="AJ60" i="4"/>
  <c r="AJ61" i="4"/>
  <c r="AJ62" i="4"/>
  <c r="G68" i="4"/>
  <c r="G69" i="4"/>
  <c r="G70" i="4"/>
  <c r="G71" i="4"/>
  <c r="V68" i="4"/>
  <c r="W68" i="4" s="1"/>
  <c r="X68" i="4" s="1"/>
  <c r="AA68" i="4" s="1"/>
  <c r="Z68" i="4"/>
  <c r="V69" i="4"/>
  <c r="W69" i="4" s="1"/>
  <c r="X69" i="4" s="1"/>
  <c r="AI63" i="4"/>
  <c r="AI64" i="4"/>
  <c r="AI65" i="4"/>
  <c r="AI66" i="4"/>
  <c r="AI67" i="4"/>
  <c r="AJ63" i="4"/>
  <c r="AJ64" i="4"/>
  <c r="AJ65" i="4"/>
  <c r="AJ66" i="4"/>
  <c r="AJ67" i="4"/>
  <c r="AP203" i="35"/>
  <c r="AP137" i="35"/>
  <c r="AI21" i="34"/>
  <c r="B214" i="35" s="1"/>
  <c r="B167" i="35"/>
  <c r="E25" i="32"/>
  <c r="D25" i="32"/>
  <c r="G6" i="4"/>
  <c r="G5" i="4"/>
  <c r="B119" i="35" s="1"/>
  <c r="AV19" i="34"/>
  <c r="AV18" i="34"/>
  <c r="AV17" i="34"/>
  <c r="AV16" i="34"/>
  <c r="AV15" i="34"/>
  <c r="AV14" i="34"/>
  <c r="AV13" i="34"/>
  <c r="AV12" i="34"/>
  <c r="AV11" i="34"/>
  <c r="AV10" i="34"/>
  <c r="AV9" i="34"/>
  <c r="AV8" i="34"/>
  <c r="AV7" i="34"/>
  <c r="AV6" i="34"/>
  <c r="AV19" i="32"/>
  <c r="AV18" i="32"/>
  <c r="AV17" i="32"/>
  <c r="AV16" i="32"/>
  <c r="AV15" i="32"/>
  <c r="AV14" i="32"/>
  <c r="AV13" i="32"/>
  <c r="AV12" i="32"/>
  <c r="AV11" i="32"/>
  <c r="AV10" i="32"/>
  <c r="AV9" i="32"/>
  <c r="AV8" i="32"/>
  <c r="AV7" i="32"/>
  <c r="AV6" i="32"/>
  <c r="AP7" i="32"/>
  <c r="AP8" i="32"/>
  <c r="AP9" i="32"/>
  <c r="AP10" i="32"/>
  <c r="AP11" i="32"/>
  <c r="AP12" i="32"/>
  <c r="AP13" i="32"/>
  <c r="AP14" i="32"/>
  <c r="AP15" i="32"/>
  <c r="AP16" i="32"/>
  <c r="AP17" i="32"/>
  <c r="AP18" i="32"/>
  <c r="AP19" i="32"/>
  <c r="AP20" i="32"/>
  <c r="AP21" i="32"/>
  <c r="AP22" i="32"/>
  <c r="AP23" i="32"/>
  <c r="AP24" i="32"/>
  <c r="AP25" i="32"/>
  <c r="AP26" i="32"/>
  <c r="AP27" i="32"/>
  <c r="AP28" i="32"/>
  <c r="AP29" i="32"/>
  <c r="AP30" i="32"/>
  <c r="AP31" i="32"/>
  <c r="AR15" i="32"/>
  <c r="AR16" i="32"/>
  <c r="AR17" i="32"/>
  <c r="AR18" i="32"/>
  <c r="AR19" i="32"/>
  <c r="AR20" i="32"/>
  <c r="AR21" i="32"/>
  <c r="AR22" i="32"/>
  <c r="AR23" i="32"/>
  <c r="AR24" i="32"/>
  <c r="AR25" i="32"/>
  <c r="AR26" i="32"/>
  <c r="AR27" i="32"/>
  <c r="AR28" i="32"/>
  <c r="AR29" i="32"/>
  <c r="AR30" i="32"/>
  <c r="AR31" i="32"/>
  <c r="AR41" i="32"/>
  <c r="AR42" i="32"/>
  <c r="AR43" i="32"/>
  <c r="AR44" i="32"/>
  <c r="AR45" i="32"/>
  <c r="AR46" i="32"/>
  <c r="AR47" i="32"/>
  <c r="AR48" i="32"/>
  <c r="AR49" i="32"/>
  <c r="AR50" i="32"/>
  <c r="AR51" i="32"/>
  <c r="AR52" i="32"/>
  <c r="AR53" i="32"/>
  <c r="AR54" i="32"/>
  <c r="AR55" i="32"/>
  <c r="AR56" i="32"/>
  <c r="AR57" i="32"/>
  <c r="AR58" i="32"/>
  <c r="AR59" i="32"/>
  <c r="AR60" i="32"/>
  <c r="AR62" i="32"/>
  <c r="AP63" i="32"/>
  <c r="AR63" i="32"/>
  <c r="AR65" i="32"/>
  <c r="AR66" i="32"/>
  <c r="AR67" i="32"/>
  <c r="AR68" i="32"/>
  <c r="AR69" i="32"/>
  <c r="AR70" i="32"/>
  <c r="AR71" i="32"/>
  <c r="AR72" i="32"/>
  <c r="AR73" i="32"/>
  <c r="AR74" i="32"/>
  <c r="AR75" i="32"/>
  <c r="AR76" i="32"/>
  <c r="AR77" i="32"/>
  <c r="AR78" i="32"/>
  <c r="AR79" i="32"/>
  <c r="AR80" i="32"/>
  <c r="AR81" i="32"/>
  <c r="AR82" i="32"/>
  <c r="AR83" i="32"/>
  <c r="AR84" i="32"/>
  <c r="AR85" i="32"/>
  <c r="AR86" i="32"/>
  <c r="AR87" i="32"/>
  <c r="AR88" i="32"/>
  <c r="AR89" i="32"/>
  <c r="AR90" i="32"/>
  <c r="AR91" i="32"/>
  <c r="AR92" i="32"/>
  <c r="AR93" i="32"/>
  <c r="AR94" i="32"/>
  <c r="AR95" i="32"/>
  <c r="AR96" i="32"/>
  <c r="AR97" i="32"/>
  <c r="AR98" i="32"/>
  <c r="AR99" i="32"/>
  <c r="AR100" i="32"/>
  <c r="AR101" i="32"/>
  <c r="AR102" i="32"/>
  <c r="AR103" i="32"/>
  <c r="AR104" i="32"/>
  <c r="AR105" i="32"/>
  <c r="AR106" i="32"/>
  <c r="AR107" i="32"/>
  <c r="AR108" i="32"/>
  <c r="AR109" i="32"/>
  <c r="AR110" i="32"/>
  <c r="AR111" i="32"/>
  <c r="AR112" i="32"/>
  <c r="AR113" i="32"/>
  <c r="AR114" i="32"/>
  <c r="AR115" i="32"/>
  <c r="AR116" i="32"/>
  <c r="AR117" i="32"/>
  <c r="AR118" i="32"/>
  <c r="AR119" i="32"/>
  <c r="AR121" i="32"/>
  <c r="AR122" i="32"/>
  <c r="AR123" i="32"/>
  <c r="AR124" i="32"/>
  <c r="AR125" i="32"/>
  <c r="AR126" i="32"/>
  <c r="AR127" i="32"/>
  <c r="AR128" i="32"/>
  <c r="AR129" i="32"/>
  <c r="AR130" i="32"/>
  <c r="AR131" i="32"/>
  <c r="AR132" i="32"/>
  <c r="AR133" i="32"/>
  <c r="AR134" i="32"/>
  <c r="AR135" i="32"/>
  <c r="AR136" i="32"/>
  <c r="AR137" i="32"/>
  <c r="AR138" i="32"/>
  <c r="AR139" i="32"/>
  <c r="AR140" i="32"/>
  <c r="AR142" i="32"/>
  <c r="AR143" i="32"/>
  <c r="AR144" i="32"/>
  <c r="AR145" i="32"/>
  <c r="AR146" i="32"/>
  <c r="AR147" i="32"/>
  <c r="AR148" i="32"/>
  <c r="AR149" i="32"/>
  <c r="AR150" i="32"/>
  <c r="AR151" i="32"/>
  <c r="AR153" i="32"/>
  <c r="AR154" i="32"/>
  <c r="AR155" i="32"/>
  <c r="AR156" i="32"/>
  <c r="AR157" i="32"/>
  <c r="AR158" i="32"/>
  <c r="AR159" i="32"/>
  <c r="AR160" i="32"/>
  <c r="AR161" i="32"/>
  <c r="AR162" i="32"/>
  <c r="AR164" i="32"/>
  <c r="AR165" i="32"/>
  <c r="AR167" i="32"/>
  <c r="AR168" i="32"/>
  <c r="AR170" i="32"/>
  <c r="AR171" i="32"/>
  <c r="AR172" i="32"/>
  <c r="AR173" i="32"/>
  <c r="AR174" i="32"/>
  <c r="AR175" i="32"/>
  <c r="AR176" i="32"/>
  <c r="AR177" i="32"/>
  <c r="AR178" i="32"/>
  <c r="AR180" i="32"/>
  <c r="AR181" i="32"/>
  <c r="AR182" i="32"/>
  <c r="AR183" i="32"/>
  <c r="AR184" i="32"/>
  <c r="AR185" i="32"/>
  <c r="AR186" i="32"/>
  <c r="AR187" i="32"/>
  <c r="AR188" i="32"/>
  <c r="AR198" i="32"/>
  <c r="AR199" i="32"/>
  <c r="AR200" i="32"/>
  <c r="AR201" i="32"/>
  <c r="AR202" i="32"/>
  <c r="AR203" i="32"/>
  <c r="AR204" i="32"/>
  <c r="AR205" i="32"/>
  <c r="AR206" i="32"/>
  <c r="AR207" i="32"/>
  <c r="AR208" i="32"/>
  <c r="AR209" i="32"/>
  <c r="AR210" i="32"/>
  <c r="AR211" i="32"/>
  <c r="AR212" i="32"/>
  <c r="AR213" i="32"/>
  <c r="AR214" i="32"/>
  <c r="AR215" i="32"/>
  <c r="AR216" i="32"/>
  <c r="AR217" i="32"/>
  <c r="AR227" i="32"/>
  <c r="AR228" i="32"/>
  <c r="AR229" i="32"/>
  <c r="AR230" i="32"/>
  <c r="AR231" i="32"/>
  <c r="AR232" i="32"/>
  <c r="AR233" i="32"/>
  <c r="AR234" i="32"/>
  <c r="AR235" i="32"/>
  <c r="AR236" i="32"/>
  <c r="AR237" i="32"/>
  <c r="AR238" i="32"/>
  <c r="AR239" i="32"/>
  <c r="AR240" i="32"/>
  <c r="AR241" i="32"/>
  <c r="AR242" i="32"/>
  <c r="AR243" i="32"/>
  <c r="AR244" i="32"/>
  <c r="AR245" i="32"/>
  <c r="AR246" i="32"/>
  <c r="N50" i="17"/>
  <c r="AT10" i="34"/>
  <c r="AT7" i="34"/>
  <c r="AA29" i="34"/>
  <c r="AA30" i="34"/>
  <c r="AA38" i="34"/>
  <c r="AA62" i="34"/>
  <c r="AA68" i="34"/>
  <c r="AA29" i="4"/>
  <c r="V92" i="4"/>
  <c r="V93" i="4"/>
  <c r="W93" i="4" s="1"/>
  <c r="X93" i="4" s="1"/>
  <c r="AA93" i="4" s="1"/>
  <c r="V99" i="4"/>
  <c r="W99" i="4" s="1"/>
  <c r="X99" i="4" s="1"/>
  <c r="AA99" i="4" s="1"/>
  <c r="Q73" i="4"/>
  <c r="R73" i="4"/>
  <c r="Q74" i="4"/>
  <c r="R74" i="4"/>
  <c r="Q75" i="4"/>
  <c r="R75" i="4"/>
  <c r="Q76" i="4"/>
  <c r="R76" i="4"/>
  <c r="Q77" i="4"/>
  <c r="R77" i="4"/>
  <c r="V74" i="4"/>
  <c r="W74" i="4" s="1"/>
  <c r="X74" i="4" s="1"/>
  <c r="AA74" i="4" s="1"/>
  <c r="Z74" i="4"/>
  <c r="G74" i="34"/>
  <c r="G75" i="34"/>
  <c r="G76" i="34"/>
  <c r="G77" i="34"/>
  <c r="Z74" i="34"/>
  <c r="V74" i="34"/>
  <c r="W74" i="34"/>
  <c r="X74" i="34"/>
  <c r="AA74" i="34"/>
  <c r="G74" i="32"/>
  <c r="G75" i="32"/>
  <c r="G76" i="32"/>
  <c r="G77" i="32"/>
  <c r="Z74" i="32"/>
  <c r="V74" i="32"/>
  <c r="W74" i="32" s="1"/>
  <c r="X74" i="32" s="1"/>
  <c r="AA74" i="32" s="1"/>
  <c r="V75" i="34"/>
  <c r="AK63" i="34"/>
  <c r="O73" i="34" s="1"/>
  <c r="AK64" i="34"/>
  <c r="O74" i="34" s="1"/>
  <c r="AK65" i="34"/>
  <c r="O75" i="34" s="1"/>
  <c r="AK66" i="34"/>
  <c r="O76" i="34" s="1"/>
  <c r="AK67" i="34"/>
  <c r="O77" i="34" s="1"/>
  <c r="AL63" i="34"/>
  <c r="P73" i="34" s="1"/>
  <c r="AL64" i="34"/>
  <c r="P74" i="34" s="1"/>
  <c r="AL65" i="34"/>
  <c r="P75" i="34" s="1"/>
  <c r="AL66" i="34"/>
  <c r="P76" i="34" s="1"/>
  <c r="AL67" i="34"/>
  <c r="P77" i="34" s="1"/>
  <c r="S73" i="34"/>
  <c r="T73" i="34"/>
  <c r="S74" i="34"/>
  <c r="T74" i="34"/>
  <c r="S75" i="34"/>
  <c r="T75" i="34"/>
  <c r="S76" i="34"/>
  <c r="T76" i="34"/>
  <c r="S77" i="34"/>
  <c r="T77" i="34"/>
  <c r="AK3" i="34"/>
  <c r="I9" i="34"/>
  <c r="V88" i="34"/>
  <c r="AA88" i="34" s="1"/>
  <c r="Q73" i="34"/>
  <c r="R73" i="34"/>
  <c r="Q74" i="34"/>
  <c r="R74" i="34"/>
  <c r="Q75" i="34"/>
  <c r="R75" i="34"/>
  <c r="Q76" i="34"/>
  <c r="R76" i="34"/>
  <c r="Q77" i="34"/>
  <c r="R77" i="34"/>
  <c r="V78" i="34"/>
  <c r="W78" i="34"/>
  <c r="X78" i="34"/>
  <c r="AA78" i="34"/>
  <c r="V99" i="34"/>
  <c r="W99" i="34"/>
  <c r="X99" i="34"/>
  <c r="V75" i="32"/>
  <c r="AA75" i="32" s="1"/>
  <c r="AK63" i="32"/>
  <c r="O73" i="32" s="1"/>
  <c r="AK64" i="32"/>
  <c r="O74" i="32" s="1"/>
  <c r="AK65" i="32"/>
  <c r="O75" i="32" s="1"/>
  <c r="AK66" i="32"/>
  <c r="O76" i="32" s="1"/>
  <c r="AK67" i="32"/>
  <c r="O77" i="32" s="1"/>
  <c r="AL63" i="32"/>
  <c r="P73" i="32" s="1"/>
  <c r="AL64" i="32"/>
  <c r="P74" i="32" s="1"/>
  <c r="AL65" i="32"/>
  <c r="P75" i="32" s="1"/>
  <c r="AL66" i="32"/>
  <c r="P76" i="32" s="1"/>
  <c r="AL67" i="32"/>
  <c r="P77" i="32" s="1"/>
  <c r="S73" i="32"/>
  <c r="T73" i="32"/>
  <c r="S74" i="32"/>
  <c r="T74" i="32"/>
  <c r="S75" i="32"/>
  <c r="T75" i="32"/>
  <c r="S76" i="32"/>
  <c r="T76" i="32"/>
  <c r="S77" i="32"/>
  <c r="T77" i="32"/>
  <c r="AK3" i="32"/>
  <c r="I9" i="32"/>
  <c r="V88" i="32"/>
  <c r="AA88" i="32" s="1"/>
  <c r="Q73" i="32"/>
  <c r="R73" i="32"/>
  <c r="V78" i="32" s="1"/>
  <c r="Q74" i="32"/>
  <c r="R74" i="32"/>
  <c r="Q75" i="32"/>
  <c r="R75" i="32"/>
  <c r="Q76" i="32"/>
  <c r="R76" i="32"/>
  <c r="Q77" i="32"/>
  <c r="R77" i="32"/>
  <c r="V99" i="32"/>
  <c r="V87" i="34"/>
  <c r="AA87" i="34" s="1"/>
  <c r="AA72" i="34"/>
  <c r="V98" i="34"/>
  <c r="W98" i="34"/>
  <c r="X98" i="34"/>
  <c r="AA98" i="34"/>
  <c r="V86" i="34"/>
  <c r="AA66" i="34"/>
  <c r="V97" i="34"/>
  <c r="W97" i="34"/>
  <c r="X97" i="34"/>
  <c r="AA97" i="34"/>
  <c r="V85" i="34"/>
  <c r="AA85" i="34" s="1"/>
  <c r="V96" i="34"/>
  <c r="W96" i="34"/>
  <c r="X96" i="34"/>
  <c r="V85" i="32"/>
  <c r="AA85" i="32" s="1"/>
  <c r="V96" i="32"/>
  <c r="V84" i="34"/>
  <c r="AA84" i="34" s="1"/>
  <c r="V95" i="34"/>
  <c r="W95" i="34"/>
  <c r="X95" i="34"/>
  <c r="AA95" i="34"/>
  <c r="V84" i="32"/>
  <c r="AA84" i="32" s="1"/>
  <c r="V95" i="32"/>
  <c r="W95" i="32"/>
  <c r="X95" i="32"/>
  <c r="AA95" i="32" s="1"/>
  <c r="V83" i="34"/>
  <c r="AA83" i="34" s="1"/>
  <c r="V94" i="34"/>
  <c r="W94" i="34"/>
  <c r="X94" i="34"/>
  <c r="AA94" i="34"/>
  <c r="V82" i="34"/>
  <c r="AA82" i="34" s="1"/>
  <c r="V93" i="34"/>
  <c r="W93" i="34"/>
  <c r="X93" i="34"/>
  <c r="AA93" i="34"/>
  <c r="V82" i="32"/>
  <c r="AA82" i="32" s="1"/>
  <c r="V93" i="32"/>
  <c r="W93" i="32" s="1"/>
  <c r="X93" i="32" s="1"/>
  <c r="V81" i="34"/>
  <c r="V92" i="34"/>
  <c r="W92" i="34"/>
  <c r="X92" i="34"/>
  <c r="AA92" i="34"/>
  <c r="V87" i="32"/>
  <c r="AA87" i="32" s="1"/>
  <c r="V86" i="32"/>
  <c r="AA86" i="32" s="1"/>
  <c r="V97" i="32"/>
  <c r="V83" i="32"/>
  <c r="V94" i="32"/>
  <c r="W94" i="32" s="1"/>
  <c r="X94" i="32" s="1"/>
  <c r="AA94" i="32" s="1"/>
  <c r="V81" i="32"/>
  <c r="AA81" i="32" s="1"/>
  <c r="V92" i="32"/>
  <c r="W92" i="32" s="1"/>
  <c r="X92" i="32" s="1"/>
  <c r="AA92" i="32" s="1"/>
  <c r="V98" i="32"/>
  <c r="W98" i="32"/>
  <c r="X98" i="32" s="1"/>
  <c r="AA98" i="32" s="1"/>
  <c r="V98" i="4"/>
  <c r="W98" i="4" s="1"/>
  <c r="X98" i="4" s="1"/>
  <c r="AA98" i="4" s="1"/>
  <c r="V97" i="4"/>
  <c r="V96" i="4"/>
  <c r="W96" i="4" s="1"/>
  <c r="X96" i="4" s="1"/>
  <c r="V95" i="4"/>
  <c r="V94" i="4"/>
  <c r="W94" i="4" s="1"/>
  <c r="X94" i="4" s="1"/>
  <c r="AA94" i="4" s="1"/>
  <c r="N49" i="35"/>
  <c r="Q25" i="37"/>
  <c r="Q24" i="37"/>
  <c r="L23" i="37"/>
  <c r="P21" i="37"/>
  <c r="O21" i="37"/>
  <c r="O20" i="37"/>
  <c r="P19" i="37"/>
  <c r="O19" i="37"/>
  <c r="P18" i="37"/>
  <c r="O18" i="37"/>
  <c r="P17" i="37"/>
  <c r="O17" i="37"/>
  <c r="P16" i="37"/>
  <c r="O16" i="37"/>
  <c r="O15" i="37"/>
  <c r="P13" i="37"/>
  <c r="O13" i="37"/>
  <c r="P12" i="37"/>
  <c r="O12" i="37"/>
  <c r="I56" i="36"/>
  <c r="O23" i="36"/>
  <c r="O22" i="36"/>
  <c r="O21" i="36"/>
  <c r="O18" i="36"/>
  <c r="O16" i="36"/>
  <c r="O14" i="36"/>
  <c r="O12" i="36"/>
  <c r="O10" i="36"/>
  <c r="N10" i="4"/>
  <c r="Q10" i="4" s="1"/>
  <c r="G6" i="36"/>
  <c r="G2" i="4"/>
  <c r="G4" i="36" s="1"/>
  <c r="AP205" i="35"/>
  <c r="AV205" i="35"/>
  <c r="B250" i="35"/>
  <c r="L75" i="34"/>
  <c r="CF176" i="34" s="1"/>
  <c r="J75" i="34"/>
  <c r="J77" i="34" s="1"/>
  <c r="AI248" i="35" s="1"/>
  <c r="L69" i="34"/>
  <c r="J69" i="34"/>
  <c r="J71" i="34" s="1"/>
  <c r="AI247" i="35" s="1"/>
  <c r="L63" i="34"/>
  <c r="L65" i="34" s="1"/>
  <c r="AR246" i="35" s="1"/>
  <c r="J63" i="34"/>
  <c r="J65" i="34" s="1"/>
  <c r="AI246" i="35" s="1"/>
  <c r="BF6" i="32"/>
  <c r="BB9" i="32"/>
  <c r="AM240" i="35"/>
  <c r="J31" i="32"/>
  <c r="AI240" i="35"/>
  <c r="B240" i="35"/>
  <c r="AA205" i="35"/>
  <c r="O205" i="35"/>
  <c r="O203" i="35"/>
  <c r="AP201" i="35"/>
  <c r="O201" i="35"/>
  <c r="O199" i="35"/>
  <c r="O197" i="35"/>
  <c r="AP139" i="35"/>
  <c r="AV139" i="35"/>
  <c r="B184" i="35"/>
  <c r="L75" i="32"/>
  <c r="L77" i="32" s="1"/>
  <c r="J75" i="32"/>
  <c r="J77" i="32" s="1"/>
  <c r="L69" i="32"/>
  <c r="CE156" i="32" s="1"/>
  <c r="J69" i="32"/>
  <c r="J71" i="32" s="1"/>
  <c r="AI181" i="35" s="1"/>
  <c r="L63" i="32"/>
  <c r="L65" i="32" s="1"/>
  <c r="J63" i="32"/>
  <c r="J65" i="32" s="1"/>
  <c r="M28" i="32"/>
  <c r="BN138" i="32"/>
  <c r="AM174" i="35"/>
  <c r="AI174" i="35"/>
  <c r="B174" i="35"/>
  <c r="AA139" i="35"/>
  <c r="O139" i="35"/>
  <c r="O137" i="35"/>
  <c r="AP135" i="35"/>
  <c r="O135" i="35"/>
  <c r="O133" i="35"/>
  <c r="O131" i="35"/>
  <c r="AP73" i="35"/>
  <c r="AV73" i="35"/>
  <c r="L75" i="4"/>
  <c r="L77" i="4" s="1"/>
  <c r="J75" i="4"/>
  <c r="AI117" i="17" s="1"/>
  <c r="AR121" i="4"/>
  <c r="AR130" i="4"/>
  <c r="BF6" i="4"/>
  <c r="BB9" i="4" s="1"/>
  <c r="AM108" i="35"/>
  <c r="J31" i="4"/>
  <c r="AI108" i="35"/>
  <c r="B108" i="35"/>
  <c r="AA73" i="35"/>
  <c r="O73" i="35"/>
  <c r="O71" i="35"/>
  <c r="AP69" i="35"/>
  <c r="O69" i="35"/>
  <c r="O67" i="35"/>
  <c r="O65" i="35"/>
  <c r="AP7" i="4"/>
  <c r="AP8" i="4"/>
  <c r="AP9" i="4"/>
  <c r="AP10" i="4"/>
  <c r="AP11" i="4"/>
  <c r="AP12" i="4"/>
  <c r="AP13" i="4"/>
  <c r="AP14" i="4"/>
  <c r="AP15" i="4"/>
  <c r="AP16" i="4"/>
  <c r="AP17" i="4"/>
  <c r="AP18" i="4"/>
  <c r="AP19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O29" i="35"/>
  <c r="O23" i="35"/>
  <c r="O22" i="35"/>
  <c r="O21" i="35"/>
  <c r="O18" i="35"/>
  <c r="O16" i="35"/>
  <c r="O14" i="35"/>
  <c r="O12" i="35"/>
  <c r="O10" i="35"/>
  <c r="F6" i="35"/>
  <c r="AP139" i="33"/>
  <c r="AM174" i="33"/>
  <c r="AI174" i="33"/>
  <c r="B174" i="33"/>
  <c r="K26" i="32"/>
  <c r="A26" i="32"/>
  <c r="J26" i="32"/>
  <c r="I26" i="32"/>
  <c r="H26" i="32"/>
  <c r="G26" i="32"/>
  <c r="F26" i="32"/>
  <c r="D26" i="32"/>
  <c r="B26" i="32"/>
  <c r="AV139" i="33"/>
  <c r="B184" i="33"/>
  <c r="AA139" i="33"/>
  <c r="O139" i="33"/>
  <c r="O137" i="33"/>
  <c r="AP135" i="33"/>
  <c r="O135" i="33"/>
  <c r="O133" i="33"/>
  <c r="O131" i="33"/>
  <c r="AP73" i="33"/>
  <c r="AV73" i="33"/>
  <c r="L116" i="33"/>
  <c r="AM108" i="33"/>
  <c r="AI108" i="33"/>
  <c r="B108" i="33"/>
  <c r="AA73" i="33"/>
  <c r="O73" i="33"/>
  <c r="O71" i="33"/>
  <c r="AP69" i="33"/>
  <c r="O69" i="33"/>
  <c r="O67" i="33"/>
  <c r="O65" i="33"/>
  <c r="N49" i="33"/>
  <c r="O29" i="33"/>
  <c r="O23" i="33"/>
  <c r="O22" i="33"/>
  <c r="O21" i="33"/>
  <c r="O18" i="33"/>
  <c r="O16" i="33"/>
  <c r="O14" i="33"/>
  <c r="O12" i="33"/>
  <c r="O10" i="33"/>
  <c r="F6" i="33"/>
  <c r="AP74" i="17"/>
  <c r="AV74" i="17"/>
  <c r="BA118" i="17"/>
  <c r="AM109" i="17"/>
  <c r="AI109" i="17"/>
  <c r="B109" i="17"/>
  <c r="AA74" i="17"/>
  <c r="O74" i="17"/>
  <c r="O72" i="17"/>
  <c r="AP70" i="17"/>
  <c r="O70" i="17"/>
  <c r="O68" i="17"/>
  <c r="O66" i="17"/>
  <c r="O30" i="17"/>
  <c r="O24" i="17"/>
  <c r="O23" i="17"/>
  <c r="O22" i="17"/>
  <c r="O19" i="17"/>
  <c r="O17" i="17"/>
  <c r="O15" i="17"/>
  <c r="O13" i="17"/>
  <c r="O11" i="17"/>
  <c r="N15" i="4"/>
  <c r="B9" i="17"/>
  <c r="G6" i="17"/>
  <c r="AR255" i="34"/>
  <c r="AR254" i="34"/>
  <c r="AR253" i="34"/>
  <c r="AR252" i="34"/>
  <c r="AR251" i="34"/>
  <c r="AR250" i="34"/>
  <c r="AR249" i="34"/>
  <c r="AR248" i="34"/>
  <c r="AR217" i="34"/>
  <c r="AR216" i="34"/>
  <c r="AS215" i="34"/>
  <c r="AR215" i="34"/>
  <c r="AR214" i="34"/>
  <c r="AR213" i="34"/>
  <c r="AR212" i="34"/>
  <c r="AR211" i="34"/>
  <c r="AR210" i="34"/>
  <c r="AR209" i="34"/>
  <c r="AR208" i="34"/>
  <c r="AR207" i="34"/>
  <c r="AR206" i="34"/>
  <c r="AR205" i="34"/>
  <c r="AR204" i="34"/>
  <c r="AR203" i="34"/>
  <c r="AR202" i="34"/>
  <c r="AR201" i="34"/>
  <c r="AR200" i="34"/>
  <c r="AR199" i="34"/>
  <c r="AR198" i="34"/>
  <c r="AR188" i="34"/>
  <c r="AR187" i="34"/>
  <c r="AR186" i="34"/>
  <c r="AR185" i="34"/>
  <c r="AR184" i="34"/>
  <c r="AR183" i="34"/>
  <c r="AR182" i="34"/>
  <c r="AR181" i="34"/>
  <c r="AR180" i="34"/>
  <c r="AR178" i="34"/>
  <c r="AR177" i="34"/>
  <c r="BN163" i="34"/>
  <c r="AR176" i="34"/>
  <c r="AR175" i="34"/>
  <c r="AR174" i="34"/>
  <c r="AR173" i="34"/>
  <c r="AR172" i="34"/>
  <c r="AR171" i="34"/>
  <c r="AR170" i="34"/>
  <c r="AR168" i="34"/>
  <c r="AR167" i="34"/>
  <c r="AR165" i="34"/>
  <c r="AR164" i="34"/>
  <c r="AR162" i="34"/>
  <c r="BP162" i="34"/>
  <c r="AR161" i="34"/>
  <c r="AR160" i="34"/>
  <c r="AR159" i="34"/>
  <c r="BA159" i="34"/>
  <c r="BC159" i="34"/>
  <c r="BB159" i="34"/>
  <c r="AR158" i="34"/>
  <c r="AR157" i="34"/>
  <c r="BN138" i="34"/>
  <c r="AR156" i="34"/>
  <c r="BA156" i="34"/>
  <c r="BC156" i="34"/>
  <c r="BB156" i="34"/>
  <c r="AR155" i="34"/>
  <c r="AR154" i="34"/>
  <c r="AR153" i="34"/>
  <c r="AR151" i="34"/>
  <c r="AR150" i="34"/>
  <c r="AR149" i="34"/>
  <c r="AR148" i="34"/>
  <c r="AR147" i="34"/>
  <c r="AR146" i="34"/>
  <c r="AR145" i="34"/>
  <c r="AR144" i="34"/>
  <c r="BA144" i="34"/>
  <c r="BC144" i="34"/>
  <c r="BB144" i="34"/>
  <c r="AR143" i="34"/>
  <c r="AR142" i="34"/>
  <c r="AR140" i="34"/>
  <c r="AR139" i="34"/>
  <c r="AR138" i="34"/>
  <c r="BA138" i="34"/>
  <c r="BC138" i="34"/>
  <c r="BB138" i="34"/>
  <c r="AR137" i="34"/>
  <c r="BP137" i="34"/>
  <c r="AR136" i="34"/>
  <c r="AR135" i="34"/>
  <c r="AR134" i="34"/>
  <c r="BA134" i="34"/>
  <c r="BC134" i="34"/>
  <c r="BB134" i="34"/>
  <c r="AR133" i="34"/>
  <c r="BA133" i="34"/>
  <c r="BC133" i="34"/>
  <c r="BB133" i="34"/>
  <c r="AR132" i="34"/>
  <c r="BA132" i="34"/>
  <c r="BC132" i="34"/>
  <c r="BB132" i="34"/>
  <c r="AR131" i="34"/>
  <c r="BA131" i="34"/>
  <c r="BC131" i="34"/>
  <c r="BB131" i="34"/>
  <c r="AR130" i="34"/>
  <c r="BA130" i="34"/>
  <c r="BC130" i="34"/>
  <c r="BB130" i="34"/>
  <c r="AR129" i="34"/>
  <c r="BA129" i="34"/>
  <c r="BC129" i="34"/>
  <c r="BB129" i="34"/>
  <c r="AR128" i="34"/>
  <c r="BA128" i="34"/>
  <c r="BC128" i="34"/>
  <c r="BB128" i="34"/>
  <c r="AR127" i="34"/>
  <c r="BA127" i="34"/>
  <c r="BC127" i="34"/>
  <c r="BB127" i="34"/>
  <c r="AR126" i="34"/>
  <c r="BA126" i="34"/>
  <c r="BC126" i="34"/>
  <c r="BB126" i="34"/>
  <c r="AR125" i="34"/>
  <c r="AR124" i="34"/>
  <c r="AR123" i="34"/>
  <c r="BC123" i="34"/>
  <c r="BB123" i="34"/>
  <c r="AR122" i="34"/>
  <c r="BC122" i="34"/>
  <c r="BB122" i="34"/>
  <c r="AR121" i="34"/>
  <c r="BC121" i="34"/>
  <c r="BB121" i="34"/>
  <c r="BC120" i="34"/>
  <c r="BB120" i="34"/>
  <c r="AR119" i="34"/>
  <c r="BC119" i="34"/>
  <c r="BB119" i="34"/>
  <c r="AR118" i="34"/>
  <c r="BC118" i="34"/>
  <c r="BB118" i="34"/>
  <c r="AR117" i="34"/>
  <c r="BC117" i="34"/>
  <c r="BB117" i="34"/>
  <c r="AR116" i="34"/>
  <c r="BC116" i="34"/>
  <c r="BB116" i="34"/>
  <c r="AR115" i="34"/>
  <c r="BC115" i="34"/>
  <c r="BB115" i="34"/>
  <c r="AR114" i="34"/>
  <c r="AR113" i="34"/>
  <c r="AR112" i="34"/>
  <c r="BC112" i="34"/>
  <c r="BB112" i="34"/>
  <c r="AR111" i="34"/>
  <c r="BC111" i="34"/>
  <c r="BB111" i="34"/>
  <c r="AR110" i="34"/>
  <c r="BC110" i="34"/>
  <c r="BB110" i="34"/>
  <c r="AR109" i="34"/>
  <c r="BC109" i="34"/>
  <c r="BB109" i="34"/>
  <c r="AR108" i="34"/>
  <c r="BC108" i="34"/>
  <c r="BB108" i="34"/>
  <c r="AR107" i="34"/>
  <c r="BC107" i="34"/>
  <c r="BB107" i="34"/>
  <c r="AR106" i="34"/>
  <c r="BC106" i="34"/>
  <c r="BB106" i="34"/>
  <c r="AR105" i="34"/>
  <c r="BC105" i="34"/>
  <c r="BB105" i="34"/>
  <c r="AR104" i="34"/>
  <c r="BC104" i="34"/>
  <c r="BB104" i="34"/>
  <c r="AR103" i="34"/>
  <c r="AR102" i="34"/>
  <c r="AR101" i="34"/>
  <c r="BC101" i="34"/>
  <c r="BB101" i="34"/>
  <c r="AR100" i="34"/>
  <c r="BC100" i="34"/>
  <c r="BB100" i="34"/>
  <c r="AR99" i="34"/>
  <c r="BC99" i="34"/>
  <c r="BB99" i="34"/>
  <c r="AR98" i="34"/>
  <c r="BC98" i="34"/>
  <c r="BB98" i="34"/>
  <c r="AR97" i="34"/>
  <c r="BC97" i="34"/>
  <c r="BB97" i="34"/>
  <c r="AR96" i="34"/>
  <c r="BC96" i="34"/>
  <c r="BB96" i="34"/>
  <c r="AR95" i="34"/>
  <c r="BC95" i="34"/>
  <c r="BB95" i="34"/>
  <c r="AR94" i="34"/>
  <c r="BC94" i="34"/>
  <c r="BB94" i="34"/>
  <c r="AR93" i="34"/>
  <c r="BC93" i="34"/>
  <c r="BB93" i="34"/>
  <c r="AR92" i="34"/>
  <c r="AR91" i="34"/>
  <c r="AR90" i="34"/>
  <c r="AR89" i="34"/>
  <c r="AR88" i="34"/>
  <c r="AR87" i="34"/>
  <c r="AR86" i="34"/>
  <c r="AR85" i="34"/>
  <c r="AR84" i="34"/>
  <c r="AR83" i="34"/>
  <c r="AR82" i="34"/>
  <c r="AR81" i="34"/>
  <c r="AR80" i="34"/>
  <c r="BB80" i="34"/>
  <c r="BA80" i="34"/>
  <c r="AR79" i="34"/>
  <c r="BB79" i="34"/>
  <c r="BA79" i="34"/>
  <c r="AR78" i="34"/>
  <c r="BB78" i="34"/>
  <c r="BA78" i="34"/>
  <c r="AR77" i="34"/>
  <c r="BB77" i="34"/>
  <c r="BA77" i="34"/>
  <c r="AR76" i="34"/>
  <c r="BB76" i="34"/>
  <c r="BA76" i="34"/>
  <c r="AR75" i="34"/>
  <c r="BB75" i="34"/>
  <c r="BA75" i="34"/>
  <c r="AR74" i="34"/>
  <c r="M75" i="34"/>
  <c r="BB74" i="34"/>
  <c r="BA74" i="34"/>
  <c r="AR73" i="34"/>
  <c r="BB73" i="34"/>
  <c r="BA73" i="34"/>
  <c r="AR72" i="34"/>
  <c r="BB72" i="34"/>
  <c r="BA72" i="34"/>
  <c r="AR71" i="34"/>
  <c r="BB71" i="34"/>
  <c r="BA71" i="34"/>
  <c r="AR70" i="34"/>
  <c r="BB70" i="34"/>
  <c r="BA70" i="34"/>
  <c r="AV69" i="34"/>
  <c r="AV70" i="34"/>
  <c r="AR69" i="34"/>
  <c r="BB69" i="34"/>
  <c r="BA69" i="34"/>
  <c r="AR68" i="34"/>
  <c r="M69" i="34"/>
  <c r="BB68" i="34"/>
  <c r="BA68" i="34"/>
  <c r="AV66" i="34"/>
  <c r="AV68" i="34"/>
  <c r="AR67" i="34"/>
  <c r="BB67" i="34"/>
  <c r="BA67" i="34"/>
  <c r="AV67" i="34"/>
  <c r="AR66" i="34"/>
  <c r="BB66" i="34"/>
  <c r="BA66" i="34"/>
  <c r="AR65" i="34"/>
  <c r="BB65" i="34"/>
  <c r="BA65" i="34"/>
  <c r="AV65" i="34"/>
  <c r="BB64" i="34"/>
  <c r="BA64" i="34"/>
  <c r="AV64" i="34"/>
  <c r="AR63" i="34"/>
  <c r="AP63" i="34"/>
  <c r="BB63" i="34"/>
  <c r="BA63" i="34"/>
  <c r="M63" i="34"/>
  <c r="BB62" i="34"/>
  <c r="BA62" i="34"/>
  <c r="AR62" i="34"/>
  <c r="BB61" i="34"/>
  <c r="BA61" i="34"/>
  <c r="BB60" i="34"/>
  <c r="BA60" i="34"/>
  <c r="AR60" i="34"/>
  <c r="BB59" i="34"/>
  <c r="BA59" i="34"/>
  <c r="AR59" i="34"/>
  <c r="BB58" i="34"/>
  <c r="BA58" i="34"/>
  <c r="AR58" i="34"/>
  <c r="AR57" i="34"/>
  <c r="M57" i="34"/>
  <c r="AR56" i="34"/>
  <c r="AR55" i="34"/>
  <c r="AR54" i="34"/>
  <c r="AR53" i="34"/>
  <c r="AR52" i="34"/>
  <c r="AR51" i="34"/>
  <c r="M51" i="34"/>
  <c r="AP7" i="34"/>
  <c r="AP8" i="34"/>
  <c r="AP9" i="34"/>
  <c r="AP10" i="34"/>
  <c r="AP11" i="34"/>
  <c r="AP12" i="34"/>
  <c r="AP13" i="34"/>
  <c r="AP14" i="34"/>
  <c r="AP15" i="34"/>
  <c r="AP16" i="34"/>
  <c r="AP17" i="34"/>
  <c r="AP18" i="34"/>
  <c r="AP19" i="34"/>
  <c r="AP20" i="34"/>
  <c r="AP21" i="34"/>
  <c r="AP22" i="34"/>
  <c r="AP23" i="34"/>
  <c r="AP24" i="34"/>
  <c r="AP25" i="34"/>
  <c r="AP26" i="34"/>
  <c r="AP27" i="34"/>
  <c r="AP28" i="34"/>
  <c r="AP29" i="34"/>
  <c r="AP30" i="34"/>
  <c r="AP31" i="34"/>
  <c r="AR50" i="34"/>
  <c r="AR49" i="34"/>
  <c r="AR48" i="34"/>
  <c r="AR47" i="34"/>
  <c r="CG46" i="34"/>
  <c r="AR46" i="34"/>
  <c r="AR45" i="34"/>
  <c r="M45" i="34"/>
  <c r="AR44" i="34"/>
  <c r="AR43" i="34"/>
  <c r="AR42" i="34"/>
  <c r="AR41" i="34"/>
  <c r="M39" i="34"/>
  <c r="M34" i="34"/>
  <c r="AR31" i="34"/>
  <c r="BF6" i="34"/>
  <c r="BB9" i="34"/>
  <c r="J31" i="34"/>
  <c r="E31" i="34"/>
  <c r="AR30" i="34"/>
  <c r="BB29" i="34"/>
  <c r="BC29" i="34"/>
  <c r="BD29" i="34"/>
  <c r="BE29" i="34"/>
  <c r="BF29" i="34"/>
  <c r="AR29" i="34"/>
  <c r="BB28" i="34"/>
  <c r="BC28" i="34"/>
  <c r="BD28" i="34"/>
  <c r="BE28" i="34"/>
  <c r="BF28" i="34"/>
  <c r="AR28" i="34"/>
  <c r="M28" i="34"/>
  <c r="BB27" i="34"/>
  <c r="BC27" i="34"/>
  <c r="BD27" i="34"/>
  <c r="BE27" i="34"/>
  <c r="BF27" i="34"/>
  <c r="AR27" i="34"/>
  <c r="BB26" i="34"/>
  <c r="BC26" i="34"/>
  <c r="BD26" i="34"/>
  <c r="BE26" i="34"/>
  <c r="BF26" i="34"/>
  <c r="AR26" i="34"/>
  <c r="M26" i="34"/>
  <c r="K26" i="34"/>
  <c r="J26" i="34"/>
  <c r="I26" i="34"/>
  <c r="H26" i="34"/>
  <c r="G26" i="34"/>
  <c r="F26" i="34"/>
  <c r="A25" i="34"/>
  <c r="BB25" i="34"/>
  <c r="BC25" i="34"/>
  <c r="BD25" i="34"/>
  <c r="BE25" i="34"/>
  <c r="BF25" i="34"/>
  <c r="AR25" i="34"/>
  <c r="K25" i="34"/>
  <c r="J25" i="34"/>
  <c r="I25" i="34"/>
  <c r="H25" i="34"/>
  <c r="G25" i="34"/>
  <c r="F25" i="34"/>
  <c r="E25" i="34"/>
  <c r="D25" i="34"/>
  <c r="C25" i="34"/>
  <c r="B25" i="34"/>
  <c r="BB24" i="34"/>
  <c r="BC24" i="34"/>
  <c r="BD24" i="34"/>
  <c r="BE24" i="34"/>
  <c r="BF24" i="34"/>
  <c r="AR24" i="34"/>
  <c r="AK24" i="34"/>
  <c r="BB23" i="34"/>
  <c r="BC23" i="34"/>
  <c r="BD23" i="34"/>
  <c r="BE23" i="34"/>
  <c r="BF23" i="34"/>
  <c r="AR23" i="34"/>
  <c r="AK23" i="34"/>
  <c r="J23" i="34"/>
  <c r="BB22" i="34"/>
  <c r="BC22" i="34"/>
  <c r="BD22" i="34"/>
  <c r="BE22" i="34"/>
  <c r="BF22" i="34"/>
  <c r="AR22" i="34"/>
  <c r="M22" i="34"/>
  <c r="BF18" i="34"/>
  <c r="BB21" i="34"/>
  <c r="BC21" i="34"/>
  <c r="BD21" i="34"/>
  <c r="BE21" i="34"/>
  <c r="BF21" i="34"/>
  <c r="AR21" i="34"/>
  <c r="AR20" i="34"/>
  <c r="AR19" i="34"/>
  <c r="AK19" i="34"/>
  <c r="J19" i="34"/>
  <c r="AR18" i="34"/>
  <c r="BH17" i="34"/>
  <c r="BI17" i="34"/>
  <c r="BJ17" i="34"/>
  <c r="BK17" i="34"/>
  <c r="BL17" i="34"/>
  <c r="AR17" i="34"/>
  <c r="BH16" i="34"/>
  <c r="BI16" i="34"/>
  <c r="BJ16" i="34"/>
  <c r="BK16" i="34"/>
  <c r="BL16" i="34"/>
  <c r="AR16" i="34"/>
  <c r="BH15" i="34"/>
  <c r="BI15" i="34"/>
  <c r="BJ15" i="34"/>
  <c r="BK15" i="34"/>
  <c r="BL15" i="34"/>
  <c r="AR15" i="34"/>
  <c r="BH14" i="34"/>
  <c r="BI14" i="34"/>
  <c r="BJ14" i="34"/>
  <c r="BK14" i="34"/>
  <c r="BL14" i="34"/>
  <c r="E20" i="34"/>
  <c r="Q212" i="35"/>
  <c r="BH13" i="34"/>
  <c r="BI13" i="34"/>
  <c r="BJ13" i="34"/>
  <c r="BK13" i="34"/>
  <c r="BL13" i="34"/>
  <c r="BH12" i="34"/>
  <c r="BI12" i="34"/>
  <c r="BJ12" i="34"/>
  <c r="BK12" i="34"/>
  <c r="BL12" i="34"/>
  <c r="BH11" i="34"/>
  <c r="BI11" i="34"/>
  <c r="BJ11" i="34"/>
  <c r="BK11" i="34"/>
  <c r="BL11" i="34"/>
  <c r="J11" i="34"/>
  <c r="H10" i="34"/>
  <c r="BH10" i="34"/>
  <c r="BI10" i="34"/>
  <c r="BJ10" i="34"/>
  <c r="BK10" i="34"/>
  <c r="BL10" i="34"/>
  <c r="N10" i="34"/>
  <c r="Q10" i="34"/>
  <c r="BL6" i="34"/>
  <c r="BH9" i="34"/>
  <c r="BI9" i="34"/>
  <c r="BJ9" i="34"/>
  <c r="BK9" i="34"/>
  <c r="BL9" i="34"/>
  <c r="AI9" i="34"/>
  <c r="AK7" i="34"/>
  <c r="L9" i="34"/>
  <c r="AI5" i="34"/>
  <c r="BB4" i="34"/>
  <c r="G3" i="34"/>
  <c r="G2" i="34"/>
  <c r="AS216" i="32"/>
  <c r="BN163" i="32"/>
  <c r="BP162" i="32"/>
  <c r="BA159" i="32"/>
  <c r="BC159" i="32"/>
  <c r="BB159" i="32"/>
  <c r="BA156" i="32"/>
  <c r="BC156" i="32"/>
  <c r="BB156" i="32"/>
  <c r="BA144" i="32"/>
  <c r="BC144" i="32"/>
  <c r="BB144" i="32"/>
  <c r="BA138" i="32"/>
  <c r="BC138" i="32"/>
  <c r="BB138" i="32"/>
  <c r="BP137" i="32"/>
  <c r="BA134" i="32"/>
  <c r="BC134" i="32"/>
  <c r="BB134" i="32"/>
  <c r="BA133" i="32"/>
  <c r="BC133" i="32"/>
  <c r="BB133" i="32"/>
  <c r="BA132" i="32"/>
  <c r="BC132" i="32"/>
  <c r="BB132" i="32"/>
  <c r="BA131" i="32"/>
  <c r="BC131" i="32"/>
  <c r="BB131" i="32"/>
  <c r="BA130" i="32"/>
  <c r="BC130" i="32"/>
  <c r="BB130" i="32"/>
  <c r="BA129" i="32"/>
  <c r="BC129" i="32"/>
  <c r="BB129" i="32"/>
  <c r="BA128" i="32"/>
  <c r="BC128" i="32"/>
  <c r="BB128" i="32"/>
  <c r="BA127" i="32"/>
  <c r="BC127" i="32"/>
  <c r="BB127" i="32"/>
  <c r="BA126" i="32"/>
  <c r="BC126" i="32"/>
  <c r="BB126" i="32"/>
  <c r="BC123" i="32"/>
  <c r="BB123" i="32"/>
  <c r="BC122" i="32"/>
  <c r="BB122" i="32"/>
  <c r="BC121" i="32"/>
  <c r="BB121" i="32"/>
  <c r="BC120" i="32"/>
  <c r="BB120" i="32"/>
  <c r="BC119" i="32"/>
  <c r="BB119" i="32"/>
  <c r="BC118" i="32"/>
  <c r="BB118" i="32"/>
  <c r="BC117" i="32"/>
  <c r="BB117" i="32"/>
  <c r="BC116" i="32"/>
  <c r="BB116" i="32"/>
  <c r="BC115" i="32"/>
  <c r="BB115" i="32"/>
  <c r="BC112" i="32"/>
  <c r="BB112" i="32"/>
  <c r="BC111" i="32"/>
  <c r="BB111" i="32"/>
  <c r="BC110" i="32"/>
  <c r="BB110" i="32"/>
  <c r="BC109" i="32"/>
  <c r="BB109" i="32"/>
  <c r="BC108" i="32"/>
  <c r="BB108" i="32"/>
  <c r="BC107" i="32"/>
  <c r="BB107" i="32"/>
  <c r="BC106" i="32"/>
  <c r="BB106" i="32"/>
  <c r="BC105" i="32"/>
  <c r="BB105" i="32"/>
  <c r="BC104" i="32"/>
  <c r="BB104" i="32"/>
  <c r="BC101" i="32"/>
  <c r="BB101" i="32"/>
  <c r="BC100" i="32"/>
  <c r="BB100" i="32"/>
  <c r="BC99" i="32"/>
  <c r="BB99" i="32"/>
  <c r="BC98" i="32"/>
  <c r="BB98" i="32"/>
  <c r="BC97" i="32"/>
  <c r="BB97" i="32"/>
  <c r="BC96" i="32"/>
  <c r="BB96" i="32"/>
  <c r="BC95" i="32"/>
  <c r="BB95" i="32"/>
  <c r="BC94" i="32"/>
  <c r="BB94" i="32"/>
  <c r="BC93" i="32"/>
  <c r="BB93" i="32"/>
  <c r="BB80" i="32"/>
  <c r="BA80" i="32"/>
  <c r="BB79" i="32"/>
  <c r="BA79" i="32"/>
  <c r="BB78" i="32"/>
  <c r="BA78" i="32"/>
  <c r="BB77" i="32"/>
  <c r="BA77" i="32"/>
  <c r="BB76" i="32"/>
  <c r="BA76" i="32"/>
  <c r="BB75" i="32"/>
  <c r="BA75" i="32"/>
  <c r="M75" i="32"/>
  <c r="BB74" i="32"/>
  <c r="BA74" i="32"/>
  <c r="BB73" i="32"/>
  <c r="BA73" i="32"/>
  <c r="BB72" i="32"/>
  <c r="BA72" i="32"/>
  <c r="BB71" i="32"/>
  <c r="BA71" i="32"/>
  <c r="BB70" i="32"/>
  <c r="BA70" i="32"/>
  <c r="AV69" i="32"/>
  <c r="AV70" i="32"/>
  <c r="BB69" i="32"/>
  <c r="BA69" i="32"/>
  <c r="M69" i="32"/>
  <c r="BB68" i="32"/>
  <c r="BA68" i="32"/>
  <c r="AV66" i="32"/>
  <c r="AV68" i="32"/>
  <c r="BB67" i="32"/>
  <c r="BA67" i="32"/>
  <c r="AV67" i="32"/>
  <c r="BB66" i="32"/>
  <c r="BA66" i="32"/>
  <c r="BB65" i="32"/>
  <c r="BA65" i="32"/>
  <c r="AV65" i="32"/>
  <c r="BB64" i="32"/>
  <c r="BA64" i="32"/>
  <c r="AV64" i="32"/>
  <c r="BB63" i="32"/>
  <c r="BA63" i="32"/>
  <c r="M63" i="32"/>
  <c r="BB62" i="32"/>
  <c r="BA62" i="32"/>
  <c r="BB61" i="32"/>
  <c r="BA61" i="32"/>
  <c r="BB60" i="32"/>
  <c r="BA60" i="32"/>
  <c r="BB59" i="32"/>
  <c r="BA59" i="32"/>
  <c r="BB58" i="32"/>
  <c r="BA58" i="32"/>
  <c r="M57" i="32"/>
  <c r="M51" i="32"/>
  <c r="M45" i="32"/>
  <c r="M39" i="32"/>
  <c r="M34" i="32"/>
  <c r="BB29" i="32"/>
  <c r="BC29" i="32"/>
  <c r="BD29" i="32"/>
  <c r="BE29" i="32"/>
  <c r="BF29" i="32"/>
  <c r="BB28" i="32"/>
  <c r="BC28" i="32"/>
  <c r="BD28" i="32"/>
  <c r="BE28" i="32"/>
  <c r="BF28" i="32"/>
  <c r="BB27" i="32"/>
  <c r="BC27" i="32"/>
  <c r="BD27" i="32"/>
  <c r="BE27" i="32"/>
  <c r="BF27" i="32"/>
  <c r="BB26" i="32"/>
  <c r="BC26" i="32"/>
  <c r="BD26" i="32"/>
  <c r="BE26" i="32"/>
  <c r="BF26" i="32"/>
  <c r="M26" i="32"/>
  <c r="BB25" i="32"/>
  <c r="BC25" i="32"/>
  <c r="BD25" i="32"/>
  <c r="BE25" i="32"/>
  <c r="BF25" i="32"/>
  <c r="K25" i="32"/>
  <c r="J25" i="32"/>
  <c r="I25" i="32"/>
  <c r="H25" i="32"/>
  <c r="G25" i="32"/>
  <c r="F25" i="32"/>
  <c r="E26" i="32"/>
  <c r="C26" i="32"/>
  <c r="BB24" i="32"/>
  <c r="BC24" i="32"/>
  <c r="BD24" i="32"/>
  <c r="BE24" i="32"/>
  <c r="BF24" i="32"/>
  <c r="BB23" i="32"/>
  <c r="BC23" i="32"/>
  <c r="BD23" i="32"/>
  <c r="BE23" i="32"/>
  <c r="BF23" i="32"/>
  <c r="BB22" i="32"/>
  <c r="BC22" i="32"/>
  <c r="BD22" i="32"/>
  <c r="BE22" i="32"/>
  <c r="BF22" i="32"/>
  <c r="M22" i="32"/>
  <c r="BF18" i="32"/>
  <c r="BB21" i="32"/>
  <c r="BC21" i="32"/>
  <c r="BD21" i="32"/>
  <c r="BE21" i="32"/>
  <c r="BF21" i="32"/>
  <c r="AK19" i="32"/>
  <c r="BH17" i="32"/>
  <c r="BI17" i="32"/>
  <c r="BJ17" i="32"/>
  <c r="BK17" i="32"/>
  <c r="BL17" i="32"/>
  <c r="BH16" i="32"/>
  <c r="BI16" i="32"/>
  <c r="BJ16" i="32"/>
  <c r="BK16" i="32"/>
  <c r="BL16" i="32"/>
  <c r="BH15" i="32"/>
  <c r="BI15" i="32"/>
  <c r="BJ15" i="32"/>
  <c r="BK15" i="32"/>
  <c r="BL15" i="32"/>
  <c r="BH14" i="32"/>
  <c r="BI14" i="32"/>
  <c r="BJ14" i="32"/>
  <c r="BK14" i="32"/>
  <c r="BL14" i="32"/>
  <c r="BH13" i="32"/>
  <c r="BI13" i="32"/>
  <c r="BJ13" i="32"/>
  <c r="BK13" i="32"/>
  <c r="BL13" i="32"/>
  <c r="BH12" i="32"/>
  <c r="BI12" i="32"/>
  <c r="BJ12" i="32"/>
  <c r="BK12" i="32"/>
  <c r="BL12" i="32"/>
  <c r="BH11" i="32"/>
  <c r="BI11" i="32"/>
  <c r="BJ11" i="32"/>
  <c r="BK11" i="32"/>
  <c r="BL11" i="32"/>
  <c r="J11" i="32"/>
  <c r="H10" i="32"/>
  <c r="BH10" i="32"/>
  <c r="BI10" i="32"/>
  <c r="BJ10" i="32"/>
  <c r="BK10" i="32"/>
  <c r="BL10" i="32"/>
  <c r="N10" i="32"/>
  <c r="Q10" i="32"/>
  <c r="BL6" i="32"/>
  <c r="BH9" i="32"/>
  <c r="BI9" i="32"/>
  <c r="BJ9" i="32"/>
  <c r="BK9" i="32"/>
  <c r="BL9" i="32"/>
  <c r="AI9" i="32"/>
  <c r="AK7" i="32"/>
  <c r="L9" i="32"/>
  <c r="AI5" i="32"/>
  <c r="BB4" i="32"/>
  <c r="G3" i="32"/>
  <c r="G2" i="32"/>
  <c r="AR246" i="4"/>
  <c r="AR245" i="4"/>
  <c r="AR244" i="4"/>
  <c r="AR243" i="4"/>
  <c r="AR242" i="4"/>
  <c r="AR241" i="4"/>
  <c r="AR240" i="4"/>
  <c r="AR239" i="4"/>
  <c r="AR238" i="4"/>
  <c r="AR237" i="4"/>
  <c r="AR236" i="4"/>
  <c r="AR235" i="4"/>
  <c r="AR234" i="4"/>
  <c r="AR233" i="4"/>
  <c r="AR232" i="4"/>
  <c r="AR231" i="4"/>
  <c r="AR230" i="4"/>
  <c r="AR229" i="4"/>
  <c r="AR228" i="4"/>
  <c r="AR227" i="4"/>
  <c r="AR217" i="4"/>
  <c r="AS216" i="4"/>
  <c r="AR216" i="4"/>
  <c r="AR215" i="4"/>
  <c r="AR214" i="4"/>
  <c r="AR213" i="4"/>
  <c r="AR212" i="4"/>
  <c r="AR211" i="4"/>
  <c r="AR210" i="4"/>
  <c r="AR209" i="4"/>
  <c r="AR208" i="4"/>
  <c r="AR207" i="4"/>
  <c r="AR206" i="4"/>
  <c r="AR205" i="4"/>
  <c r="AR204" i="4"/>
  <c r="AR203" i="4"/>
  <c r="AR202" i="4"/>
  <c r="AR201" i="4"/>
  <c r="AR200" i="4"/>
  <c r="AR199" i="4"/>
  <c r="AR198" i="4"/>
  <c r="AR188" i="4"/>
  <c r="AR187" i="4"/>
  <c r="AR186" i="4"/>
  <c r="AR185" i="4"/>
  <c r="AR184" i="4"/>
  <c r="AR183" i="4"/>
  <c r="AR182" i="4"/>
  <c r="AR181" i="4"/>
  <c r="AR180" i="4"/>
  <c r="AR178" i="4"/>
  <c r="AR177" i="4"/>
  <c r="AR176" i="4"/>
  <c r="AR175" i="4"/>
  <c r="AR174" i="4"/>
  <c r="AR173" i="4"/>
  <c r="AR172" i="4"/>
  <c r="AR171" i="4"/>
  <c r="AR170" i="4"/>
  <c r="AR168" i="4"/>
  <c r="AR167" i="4"/>
  <c r="AR165" i="4"/>
  <c r="AR164" i="4"/>
  <c r="BN163" i="4"/>
  <c r="BP162" i="4"/>
  <c r="AR162" i="4"/>
  <c r="AR161" i="4"/>
  <c r="AR160" i="4"/>
  <c r="BA159" i="4"/>
  <c r="BC159" i="4"/>
  <c r="BB159" i="4"/>
  <c r="AR159" i="4"/>
  <c r="AR158" i="4"/>
  <c r="AR157" i="4"/>
  <c r="BA156" i="4"/>
  <c r="BC156" i="4"/>
  <c r="BB156" i="4"/>
  <c r="AR156" i="4"/>
  <c r="AR155" i="4"/>
  <c r="AR154" i="4"/>
  <c r="AR153" i="4"/>
  <c r="AR151" i="4"/>
  <c r="AR150" i="4"/>
  <c r="AR149" i="4"/>
  <c r="AR148" i="4"/>
  <c r="AR147" i="4"/>
  <c r="AR146" i="4"/>
  <c r="AR145" i="4"/>
  <c r="BA144" i="4"/>
  <c r="BC144" i="4"/>
  <c r="BB144" i="4"/>
  <c r="AR144" i="4"/>
  <c r="AR143" i="4"/>
  <c r="AR142" i="4"/>
  <c r="AR140" i="4"/>
  <c r="AR139" i="4"/>
  <c r="BN138" i="4"/>
  <c r="BA138" i="4"/>
  <c r="BC138" i="4"/>
  <c r="BB138" i="4"/>
  <c r="AR138" i="4"/>
  <c r="BP137" i="4"/>
  <c r="AR137" i="4"/>
  <c r="AR136" i="4"/>
  <c r="AR135" i="4"/>
  <c r="BA134" i="4"/>
  <c r="BC134" i="4"/>
  <c r="BB134" i="4"/>
  <c r="AR134" i="4"/>
  <c r="BA133" i="4"/>
  <c r="BC133" i="4"/>
  <c r="BB133" i="4"/>
  <c r="AR133" i="4"/>
  <c r="BA132" i="4"/>
  <c r="BC132" i="4"/>
  <c r="BB132" i="4"/>
  <c r="AR132" i="4"/>
  <c r="BA131" i="4"/>
  <c r="BC131" i="4"/>
  <c r="BB131" i="4"/>
  <c r="AR131" i="4"/>
  <c r="BA130" i="4"/>
  <c r="BC130" i="4"/>
  <c r="BB130" i="4"/>
  <c r="BA129" i="4"/>
  <c r="BC129" i="4"/>
  <c r="BB129" i="4"/>
  <c r="AR129" i="4"/>
  <c r="BA128" i="4"/>
  <c r="BC128" i="4"/>
  <c r="BB128" i="4"/>
  <c r="AR128" i="4"/>
  <c r="BA127" i="4"/>
  <c r="BC127" i="4"/>
  <c r="BB127" i="4"/>
  <c r="AR127" i="4"/>
  <c r="BA126" i="4"/>
  <c r="BC126" i="4"/>
  <c r="BB126" i="4"/>
  <c r="AR126" i="4"/>
  <c r="AR125" i="4"/>
  <c r="BQ124" i="4"/>
  <c r="BP124" i="4"/>
  <c r="AR124" i="4"/>
  <c r="BQ123" i="4"/>
  <c r="BP123" i="4"/>
  <c r="BC123" i="4"/>
  <c r="BB123" i="4"/>
  <c r="BA123" i="4"/>
  <c r="AR123" i="4"/>
  <c r="BQ122" i="4"/>
  <c r="BP122" i="4"/>
  <c r="BC122" i="4"/>
  <c r="BB122" i="4"/>
  <c r="BA122" i="4"/>
  <c r="AR122" i="4"/>
  <c r="BQ121" i="4"/>
  <c r="BP121" i="4"/>
  <c r="BC121" i="4"/>
  <c r="BB121" i="4"/>
  <c r="BA121" i="4"/>
  <c r="BQ120" i="4"/>
  <c r="BP120" i="4"/>
  <c r="BC120" i="4"/>
  <c r="BB120" i="4"/>
  <c r="BA120" i="4"/>
  <c r="BQ119" i="4"/>
  <c r="BP119" i="4"/>
  <c r="BC119" i="4"/>
  <c r="BB119" i="4"/>
  <c r="BA119" i="4"/>
  <c r="AR119" i="4"/>
  <c r="BQ118" i="4"/>
  <c r="BP118" i="4"/>
  <c r="BC118" i="4"/>
  <c r="BB118" i="4"/>
  <c r="BA118" i="4"/>
  <c r="AR118" i="4"/>
  <c r="BQ117" i="4"/>
  <c r="BP117" i="4"/>
  <c r="BC117" i="4"/>
  <c r="BB117" i="4"/>
  <c r="BA117" i="4"/>
  <c r="AR117" i="4"/>
  <c r="BQ116" i="4"/>
  <c r="BP116" i="4"/>
  <c r="BC116" i="4"/>
  <c r="BB116" i="4"/>
  <c r="BA116" i="4"/>
  <c r="AR116" i="4"/>
  <c r="BC115" i="4"/>
  <c r="BB115" i="4"/>
  <c r="BA115" i="4"/>
  <c r="AR115" i="4"/>
  <c r="AR114" i="4"/>
  <c r="AR113" i="4"/>
  <c r="BC112" i="4"/>
  <c r="BB112" i="4"/>
  <c r="AR112" i="4"/>
  <c r="BC111" i="4"/>
  <c r="BB111" i="4"/>
  <c r="AR111" i="4"/>
  <c r="BC110" i="4"/>
  <c r="BB110" i="4"/>
  <c r="AR110" i="4"/>
  <c r="BC109" i="4"/>
  <c r="BB109" i="4"/>
  <c r="AR109" i="4"/>
  <c r="BC108" i="4"/>
  <c r="BB108" i="4"/>
  <c r="AR108" i="4"/>
  <c r="BC107" i="4"/>
  <c r="BB107" i="4"/>
  <c r="AR107" i="4"/>
  <c r="BC106" i="4"/>
  <c r="BB106" i="4"/>
  <c r="AR106" i="4"/>
  <c r="BC105" i="4"/>
  <c r="BB105" i="4"/>
  <c r="AR105" i="4"/>
  <c r="BC104" i="4"/>
  <c r="BB104" i="4"/>
  <c r="AR104" i="4"/>
  <c r="AR103" i="4"/>
  <c r="AR102" i="4"/>
  <c r="BC101" i="4"/>
  <c r="BB101" i="4"/>
  <c r="AR101" i="4"/>
  <c r="BC100" i="4"/>
  <c r="BB100" i="4"/>
  <c r="AR100" i="4"/>
  <c r="BC99" i="4"/>
  <c r="BB99" i="4"/>
  <c r="AR99" i="4"/>
  <c r="BC98" i="4"/>
  <c r="BB98" i="4"/>
  <c r="AR98" i="4"/>
  <c r="BC97" i="4"/>
  <c r="BB97" i="4"/>
  <c r="AR97" i="4"/>
  <c r="BC96" i="4"/>
  <c r="BB96" i="4"/>
  <c r="AR96" i="4"/>
  <c r="BC95" i="4"/>
  <c r="BB95" i="4"/>
  <c r="AR95" i="4"/>
  <c r="BC94" i="4"/>
  <c r="BB94" i="4"/>
  <c r="AR94" i="4"/>
  <c r="BC93" i="4"/>
  <c r="BB93" i="4"/>
  <c r="AR93" i="4"/>
  <c r="AR92" i="4"/>
  <c r="AR91" i="4"/>
  <c r="AR90" i="4"/>
  <c r="AR89" i="4"/>
  <c r="AR88" i="4"/>
  <c r="AR87" i="4"/>
  <c r="AR86" i="4"/>
  <c r="AR85" i="4"/>
  <c r="AR84" i="4"/>
  <c r="AR83" i="4"/>
  <c r="AR82" i="4"/>
  <c r="AR81" i="4"/>
  <c r="BB80" i="4"/>
  <c r="BA80" i="4"/>
  <c r="AR80" i="4"/>
  <c r="BB79" i="4"/>
  <c r="BA79" i="4"/>
  <c r="AR79" i="4"/>
  <c r="BB78" i="4"/>
  <c r="BA78" i="4"/>
  <c r="AR78" i="4"/>
  <c r="BB77" i="4"/>
  <c r="BA77" i="4"/>
  <c r="AR77" i="4"/>
  <c r="BB76" i="4"/>
  <c r="BA76" i="4"/>
  <c r="AR76" i="4"/>
  <c r="BB75" i="4"/>
  <c r="BA75" i="4"/>
  <c r="AR75" i="4"/>
  <c r="BB74" i="4"/>
  <c r="BA74" i="4"/>
  <c r="AR74" i="4"/>
  <c r="BB73" i="4"/>
  <c r="BA73" i="4"/>
  <c r="AR73" i="4"/>
  <c r="BB72" i="4"/>
  <c r="BA72" i="4"/>
  <c r="AR72" i="4"/>
  <c r="BB71" i="4"/>
  <c r="BA71" i="4"/>
  <c r="AR71" i="4"/>
  <c r="BB70" i="4"/>
  <c r="BA70" i="4"/>
  <c r="AV69" i="4"/>
  <c r="AV70" i="4"/>
  <c r="AR70" i="4"/>
  <c r="BB69" i="4"/>
  <c r="BA69" i="4"/>
  <c r="AR69" i="4"/>
  <c r="BB68" i="4"/>
  <c r="BA68" i="4"/>
  <c r="AV66" i="4"/>
  <c r="AV68" i="4"/>
  <c r="AR68" i="4"/>
  <c r="BB67" i="4"/>
  <c r="BA67" i="4"/>
  <c r="AV67" i="4"/>
  <c r="AR67" i="4"/>
  <c r="BB66" i="4"/>
  <c r="BA66" i="4"/>
  <c r="AR66" i="4"/>
  <c r="BB65" i="4"/>
  <c r="BA65" i="4"/>
  <c r="AV65" i="4"/>
  <c r="AR65" i="4"/>
  <c r="BB64" i="4"/>
  <c r="BA64" i="4"/>
  <c r="AV64" i="4"/>
  <c r="BB63" i="4"/>
  <c r="BA63" i="4"/>
  <c r="AR63" i="4"/>
  <c r="AP63" i="4"/>
  <c r="BB62" i="4"/>
  <c r="BA62" i="4"/>
  <c r="AR62" i="4"/>
  <c r="BB61" i="4"/>
  <c r="BA61" i="4"/>
  <c r="BB60" i="4"/>
  <c r="BA60" i="4"/>
  <c r="AR60" i="4"/>
  <c r="BB59" i="4"/>
  <c r="BA59" i="4"/>
  <c r="AR59" i="4"/>
  <c r="BB58" i="4"/>
  <c r="BA58" i="4"/>
  <c r="AR58" i="4"/>
  <c r="AR57" i="4"/>
  <c r="AR56" i="4"/>
  <c r="AR55" i="4"/>
  <c r="AR54" i="4"/>
  <c r="AR53" i="4"/>
  <c r="AR52" i="4"/>
  <c r="AR51" i="4"/>
  <c r="AR50" i="4"/>
  <c r="AR49" i="4"/>
  <c r="AR48" i="4"/>
  <c r="AR47" i="4"/>
  <c r="AR46" i="4"/>
  <c r="AR45" i="4"/>
  <c r="AR44" i="4"/>
  <c r="AR43" i="4"/>
  <c r="AR42" i="4"/>
  <c r="AR41" i="4"/>
  <c r="AR31" i="4"/>
  <c r="AR30" i="4"/>
  <c r="BB29" i="4"/>
  <c r="BC29" i="4"/>
  <c r="BD29" i="4"/>
  <c r="BE29" i="4"/>
  <c r="BF29" i="4"/>
  <c r="AR29" i="4"/>
  <c r="BB28" i="4"/>
  <c r="BC28" i="4"/>
  <c r="BD28" i="4"/>
  <c r="BE28" i="4"/>
  <c r="BF28" i="4"/>
  <c r="AR28" i="4"/>
  <c r="BB27" i="4"/>
  <c r="BC27" i="4"/>
  <c r="BD27" i="4"/>
  <c r="BE27" i="4"/>
  <c r="BF27" i="4"/>
  <c r="AR27" i="4"/>
  <c r="BB26" i="4"/>
  <c r="BC26" i="4"/>
  <c r="BD26" i="4"/>
  <c r="BE26" i="4"/>
  <c r="BF26" i="4"/>
  <c r="AR26" i="4"/>
  <c r="BB25" i="4"/>
  <c r="BC25" i="4"/>
  <c r="BD25" i="4"/>
  <c r="BE25" i="4"/>
  <c r="BF25" i="4"/>
  <c r="AR25" i="4"/>
  <c r="BB24" i="4"/>
  <c r="BC24" i="4"/>
  <c r="BD24" i="4"/>
  <c r="BE24" i="4"/>
  <c r="BF24" i="4"/>
  <c r="AR24" i="4"/>
  <c r="BB23" i="4"/>
  <c r="BC23" i="4"/>
  <c r="BD23" i="4"/>
  <c r="BE23" i="4"/>
  <c r="BF23" i="4"/>
  <c r="AR23" i="4"/>
  <c r="BB22" i="4"/>
  <c r="BC22" i="4"/>
  <c r="BD22" i="4"/>
  <c r="BE22" i="4"/>
  <c r="BF22" i="4"/>
  <c r="AR22" i="4"/>
  <c r="M22" i="4"/>
  <c r="BF18" i="4"/>
  <c r="BB21" i="4"/>
  <c r="BC21" i="4"/>
  <c r="BD21" i="4"/>
  <c r="BE21" i="4"/>
  <c r="BF21" i="4"/>
  <c r="AR21" i="4"/>
  <c r="AR20" i="4"/>
  <c r="V20" i="4"/>
  <c r="W20" i="4" s="1"/>
  <c r="X20" i="4" s="1"/>
  <c r="AV19" i="4"/>
  <c r="AR19" i="4"/>
  <c r="AV18" i="4"/>
  <c r="AR18" i="4"/>
  <c r="BH17" i="4"/>
  <c r="BI17" i="4"/>
  <c r="BJ17" i="4"/>
  <c r="BK17" i="4"/>
  <c r="BL17" i="4"/>
  <c r="AV17" i="4"/>
  <c r="AR17" i="4"/>
  <c r="BH16" i="4"/>
  <c r="BI16" i="4"/>
  <c r="BJ16" i="4"/>
  <c r="BK16" i="4"/>
  <c r="BL16" i="4"/>
  <c r="AV16" i="4"/>
  <c r="AR16" i="4"/>
  <c r="BH15" i="4"/>
  <c r="BI15" i="4"/>
  <c r="BJ15" i="4"/>
  <c r="BK15" i="4"/>
  <c r="BL15" i="4"/>
  <c r="AV15" i="4"/>
  <c r="AR15" i="4"/>
  <c r="BH14" i="4"/>
  <c r="BI14" i="4"/>
  <c r="BJ14" i="4"/>
  <c r="BK14" i="4"/>
  <c r="BL14" i="4"/>
  <c r="AV14" i="4"/>
  <c r="BH13" i="4"/>
  <c r="BI13" i="4"/>
  <c r="BJ13" i="4"/>
  <c r="BK13" i="4"/>
  <c r="BL13" i="4"/>
  <c r="AV13" i="4"/>
  <c r="BH12" i="4"/>
  <c r="BI12" i="4"/>
  <c r="BJ12" i="4"/>
  <c r="BK12" i="4"/>
  <c r="BL12" i="4"/>
  <c r="AV12" i="4"/>
  <c r="BH11" i="4"/>
  <c r="BI11" i="4"/>
  <c r="BJ11" i="4"/>
  <c r="BK11" i="4"/>
  <c r="BL11" i="4"/>
  <c r="AV11" i="4"/>
  <c r="H10" i="4"/>
  <c r="BH10" i="4"/>
  <c r="BI10" i="4"/>
  <c r="BJ10" i="4"/>
  <c r="BK10" i="4"/>
  <c r="BL10" i="4"/>
  <c r="AV10" i="4"/>
  <c r="BL6" i="4"/>
  <c r="BH9" i="4"/>
  <c r="BI9" i="4"/>
  <c r="BJ9" i="4"/>
  <c r="BK9" i="4"/>
  <c r="BL9" i="4"/>
  <c r="AV9" i="4"/>
  <c r="AK7" i="4"/>
  <c r="AV8" i="4"/>
  <c r="AV7" i="4"/>
  <c r="AV6" i="4"/>
  <c r="BB4" i="4"/>
  <c r="G3" i="4"/>
  <c r="AA56" i="34"/>
  <c r="AA50" i="34"/>
  <c r="AA44" i="34"/>
  <c r="AS58" i="34"/>
  <c r="AT18" i="34"/>
  <c r="AT15" i="34"/>
  <c r="AA32" i="34"/>
  <c r="AP6" i="34"/>
  <c r="AO6" i="34"/>
  <c r="AT8" i="34"/>
  <c r="AS8" i="34"/>
  <c r="AT14" i="34"/>
  <c r="AT19" i="34"/>
  <c r="AT6" i="34"/>
  <c r="AS6" i="34"/>
  <c r="AT17" i="34"/>
  <c r="AS17" i="34"/>
  <c r="AT16" i="34"/>
  <c r="AT11" i="34"/>
  <c r="AT26" i="34"/>
  <c r="AT9" i="34"/>
  <c r="AS9" i="34"/>
  <c r="AT12" i="34"/>
  <c r="AS12" i="34"/>
  <c r="AS50" i="34"/>
  <c r="D26" i="34"/>
  <c r="E19" i="34"/>
  <c r="Q211" i="35"/>
  <c r="E26" i="34"/>
  <c r="U226" i="35"/>
  <c r="U158" i="35"/>
  <c r="U165" i="35"/>
  <c r="U228" i="35"/>
  <c r="L26" i="34"/>
  <c r="U230" i="35"/>
  <c r="C26" i="34"/>
  <c r="U224" i="35"/>
  <c r="U225" i="35"/>
  <c r="U232" i="35"/>
  <c r="A26" i="34"/>
  <c r="B26" i="34"/>
  <c r="U223" i="35"/>
  <c r="AA36" i="34"/>
  <c r="AT33" i="34"/>
  <c r="AS18" i="34"/>
  <c r="AS14" i="34"/>
  <c r="AT29" i="34"/>
  <c r="AT27" i="34"/>
  <c r="AT25" i="34"/>
  <c r="AS10" i="34"/>
  <c r="AA48" i="34"/>
  <c r="AS7" i="34"/>
  <c r="AT22" i="34"/>
  <c r="AA42" i="34"/>
  <c r="AT34" i="34"/>
  <c r="AS19" i="34"/>
  <c r="AT31" i="34"/>
  <c r="AS16" i="34"/>
  <c r="AS76" i="34"/>
  <c r="AT13" i="34"/>
  <c r="AA54" i="34"/>
  <c r="AA60" i="34"/>
  <c r="AT30" i="34"/>
  <c r="AS15" i="34"/>
  <c r="H31" i="34"/>
  <c r="I31" i="34"/>
  <c r="AI16" i="34"/>
  <c r="F31" i="34"/>
  <c r="BC9" i="34"/>
  <c r="BD9" i="34"/>
  <c r="U222" i="35"/>
  <c r="U227" i="35"/>
  <c r="U229" i="35"/>
  <c r="U231" i="35"/>
  <c r="K11" i="34"/>
  <c r="L11" i="34"/>
  <c r="AA96" i="34"/>
  <c r="AA99" i="34"/>
  <c r="U157" i="35"/>
  <c r="U161" i="35"/>
  <c r="U164" i="35"/>
  <c r="U159" i="35"/>
  <c r="U162" i="35"/>
  <c r="U166" i="35"/>
  <c r="U160" i="35"/>
  <c r="U163" i="35"/>
  <c r="BC9" i="32"/>
  <c r="BD9" i="32"/>
  <c r="BE9" i="32" s="1"/>
  <c r="BF9" i="32" s="1"/>
  <c r="L31" i="32" s="1"/>
  <c r="U156" i="35"/>
  <c r="W96" i="32"/>
  <c r="X96" i="32" s="1"/>
  <c r="AA96" i="32" s="1"/>
  <c r="W99" i="32"/>
  <c r="X99" i="32"/>
  <c r="AA99" i="32" s="1"/>
  <c r="AA45" i="32"/>
  <c r="B118" i="35"/>
  <c r="B118" i="33"/>
  <c r="B119" i="17"/>
  <c r="AI5" i="4"/>
  <c r="B51" i="35"/>
  <c r="AI9" i="4"/>
  <c r="B52" i="35" s="1"/>
  <c r="V86" i="4"/>
  <c r="W86" i="4" s="1"/>
  <c r="X86" i="4" s="1"/>
  <c r="V87" i="4"/>
  <c r="W87" i="4" s="1"/>
  <c r="X87" i="4" s="1"/>
  <c r="B167" i="33"/>
  <c r="B52" i="17"/>
  <c r="B185" i="33"/>
  <c r="AK23" i="4"/>
  <c r="B64" i="17"/>
  <c r="L9" i="4"/>
  <c r="E20" i="4"/>
  <c r="Q81" i="17" s="1"/>
  <c r="W83" i="34"/>
  <c r="X83" i="34" s="1"/>
  <c r="F31" i="4"/>
  <c r="AV72" i="17"/>
  <c r="AI21" i="4"/>
  <c r="B82" i="33" s="1"/>
  <c r="W95" i="4"/>
  <c r="X95" i="4" s="1"/>
  <c r="AA95" i="4" s="1"/>
  <c r="W97" i="4"/>
  <c r="X97" i="4" s="1"/>
  <c r="AA97" i="4" s="1"/>
  <c r="V88" i="4"/>
  <c r="AA88" i="4" s="1"/>
  <c r="AT23" i="34"/>
  <c r="AT24" i="34"/>
  <c r="AT32" i="34"/>
  <c r="AS207" i="34"/>
  <c r="AS11" i="34"/>
  <c r="AT21" i="34"/>
  <c r="AS13" i="34"/>
  <c r="AU35" i="34"/>
  <c r="AT28" i="34"/>
  <c r="BE9" i="34"/>
  <c r="BF9" i="34"/>
  <c r="L31" i="34"/>
  <c r="E20" i="32"/>
  <c r="Q146" i="35" s="1"/>
  <c r="B51" i="33"/>
  <c r="V85" i="4"/>
  <c r="M51" i="4"/>
  <c r="V83" i="4"/>
  <c r="W83" i="4" s="1"/>
  <c r="X83" i="4" s="1"/>
  <c r="M34" i="4"/>
  <c r="V84" i="4"/>
  <c r="W84" i="4" s="1"/>
  <c r="X84" i="4" s="1"/>
  <c r="V82" i="4"/>
  <c r="AA82" i="4" s="1"/>
  <c r="M39" i="4"/>
  <c r="M69" i="4"/>
  <c r="AK50" i="4"/>
  <c r="O57" i="4" s="1"/>
  <c r="AK51" i="4"/>
  <c r="O58" i="4" s="1"/>
  <c r="AK52" i="4"/>
  <c r="O59" i="4" s="1"/>
  <c r="AL48" i="4"/>
  <c r="P55" i="4" s="1"/>
  <c r="AL49" i="4"/>
  <c r="P56" i="4" s="1"/>
  <c r="AL50" i="4"/>
  <c r="P57" i="4" s="1"/>
  <c r="AL51" i="4"/>
  <c r="P58" i="4" s="1"/>
  <c r="AL52" i="4"/>
  <c r="P59" i="4" s="1"/>
  <c r="V56" i="4"/>
  <c r="W56" i="4" s="1"/>
  <c r="X56" i="4" s="1"/>
  <c r="AA56" i="4" s="1"/>
  <c r="Z56" i="4"/>
  <c r="L57" i="4"/>
  <c r="M63" i="4"/>
  <c r="M45" i="4"/>
  <c r="M75" i="4"/>
  <c r="V75" i="4"/>
  <c r="W75" i="4" s="1"/>
  <c r="X75" i="4" s="1"/>
  <c r="C19" i="34"/>
  <c r="C20" i="34"/>
  <c r="M57" i="4"/>
  <c r="V81" i="4"/>
  <c r="W81" i="4" s="1"/>
  <c r="X81" i="4" s="1"/>
  <c r="B211" i="35"/>
  <c r="G19" i="34"/>
  <c r="AG211" i="35"/>
  <c r="G20" i="34"/>
  <c r="AG212" i="35"/>
  <c r="B212" i="35"/>
  <c r="J34" i="34"/>
  <c r="J36" i="34" s="1"/>
  <c r="AI241" i="35" s="1"/>
  <c r="J57" i="34"/>
  <c r="J59" i="34" s="1"/>
  <c r="AI245" i="35" s="1"/>
  <c r="J39" i="34"/>
  <c r="J41" i="34" s="1"/>
  <c r="AI242" i="35" s="1"/>
  <c r="J69" i="4"/>
  <c r="J71" i="4" s="1"/>
  <c r="AI115" i="35" s="1"/>
  <c r="L57" i="34"/>
  <c r="CC156" i="34" s="1"/>
  <c r="L34" i="34"/>
  <c r="BY156" i="34" s="1"/>
  <c r="J45" i="34"/>
  <c r="J47" i="34" s="1"/>
  <c r="AI243" i="35" s="1"/>
  <c r="J51" i="34"/>
  <c r="J53" i="34" s="1"/>
  <c r="AI244" i="35" s="1"/>
  <c r="L39" i="34"/>
  <c r="BZ156" i="34" s="1"/>
  <c r="J57" i="32"/>
  <c r="J59" i="32" s="1"/>
  <c r="L51" i="32"/>
  <c r="L53" i="32" s="1"/>
  <c r="AR178" i="33" s="1"/>
  <c r="J51" i="32"/>
  <c r="J53" i="32" s="1"/>
  <c r="L69" i="4"/>
  <c r="L45" i="34"/>
  <c r="L47" i="34" s="1"/>
  <c r="AR243" i="35" s="1"/>
  <c r="L51" i="34"/>
  <c r="CB156" i="34" s="1"/>
  <c r="L57" i="32"/>
  <c r="Z62" i="4"/>
  <c r="V62" i="4"/>
  <c r="W62" i="4" s="1"/>
  <c r="X62" i="4" s="1"/>
  <c r="AA62" i="4" s="1"/>
  <c r="AK32" i="4"/>
  <c r="O36" i="4" s="1"/>
  <c r="AL31" i="4"/>
  <c r="P35" i="4" s="1"/>
  <c r="AK37" i="4"/>
  <c r="O41" i="4" s="1"/>
  <c r="AL36" i="4"/>
  <c r="P40" i="4" s="1"/>
  <c r="AK39" i="4"/>
  <c r="O44" i="4" s="1"/>
  <c r="AL38" i="4"/>
  <c r="P43" i="4" s="1"/>
  <c r="AL42" i="4"/>
  <c r="P47" i="4" s="1"/>
  <c r="AK46" i="4"/>
  <c r="O52" i="4" s="1"/>
  <c r="AL45" i="4"/>
  <c r="P51" i="4" s="1"/>
  <c r="AK55" i="4"/>
  <c r="O63" i="4" s="1"/>
  <c r="AL54" i="4"/>
  <c r="P62" i="4" s="1"/>
  <c r="AK60" i="4"/>
  <c r="O69" i="4" s="1"/>
  <c r="AL59" i="4"/>
  <c r="P68" i="4" s="1"/>
  <c r="AK63" i="4"/>
  <c r="O73" i="4" s="1"/>
  <c r="AK67" i="4"/>
  <c r="O77" i="4" s="1"/>
  <c r="AL66" i="4"/>
  <c r="P76" i="4" s="1"/>
  <c r="AL35" i="4"/>
  <c r="P39" i="4" s="1"/>
  <c r="AL44" i="4"/>
  <c r="P50" i="4" s="1"/>
  <c r="AL53" i="4"/>
  <c r="P61" i="4" s="1"/>
  <c r="AL58" i="4"/>
  <c r="P67" i="4" s="1"/>
  <c r="AL65" i="4"/>
  <c r="P75" i="4" s="1"/>
  <c r="AP253" i="4"/>
  <c r="AK29" i="4"/>
  <c r="O33" i="4" s="1"/>
  <c r="AL28" i="4"/>
  <c r="P32" i="4" s="1"/>
  <c r="AL32" i="4"/>
  <c r="P36" i="4" s="1"/>
  <c r="AK34" i="4"/>
  <c r="O38" i="4" s="1"/>
  <c r="AL33" i="4"/>
  <c r="P37" i="4" s="1"/>
  <c r="AL37" i="4"/>
  <c r="P41" i="4" s="1"/>
  <c r="AK40" i="4"/>
  <c r="O45" i="4" s="1"/>
  <c r="AL39" i="4"/>
  <c r="P44" i="4" s="1"/>
  <c r="AK47" i="4"/>
  <c r="O53" i="4" s="1"/>
  <c r="AL46" i="4"/>
  <c r="P52" i="4" s="1"/>
  <c r="AK56" i="4"/>
  <c r="O64" i="4" s="1"/>
  <c r="AL55" i="4"/>
  <c r="P63" i="4" s="1"/>
  <c r="AK61" i="4"/>
  <c r="O70" i="4" s="1"/>
  <c r="AL60" i="4"/>
  <c r="P69" i="4" s="1"/>
  <c r="AK64" i="4"/>
  <c r="O74" i="4" s="1"/>
  <c r="AL63" i="4"/>
  <c r="P73" i="4" s="1"/>
  <c r="AL67" i="4"/>
  <c r="P77" i="4" s="1"/>
  <c r="AK31" i="4"/>
  <c r="O35" i="4" s="1"/>
  <c r="AK36" i="4"/>
  <c r="O40" i="4" s="1"/>
  <c r="AK42" i="4"/>
  <c r="O47" i="4" s="1"/>
  <c r="AK45" i="4"/>
  <c r="O51" i="4" s="1"/>
  <c r="AK54" i="4"/>
  <c r="O62" i="4" s="1"/>
  <c r="AL62" i="4"/>
  <c r="P71" i="4" s="1"/>
  <c r="AK30" i="4"/>
  <c r="O34" i="4" s="1"/>
  <c r="AL29" i="4"/>
  <c r="P33" i="4" s="1"/>
  <c r="AK35" i="4"/>
  <c r="O39" i="4" s="1"/>
  <c r="AL34" i="4"/>
  <c r="P38" i="4" s="1"/>
  <c r="AK41" i="4"/>
  <c r="O46" i="4" s="1"/>
  <c r="AL40" i="4"/>
  <c r="P45" i="4" s="1"/>
  <c r="AL43" i="4"/>
  <c r="P49" i="4" s="1"/>
  <c r="AL47" i="4"/>
  <c r="P53" i="4" s="1"/>
  <c r="AK57" i="4"/>
  <c r="O65" i="4" s="1"/>
  <c r="AL56" i="4"/>
  <c r="P64" i="4" s="1"/>
  <c r="AK58" i="4"/>
  <c r="O67" i="4" s="1"/>
  <c r="AK62" i="4"/>
  <c r="O71" i="4" s="1"/>
  <c r="AL61" i="4"/>
  <c r="P70" i="4" s="1"/>
  <c r="AK65" i="4"/>
  <c r="O75" i="4" s="1"/>
  <c r="AL64" i="4"/>
  <c r="P74" i="4" s="1"/>
  <c r="AL30" i="4"/>
  <c r="P34" i="4" s="1"/>
  <c r="AL41" i="4"/>
  <c r="P46" i="4" s="1"/>
  <c r="AL57" i="4"/>
  <c r="P65" i="4" s="1"/>
  <c r="AK59" i="4"/>
  <c r="O68" i="4" s="1"/>
  <c r="AK66" i="4"/>
  <c r="O76" i="4" s="1"/>
  <c r="V50" i="4"/>
  <c r="W50" i="4" s="1"/>
  <c r="X50" i="4" s="1"/>
  <c r="AA50" i="4" s="1"/>
  <c r="Z50" i="4"/>
  <c r="V54" i="4"/>
  <c r="U100" i="35"/>
  <c r="AK53" i="4"/>
  <c r="O61" i="4" s="1"/>
  <c r="J57" i="4"/>
  <c r="J59" i="4" s="1"/>
  <c r="AI113" i="35" s="1"/>
  <c r="J51" i="4"/>
  <c r="J53" i="4" s="1"/>
  <c r="AI112" i="35" s="1"/>
  <c r="L51" i="4"/>
  <c r="J63" i="4"/>
  <c r="J65" i="4" s="1"/>
  <c r="L63" i="4"/>
  <c r="W75" i="32" l="1"/>
  <c r="X75" i="32" s="1"/>
  <c r="V42" i="32"/>
  <c r="AP32" i="32"/>
  <c r="AO32" i="32" s="1"/>
  <c r="AT9" i="32" s="1"/>
  <c r="AP6" i="32"/>
  <c r="AO6" i="32" s="1"/>
  <c r="AT8" i="32" s="1"/>
  <c r="AS58" i="32"/>
  <c r="AI16" i="32"/>
  <c r="H31" i="32"/>
  <c r="E19" i="32"/>
  <c r="AJ161" i="35"/>
  <c r="K11" i="32"/>
  <c r="L11" i="32" s="1"/>
  <c r="F31" i="32"/>
  <c r="W97" i="32"/>
  <c r="X97" i="32" s="1"/>
  <c r="AA97" i="32" s="1"/>
  <c r="AP120" i="4"/>
  <c r="AO120" i="4" s="1"/>
  <c r="V48" i="4"/>
  <c r="W48" i="4" s="1"/>
  <c r="X48" i="4" s="1"/>
  <c r="AA48" i="4" s="1"/>
  <c r="AS50" i="4"/>
  <c r="AP247" i="4"/>
  <c r="AO247" i="4" s="1"/>
  <c r="AP32" i="4"/>
  <c r="AO32" i="4" s="1"/>
  <c r="AP218" i="4"/>
  <c r="AO218" i="4" s="1"/>
  <c r="AP179" i="4"/>
  <c r="AO179" i="4" s="1"/>
  <c r="AP169" i="4"/>
  <c r="AO169" i="4" s="1"/>
  <c r="U99" i="17"/>
  <c r="U94" i="17"/>
  <c r="U95" i="17"/>
  <c r="AA33" i="34"/>
  <c r="U98" i="17"/>
  <c r="AA69" i="34"/>
  <c r="U97" i="35"/>
  <c r="AA51" i="34"/>
  <c r="U93" i="33"/>
  <c r="AJ93" i="33" s="1"/>
  <c r="E19" i="4"/>
  <c r="AA33" i="32"/>
  <c r="C26" i="4"/>
  <c r="U93" i="17" s="1"/>
  <c r="V36" i="4"/>
  <c r="W36" i="4" s="1"/>
  <c r="X36" i="4" s="1"/>
  <c r="V72" i="4"/>
  <c r="W72" i="4" s="1"/>
  <c r="X72" i="4" s="1"/>
  <c r="AA72" i="4" s="1"/>
  <c r="V78" i="4"/>
  <c r="W78" i="4" s="1"/>
  <c r="X78" i="4" s="1"/>
  <c r="AA78" i="4" s="1"/>
  <c r="V66" i="4"/>
  <c r="W66" i="4" s="1"/>
  <c r="X66" i="4" s="1"/>
  <c r="AA66" i="4" s="1"/>
  <c r="V42" i="4"/>
  <c r="B53" i="17"/>
  <c r="B52" i="33"/>
  <c r="B8" i="35"/>
  <c r="B8" i="17"/>
  <c r="B63" i="33"/>
  <c r="B120" i="17"/>
  <c r="B8" i="36"/>
  <c r="B129" i="35"/>
  <c r="B129" i="33"/>
  <c r="B195" i="35"/>
  <c r="B63" i="35"/>
  <c r="B8" i="33"/>
  <c r="G46" i="32"/>
  <c r="G47" i="32" s="1"/>
  <c r="V44" i="32" s="1"/>
  <c r="Z38" i="32"/>
  <c r="G40" i="32"/>
  <c r="G41" i="32" s="1"/>
  <c r="V38" i="32"/>
  <c r="W38" i="32" s="1"/>
  <c r="X38" i="32" s="1"/>
  <c r="AA38" i="32" s="1"/>
  <c r="G36" i="32"/>
  <c r="V32" i="32" s="1"/>
  <c r="W32" i="32" s="1"/>
  <c r="X32" i="32" s="1"/>
  <c r="AA32" i="32" s="1"/>
  <c r="Z32" i="32"/>
  <c r="CG46" i="32"/>
  <c r="AP152" i="32"/>
  <c r="AO152" i="32" s="1"/>
  <c r="AT14" i="32" s="1"/>
  <c r="V36" i="32"/>
  <c r="AP120" i="32"/>
  <c r="AO120" i="32" s="1"/>
  <c r="AT12" i="32" s="1"/>
  <c r="AP218" i="32"/>
  <c r="AO218" i="32" s="1"/>
  <c r="AT7" i="32" s="1"/>
  <c r="AS7" i="32" s="1"/>
  <c r="AP179" i="32"/>
  <c r="AO179" i="32" s="1"/>
  <c r="AT18" i="32" s="1"/>
  <c r="AT33" i="32" s="1"/>
  <c r="AS50" i="32"/>
  <c r="AP247" i="32"/>
  <c r="AO247" i="32" s="1"/>
  <c r="AT19" i="32" s="1"/>
  <c r="AS19" i="32" s="1"/>
  <c r="AP189" i="32"/>
  <c r="AO189" i="32" s="1"/>
  <c r="AT6" i="32" s="1"/>
  <c r="AS6" i="32" s="1"/>
  <c r="AP169" i="32"/>
  <c r="AS208" i="32" s="1"/>
  <c r="AP64" i="32"/>
  <c r="AO64" i="32" s="1"/>
  <c r="AT11" i="32" s="1"/>
  <c r="AP163" i="32"/>
  <c r="AO163" i="32" s="1"/>
  <c r="AT15" i="32" s="1"/>
  <c r="AT30" i="32" s="1"/>
  <c r="AP141" i="32"/>
  <c r="AS77" i="32" s="1"/>
  <c r="AS11" i="32"/>
  <c r="AT26" i="32"/>
  <c r="AS9" i="32"/>
  <c r="AT24" i="32"/>
  <c r="AS8" i="32"/>
  <c r="AT23" i="32"/>
  <c r="AT27" i="32"/>
  <c r="AS12" i="32"/>
  <c r="AS16" i="32"/>
  <c r="AT31" i="32"/>
  <c r="AS14" i="32"/>
  <c r="AT29" i="32"/>
  <c r="AS10" i="32"/>
  <c r="AT25" i="32"/>
  <c r="AT10" i="4"/>
  <c r="AS10" i="4" s="1"/>
  <c r="AT12" i="4"/>
  <c r="BA41" i="33" s="1"/>
  <c r="B148" i="33"/>
  <c r="B148" i="35"/>
  <c r="J19" i="32"/>
  <c r="Q146" i="33"/>
  <c r="W42" i="32"/>
  <c r="X42" i="32" s="1"/>
  <c r="AA42" i="32" s="1"/>
  <c r="W78" i="32"/>
  <c r="X78" i="32" s="1"/>
  <c r="AA78" i="32"/>
  <c r="W36" i="32"/>
  <c r="X36" i="32" s="1"/>
  <c r="AA36" i="32" s="1"/>
  <c r="E31" i="32"/>
  <c r="AA72" i="32"/>
  <c r="L71" i="32"/>
  <c r="AR181" i="35" s="1"/>
  <c r="AA39" i="32"/>
  <c r="CC156" i="32"/>
  <c r="AA60" i="32"/>
  <c r="AA48" i="32"/>
  <c r="AA66" i="32"/>
  <c r="AK23" i="32"/>
  <c r="J23" i="32"/>
  <c r="B233" i="35" s="1"/>
  <c r="AR240" i="35"/>
  <c r="AR174" i="35"/>
  <c r="AR174" i="33"/>
  <c r="AJ166" i="35"/>
  <c r="AJ162" i="35"/>
  <c r="AJ158" i="35"/>
  <c r="U156" i="33"/>
  <c r="U92" i="33"/>
  <c r="AJ164" i="35"/>
  <c r="AJ160" i="35"/>
  <c r="U165" i="33"/>
  <c r="AJ157" i="35"/>
  <c r="AJ163" i="35"/>
  <c r="AA93" i="32"/>
  <c r="W88" i="34"/>
  <c r="X88" i="34" s="1"/>
  <c r="CF156" i="34"/>
  <c r="W84" i="34"/>
  <c r="X84" i="34" s="1"/>
  <c r="W81" i="32"/>
  <c r="X81" i="32" s="1"/>
  <c r="CE176" i="32"/>
  <c r="W82" i="32"/>
  <c r="X82" i="32" s="1"/>
  <c r="W86" i="32"/>
  <c r="X86" i="32" s="1"/>
  <c r="G46" i="4"/>
  <c r="G47" i="4" s="1"/>
  <c r="Z44" i="4"/>
  <c r="V44" i="4"/>
  <c r="W44" i="4" s="1"/>
  <c r="X44" i="4" s="1"/>
  <c r="AA44" i="4" s="1"/>
  <c r="G40" i="4"/>
  <c r="G41" i="4" s="1"/>
  <c r="V38" i="4"/>
  <c r="Z32" i="4"/>
  <c r="CG46" i="4"/>
  <c r="G35" i="4"/>
  <c r="G36" i="4" s="1"/>
  <c r="V32" i="4"/>
  <c r="AP163" i="4"/>
  <c r="AO163" i="4" s="1"/>
  <c r="AP6" i="4"/>
  <c r="AO6" i="4" s="1"/>
  <c r="AT8" i="4" s="1"/>
  <c r="X37" i="35" s="1"/>
  <c r="AP189" i="4"/>
  <c r="AO189" i="4" s="1"/>
  <c r="AP152" i="4"/>
  <c r="AO152" i="4" s="1"/>
  <c r="AT14" i="4" s="1"/>
  <c r="O44" i="17" s="1"/>
  <c r="AS58" i="4"/>
  <c r="AP64" i="4"/>
  <c r="AO64" i="4" s="1"/>
  <c r="AT11" i="4" s="1"/>
  <c r="X40" i="35" s="1"/>
  <c r="AP166" i="4"/>
  <c r="AO166" i="4" s="1"/>
  <c r="AT16" i="4" s="1"/>
  <c r="AP141" i="4"/>
  <c r="AS77" i="4" s="1"/>
  <c r="O40" i="17"/>
  <c r="CF176" i="32"/>
  <c r="CF156" i="32"/>
  <c r="U164" i="33"/>
  <c r="AJ164" i="33" s="1"/>
  <c r="U160" i="33"/>
  <c r="U94" i="35"/>
  <c r="U97" i="33"/>
  <c r="U157" i="33"/>
  <c r="AJ157" i="33" s="1"/>
  <c r="U163" i="33"/>
  <c r="U159" i="33"/>
  <c r="U95" i="33"/>
  <c r="U166" i="33"/>
  <c r="AJ166" i="33" s="1"/>
  <c r="U162" i="33"/>
  <c r="L26" i="4"/>
  <c r="AJ165" i="33"/>
  <c r="AJ163" i="33"/>
  <c r="AJ161" i="33"/>
  <c r="AJ159" i="33"/>
  <c r="U158" i="33"/>
  <c r="AJ158" i="33" s="1"/>
  <c r="U100" i="33"/>
  <c r="U98" i="33"/>
  <c r="U96" i="33"/>
  <c r="U94" i="33"/>
  <c r="U90" i="33"/>
  <c r="AJ99" i="33" s="1"/>
  <c r="U99" i="35"/>
  <c r="AJ162" i="33"/>
  <c r="AJ160" i="33"/>
  <c r="B26" i="4"/>
  <c r="U91" i="17"/>
  <c r="AJ99" i="17" s="1"/>
  <c r="T35" i="4"/>
  <c r="T46" i="4"/>
  <c r="S56" i="4"/>
  <c r="T62" i="4"/>
  <c r="T67" i="4"/>
  <c r="T74" i="4"/>
  <c r="S57" i="4"/>
  <c r="T59" i="4"/>
  <c r="T77" i="4"/>
  <c r="S69" i="4"/>
  <c r="S53" i="4"/>
  <c r="S44" i="4"/>
  <c r="S35" i="4"/>
  <c r="S73" i="4"/>
  <c r="T65" i="4"/>
  <c r="T50" i="4"/>
  <c r="T40" i="4"/>
  <c r="T32" i="4"/>
  <c r="S70" i="4"/>
  <c r="S61" i="4"/>
  <c r="S45" i="4"/>
  <c r="S36" i="4"/>
  <c r="T33" i="4"/>
  <c r="T53" i="4"/>
  <c r="S62" i="4"/>
  <c r="S37" i="4"/>
  <c r="T52" i="4"/>
  <c r="T76" i="4"/>
  <c r="S47" i="4"/>
  <c r="T37" i="4"/>
  <c r="T49" i="4"/>
  <c r="S58" i="4"/>
  <c r="T64" i="4"/>
  <c r="T69" i="4"/>
  <c r="S77" i="4"/>
  <c r="S55" i="4"/>
  <c r="T57" i="4"/>
  <c r="S75" i="4"/>
  <c r="S67" i="4"/>
  <c r="S51" i="4"/>
  <c r="S41" i="4"/>
  <c r="S33" i="4"/>
  <c r="S74" i="4"/>
  <c r="T63" i="4"/>
  <c r="T47" i="4"/>
  <c r="T38" i="4"/>
  <c r="S68" i="4"/>
  <c r="S52" i="4"/>
  <c r="S43" i="4"/>
  <c r="S34" i="4"/>
  <c r="S50" i="4"/>
  <c r="T41" i="4"/>
  <c r="S71" i="4"/>
  <c r="T75" i="4"/>
  <c r="T43" i="4"/>
  <c r="S63" i="4"/>
  <c r="S38" i="4"/>
  <c r="S32" i="4"/>
  <c r="T39" i="4"/>
  <c r="T51" i="4"/>
  <c r="T71" i="4"/>
  <c r="T55" i="4"/>
  <c r="T58" i="4"/>
  <c r="S76" i="4"/>
  <c r="S64" i="4"/>
  <c r="S49" i="4"/>
  <c r="S39" i="4"/>
  <c r="T70" i="4"/>
  <c r="T61" i="4"/>
  <c r="T45" i="4"/>
  <c r="T36" i="4"/>
  <c r="T73" i="4"/>
  <c r="S65" i="4"/>
  <c r="S40" i="4"/>
  <c r="T44" i="4"/>
  <c r="T56" i="4"/>
  <c r="S59" i="4"/>
  <c r="S46" i="4"/>
  <c r="T68" i="4"/>
  <c r="T34" i="4"/>
  <c r="AA87" i="4"/>
  <c r="AA63" i="4"/>
  <c r="AA57" i="4"/>
  <c r="AV203" i="35"/>
  <c r="AV70" i="17"/>
  <c r="J77" i="4"/>
  <c r="AI116" i="33" s="1"/>
  <c r="B83" i="17"/>
  <c r="AV69" i="35"/>
  <c r="AV135" i="35"/>
  <c r="AV201" i="35"/>
  <c r="AV71" i="33"/>
  <c r="AV69" i="33"/>
  <c r="CB176" i="4"/>
  <c r="CE156" i="4"/>
  <c r="CC156" i="4"/>
  <c r="AV135" i="33"/>
  <c r="M26" i="4"/>
  <c r="CD176" i="4"/>
  <c r="J23" i="4"/>
  <c r="AV137" i="33"/>
  <c r="AV137" i="35"/>
  <c r="E31" i="4"/>
  <c r="AV71" i="35"/>
  <c r="Q80" i="33"/>
  <c r="Q80" i="35"/>
  <c r="B82" i="35"/>
  <c r="V60" i="4"/>
  <c r="W60" i="4" s="1"/>
  <c r="X60" i="4" s="1"/>
  <c r="AA60" i="4" s="1"/>
  <c r="AA36" i="4"/>
  <c r="W42" i="4"/>
  <c r="X42" i="4" s="1"/>
  <c r="AA42" i="4" s="1"/>
  <c r="W54" i="4"/>
  <c r="X54" i="4" s="1"/>
  <c r="AA54" i="4" s="1"/>
  <c r="BC9" i="4"/>
  <c r="BD9" i="4" s="1"/>
  <c r="AI16" i="4"/>
  <c r="AP71" i="33"/>
  <c r="K11" i="4"/>
  <c r="AP71" i="35"/>
  <c r="AP72" i="17"/>
  <c r="L77" i="34"/>
  <c r="AR248" i="35" s="1"/>
  <c r="V46" i="32"/>
  <c r="W46" i="32" s="1"/>
  <c r="X46" i="32" s="1"/>
  <c r="U95" i="35"/>
  <c r="U90" i="35"/>
  <c r="AJ94" i="35" s="1"/>
  <c r="CA156" i="34"/>
  <c r="X53" i="34"/>
  <c r="AA53" i="34" s="1"/>
  <c r="U98" i="35"/>
  <c r="U96" i="35"/>
  <c r="AJ96" i="35" s="1"/>
  <c r="U93" i="35"/>
  <c r="U92" i="35"/>
  <c r="U101" i="17"/>
  <c r="V35" i="32"/>
  <c r="W35" i="32" s="1"/>
  <c r="AA96" i="4"/>
  <c r="W92" i="4"/>
  <c r="X92" i="4" s="1"/>
  <c r="AA92" i="4" s="1"/>
  <c r="B251" i="35"/>
  <c r="B185" i="35"/>
  <c r="B119" i="33"/>
  <c r="AG8" i="36"/>
  <c r="AE8" i="33"/>
  <c r="AE63" i="35"/>
  <c r="AE8" i="35"/>
  <c r="AE129" i="33"/>
  <c r="AG64" i="17"/>
  <c r="AG8" i="17"/>
  <c r="AE63" i="33"/>
  <c r="AE195" i="35"/>
  <c r="AE129" i="35"/>
  <c r="F4" i="33"/>
  <c r="F4" i="35"/>
  <c r="G4" i="17"/>
  <c r="K61" i="17" s="1"/>
  <c r="CD176" i="34"/>
  <c r="X59" i="34"/>
  <c r="AA59" i="34" s="1"/>
  <c r="CB176" i="34"/>
  <c r="CC176" i="34"/>
  <c r="CB176" i="32"/>
  <c r="W87" i="34"/>
  <c r="X87" i="34" s="1"/>
  <c r="L53" i="34"/>
  <c r="AR244" i="35" s="1"/>
  <c r="D55" i="34"/>
  <c r="BU140" i="34" s="1"/>
  <c r="CC140" i="34" s="1"/>
  <c r="D32" i="34"/>
  <c r="H34" i="34" s="1"/>
  <c r="H36" i="34" s="1"/>
  <c r="L241" i="35" s="1"/>
  <c r="L59" i="34"/>
  <c r="AR245" i="35" s="1"/>
  <c r="CD156" i="34"/>
  <c r="W82" i="34"/>
  <c r="X82" i="34" s="1"/>
  <c r="W85" i="34"/>
  <c r="X85" i="34" s="1"/>
  <c r="AA39" i="34"/>
  <c r="X65" i="34"/>
  <c r="AA65" i="34" s="1"/>
  <c r="V59" i="34"/>
  <c r="W59" i="34" s="1"/>
  <c r="V53" i="34"/>
  <c r="W53" i="34" s="1"/>
  <c r="V40" i="34"/>
  <c r="W40" i="34" s="1"/>
  <c r="X40" i="34" s="1"/>
  <c r="AA40" i="34" s="1"/>
  <c r="L36" i="34"/>
  <c r="AR241" i="35" s="1"/>
  <c r="AA57" i="34"/>
  <c r="D37" i="34"/>
  <c r="AA45" i="34"/>
  <c r="V52" i="34"/>
  <c r="BY176" i="34"/>
  <c r="AA63" i="34"/>
  <c r="L41" i="34"/>
  <c r="AR242" i="35" s="1"/>
  <c r="BZ176" i="34"/>
  <c r="L71" i="34"/>
  <c r="AR247" i="35" s="1"/>
  <c r="CE156" i="34"/>
  <c r="CE176" i="34"/>
  <c r="V41" i="34"/>
  <c r="W41" i="34" s="1"/>
  <c r="X41" i="34"/>
  <c r="AA41" i="34" s="1"/>
  <c r="V35" i="34"/>
  <c r="W35" i="34" s="1"/>
  <c r="X35" i="34"/>
  <c r="AA35" i="34" s="1"/>
  <c r="V47" i="34"/>
  <c r="W47" i="34" s="1"/>
  <c r="X47" i="34"/>
  <c r="AA47" i="34" s="1"/>
  <c r="V46" i="34"/>
  <c r="V64" i="34"/>
  <c r="V58" i="34"/>
  <c r="V76" i="34"/>
  <c r="V71" i="34"/>
  <c r="W71" i="34" s="1"/>
  <c r="V70" i="34"/>
  <c r="AA86" i="34"/>
  <c r="W86" i="34"/>
  <c r="X86" i="34" s="1"/>
  <c r="X77" i="34"/>
  <c r="AA77" i="34" s="1"/>
  <c r="W75" i="34"/>
  <c r="X75" i="34" s="1"/>
  <c r="AA75" i="34"/>
  <c r="X71" i="34"/>
  <c r="AA71" i="34" s="1"/>
  <c r="D61" i="34"/>
  <c r="V65" i="34"/>
  <c r="W65" i="34" s="1"/>
  <c r="D43" i="34"/>
  <c r="V77" i="34"/>
  <c r="W77" i="34" s="1"/>
  <c r="AA81" i="34"/>
  <c r="W81" i="34"/>
  <c r="X81" i="34" s="1"/>
  <c r="D67" i="34"/>
  <c r="CA176" i="34"/>
  <c r="D73" i="34"/>
  <c r="D49" i="34"/>
  <c r="V34" i="34"/>
  <c r="AI178" i="35"/>
  <c r="AI178" i="33"/>
  <c r="V70" i="32"/>
  <c r="W70" i="32" s="1"/>
  <c r="X70" i="32" s="1"/>
  <c r="AA70" i="32" s="1"/>
  <c r="AA51" i="32"/>
  <c r="V53" i="32"/>
  <c r="W53" i="32" s="1"/>
  <c r="D32" i="32"/>
  <c r="BQ148" i="32" s="1"/>
  <c r="BY148" i="32" s="1"/>
  <c r="V52" i="32"/>
  <c r="W52" i="32" s="1"/>
  <c r="X52" i="32" s="1"/>
  <c r="AA52" i="32" s="1"/>
  <c r="X47" i="32"/>
  <c r="AA47" i="32" s="1"/>
  <c r="X59" i="32"/>
  <c r="AA59" i="32" s="1"/>
  <c r="V58" i="32"/>
  <c r="W58" i="32" s="1"/>
  <c r="X58" i="32" s="1"/>
  <c r="X77" i="32"/>
  <c r="AA77" i="32" s="1"/>
  <c r="X71" i="32"/>
  <c r="AA71" i="32" s="1"/>
  <c r="D61" i="32"/>
  <c r="BV139" i="32" s="1"/>
  <c r="CD139" i="32" s="1"/>
  <c r="X35" i="32"/>
  <c r="AA35" i="32" s="1"/>
  <c r="AA69" i="32"/>
  <c r="V65" i="32"/>
  <c r="W65" i="32" s="1"/>
  <c r="X41" i="32"/>
  <c r="AA41" i="32" s="1"/>
  <c r="AI182" i="35"/>
  <c r="AI182" i="33"/>
  <c r="AR180" i="35"/>
  <c r="AR180" i="33"/>
  <c r="BQ163" i="32"/>
  <c r="BY163" i="32" s="1"/>
  <c r="AI180" i="35"/>
  <c r="AI180" i="33"/>
  <c r="BV168" i="32"/>
  <c r="CD168" i="32" s="1"/>
  <c r="AR182" i="33"/>
  <c r="AR182" i="35"/>
  <c r="D43" i="32"/>
  <c r="BS167" i="32" s="1"/>
  <c r="CA167" i="32" s="1"/>
  <c r="CD176" i="32"/>
  <c r="X65" i="32"/>
  <c r="AA65" i="32" s="1"/>
  <c r="W85" i="32"/>
  <c r="X85" i="32" s="1"/>
  <c r="CB156" i="32"/>
  <c r="W87" i="32"/>
  <c r="X87" i="32" s="1"/>
  <c r="W88" i="32"/>
  <c r="X88" i="32" s="1"/>
  <c r="AA57" i="32"/>
  <c r="V47" i="32"/>
  <c r="W47" i="32" s="1"/>
  <c r="V59" i="32"/>
  <c r="W59" i="32" s="1"/>
  <c r="L59" i="32"/>
  <c r="AR179" i="35" s="1"/>
  <c r="CD156" i="32"/>
  <c r="AA63" i="32"/>
  <c r="V64" i="32"/>
  <c r="W64" i="32" s="1"/>
  <c r="X64" i="32" s="1"/>
  <c r="CC176" i="32"/>
  <c r="W84" i="32"/>
  <c r="X84" i="32" s="1"/>
  <c r="V34" i="32"/>
  <c r="W83" i="32"/>
  <c r="X83" i="32" s="1"/>
  <c r="AA83" i="32"/>
  <c r="V76" i="32"/>
  <c r="AR178" i="35"/>
  <c r="AI179" i="33"/>
  <c r="AI179" i="35"/>
  <c r="D37" i="32"/>
  <c r="V41" i="32"/>
  <c r="W41" i="32" s="1"/>
  <c r="AI181" i="33"/>
  <c r="D73" i="32"/>
  <c r="D55" i="32"/>
  <c r="V77" i="32"/>
  <c r="W77" i="32" s="1"/>
  <c r="X53" i="32"/>
  <c r="AA53" i="32" s="1"/>
  <c r="V40" i="32"/>
  <c r="D67" i="32"/>
  <c r="V71" i="32"/>
  <c r="W71" i="32" s="1"/>
  <c r="D49" i="32"/>
  <c r="L71" i="4"/>
  <c r="AR115" i="35" s="1"/>
  <c r="CC176" i="4"/>
  <c r="CE176" i="4"/>
  <c r="AA75" i="4"/>
  <c r="AA86" i="4"/>
  <c r="AA81" i="4"/>
  <c r="W82" i="4"/>
  <c r="X82" i="4" s="1"/>
  <c r="AA69" i="4"/>
  <c r="AA51" i="4"/>
  <c r="AA45" i="4"/>
  <c r="AA39" i="4"/>
  <c r="AI116" i="17"/>
  <c r="AA83" i="4"/>
  <c r="AI115" i="33"/>
  <c r="AA84" i="4"/>
  <c r="W88" i="4"/>
  <c r="X88" i="4" s="1"/>
  <c r="D55" i="4"/>
  <c r="BU163" i="4" s="1"/>
  <c r="CC163" i="4" s="1"/>
  <c r="V64" i="4"/>
  <c r="W64" i="4" s="1"/>
  <c r="X64" i="4" s="1"/>
  <c r="AA64" i="4" s="1"/>
  <c r="D32" i="4"/>
  <c r="BQ140" i="4" s="1"/>
  <c r="BY140" i="4" s="1"/>
  <c r="D67" i="4"/>
  <c r="BW170" i="4" s="1"/>
  <c r="CE170" i="4" s="1"/>
  <c r="CD156" i="4"/>
  <c r="L53" i="4"/>
  <c r="AR112" i="33" s="1"/>
  <c r="AI113" i="17"/>
  <c r="W33" i="4"/>
  <c r="X33" i="4" s="1"/>
  <c r="AA33" i="4"/>
  <c r="L65" i="4"/>
  <c r="CB156" i="4"/>
  <c r="AI112" i="33"/>
  <c r="AI114" i="17"/>
  <c r="AI113" i="33"/>
  <c r="CF156" i="4"/>
  <c r="CF176" i="4"/>
  <c r="AA85" i="4"/>
  <c r="W85" i="4"/>
  <c r="X85" i="4" s="1"/>
  <c r="D61" i="4"/>
  <c r="V34" i="4"/>
  <c r="W34" i="4" s="1"/>
  <c r="X34" i="4" s="1"/>
  <c r="D49" i="4"/>
  <c r="BT172" i="4" s="1"/>
  <c r="CB172" i="4" s="1"/>
  <c r="D43" i="4"/>
  <c r="BS164" i="4" s="1"/>
  <c r="CA164" i="4" s="1"/>
  <c r="D73" i="4"/>
  <c r="BX150" i="4" s="1"/>
  <c r="CF150" i="4" s="1"/>
  <c r="D37" i="4"/>
  <c r="AI114" i="35"/>
  <c r="AI115" i="17"/>
  <c r="AI114" i="33"/>
  <c r="AR117" i="17"/>
  <c r="AR116" i="33"/>
  <c r="AR116" i="35"/>
  <c r="V46" i="4"/>
  <c r="V52" i="4"/>
  <c r="V70" i="4"/>
  <c r="V76" i="4"/>
  <c r="V40" i="4"/>
  <c r="V58" i="4"/>
  <c r="L59" i="4"/>
  <c r="BQ145" i="34" l="1"/>
  <c r="BY145" i="34" s="1"/>
  <c r="Z44" i="32"/>
  <c r="W44" i="32" s="1"/>
  <c r="X44" i="32" s="1"/>
  <c r="AA44" i="32" s="1"/>
  <c r="AS12" i="4"/>
  <c r="AT9" i="4"/>
  <c r="O38" i="33" s="1"/>
  <c r="Q145" i="33"/>
  <c r="Q145" i="35"/>
  <c r="L240" i="35"/>
  <c r="L174" i="35"/>
  <c r="I31" i="32"/>
  <c r="L174" i="33"/>
  <c r="O42" i="17"/>
  <c r="BA41" i="35"/>
  <c r="O41" i="35"/>
  <c r="V77" i="4"/>
  <c r="W77" i="4" s="1"/>
  <c r="X77" i="4" s="1"/>
  <c r="AA77" i="4" s="1"/>
  <c r="X41" i="35"/>
  <c r="AS208" i="4"/>
  <c r="W32" i="4"/>
  <c r="X32" i="4" s="1"/>
  <c r="AA32" i="4" s="1"/>
  <c r="V65" i="4"/>
  <c r="W65" i="4" s="1"/>
  <c r="X65" i="4" s="1"/>
  <c r="AA65" i="4" s="1"/>
  <c r="V41" i="4"/>
  <c r="W41" i="4" s="1"/>
  <c r="X41" i="4" s="1"/>
  <c r="AA41" i="4" s="1"/>
  <c r="V47" i="4"/>
  <c r="W47" i="4" s="1"/>
  <c r="X47" i="4" s="1"/>
  <c r="AA47" i="4" s="1"/>
  <c r="V53" i="4"/>
  <c r="W53" i="4" s="1"/>
  <c r="X53" i="4" s="1"/>
  <c r="AA53" i="4" s="1"/>
  <c r="V59" i="4"/>
  <c r="W59" i="4" s="1"/>
  <c r="X59" i="4" s="1"/>
  <c r="AA59" i="4" s="1"/>
  <c r="V35" i="4"/>
  <c r="W35" i="4" s="1"/>
  <c r="X35" i="4" s="1"/>
  <c r="V71" i="4"/>
  <c r="W71" i="4" s="1"/>
  <c r="X71" i="4" s="1"/>
  <c r="AA71" i="4" s="1"/>
  <c r="Q79" i="35"/>
  <c r="Q80" i="17"/>
  <c r="Q79" i="33"/>
  <c r="AT26" i="4"/>
  <c r="BA42" i="17"/>
  <c r="AS8" i="4"/>
  <c r="X38" i="35"/>
  <c r="O39" i="33"/>
  <c r="AT22" i="32"/>
  <c r="O41" i="17"/>
  <c r="BA39" i="35"/>
  <c r="AT7" i="4"/>
  <c r="O36" i="33" s="1"/>
  <c r="AT25" i="4"/>
  <c r="X39" i="35"/>
  <c r="O40" i="35"/>
  <c r="O38" i="17"/>
  <c r="X41" i="17"/>
  <c r="AT23" i="4"/>
  <c r="BA41" i="17"/>
  <c r="X38" i="17"/>
  <c r="AT6" i="4"/>
  <c r="BA35" i="35" s="1"/>
  <c r="AO141" i="32"/>
  <c r="AT13" i="32" s="1"/>
  <c r="AS13" i="32" s="1"/>
  <c r="AT21" i="32"/>
  <c r="X39" i="17"/>
  <c r="AS18" i="32"/>
  <c r="AT18" i="4"/>
  <c r="AO169" i="32"/>
  <c r="O37" i="35"/>
  <c r="BA38" i="35"/>
  <c r="AT24" i="4"/>
  <c r="BA39" i="17"/>
  <c r="AS15" i="32"/>
  <c r="AT34" i="32"/>
  <c r="BA38" i="33"/>
  <c r="O39" i="17"/>
  <c r="O38" i="35"/>
  <c r="AT15" i="4"/>
  <c r="BV166" i="32"/>
  <c r="CD166" i="32" s="1"/>
  <c r="AS9" i="4"/>
  <c r="X38" i="33"/>
  <c r="AT19" i="4"/>
  <c r="O49" i="17" s="1"/>
  <c r="X40" i="33"/>
  <c r="BA40" i="33"/>
  <c r="AS11" i="4"/>
  <c r="X40" i="17"/>
  <c r="BA39" i="33"/>
  <c r="X39" i="33"/>
  <c r="X42" i="17"/>
  <c r="X41" i="33"/>
  <c r="AT27" i="4"/>
  <c r="X37" i="33"/>
  <c r="BA37" i="35"/>
  <c r="BA38" i="17"/>
  <c r="AT28" i="32"/>
  <c r="O40" i="33"/>
  <c r="BA40" i="35"/>
  <c r="BA40" i="17"/>
  <c r="O39" i="35"/>
  <c r="O41" i="33"/>
  <c r="O37" i="33"/>
  <c r="BA37" i="33"/>
  <c r="AR181" i="33"/>
  <c r="BV141" i="32"/>
  <c r="CD141" i="32" s="1"/>
  <c r="I63" i="32"/>
  <c r="AG56" i="32" s="1"/>
  <c r="H63" i="32"/>
  <c r="H65" i="32" s="1"/>
  <c r="L180" i="33" s="1"/>
  <c r="AJ96" i="33"/>
  <c r="AJ97" i="33"/>
  <c r="BV174" i="32"/>
  <c r="CD174" i="32" s="1"/>
  <c r="AJ98" i="33"/>
  <c r="AJ92" i="33"/>
  <c r="Z38" i="4"/>
  <c r="W38" i="4" s="1"/>
  <c r="X38" i="4" s="1"/>
  <c r="AA38" i="4" s="1"/>
  <c r="AI116" i="35"/>
  <c r="BA43" i="35"/>
  <c r="X43" i="35"/>
  <c r="AO141" i="4"/>
  <c r="BA43" i="36"/>
  <c r="O43" i="33"/>
  <c r="AT29" i="4"/>
  <c r="X44" i="17"/>
  <c r="X43" i="33"/>
  <c r="AS14" i="4"/>
  <c r="BA44" i="17"/>
  <c r="O43" i="35"/>
  <c r="BA43" i="33"/>
  <c r="BA45" i="36"/>
  <c r="BA45" i="35"/>
  <c r="X45" i="35"/>
  <c r="AS16" i="4"/>
  <c r="BA45" i="33"/>
  <c r="AT31" i="4"/>
  <c r="O45" i="35"/>
  <c r="O45" i="33"/>
  <c r="BA46" i="17"/>
  <c r="X46" i="17"/>
  <c r="O46" i="17"/>
  <c r="X45" i="33"/>
  <c r="BQ144" i="34"/>
  <c r="BY144" i="34" s="1"/>
  <c r="BS147" i="32"/>
  <c r="CA147" i="32" s="1"/>
  <c r="BQ142" i="32"/>
  <c r="BY142" i="32" s="1"/>
  <c r="BQ167" i="32"/>
  <c r="BY167" i="32" s="1"/>
  <c r="BU150" i="34"/>
  <c r="CC150" i="34" s="1"/>
  <c r="BQ138" i="32"/>
  <c r="BY138" i="32" s="1"/>
  <c r="BQ138" i="34"/>
  <c r="BY138" i="34" s="1"/>
  <c r="BQ166" i="34"/>
  <c r="BY166" i="34" s="1"/>
  <c r="BR149" i="34"/>
  <c r="BZ149" i="34" s="1"/>
  <c r="BQ147" i="32"/>
  <c r="BY147" i="32" s="1"/>
  <c r="BQ152" i="34"/>
  <c r="BY152" i="34" s="1"/>
  <c r="BQ147" i="34"/>
  <c r="BY147" i="34" s="1"/>
  <c r="BU169" i="34"/>
  <c r="CC169" i="34" s="1"/>
  <c r="AJ101" i="17"/>
  <c r="AJ95" i="35"/>
  <c r="AJ100" i="33"/>
  <c r="BQ164" i="32"/>
  <c r="BY164" i="32" s="1"/>
  <c r="BQ172" i="34"/>
  <c r="BY172" i="34" s="1"/>
  <c r="BQ139" i="34"/>
  <c r="BY139" i="34" s="1"/>
  <c r="D57" i="34"/>
  <c r="F57" i="34" s="1"/>
  <c r="V55" i="34" s="1"/>
  <c r="AJ92" i="35"/>
  <c r="AJ94" i="33"/>
  <c r="AJ98" i="35"/>
  <c r="AJ95" i="33"/>
  <c r="AJ94" i="17"/>
  <c r="AJ97" i="35"/>
  <c r="AJ100" i="17"/>
  <c r="AJ99" i="35"/>
  <c r="AJ100" i="35"/>
  <c r="BV171" i="32"/>
  <c r="CD171" i="32" s="1"/>
  <c r="BV162" i="32"/>
  <c r="CD162" i="32" s="1"/>
  <c r="BV163" i="32"/>
  <c r="CD163" i="32" s="1"/>
  <c r="BQ150" i="32"/>
  <c r="BY150" i="32" s="1"/>
  <c r="BQ172" i="32"/>
  <c r="BY172" i="32" s="1"/>
  <c r="BQ145" i="32"/>
  <c r="BY145" i="32" s="1"/>
  <c r="AJ96" i="17"/>
  <c r="AJ93" i="17"/>
  <c r="AJ95" i="17"/>
  <c r="B102" i="17"/>
  <c r="B101" i="35"/>
  <c r="B101" i="33"/>
  <c r="BV144" i="32"/>
  <c r="CD144" i="32" s="1"/>
  <c r="BV146" i="32"/>
  <c r="CD146" i="32" s="1"/>
  <c r="BV152" i="32"/>
  <c r="CD152" i="32" s="1"/>
  <c r="BQ153" i="32"/>
  <c r="BY153" i="32" s="1"/>
  <c r="BQ146" i="32"/>
  <c r="BY146" i="32" s="1"/>
  <c r="BQ151" i="32"/>
  <c r="BY151" i="32" s="1"/>
  <c r="AJ93" i="35"/>
  <c r="U91" i="33"/>
  <c r="AJ91" i="33" s="1"/>
  <c r="U92" i="17"/>
  <c r="AJ92" i="17" s="1"/>
  <c r="U91" i="35"/>
  <c r="AJ91" i="35" s="1"/>
  <c r="AJ98" i="17"/>
  <c r="AJ97" i="17"/>
  <c r="BV145" i="32"/>
  <c r="CD145" i="32" s="1"/>
  <c r="BV138" i="32"/>
  <c r="CD138" i="32" s="1"/>
  <c r="BV140" i="32"/>
  <c r="CD140" i="32" s="1"/>
  <c r="BV150" i="32"/>
  <c r="CD150" i="32" s="1"/>
  <c r="BV137" i="32"/>
  <c r="CD137" i="32" s="1"/>
  <c r="BV170" i="32"/>
  <c r="CD170" i="32" s="1"/>
  <c r="BV147" i="32"/>
  <c r="CD147" i="32" s="1"/>
  <c r="BQ169" i="32"/>
  <c r="BY169" i="32" s="1"/>
  <c r="BQ139" i="32"/>
  <c r="BY139" i="32" s="1"/>
  <c r="BQ174" i="32"/>
  <c r="BY174" i="32" s="1"/>
  <c r="BQ141" i="32"/>
  <c r="BY141" i="32" s="1"/>
  <c r="BQ149" i="32"/>
  <c r="BY149" i="32" s="1"/>
  <c r="BQ140" i="32"/>
  <c r="BY140" i="32" s="1"/>
  <c r="BQ152" i="32"/>
  <c r="BY152" i="32" s="1"/>
  <c r="BS150" i="32"/>
  <c r="CA150" i="32" s="1"/>
  <c r="BV148" i="32"/>
  <c r="CD148" i="32" s="1"/>
  <c r="BV173" i="32"/>
  <c r="CD173" i="32" s="1"/>
  <c r="BV142" i="32"/>
  <c r="CD142" i="32" s="1"/>
  <c r="BV153" i="32"/>
  <c r="CD153" i="32" s="1"/>
  <c r="BV154" i="32"/>
  <c r="CD154" i="32" s="1"/>
  <c r="BV149" i="32"/>
  <c r="CD149" i="32" s="1"/>
  <c r="D63" i="32"/>
  <c r="F63" i="32" s="1"/>
  <c r="V61" i="32" s="1"/>
  <c r="BQ154" i="32"/>
  <c r="BY154" i="32" s="1"/>
  <c r="BQ173" i="32"/>
  <c r="BY173" i="32" s="1"/>
  <c r="BQ144" i="32"/>
  <c r="BY144" i="32" s="1"/>
  <c r="BQ137" i="32"/>
  <c r="BY137" i="32" s="1"/>
  <c r="BQ171" i="32"/>
  <c r="BY171" i="32" s="1"/>
  <c r="H34" i="32"/>
  <c r="D34" i="32"/>
  <c r="BR163" i="34"/>
  <c r="BZ163" i="34" s="1"/>
  <c r="AB79" i="17"/>
  <c r="AS79" i="17"/>
  <c r="L89" i="17"/>
  <c r="AT107" i="17"/>
  <c r="L79" i="17"/>
  <c r="AF89" i="17"/>
  <c r="AT89" i="17"/>
  <c r="X107" i="17"/>
  <c r="L107" i="17"/>
  <c r="B107" i="17"/>
  <c r="AF88" i="33"/>
  <c r="AB144" i="33"/>
  <c r="L172" i="33"/>
  <c r="AS144" i="33"/>
  <c r="AT154" i="33"/>
  <c r="B106" i="33"/>
  <c r="AB78" i="33"/>
  <c r="L144" i="33"/>
  <c r="B172" i="33"/>
  <c r="L88" i="33"/>
  <c r="X172" i="33"/>
  <c r="AT172" i="33"/>
  <c r="AF154" i="33"/>
  <c r="AT88" i="33"/>
  <c r="L78" i="33"/>
  <c r="L154" i="33"/>
  <c r="AS78" i="33"/>
  <c r="L106" i="33"/>
  <c r="AT106" i="33"/>
  <c r="X106" i="33"/>
  <c r="B172" i="35"/>
  <c r="L78" i="35"/>
  <c r="L88" i="35"/>
  <c r="AS210" i="35"/>
  <c r="X106" i="35"/>
  <c r="L220" i="35"/>
  <c r="L144" i="35"/>
  <c r="B238" i="35"/>
  <c r="AS144" i="35"/>
  <c r="AT238" i="35"/>
  <c r="AF154" i="35"/>
  <c r="X172" i="35"/>
  <c r="AF88" i="35"/>
  <c r="B106" i="35"/>
  <c r="X238" i="35"/>
  <c r="AT154" i="35"/>
  <c r="L238" i="35"/>
  <c r="AB78" i="35"/>
  <c r="AT172" i="35"/>
  <c r="AT88" i="35"/>
  <c r="AB210" i="35"/>
  <c r="L106" i="35"/>
  <c r="L210" i="35"/>
  <c r="L172" i="35"/>
  <c r="AT220" i="35"/>
  <c r="AT106" i="35"/>
  <c r="AF220" i="35"/>
  <c r="AB144" i="35"/>
  <c r="L154" i="35"/>
  <c r="AS78" i="35"/>
  <c r="BE9" i="4"/>
  <c r="BF9" i="4" s="1"/>
  <c r="L31" i="4" s="1"/>
  <c r="BR139" i="34"/>
  <c r="BZ139" i="34" s="1"/>
  <c r="BR171" i="34"/>
  <c r="BZ171" i="34" s="1"/>
  <c r="BR153" i="34"/>
  <c r="BZ153" i="34" s="1"/>
  <c r="BR151" i="34"/>
  <c r="BZ151" i="34" s="1"/>
  <c r="BV169" i="32"/>
  <c r="CD169" i="32" s="1"/>
  <c r="BV167" i="32"/>
  <c r="CD167" i="32" s="1"/>
  <c r="BV143" i="32"/>
  <c r="CD143" i="32" s="1"/>
  <c r="BV164" i="32"/>
  <c r="CD164" i="32" s="1"/>
  <c r="BV151" i="32"/>
  <c r="CD151" i="32" s="1"/>
  <c r="BV172" i="32"/>
  <c r="CD172" i="32" s="1"/>
  <c r="BV165" i="32"/>
  <c r="CD165" i="32" s="1"/>
  <c r="BQ168" i="32"/>
  <c r="BY168" i="32" s="1"/>
  <c r="BQ162" i="32"/>
  <c r="BY162" i="32" s="1"/>
  <c r="BQ165" i="32"/>
  <c r="BY165" i="32" s="1"/>
  <c r="BQ170" i="32"/>
  <c r="BY170" i="32" s="1"/>
  <c r="BQ166" i="32"/>
  <c r="BY166" i="32" s="1"/>
  <c r="BQ143" i="32"/>
  <c r="BY143" i="32" s="1"/>
  <c r="BR167" i="34"/>
  <c r="BZ167" i="34" s="1"/>
  <c r="K126" i="33"/>
  <c r="K60" i="33"/>
  <c r="K192" i="35"/>
  <c r="K60" i="35"/>
  <c r="K126" i="35"/>
  <c r="AR115" i="33"/>
  <c r="AR116" i="17"/>
  <c r="BU146" i="34"/>
  <c r="CC146" i="34" s="1"/>
  <c r="BU162" i="34"/>
  <c r="CC162" i="34" s="1"/>
  <c r="BU138" i="34"/>
  <c r="CC138" i="34" s="1"/>
  <c r="BU174" i="34"/>
  <c r="CC174" i="34" s="1"/>
  <c r="BU173" i="34"/>
  <c r="CC173" i="34" s="1"/>
  <c r="BU142" i="34"/>
  <c r="CC142" i="34" s="1"/>
  <c r="BU163" i="34"/>
  <c r="CC163" i="34" s="1"/>
  <c r="BU145" i="34"/>
  <c r="CC145" i="34" s="1"/>
  <c r="BU166" i="34"/>
  <c r="CC166" i="34" s="1"/>
  <c r="BU141" i="34"/>
  <c r="CC141" i="34" s="1"/>
  <c r="I57" i="34"/>
  <c r="AG51" i="34" s="1"/>
  <c r="BU171" i="34"/>
  <c r="CC171" i="34" s="1"/>
  <c r="BU152" i="34"/>
  <c r="CC152" i="34" s="1"/>
  <c r="BU165" i="34"/>
  <c r="CC165" i="34" s="1"/>
  <c r="BU144" i="34"/>
  <c r="CC144" i="34" s="1"/>
  <c r="BS165" i="32"/>
  <c r="CA165" i="32" s="1"/>
  <c r="BS164" i="32"/>
  <c r="CA164" i="32" s="1"/>
  <c r="D45" i="32"/>
  <c r="C20" i="32" s="1"/>
  <c r="AA58" i="32"/>
  <c r="BS144" i="32"/>
  <c r="CA144" i="32" s="1"/>
  <c r="BS154" i="32"/>
  <c r="CA154" i="32" s="1"/>
  <c r="BQ162" i="34"/>
  <c r="BY162" i="34" s="1"/>
  <c r="BQ154" i="34"/>
  <c r="BY154" i="34" s="1"/>
  <c r="I34" i="34"/>
  <c r="I36" i="34" s="1"/>
  <c r="X241" i="35" s="1"/>
  <c r="BR172" i="34"/>
  <c r="BZ172" i="34" s="1"/>
  <c r="BR174" i="34"/>
  <c r="BZ174" i="34" s="1"/>
  <c r="BQ167" i="34"/>
  <c r="BY167" i="34" s="1"/>
  <c r="BQ148" i="34"/>
  <c r="BY148" i="34" s="1"/>
  <c r="BQ137" i="34"/>
  <c r="BY137" i="34" s="1"/>
  <c r="BQ174" i="34"/>
  <c r="BY174" i="34" s="1"/>
  <c r="BQ165" i="34"/>
  <c r="BY165" i="34" s="1"/>
  <c r="BQ173" i="34"/>
  <c r="BY173" i="34" s="1"/>
  <c r="BQ143" i="34"/>
  <c r="BY143" i="34" s="1"/>
  <c r="BQ163" i="34"/>
  <c r="BY163" i="34" s="1"/>
  <c r="BR143" i="34"/>
  <c r="BZ143" i="34" s="1"/>
  <c r="BR137" i="34"/>
  <c r="BZ137" i="34" s="1"/>
  <c r="BR150" i="34"/>
  <c r="BZ150" i="34" s="1"/>
  <c r="BR165" i="34"/>
  <c r="BZ165" i="34" s="1"/>
  <c r="BR144" i="34"/>
  <c r="BZ144" i="34" s="1"/>
  <c r="BR146" i="34"/>
  <c r="BZ146" i="34" s="1"/>
  <c r="D39" i="34"/>
  <c r="F39" i="34" s="1"/>
  <c r="V37" i="34" s="1"/>
  <c r="BU137" i="34"/>
  <c r="CC137" i="34" s="1"/>
  <c r="H57" i="34"/>
  <c r="H59" i="34" s="1"/>
  <c r="L245" i="35" s="1"/>
  <c r="BU168" i="34"/>
  <c r="CC168" i="34" s="1"/>
  <c r="BU149" i="34"/>
  <c r="CC149" i="34" s="1"/>
  <c r="BU147" i="34"/>
  <c r="CC147" i="34" s="1"/>
  <c r="BU170" i="34"/>
  <c r="CC170" i="34" s="1"/>
  <c r="BU153" i="34"/>
  <c r="CC153" i="34" s="1"/>
  <c r="BU154" i="34"/>
  <c r="CC154" i="34" s="1"/>
  <c r="BQ164" i="34"/>
  <c r="BY164" i="34" s="1"/>
  <c r="BQ170" i="34"/>
  <c r="BY170" i="34" s="1"/>
  <c r="BQ150" i="34"/>
  <c r="BY150" i="34" s="1"/>
  <c r="BQ142" i="34"/>
  <c r="BY142" i="34" s="1"/>
  <c r="BQ140" i="34"/>
  <c r="BY140" i="34" s="1"/>
  <c r="BR148" i="34"/>
  <c r="BZ148" i="34" s="1"/>
  <c r="BR152" i="34"/>
  <c r="BZ152" i="34" s="1"/>
  <c r="BR164" i="34"/>
  <c r="BZ164" i="34" s="1"/>
  <c r="BR173" i="34"/>
  <c r="BZ173" i="34" s="1"/>
  <c r="BQ171" i="34"/>
  <c r="BY171" i="34" s="1"/>
  <c r="BQ149" i="34"/>
  <c r="BY149" i="34" s="1"/>
  <c r="BQ168" i="34"/>
  <c r="BY168" i="34" s="1"/>
  <c r="BQ141" i="34"/>
  <c r="BY141" i="34" s="1"/>
  <c r="BQ151" i="34"/>
  <c r="BY151" i="34" s="1"/>
  <c r="BQ169" i="34"/>
  <c r="BY169" i="34" s="1"/>
  <c r="BQ153" i="34"/>
  <c r="BY153" i="34" s="1"/>
  <c r="BQ146" i="34"/>
  <c r="BY146" i="34" s="1"/>
  <c r="D34" i="34"/>
  <c r="B241" i="35" s="1"/>
  <c r="BR166" i="34"/>
  <c r="BZ166" i="34" s="1"/>
  <c r="BR142" i="34"/>
  <c r="BZ142" i="34" s="1"/>
  <c r="BR162" i="34"/>
  <c r="BZ162" i="34" s="1"/>
  <c r="BR169" i="34"/>
  <c r="BZ169" i="34" s="1"/>
  <c r="BR145" i="34"/>
  <c r="BZ145" i="34" s="1"/>
  <c r="BR140" i="34"/>
  <c r="BZ140" i="34" s="1"/>
  <c r="BU139" i="34"/>
  <c r="CC139" i="34" s="1"/>
  <c r="BU151" i="34"/>
  <c r="CC151" i="34" s="1"/>
  <c r="BU172" i="34"/>
  <c r="CC172" i="34" s="1"/>
  <c r="BU148" i="34"/>
  <c r="CC148" i="34" s="1"/>
  <c r="BU164" i="34"/>
  <c r="CC164" i="34" s="1"/>
  <c r="BU167" i="34"/>
  <c r="CC167" i="34" s="1"/>
  <c r="BU143" i="34"/>
  <c r="CC143" i="34" s="1"/>
  <c r="BR154" i="34"/>
  <c r="BZ154" i="34" s="1"/>
  <c r="BR138" i="34"/>
  <c r="BZ138" i="34" s="1"/>
  <c r="BR147" i="34"/>
  <c r="BZ147" i="34" s="1"/>
  <c r="BR170" i="34"/>
  <c r="BZ170" i="34" s="1"/>
  <c r="I39" i="34"/>
  <c r="AG36" i="34" s="1"/>
  <c r="H39" i="34"/>
  <c r="H41" i="34" s="1"/>
  <c r="L242" i="35" s="1"/>
  <c r="BR168" i="34"/>
  <c r="BZ168" i="34" s="1"/>
  <c r="BR141" i="34"/>
  <c r="BZ141" i="34" s="1"/>
  <c r="W52" i="34"/>
  <c r="X52" i="34" s="1"/>
  <c r="W34" i="34"/>
  <c r="X34" i="34" s="1"/>
  <c r="AA34" i="34" s="1"/>
  <c r="D45" i="34"/>
  <c r="BS147" i="34"/>
  <c r="CA147" i="34" s="1"/>
  <c r="BS167" i="34"/>
  <c r="CA167" i="34" s="1"/>
  <c r="BS162" i="34"/>
  <c r="CA162" i="34" s="1"/>
  <c r="BS170" i="34"/>
  <c r="CA170" i="34" s="1"/>
  <c r="BS140" i="34"/>
  <c r="CA140" i="34" s="1"/>
  <c r="BS148" i="34"/>
  <c r="CA148" i="34" s="1"/>
  <c r="BS137" i="34"/>
  <c r="CA137" i="34" s="1"/>
  <c r="BS153" i="34"/>
  <c r="CA153" i="34" s="1"/>
  <c r="BS143" i="34"/>
  <c r="CA143" i="34" s="1"/>
  <c r="BS165" i="34"/>
  <c r="CA165" i="34" s="1"/>
  <c r="BS173" i="34"/>
  <c r="CA173" i="34" s="1"/>
  <c r="BS168" i="34"/>
  <c r="CA168" i="34" s="1"/>
  <c r="BS138" i="34"/>
  <c r="CA138" i="34" s="1"/>
  <c r="BS146" i="34"/>
  <c r="CA146" i="34" s="1"/>
  <c r="BS154" i="34"/>
  <c r="CA154" i="34" s="1"/>
  <c r="BS149" i="34"/>
  <c r="CA149" i="34" s="1"/>
  <c r="BS139" i="34"/>
  <c r="CA139" i="34" s="1"/>
  <c r="BS163" i="34"/>
  <c r="CA163" i="34" s="1"/>
  <c r="BS171" i="34"/>
  <c r="CA171" i="34" s="1"/>
  <c r="BS166" i="34"/>
  <c r="CA166" i="34" s="1"/>
  <c r="BS174" i="34"/>
  <c r="CA174" i="34" s="1"/>
  <c r="BS144" i="34"/>
  <c r="CA144" i="34" s="1"/>
  <c r="BS172" i="34"/>
  <c r="CA172" i="34" s="1"/>
  <c r="H45" i="34"/>
  <c r="H47" i="34" s="1"/>
  <c r="L243" i="35" s="1"/>
  <c r="BS151" i="34"/>
  <c r="CA151" i="34" s="1"/>
  <c r="BS142" i="34"/>
  <c r="CA142" i="34" s="1"/>
  <c r="BS145" i="34"/>
  <c r="CA145" i="34" s="1"/>
  <c r="BS141" i="34"/>
  <c r="CA141" i="34" s="1"/>
  <c r="BS152" i="34"/>
  <c r="CA152" i="34" s="1"/>
  <c r="BS169" i="34"/>
  <c r="CA169" i="34" s="1"/>
  <c r="BS150" i="34"/>
  <c r="CA150" i="34" s="1"/>
  <c r="BS164" i="34"/>
  <c r="CA164" i="34" s="1"/>
  <c r="I45" i="34"/>
  <c r="W64" i="34"/>
  <c r="X64" i="34" s="1"/>
  <c r="D51" i="34"/>
  <c r="BT169" i="34"/>
  <c r="CB169" i="34" s="1"/>
  <c r="BT141" i="34"/>
  <c r="CB141" i="34" s="1"/>
  <c r="BT140" i="34"/>
  <c r="CB140" i="34" s="1"/>
  <c r="BT150" i="34"/>
  <c r="CB150" i="34" s="1"/>
  <c r="BT171" i="34"/>
  <c r="CB171" i="34" s="1"/>
  <c r="BT143" i="34"/>
  <c r="CB143" i="34" s="1"/>
  <c r="BT144" i="34"/>
  <c r="CB144" i="34" s="1"/>
  <c r="BT142" i="34"/>
  <c r="CB142" i="34" s="1"/>
  <c r="BT173" i="34"/>
  <c r="CB173" i="34" s="1"/>
  <c r="BT148" i="34"/>
  <c r="CB148" i="34" s="1"/>
  <c r="BT152" i="34"/>
  <c r="CB152" i="34" s="1"/>
  <c r="BT154" i="34"/>
  <c r="CB154" i="34" s="1"/>
  <c r="BT166" i="34"/>
  <c r="CB166" i="34" s="1"/>
  <c r="BT137" i="34"/>
  <c r="CB137" i="34" s="1"/>
  <c r="BT172" i="34"/>
  <c r="CB172" i="34" s="1"/>
  <c r="BT138" i="34"/>
  <c r="CB138" i="34" s="1"/>
  <c r="I51" i="34"/>
  <c r="BT170" i="34"/>
  <c r="CB170" i="34" s="1"/>
  <c r="BT149" i="34"/>
  <c r="CB149" i="34" s="1"/>
  <c r="BT174" i="34"/>
  <c r="CB174" i="34" s="1"/>
  <c r="BT163" i="34"/>
  <c r="CB163" i="34" s="1"/>
  <c r="BT168" i="34"/>
  <c r="CB168" i="34" s="1"/>
  <c r="BT151" i="34"/>
  <c r="CB151" i="34" s="1"/>
  <c r="H51" i="34"/>
  <c r="H53" i="34" s="1"/>
  <c r="L244" i="35" s="1"/>
  <c r="BT145" i="34"/>
  <c r="CB145" i="34" s="1"/>
  <c r="BT165" i="34"/>
  <c r="CB165" i="34" s="1"/>
  <c r="BT162" i="34"/>
  <c r="CB162" i="34" s="1"/>
  <c r="BT153" i="34"/>
  <c r="CB153" i="34" s="1"/>
  <c r="BT139" i="34"/>
  <c r="CB139" i="34" s="1"/>
  <c r="BT167" i="34"/>
  <c r="CB167" i="34" s="1"/>
  <c r="BT164" i="34"/>
  <c r="CB164" i="34" s="1"/>
  <c r="BT146" i="34"/>
  <c r="CB146" i="34" s="1"/>
  <c r="BT147" i="34"/>
  <c r="CB147" i="34" s="1"/>
  <c r="D69" i="34"/>
  <c r="BW165" i="34"/>
  <c r="CE165" i="34" s="1"/>
  <c r="BW145" i="34"/>
  <c r="CE145" i="34" s="1"/>
  <c r="BW146" i="34"/>
  <c r="CE146" i="34" s="1"/>
  <c r="BW139" i="34"/>
  <c r="CE139" i="34" s="1"/>
  <c r="BW173" i="34"/>
  <c r="CE173" i="34" s="1"/>
  <c r="BW154" i="34"/>
  <c r="CE154" i="34" s="1"/>
  <c r="BW153" i="34"/>
  <c r="CE153" i="34" s="1"/>
  <c r="BW147" i="34"/>
  <c r="CE147" i="34" s="1"/>
  <c r="BW170" i="34"/>
  <c r="CE170" i="34" s="1"/>
  <c r="BW171" i="34"/>
  <c r="CE171" i="34" s="1"/>
  <c r="BW150" i="34"/>
  <c r="CE150" i="34" s="1"/>
  <c r="BW174" i="34"/>
  <c r="CE174" i="34" s="1"/>
  <c r="BW149" i="34"/>
  <c r="CE149" i="34" s="1"/>
  <c r="BW166" i="34"/>
  <c r="CE166" i="34" s="1"/>
  <c r="BW144" i="34"/>
  <c r="CE144" i="34" s="1"/>
  <c r="BW152" i="34"/>
  <c r="CE152" i="34" s="1"/>
  <c r="BW168" i="34"/>
  <c r="CE168" i="34" s="1"/>
  <c r="BW169" i="34"/>
  <c r="CE169" i="34" s="1"/>
  <c r="BW148" i="34"/>
  <c r="CE148" i="34" s="1"/>
  <c r="BW143" i="34"/>
  <c r="CE143" i="34" s="1"/>
  <c r="BW137" i="34"/>
  <c r="CE137" i="34" s="1"/>
  <c r="BW138" i="34"/>
  <c r="CE138" i="34" s="1"/>
  <c r="BW167" i="34"/>
  <c r="CE167" i="34" s="1"/>
  <c r="H69" i="34"/>
  <c r="H71" i="34" s="1"/>
  <c r="L247" i="35" s="1"/>
  <c r="BW164" i="34"/>
  <c r="CE164" i="34" s="1"/>
  <c r="BW151" i="34"/>
  <c r="CE151" i="34" s="1"/>
  <c r="BW162" i="34"/>
  <c r="CE162" i="34" s="1"/>
  <c r="BW141" i="34"/>
  <c r="CE141" i="34" s="1"/>
  <c r="I69" i="34"/>
  <c r="BW142" i="34"/>
  <c r="CE142" i="34" s="1"/>
  <c r="BW172" i="34"/>
  <c r="CE172" i="34" s="1"/>
  <c r="BW163" i="34"/>
  <c r="CE163" i="34" s="1"/>
  <c r="BW140" i="34"/>
  <c r="CE140" i="34" s="1"/>
  <c r="BX169" i="34"/>
  <c r="CF169" i="34" s="1"/>
  <c r="BX148" i="34"/>
  <c r="CF148" i="34" s="1"/>
  <c r="BX153" i="34"/>
  <c r="CF153" i="34" s="1"/>
  <c r="BX164" i="34"/>
  <c r="CF164" i="34" s="1"/>
  <c r="BX171" i="34"/>
  <c r="CF171" i="34" s="1"/>
  <c r="BX150" i="34"/>
  <c r="CF150" i="34" s="1"/>
  <c r="BX166" i="34"/>
  <c r="CF166" i="34" s="1"/>
  <c r="BX141" i="34"/>
  <c r="CF141" i="34" s="1"/>
  <c r="D75" i="34"/>
  <c r="H75" i="34"/>
  <c r="H77" i="34" s="1"/>
  <c r="L248" i="35" s="1"/>
  <c r="BX173" i="34"/>
  <c r="CF173" i="34" s="1"/>
  <c r="BX152" i="34"/>
  <c r="CF152" i="34" s="1"/>
  <c r="BX168" i="34"/>
  <c r="CF168" i="34" s="1"/>
  <c r="BX172" i="34"/>
  <c r="CF172" i="34" s="1"/>
  <c r="BX138" i="34"/>
  <c r="CF138" i="34" s="1"/>
  <c r="BX154" i="34"/>
  <c r="CF154" i="34" s="1"/>
  <c r="BX143" i="34"/>
  <c r="CF143" i="34" s="1"/>
  <c r="BX147" i="34"/>
  <c r="CF147" i="34" s="1"/>
  <c r="BX140" i="34"/>
  <c r="CF140" i="34" s="1"/>
  <c r="BX162" i="34"/>
  <c r="CF162" i="34" s="1"/>
  <c r="BX151" i="34"/>
  <c r="CF151" i="34" s="1"/>
  <c r="BX163" i="34"/>
  <c r="CF163" i="34" s="1"/>
  <c r="BX142" i="34"/>
  <c r="CF142" i="34" s="1"/>
  <c r="BX170" i="34"/>
  <c r="CF170" i="34" s="1"/>
  <c r="BX174" i="34"/>
  <c r="CF174" i="34" s="1"/>
  <c r="I75" i="34"/>
  <c r="BX149" i="34"/>
  <c r="CF149" i="34" s="1"/>
  <c r="BX139" i="34"/>
  <c r="CF139" i="34" s="1"/>
  <c r="BX165" i="34"/>
  <c r="CF165" i="34" s="1"/>
  <c r="BX167" i="34"/>
  <c r="CF167" i="34" s="1"/>
  <c r="BX137" i="34"/>
  <c r="CF137" i="34" s="1"/>
  <c r="BX145" i="34"/>
  <c r="CF145" i="34" s="1"/>
  <c r="BX144" i="34"/>
  <c r="CF144" i="34" s="1"/>
  <c r="BX146" i="34"/>
  <c r="CF146" i="34" s="1"/>
  <c r="D63" i="34"/>
  <c r="BV174" i="34"/>
  <c r="CD174" i="34" s="1"/>
  <c r="BV164" i="34"/>
  <c r="CD164" i="34" s="1"/>
  <c r="BV163" i="34"/>
  <c r="CD163" i="34" s="1"/>
  <c r="BV150" i="34"/>
  <c r="CD150" i="34" s="1"/>
  <c r="BV167" i="34"/>
  <c r="CD167" i="34" s="1"/>
  <c r="BV171" i="34"/>
  <c r="CD171" i="34" s="1"/>
  <c r="BV166" i="34"/>
  <c r="CD166" i="34" s="1"/>
  <c r="BV165" i="34"/>
  <c r="CD165" i="34" s="1"/>
  <c r="BV146" i="34"/>
  <c r="CD146" i="34" s="1"/>
  <c r="BV149" i="34"/>
  <c r="CD149" i="34" s="1"/>
  <c r="BV162" i="34"/>
  <c r="CD162" i="34" s="1"/>
  <c r="BV140" i="34"/>
  <c r="CD140" i="34" s="1"/>
  <c r="BV147" i="34"/>
  <c r="CD147" i="34" s="1"/>
  <c r="BV169" i="34"/>
  <c r="CD169" i="34" s="1"/>
  <c r="BV148" i="34"/>
  <c r="CD148" i="34" s="1"/>
  <c r="H63" i="34"/>
  <c r="H65" i="34" s="1"/>
  <c r="L246" i="35" s="1"/>
  <c r="I63" i="34"/>
  <c r="BV152" i="34"/>
  <c r="CD152" i="34" s="1"/>
  <c r="BV172" i="34"/>
  <c r="CD172" i="34" s="1"/>
  <c r="BV142" i="34"/>
  <c r="CD142" i="34" s="1"/>
  <c r="BV141" i="34"/>
  <c r="CD141" i="34" s="1"/>
  <c r="BV151" i="34"/>
  <c r="CD151" i="34" s="1"/>
  <c r="BV139" i="34"/>
  <c r="CD139" i="34" s="1"/>
  <c r="BV145" i="34"/>
  <c r="CD145" i="34" s="1"/>
  <c r="BV168" i="34"/>
  <c r="CD168" i="34" s="1"/>
  <c r="BV173" i="34"/>
  <c r="CD173" i="34" s="1"/>
  <c r="BV153" i="34"/>
  <c r="CD153" i="34" s="1"/>
  <c r="BV138" i="34"/>
  <c r="CD138" i="34" s="1"/>
  <c r="BV137" i="34"/>
  <c r="CD137" i="34" s="1"/>
  <c r="BV154" i="34"/>
  <c r="CD154" i="34" s="1"/>
  <c r="BV144" i="34"/>
  <c r="CD144" i="34" s="1"/>
  <c r="BV170" i="34"/>
  <c r="CD170" i="34" s="1"/>
  <c r="BV143" i="34"/>
  <c r="CD143" i="34" s="1"/>
  <c r="W70" i="34"/>
  <c r="X70" i="34" s="1"/>
  <c r="W76" i="34"/>
  <c r="X76" i="34" s="1"/>
  <c r="AA76" i="34" s="1"/>
  <c r="W46" i="34"/>
  <c r="X46" i="34" s="1"/>
  <c r="W58" i="34"/>
  <c r="X58" i="34" s="1"/>
  <c r="AG30" i="34"/>
  <c r="BS143" i="32"/>
  <c r="CA143" i="32" s="1"/>
  <c r="BS152" i="32"/>
  <c r="CA152" i="32" s="1"/>
  <c r="BS174" i="32"/>
  <c r="CA174" i="32" s="1"/>
  <c r="BS141" i="32"/>
  <c r="CA141" i="32" s="1"/>
  <c r="BS148" i="32"/>
  <c r="CA148" i="32" s="1"/>
  <c r="BS170" i="32"/>
  <c r="CA170" i="32" s="1"/>
  <c r="BS169" i="32"/>
  <c r="CA169" i="32" s="1"/>
  <c r="BS137" i="32"/>
  <c r="CA137" i="32" s="1"/>
  <c r="BS142" i="32"/>
  <c r="CA142" i="32" s="1"/>
  <c r="BS138" i="32"/>
  <c r="CA138" i="32" s="1"/>
  <c r="BS171" i="32"/>
  <c r="CA171" i="32" s="1"/>
  <c r="BS145" i="32"/>
  <c r="CA145" i="32" s="1"/>
  <c r="BS173" i="32"/>
  <c r="CA173" i="32" s="1"/>
  <c r="BS162" i="32"/>
  <c r="CA162" i="32" s="1"/>
  <c r="H45" i="32"/>
  <c r="BS153" i="32"/>
  <c r="CA153" i="32" s="1"/>
  <c r="BS140" i="32"/>
  <c r="CA140" i="32" s="1"/>
  <c r="BS146" i="32"/>
  <c r="CA146" i="32" s="1"/>
  <c r="BS151" i="32"/>
  <c r="CA151" i="32" s="1"/>
  <c r="BS163" i="32"/>
  <c r="CA163" i="32" s="1"/>
  <c r="AR179" i="33"/>
  <c r="BS149" i="32"/>
  <c r="CA149" i="32" s="1"/>
  <c r="BS166" i="32"/>
  <c r="CA166" i="32" s="1"/>
  <c r="BS172" i="32"/>
  <c r="CA172" i="32" s="1"/>
  <c r="BS139" i="32"/>
  <c r="CA139" i="32" s="1"/>
  <c r="BS168" i="32"/>
  <c r="CA168" i="32" s="1"/>
  <c r="AA46" i="32"/>
  <c r="D69" i="32"/>
  <c r="I69" i="32"/>
  <c r="H69" i="32"/>
  <c r="H71" i="32" s="1"/>
  <c r="BW162" i="32"/>
  <c r="CE162" i="32" s="1"/>
  <c r="BW171" i="32"/>
  <c r="CE171" i="32" s="1"/>
  <c r="BW140" i="32"/>
  <c r="CE140" i="32" s="1"/>
  <c r="BW152" i="32"/>
  <c r="CE152" i="32" s="1"/>
  <c r="BW172" i="32"/>
  <c r="CE172" i="32" s="1"/>
  <c r="BW141" i="32"/>
  <c r="CE141" i="32" s="1"/>
  <c r="BW138" i="32"/>
  <c r="CE138" i="32" s="1"/>
  <c r="BW146" i="32"/>
  <c r="CE146" i="32" s="1"/>
  <c r="BW154" i="32"/>
  <c r="CE154" i="32" s="1"/>
  <c r="BW174" i="32"/>
  <c r="CE174" i="32" s="1"/>
  <c r="BW165" i="32"/>
  <c r="CE165" i="32" s="1"/>
  <c r="BW147" i="32"/>
  <c r="CE147" i="32" s="1"/>
  <c r="BW137" i="32"/>
  <c r="CE137" i="32" s="1"/>
  <c r="BW144" i="32"/>
  <c r="CE144" i="32" s="1"/>
  <c r="BW149" i="32"/>
  <c r="CE149" i="32" s="1"/>
  <c r="BW167" i="32"/>
  <c r="CE167" i="32" s="1"/>
  <c r="BW164" i="32"/>
  <c r="CE164" i="32" s="1"/>
  <c r="BW173" i="32"/>
  <c r="CE173" i="32" s="1"/>
  <c r="BW148" i="32"/>
  <c r="CE148" i="32" s="1"/>
  <c r="BW142" i="32"/>
  <c r="CE142" i="32" s="1"/>
  <c r="BW139" i="32"/>
  <c r="CE139" i="32" s="1"/>
  <c r="BW153" i="32"/>
  <c r="CE153" i="32" s="1"/>
  <c r="BW170" i="32"/>
  <c r="CE170" i="32" s="1"/>
  <c r="BW150" i="32"/>
  <c r="CE150" i="32" s="1"/>
  <c r="BW163" i="32"/>
  <c r="CE163" i="32" s="1"/>
  <c r="BW151" i="32"/>
  <c r="CE151" i="32" s="1"/>
  <c r="BW168" i="32"/>
  <c r="CE168" i="32" s="1"/>
  <c r="BW143" i="32"/>
  <c r="CE143" i="32" s="1"/>
  <c r="BW145" i="32"/>
  <c r="CE145" i="32" s="1"/>
  <c r="BW169" i="32"/>
  <c r="CE169" i="32" s="1"/>
  <c r="BW166" i="32"/>
  <c r="CE166" i="32" s="1"/>
  <c r="BU171" i="32"/>
  <c r="CC171" i="32" s="1"/>
  <c r="BU142" i="32"/>
  <c r="CC142" i="32" s="1"/>
  <c r="BU150" i="32"/>
  <c r="CC150" i="32" s="1"/>
  <c r="BU169" i="32"/>
  <c r="CC169" i="32" s="1"/>
  <c r="BU170" i="32"/>
  <c r="CC170" i="32" s="1"/>
  <c r="BU143" i="32"/>
  <c r="CC143" i="32" s="1"/>
  <c r="BU151" i="32"/>
  <c r="CC151" i="32" s="1"/>
  <c r="BU173" i="32"/>
  <c r="CC173" i="32" s="1"/>
  <c r="BU174" i="32"/>
  <c r="CC174" i="32" s="1"/>
  <c r="BU144" i="32"/>
  <c r="CC144" i="32" s="1"/>
  <c r="BU152" i="32"/>
  <c r="CC152" i="32" s="1"/>
  <c r="BU164" i="32"/>
  <c r="CC164" i="32" s="1"/>
  <c r="BU167" i="32"/>
  <c r="CC167" i="32" s="1"/>
  <c r="BU141" i="32"/>
  <c r="CC141" i="32" s="1"/>
  <c r="BU149" i="32"/>
  <c r="CC149" i="32" s="1"/>
  <c r="BU168" i="32"/>
  <c r="CC168" i="32" s="1"/>
  <c r="BU146" i="32"/>
  <c r="CC146" i="32" s="1"/>
  <c r="BU147" i="32"/>
  <c r="CC147" i="32" s="1"/>
  <c r="BU148" i="32"/>
  <c r="CC148" i="32" s="1"/>
  <c r="BU145" i="32"/>
  <c r="CC145" i="32" s="1"/>
  <c r="BU138" i="32"/>
  <c r="CC138" i="32" s="1"/>
  <c r="BU139" i="32"/>
  <c r="CC139" i="32" s="1"/>
  <c r="BU140" i="32"/>
  <c r="CC140" i="32" s="1"/>
  <c r="BU137" i="32"/>
  <c r="CC137" i="32" s="1"/>
  <c r="D57" i="32"/>
  <c r="BU163" i="32"/>
  <c r="CC163" i="32" s="1"/>
  <c r="BU162" i="32"/>
  <c r="CC162" i="32" s="1"/>
  <c r="BU166" i="32"/>
  <c r="CC166" i="32" s="1"/>
  <c r="BU172" i="32"/>
  <c r="CC172" i="32" s="1"/>
  <c r="I57" i="32"/>
  <c r="H57" i="32"/>
  <c r="H59" i="32" s="1"/>
  <c r="BU165" i="32"/>
  <c r="CC165" i="32" s="1"/>
  <c r="BU153" i="32"/>
  <c r="CC153" i="32" s="1"/>
  <c r="BU154" i="32"/>
  <c r="CC154" i="32" s="1"/>
  <c r="W76" i="32"/>
  <c r="X76" i="32" s="1"/>
  <c r="AA76" i="32" s="1"/>
  <c r="W40" i="32"/>
  <c r="X40" i="32" s="1"/>
  <c r="D75" i="32"/>
  <c r="BX174" i="32"/>
  <c r="CF174" i="32" s="1"/>
  <c r="BX140" i="32"/>
  <c r="CF140" i="32" s="1"/>
  <c r="BX163" i="32"/>
  <c r="CF163" i="32" s="1"/>
  <c r="BX167" i="32"/>
  <c r="CF167" i="32" s="1"/>
  <c r="BX162" i="32"/>
  <c r="CF162" i="32" s="1"/>
  <c r="BX165" i="32"/>
  <c r="CF165" i="32" s="1"/>
  <c r="H75" i="32"/>
  <c r="H77" i="32" s="1"/>
  <c r="BX144" i="32"/>
  <c r="CF144" i="32" s="1"/>
  <c r="BX173" i="32"/>
  <c r="CF173" i="32" s="1"/>
  <c r="BX141" i="32"/>
  <c r="CF141" i="32" s="1"/>
  <c r="BX170" i="32"/>
  <c r="CF170" i="32" s="1"/>
  <c r="BX147" i="32"/>
  <c r="CF147" i="32" s="1"/>
  <c r="BX168" i="32"/>
  <c r="CF168" i="32" s="1"/>
  <c r="BX148" i="32"/>
  <c r="CF148" i="32" s="1"/>
  <c r="BX143" i="32"/>
  <c r="CF143" i="32" s="1"/>
  <c r="BX149" i="32"/>
  <c r="CF149" i="32" s="1"/>
  <c r="BX137" i="32"/>
  <c r="CF137" i="32" s="1"/>
  <c r="BX169" i="32"/>
  <c r="CF169" i="32" s="1"/>
  <c r="BX150" i="32"/>
  <c r="CF150" i="32" s="1"/>
  <c r="BX166" i="32"/>
  <c r="CF166" i="32" s="1"/>
  <c r="BX139" i="32"/>
  <c r="CF139" i="32" s="1"/>
  <c r="BX164" i="32"/>
  <c r="CF164" i="32" s="1"/>
  <c r="BX142" i="32"/>
  <c r="CF142" i="32" s="1"/>
  <c r="BX151" i="32"/>
  <c r="CF151" i="32" s="1"/>
  <c r="BX138" i="32"/>
  <c r="CF138" i="32" s="1"/>
  <c r="BX154" i="32"/>
  <c r="CF154" i="32" s="1"/>
  <c r="BX153" i="32"/>
  <c r="CF153" i="32" s="1"/>
  <c r="BX152" i="32"/>
  <c r="CF152" i="32" s="1"/>
  <c r="BX146" i="32"/>
  <c r="CF146" i="32" s="1"/>
  <c r="BX172" i="32"/>
  <c r="CF172" i="32" s="1"/>
  <c r="I75" i="32"/>
  <c r="BX145" i="32"/>
  <c r="CF145" i="32" s="1"/>
  <c r="BX171" i="32"/>
  <c r="CF171" i="32" s="1"/>
  <c r="BT142" i="32"/>
  <c r="CB142" i="32" s="1"/>
  <c r="BT150" i="32"/>
  <c r="CB150" i="32" s="1"/>
  <c r="BT165" i="32"/>
  <c r="CB165" i="32" s="1"/>
  <c r="BT169" i="32"/>
  <c r="CB169" i="32" s="1"/>
  <c r="BT173" i="32"/>
  <c r="CB173" i="32" s="1"/>
  <c r="BT143" i="32"/>
  <c r="CB143" i="32" s="1"/>
  <c r="BT151" i="32"/>
  <c r="CB151" i="32" s="1"/>
  <c r="BT148" i="32"/>
  <c r="CB148" i="32" s="1"/>
  <c r="D51" i="32"/>
  <c r="BT162" i="32"/>
  <c r="CB162" i="32" s="1"/>
  <c r="BT163" i="32"/>
  <c r="CB163" i="32" s="1"/>
  <c r="BT167" i="32"/>
  <c r="CB167" i="32" s="1"/>
  <c r="BT171" i="32"/>
  <c r="CB171" i="32" s="1"/>
  <c r="BT139" i="32"/>
  <c r="CB139" i="32" s="1"/>
  <c r="BT147" i="32"/>
  <c r="CB147" i="32" s="1"/>
  <c r="BT140" i="32"/>
  <c r="CB140" i="32" s="1"/>
  <c r="H51" i="32"/>
  <c r="H53" i="32" s="1"/>
  <c r="BT168" i="32"/>
  <c r="CB168" i="32" s="1"/>
  <c r="BT174" i="32"/>
  <c r="CB174" i="32" s="1"/>
  <c r="BT141" i="32"/>
  <c r="CB141" i="32" s="1"/>
  <c r="BT149" i="32"/>
  <c r="CB149" i="32" s="1"/>
  <c r="BT144" i="32"/>
  <c r="CB144" i="32" s="1"/>
  <c r="BT154" i="32"/>
  <c r="CB154" i="32" s="1"/>
  <c r="BT146" i="32"/>
  <c r="CB146" i="32" s="1"/>
  <c r="BT170" i="32"/>
  <c r="CB170" i="32" s="1"/>
  <c r="I51" i="32"/>
  <c r="BT164" i="32"/>
  <c r="CB164" i="32" s="1"/>
  <c r="BT172" i="32"/>
  <c r="CB172" i="32" s="1"/>
  <c r="BT137" i="32"/>
  <c r="CB137" i="32" s="1"/>
  <c r="BT145" i="32"/>
  <c r="CB145" i="32" s="1"/>
  <c r="BT153" i="32"/>
  <c r="CB153" i="32" s="1"/>
  <c r="BT152" i="32"/>
  <c r="CB152" i="32" s="1"/>
  <c r="BT138" i="32"/>
  <c r="CB138" i="32" s="1"/>
  <c r="BT166" i="32"/>
  <c r="CB166" i="32" s="1"/>
  <c r="BR163" i="32"/>
  <c r="BZ163" i="32" s="1"/>
  <c r="BR167" i="32"/>
  <c r="BZ167" i="32" s="1"/>
  <c r="BR171" i="32"/>
  <c r="BZ171" i="32" s="1"/>
  <c r="BR162" i="32"/>
  <c r="BZ162" i="32" s="1"/>
  <c r="BR166" i="32"/>
  <c r="BZ166" i="32" s="1"/>
  <c r="BR170" i="32"/>
  <c r="BZ170" i="32" s="1"/>
  <c r="BR174" i="32"/>
  <c r="BZ174" i="32" s="1"/>
  <c r="D39" i="32"/>
  <c r="BR165" i="32"/>
  <c r="BZ165" i="32" s="1"/>
  <c r="BR169" i="32"/>
  <c r="BZ169" i="32" s="1"/>
  <c r="BR173" i="32"/>
  <c r="BZ173" i="32" s="1"/>
  <c r="H39" i="32"/>
  <c r="BR164" i="32"/>
  <c r="BZ164" i="32" s="1"/>
  <c r="BR137" i="32"/>
  <c r="BZ137" i="32" s="1"/>
  <c r="BR150" i="32"/>
  <c r="BZ150" i="32" s="1"/>
  <c r="BR151" i="32"/>
  <c r="BZ151" i="32" s="1"/>
  <c r="BR145" i="32"/>
  <c r="BZ145" i="32" s="1"/>
  <c r="BR141" i="32"/>
  <c r="BZ141" i="32" s="1"/>
  <c r="BR147" i="32"/>
  <c r="BZ147" i="32" s="1"/>
  <c r="BR152" i="32"/>
  <c r="BZ152" i="32" s="1"/>
  <c r="BR139" i="32"/>
  <c r="BZ139" i="32" s="1"/>
  <c r="BR140" i="32"/>
  <c r="BZ140" i="32" s="1"/>
  <c r="BR146" i="32"/>
  <c r="BZ146" i="32" s="1"/>
  <c r="BR168" i="32"/>
  <c r="BZ168" i="32" s="1"/>
  <c r="BR172" i="32"/>
  <c r="BZ172" i="32" s="1"/>
  <c r="BR144" i="32"/>
  <c r="BZ144" i="32" s="1"/>
  <c r="BR153" i="32"/>
  <c r="BZ153" i="32" s="1"/>
  <c r="BR143" i="32"/>
  <c r="BZ143" i="32" s="1"/>
  <c r="BR148" i="32"/>
  <c r="BZ148" i="32" s="1"/>
  <c r="BR149" i="32"/>
  <c r="BZ149" i="32" s="1"/>
  <c r="BR142" i="32"/>
  <c r="BZ142" i="32" s="1"/>
  <c r="BR154" i="32"/>
  <c r="BZ154" i="32" s="1"/>
  <c r="BR138" i="32"/>
  <c r="BZ138" i="32" s="1"/>
  <c r="AA64" i="32"/>
  <c r="W34" i="32"/>
  <c r="X34" i="32" s="1"/>
  <c r="AA34" i="32" s="1"/>
  <c r="D69" i="4"/>
  <c r="F69" i="4" s="1"/>
  <c r="V67" i="4" s="1"/>
  <c r="BX145" i="4"/>
  <c r="CF145" i="4" s="1"/>
  <c r="BU146" i="4"/>
  <c r="CC146" i="4" s="1"/>
  <c r="BU149" i="4"/>
  <c r="CC149" i="4" s="1"/>
  <c r="BU137" i="4"/>
  <c r="CC137" i="4" s="1"/>
  <c r="BU147" i="4"/>
  <c r="CC147" i="4" s="1"/>
  <c r="BX151" i="4"/>
  <c r="CF151" i="4" s="1"/>
  <c r="BU148" i="4"/>
  <c r="CC148" i="4" s="1"/>
  <c r="BU164" i="4"/>
  <c r="CC164" i="4" s="1"/>
  <c r="I57" i="4"/>
  <c r="AG51" i="4" s="1"/>
  <c r="BU166" i="4"/>
  <c r="CC166" i="4" s="1"/>
  <c r="BQ150" i="4"/>
  <c r="BY150" i="4" s="1"/>
  <c r="BW150" i="4"/>
  <c r="CE150" i="4" s="1"/>
  <c r="BW168" i="4"/>
  <c r="CE168" i="4" s="1"/>
  <c r="I69" i="4"/>
  <c r="AG61" i="4" s="1"/>
  <c r="BW172" i="4"/>
  <c r="CE172" i="4" s="1"/>
  <c r="BW152" i="4"/>
  <c r="CE152" i="4" s="1"/>
  <c r="H69" i="4"/>
  <c r="H71" i="4" s="1"/>
  <c r="L115" i="35" s="1"/>
  <c r="BW143" i="4"/>
  <c r="CE143" i="4" s="1"/>
  <c r="BW149" i="4"/>
  <c r="CE149" i="4" s="1"/>
  <c r="BX147" i="4"/>
  <c r="CF147" i="4" s="1"/>
  <c r="BX168" i="4"/>
  <c r="CF168" i="4" s="1"/>
  <c r="BW167" i="4"/>
  <c r="CE167" i="4" s="1"/>
  <c r="BU170" i="4"/>
  <c r="CC170" i="4" s="1"/>
  <c r="D75" i="4"/>
  <c r="B116" i="35" s="1"/>
  <c r="BX167" i="4"/>
  <c r="CF167" i="4" s="1"/>
  <c r="BQ137" i="4"/>
  <c r="BY137" i="4" s="1"/>
  <c r="BR152" i="4"/>
  <c r="BZ152" i="4" s="1"/>
  <c r="BW173" i="4"/>
  <c r="CE173" i="4" s="1"/>
  <c r="BR162" i="4"/>
  <c r="BZ162" i="4" s="1"/>
  <c r="BX154" i="4"/>
  <c r="CF154" i="4" s="1"/>
  <c r="BX138" i="4"/>
  <c r="CF138" i="4" s="1"/>
  <c r="BW137" i="4"/>
  <c r="CE137" i="4" s="1"/>
  <c r="BW138" i="4"/>
  <c r="CE138" i="4" s="1"/>
  <c r="BU153" i="4"/>
  <c r="CC153" i="4" s="1"/>
  <c r="BU144" i="4"/>
  <c r="CC144" i="4" s="1"/>
  <c r="BW146" i="4"/>
  <c r="CE146" i="4" s="1"/>
  <c r="BU165" i="4"/>
  <c r="CC165" i="4" s="1"/>
  <c r="BU167" i="4"/>
  <c r="CC167" i="4" s="1"/>
  <c r="BW147" i="4"/>
  <c r="CE147" i="4" s="1"/>
  <c r="BW162" i="4"/>
  <c r="CE162" i="4" s="1"/>
  <c r="BX171" i="4"/>
  <c r="CF171" i="4" s="1"/>
  <c r="BT166" i="4"/>
  <c r="CB166" i="4" s="1"/>
  <c r="AA34" i="4"/>
  <c r="BW164" i="4"/>
  <c r="CE164" i="4" s="1"/>
  <c r="BW151" i="4"/>
  <c r="CE151" i="4" s="1"/>
  <c r="BW154" i="4"/>
  <c r="CE154" i="4" s="1"/>
  <c r="BW140" i="4"/>
  <c r="CE140" i="4" s="1"/>
  <c r="BU151" i="4"/>
  <c r="CC151" i="4" s="1"/>
  <c r="BU142" i="4"/>
  <c r="CC142" i="4" s="1"/>
  <c r="BQ141" i="4"/>
  <c r="BY141" i="4" s="1"/>
  <c r="BW165" i="4"/>
  <c r="CE165" i="4" s="1"/>
  <c r="BU138" i="4"/>
  <c r="CC138" i="4" s="1"/>
  <c r="BU169" i="4"/>
  <c r="CC169" i="4" s="1"/>
  <c r="BU162" i="4"/>
  <c r="CC162" i="4" s="1"/>
  <c r="BS151" i="4"/>
  <c r="CA151" i="4" s="1"/>
  <c r="BU143" i="4"/>
  <c r="CC143" i="4" s="1"/>
  <c r="BU150" i="4"/>
  <c r="CC150" i="4" s="1"/>
  <c r="H57" i="4"/>
  <c r="H59" i="4" s="1"/>
  <c r="L113" i="35" s="1"/>
  <c r="BU139" i="4"/>
  <c r="CC139" i="4" s="1"/>
  <c r="BU174" i="4"/>
  <c r="CC174" i="4" s="1"/>
  <c r="BU154" i="4"/>
  <c r="CC154" i="4" s="1"/>
  <c r="BU141" i="4"/>
  <c r="CC141" i="4" s="1"/>
  <c r="BT138" i="4"/>
  <c r="CB138" i="4" s="1"/>
  <c r="BU140" i="4"/>
  <c r="CC140" i="4" s="1"/>
  <c r="BU145" i="4"/>
  <c r="CC145" i="4" s="1"/>
  <c r="BU152" i="4"/>
  <c r="CC152" i="4" s="1"/>
  <c r="D57" i="4"/>
  <c r="B113" i="33" s="1"/>
  <c r="BU171" i="4"/>
  <c r="CC171" i="4" s="1"/>
  <c r="BU168" i="4"/>
  <c r="CC168" i="4" s="1"/>
  <c r="BU173" i="4"/>
  <c r="CC173" i="4" s="1"/>
  <c r="BU172" i="4"/>
  <c r="CC172" i="4" s="1"/>
  <c r="AR113" i="17"/>
  <c r="BS170" i="4"/>
  <c r="CA170" i="4" s="1"/>
  <c r="BS169" i="4"/>
  <c r="CA169" i="4" s="1"/>
  <c r="BS152" i="4"/>
  <c r="CA152" i="4" s="1"/>
  <c r="BS140" i="4"/>
  <c r="CA140" i="4" s="1"/>
  <c r="D51" i="4"/>
  <c r="B112" i="33" s="1"/>
  <c r="AR112" i="35"/>
  <c r="BS148" i="4"/>
  <c r="CA148" i="4" s="1"/>
  <c r="D45" i="4"/>
  <c r="BR164" i="4"/>
  <c r="BZ164" i="4" s="1"/>
  <c r="BS137" i="4"/>
  <c r="CA137" i="4" s="1"/>
  <c r="BT153" i="4"/>
  <c r="CB153" i="4" s="1"/>
  <c r="BQ162" i="4"/>
  <c r="BY162" i="4" s="1"/>
  <c r="BQ154" i="4"/>
  <c r="BY154" i="4" s="1"/>
  <c r="BT154" i="4"/>
  <c r="CB154" i="4" s="1"/>
  <c r="BQ139" i="4"/>
  <c r="BY139" i="4" s="1"/>
  <c r="BQ147" i="4"/>
  <c r="BY147" i="4" s="1"/>
  <c r="BR174" i="4"/>
  <c r="BZ174" i="4" s="1"/>
  <c r="BR172" i="4"/>
  <c r="BZ172" i="4" s="1"/>
  <c r="BT143" i="4"/>
  <c r="CB143" i="4" s="1"/>
  <c r="BT151" i="4"/>
  <c r="CB151" i="4" s="1"/>
  <c r="BT146" i="4"/>
  <c r="CB146" i="4" s="1"/>
  <c r="BT162" i="4"/>
  <c r="CB162" i="4" s="1"/>
  <c r="BW163" i="4"/>
  <c r="CE163" i="4" s="1"/>
  <c r="BW142" i="4"/>
  <c r="CE142" i="4" s="1"/>
  <c r="D39" i="4"/>
  <c r="B111" i="17" s="1"/>
  <c r="BR171" i="4"/>
  <c r="BZ171" i="4" s="1"/>
  <c r="BT163" i="4"/>
  <c r="CB163" i="4" s="1"/>
  <c r="BT149" i="4"/>
  <c r="CB149" i="4" s="1"/>
  <c r="BT145" i="4"/>
  <c r="CB145" i="4" s="1"/>
  <c r="BT137" i="4"/>
  <c r="CB137" i="4" s="1"/>
  <c r="BR168" i="4"/>
  <c r="BZ168" i="4" s="1"/>
  <c r="BR165" i="4"/>
  <c r="BZ165" i="4" s="1"/>
  <c r="BT148" i="4"/>
  <c r="CB148" i="4" s="1"/>
  <c r="BT170" i="4"/>
  <c r="CB170" i="4" s="1"/>
  <c r="BT144" i="4"/>
  <c r="CB144" i="4" s="1"/>
  <c r="BW144" i="4"/>
  <c r="CE144" i="4" s="1"/>
  <c r="BW166" i="4"/>
  <c r="CE166" i="4" s="1"/>
  <c r="BQ172" i="4"/>
  <c r="BY172" i="4" s="1"/>
  <c r="BQ145" i="4"/>
  <c r="BY145" i="4" s="1"/>
  <c r="BQ164" i="4"/>
  <c r="BY164" i="4" s="1"/>
  <c r="BQ148" i="4"/>
  <c r="BY148" i="4" s="1"/>
  <c r="BQ170" i="4"/>
  <c r="BY170" i="4" s="1"/>
  <c r="BQ165" i="4"/>
  <c r="BY165" i="4" s="1"/>
  <c r="BQ142" i="4"/>
  <c r="BY142" i="4" s="1"/>
  <c r="BR154" i="4"/>
  <c r="BZ154" i="4" s="1"/>
  <c r="BQ153" i="4"/>
  <c r="BY153" i="4" s="1"/>
  <c r="H34" i="4"/>
  <c r="BQ174" i="4"/>
  <c r="BY174" i="4" s="1"/>
  <c r="BQ166" i="4"/>
  <c r="BY166" i="4" s="1"/>
  <c r="D34" i="4"/>
  <c r="BQ149" i="4"/>
  <c r="BY149" i="4" s="1"/>
  <c r="BQ168" i="4"/>
  <c r="BY168" i="4" s="1"/>
  <c r="BQ151" i="4"/>
  <c r="BY151" i="4" s="1"/>
  <c r="BQ152" i="4"/>
  <c r="BY152" i="4" s="1"/>
  <c r="BQ138" i="4"/>
  <c r="BY138" i="4" s="1"/>
  <c r="BR140" i="4"/>
  <c r="BZ140" i="4" s="1"/>
  <c r="BR149" i="4"/>
  <c r="BZ149" i="4" s="1"/>
  <c r="BR145" i="4"/>
  <c r="BZ145" i="4" s="1"/>
  <c r="BR147" i="4"/>
  <c r="BZ147" i="4" s="1"/>
  <c r="BQ143" i="4"/>
  <c r="BY143" i="4" s="1"/>
  <c r="BQ144" i="4"/>
  <c r="BY144" i="4" s="1"/>
  <c r="BQ171" i="4"/>
  <c r="BY171" i="4" s="1"/>
  <c r="BQ167" i="4"/>
  <c r="BY167" i="4" s="1"/>
  <c r="BQ173" i="4"/>
  <c r="BY173" i="4" s="1"/>
  <c r="BQ163" i="4"/>
  <c r="BY163" i="4" s="1"/>
  <c r="BQ146" i="4"/>
  <c r="BY146" i="4" s="1"/>
  <c r="BQ169" i="4"/>
  <c r="BY169" i="4" s="1"/>
  <c r="BW145" i="4"/>
  <c r="CE145" i="4" s="1"/>
  <c r="BW174" i="4"/>
  <c r="CE174" i="4" s="1"/>
  <c r="BW141" i="4"/>
  <c r="CE141" i="4" s="1"/>
  <c r="BW171" i="4"/>
  <c r="CE171" i="4" s="1"/>
  <c r="BW148" i="4"/>
  <c r="CE148" i="4" s="1"/>
  <c r="BW139" i="4"/>
  <c r="CE139" i="4" s="1"/>
  <c r="BW153" i="4"/>
  <c r="CE153" i="4" s="1"/>
  <c r="BW169" i="4"/>
  <c r="CE169" i="4" s="1"/>
  <c r="BX164" i="4"/>
  <c r="CF164" i="4" s="1"/>
  <c r="BX166" i="4"/>
  <c r="CF166" i="4" s="1"/>
  <c r="BX137" i="4"/>
  <c r="CF137" i="4" s="1"/>
  <c r="BX170" i="4"/>
  <c r="CF170" i="4" s="1"/>
  <c r="BX153" i="4"/>
  <c r="CF153" i="4" s="1"/>
  <c r="BX144" i="4"/>
  <c r="CF144" i="4" s="1"/>
  <c r="BX139" i="4"/>
  <c r="CF139" i="4" s="1"/>
  <c r="H75" i="4"/>
  <c r="BX141" i="4"/>
  <c r="CF141" i="4" s="1"/>
  <c r="I75" i="4"/>
  <c r="BX162" i="4"/>
  <c r="CF162" i="4" s="1"/>
  <c r="BX148" i="4"/>
  <c r="CF148" i="4" s="1"/>
  <c r="BX149" i="4"/>
  <c r="CF149" i="4" s="1"/>
  <c r="BX142" i="4"/>
  <c r="CF142" i="4" s="1"/>
  <c r="BX152" i="4"/>
  <c r="CF152" i="4" s="1"/>
  <c r="BX140" i="4"/>
  <c r="CF140" i="4" s="1"/>
  <c r="BX172" i="4"/>
  <c r="CF172" i="4" s="1"/>
  <c r="BX163" i="4"/>
  <c r="CF163" i="4" s="1"/>
  <c r="BX143" i="4"/>
  <c r="CF143" i="4" s="1"/>
  <c r="BX174" i="4"/>
  <c r="CF174" i="4" s="1"/>
  <c r="BX146" i="4"/>
  <c r="CF146" i="4" s="1"/>
  <c r="BX165" i="4"/>
  <c r="CF165" i="4" s="1"/>
  <c r="BX173" i="4"/>
  <c r="CF173" i="4" s="1"/>
  <c r="BX169" i="4"/>
  <c r="CF169" i="4" s="1"/>
  <c r="BS141" i="4"/>
  <c r="CA141" i="4" s="1"/>
  <c r="BS149" i="4"/>
  <c r="CA149" i="4" s="1"/>
  <c r="BS166" i="4"/>
  <c r="CA166" i="4" s="1"/>
  <c r="BS153" i="4"/>
  <c r="CA153" i="4" s="1"/>
  <c r="BS168" i="4"/>
  <c r="CA168" i="4" s="1"/>
  <c r="BS165" i="4"/>
  <c r="CA165" i="4" s="1"/>
  <c r="BS171" i="4"/>
  <c r="CA171" i="4" s="1"/>
  <c r="BS145" i="4"/>
  <c r="CA145" i="4" s="1"/>
  <c r="BS138" i="4"/>
  <c r="CA138" i="4" s="1"/>
  <c r="BS174" i="4"/>
  <c r="CA174" i="4" s="1"/>
  <c r="BS173" i="4"/>
  <c r="CA173" i="4" s="1"/>
  <c r="BS143" i="4"/>
  <c r="CA143" i="4" s="1"/>
  <c r="BS172" i="4"/>
  <c r="CA172" i="4" s="1"/>
  <c r="BS139" i="4"/>
  <c r="CA139" i="4" s="1"/>
  <c r="BS162" i="4"/>
  <c r="CA162" i="4" s="1"/>
  <c r="BS154" i="4"/>
  <c r="CA154" i="4" s="1"/>
  <c r="BS144" i="4"/>
  <c r="CA144" i="4" s="1"/>
  <c r="BS163" i="4"/>
  <c r="CA163" i="4" s="1"/>
  <c r="BS150" i="4"/>
  <c r="CA150" i="4" s="1"/>
  <c r="BS147" i="4"/>
  <c r="CA147" i="4" s="1"/>
  <c r="BS142" i="4"/>
  <c r="CA142" i="4" s="1"/>
  <c r="BS146" i="4"/>
  <c r="CA146" i="4" s="1"/>
  <c r="BS167" i="4"/>
  <c r="CA167" i="4" s="1"/>
  <c r="H45" i="4"/>
  <c r="D63" i="4"/>
  <c r="BV166" i="4"/>
  <c r="CD166" i="4" s="1"/>
  <c r="BV151" i="4"/>
  <c r="CD151" i="4" s="1"/>
  <c r="BV150" i="4"/>
  <c r="CD150" i="4" s="1"/>
  <c r="BV148" i="4"/>
  <c r="CD148" i="4" s="1"/>
  <c r="BV165" i="4"/>
  <c r="CD165" i="4" s="1"/>
  <c r="BV143" i="4"/>
  <c r="CD143" i="4" s="1"/>
  <c r="BV146" i="4"/>
  <c r="CD146" i="4" s="1"/>
  <c r="BV168" i="4"/>
  <c r="CD168" i="4" s="1"/>
  <c r="H63" i="4"/>
  <c r="H65" i="4" s="1"/>
  <c r="BV169" i="4"/>
  <c r="CD169" i="4" s="1"/>
  <c r="BV141" i="4"/>
  <c r="CD141" i="4" s="1"/>
  <c r="BV149" i="4"/>
  <c r="CD149" i="4" s="1"/>
  <c r="BV172" i="4"/>
  <c r="CD172" i="4" s="1"/>
  <c r="BV167" i="4"/>
  <c r="CD167" i="4" s="1"/>
  <c r="BV152" i="4"/>
  <c r="CD152" i="4" s="1"/>
  <c r="BV163" i="4"/>
  <c r="CD163" i="4" s="1"/>
  <c r="BV144" i="4"/>
  <c r="CD144" i="4" s="1"/>
  <c r="BV173" i="4"/>
  <c r="CD173" i="4" s="1"/>
  <c r="BV153" i="4"/>
  <c r="CD153" i="4" s="1"/>
  <c r="BV171" i="4"/>
  <c r="CD171" i="4" s="1"/>
  <c r="BV140" i="4"/>
  <c r="CD140" i="4" s="1"/>
  <c r="BV164" i="4"/>
  <c r="CD164" i="4" s="1"/>
  <c r="BV147" i="4"/>
  <c r="CD147" i="4" s="1"/>
  <c r="I63" i="4"/>
  <c r="BV137" i="4"/>
  <c r="CD137" i="4" s="1"/>
  <c r="BV154" i="4"/>
  <c r="CD154" i="4" s="1"/>
  <c r="BV162" i="4"/>
  <c r="CD162" i="4" s="1"/>
  <c r="BV138" i="4"/>
  <c r="CD138" i="4" s="1"/>
  <c r="BV139" i="4"/>
  <c r="CD139" i="4" s="1"/>
  <c r="BV174" i="4"/>
  <c r="CD174" i="4" s="1"/>
  <c r="BV170" i="4"/>
  <c r="CD170" i="4" s="1"/>
  <c r="BV142" i="4"/>
  <c r="CD142" i="4" s="1"/>
  <c r="BV145" i="4"/>
  <c r="CD145" i="4" s="1"/>
  <c r="AR114" i="33"/>
  <c r="AR115" i="17"/>
  <c r="AR114" i="35"/>
  <c r="BR167" i="4"/>
  <c r="BZ167" i="4" s="1"/>
  <c r="BR143" i="4"/>
  <c r="BZ143" i="4" s="1"/>
  <c r="BR163" i="4"/>
  <c r="BZ163" i="4" s="1"/>
  <c r="BR151" i="4"/>
  <c r="BZ151" i="4" s="1"/>
  <c r="BR138" i="4"/>
  <c r="BZ138" i="4" s="1"/>
  <c r="BR153" i="4"/>
  <c r="BZ153" i="4" s="1"/>
  <c r="BR144" i="4"/>
  <c r="BZ144" i="4" s="1"/>
  <c r="BR142" i="4"/>
  <c r="BZ142" i="4" s="1"/>
  <c r="BR137" i="4"/>
  <c r="BZ137" i="4" s="1"/>
  <c r="BR146" i="4"/>
  <c r="BZ146" i="4" s="1"/>
  <c r="BR150" i="4"/>
  <c r="BZ150" i="4" s="1"/>
  <c r="BR170" i="4"/>
  <c r="BZ170" i="4" s="1"/>
  <c r="BR139" i="4"/>
  <c r="BZ139" i="4" s="1"/>
  <c r="BR141" i="4"/>
  <c r="BZ141" i="4" s="1"/>
  <c r="BR166" i="4"/>
  <c r="BZ166" i="4" s="1"/>
  <c r="BR169" i="4"/>
  <c r="BZ169" i="4" s="1"/>
  <c r="BR148" i="4"/>
  <c r="BZ148" i="4" s="1"/>
  <c r="H39" i="4"/>
  <c r="BR173" i="4"/>
  <c r="BZ173" i="4" s="1"/>
  <c r="BT139" i="4"/>
  <c r="CB139" i="4" s="1"/>
  <c r="BT152" i="4"/>
  <c r="CB152" i="4" s="1"/>
  <c r="BT171" i="4"/>
  <c r="CB171" i="4" s="1"/>
  <c r="BT142" i="4"/>
  <c r="CB142" i="4" s="1"/>
  <c r="BT140" i="4"/>
  <c r="CB140" i="4" s="1"/>
  <c r="BT174" i="4"/>
  <c r="CB174" i="4" s="1"/>
  <c r="BT168" i="4"/>
  <c r="CB168" i="4" s="1"/>
  <c r="BT147" i="4"/>
  <c r="CB147" i="4" s="1"/>
  <c r="BT173" i="4"/>
  <c r="CB173" i="4" s="1"/>
  <c r="BT150" i="4"/>
  <c r="CB150" i="4" s="1"/>
  <c r="BT165" i="4"/>
  <c r="CB165" i="4" s="1"/>
  <c r="H51" i="4"/>
  <c r="H53" i="4" s="1"/>
  <c r="BT141" i="4"/>
  <c r="CB141" i="4" s="1"/>
  <c r="BT167" i="4"/>
  <c r="CB167" i="4" s="1"/>
  <c r="BT164" i="4"/>
  <c r="CB164" i="4" s="1"/>
  <c r="BT169" i="4"/>
  <c r="CB169" i="4" s="1"/>
  <c r="I51" i="4"/>
  <c r="W58" i="4"/>
  <c r="X58" i="4" s="1"/>
  <c r="W40" i="4"/>
  <c r="X40" i="4" s="1"/>
  <c r="W52" i="4"/>
  <c r="X52" i="4" s="1"/>
  <c r="W76" i="4"/>
  <c r="X76" i="4" s="1"/>
  <c r="AA76" i="4" s="1"/>
  <c r="W46" i="4"/>
  <c r="X46" i="4" s="1"/>
  <c r="AA35" i="4"/>
  <c r="AR113" i="35"/>
  <c r="AR113" i="33"/>
  <c r="AR114" i="17"/>
  <c r="W70" i="4"/>
  <c r="X70" i="4" s="1"/>
  <c r="B245" i="35" l="1"/>
  <c r="F34" i="34"/>
  <c r="V31" i="34" s="1"/>
  <c r="I65" i="32"/>
  <c r="X174" i="35"/>
  <c r="X174" i="33"/>
  <c r="X240" i="35"/>
  <c r="X36" i="17"/>
  <c r="O36" i="35"/>
  <c r="AT13" i="4"/>
  <c r="O42" i="33" s="1"/>
  <c r="BA36" i="17"/>
  <c r="O35" i="33"/>
  <c r="X37" i="17"/>
  <c r="AT21" i="4"/>
  <c r="O37" i="17"/>
  <c r="O35" i="35"/>
  <c r="X36" i="33"/>
  <c r="AT22" i="4"/>
  <c r="X36" i="35"/>
  <c r="X35" i="35"/>
  <c r="AS6" i="4"/>
  <c r="BA36" i="33"/>
  <c r="AS7" i="4"/>
  <c r="BA37" i="17"/>
  <c r="BA36" i="35"/>
  <c r="B177" i="35"/>
  <c r="BA35" i="33"/>
  <c r="X35" i="33"/>
  <c r="O36" i="17"/>
  <c r="AT17" i="32"/>
  <c r="AT17" i="4"/>
  <c r="F45" i="32"/>
  <c r="V43" i="32" s="1"/>
  <c r="W43" i="32" s="1"/>
  <c r="X43" i="32" s="1"/>
  <c r="AO251" i="32" s="1"/>
  <c r="L180" i="35"/>
  <c r="X47" i="33"/>
  <c r="AT33" i="4"/>
  <c r="O47" i="33"/>
  <c r="O48" i="17"/>
  <c r="AS18" i="4"/>
  <c r="O47" i="35"/>
  <c r="X47" i="35"/>
  <c r="X48" i="17"/>
  <c r="B177" i="33"/>
  <c r="AS19" i="4"/>
  <c r="X49" i="17"/>
  <c r="X44" i="33"/>
  <c r="X44" i="35"/>
  <c r="O44" i="35"/>
  <c r="X45" i="17"/>
  <c r="BA44" i="35"/>
  <c r="AS15" i="4"/>
  <c r="O45" i="17"/>
  <c r="AT30" i="4"/>
  <c r="BA44" i="33"/>
  <c r="O44" i="33"/>
  <c r="BA44" i="36"/>
  <c r="BA45" i="17"/>
  <c r="AT34" i="4"/>
  <c r="BA43" i="17"/>
  <c r="AS13" i="4"/>
  <c r="B175" i="33"/>
  <c r="C19" i="32"/>
  <c r="B146" i="33"/>
  <c r="B146" i="35"/>
  <c r="G20" i="32"/>
  <c r="B175" i="35"/>
  <c r="F34" i="32"/>
  <c r="V31" i="32" s="1"/>
  <c r="W31" i="32" s="1"/>
  <c r="X31" i="32" s="1"/>
  <c r="BY175" i="34"/>
  <c r="BY177" i="34" s="1"/>
  <c r="BY175" i="32"/>
  <c r="CD155" i="32"/>
  <c r="CD157" i="32" s="1"/>
  <c r="BB15" i="32" s="1"/>
  <c r="BC15" i="32" s="1"/>
  <c r="BD15" i="32" s="1"/>
  <c r="BY155" i="32"/>
  <c r="CD175" i="32"/>
  <c r="CD177" i="32" s="1"/>
  <c r="I59" i="34"/>
  <c r="X245" i="35" s="1"/>
  <c r="B180" i="35"/>
  <c r="B180" i="33"/>
  <c r="CA155" i="32"/>
  <c r="I71" i="4"/>
  <c r="X116" i="17" s="1"/>
  <c r="W31" i="34"/>
  <c r="X31" i="34" s="1"/>
  <c r="AA31" i="34" s="1"/>
  <c r="AB34" i="34" s="1"/>
  <c r="AC34" i="34" s="1"/>
  <c r="AD34" i="34" s="1"/>
  <c r="AE34" i="34" s="1"/>
  <c r="W55" i="34"/>
  <c r="X55" i="34" s="1"/>
  <c r="AA55" i="34" s="1"/>
  <c r="W67" i="4"/>
  <c r="X67" i="4" s="1"/>
  <c r="AA67" i="4" s="1"/>
  <c r="W61" i="32"/>
  <c r="X61" i="32" s="1"/>
  <c r="AO254" i="32" s="1"/>
  <c r="W37" i="34"/>
  <c r="X37" i="34" s="1"/>
  <c r="AO250" i="34" s="1"/>
  <c r="AO253" i="34"/>
  <c r="F34" i="4"/>
  <c r="C19" i="4"/>
  <c r="B112" i="17"/>
  <c r="C20" i="4"/>
  <c r="AR108" i="33"/>
  <c r="AR109" i="17"/>
  <c r="AR108" i="35"/>
  <c r="H31" i="4"/>
  <c r="CC175" i="34"/>
  <c r="CC177" i="34" s="1"/>
  <c r="AA40" i="32"/>
  <c r="B116" i="17"/>
  <c r="B115" i="35"/>
  <c r="CA175" i="32"/>
  <c r="BY155" i="34"/>
  <c r="BY157" i="34" s="1"/>
  <c r="AA52" i="34"/>
  <c r="BZ155" i="34"/>
  <c r="BZ157" i="34" s="1"/>
  <c r="BB12" i="34" s="1"/>
  <c r="BC12" i="34" s="1"/>
  <c r="BD12" i="34" s="1"/>
  <c r="BZ175" i="34"/>
  <c r="BZ177" i="34" s="1"/>
  <c r="I41" i="34"/>
  <c r="X242" i="35" s="1"/>
  <c r="B242" i="35"/>
  <c r="CC155" i="34"/>
  <c r="CC157" i="34" s="1"/>
  <c r="BB15" i="34" s="1"/>
  <c r="BC15" i="34" s="1"/>
  <c r="BD15" i="34" s="1"/>
  <c r="BE15" i="34" s="1"/>
  <c r="BF15" i="34" s="1"/>
  <c r="CB155" i="34"/>
  <c r="CB157" i="34" s="1"/>
  <c r="BB14" i="34" s="1"/>
  <c r="BC14" i="34" s="1"/>
  <c r="BD14" i="34" s="1"/>
  <c r="F75" i="34"/>
  <c r="V73" i="34" s="1"/>
  <c r="B248" i="35"/>
  <c r="CA155" i="34"/>
  <c r="CA157" i="34" s="1"/>
  <c r="BB13" i="34" s="1"/>
  <c r="CD155" i="34"/>
  <c r="CD157" i="34" s="1"/>
  <c r="BB16" i="34" s="1"/>
  <c r="I65" i="34"/>
  <c r="X246" i="35" s="1"/>
  <c r="AG56" i="34"/>
  <c r="CF175" i="34"/>
  <c r="CF177" i="34" s="1"/>
  <c r="AG61" i="34"/>
  <c r="I71" i="34"/>
  <c r="X247" i="35" s="1"/>
  <c r="CE155" i="34"/>
  <c r="CE157" i="34" s="1"/>
  <c r="BB17" i="34" s="1"/>
  <c r="AG46" i="34"/>
  <c r="I53" i="34"/>
  <c r="X244" i="35" s="1"/>
  <c r="CA175" i="34"/>
  <c r="CA177" i="34" s="1"/>
  <c r="AA58" i="34"/>
  <c r="F63" i="34"/>
  <c r="V61" i="34" s="1"/>
  <c r="B246" i="35"/>
  <c r="CF155" i="34"/>
  <c r="CF157" i="34" s="1"/>
  <c r="F69" i="34"/>
  <c r="V67" i="34" s="1"/>
  <c r="B247" i="35"/>
  <c r="F51" i="34"/>
  <c r="V49" i="34" s="1"/>
  <c r="B244" i="35"/>
  <c r="I47" i="34"/>
  <c r="X243" i="35" s="1"/>
  <c r="AG41" i="34"/>
  <c r="AA46" i="34"/>
  <c r="AA70" i="34"/>
  <c r="CD175" i="34"/>
  <c r="CD177" i="34" s="1"/>
  <c r="I77" i="34"/>
  <c r="X248" i="35" s="1"/>
  <c r="AG66" i="34"/>
  <c r="CE175" i="34"/>
  <c r="CE177" i="34" s="1"/>
  <c r="CB175" i="34"/>
  <c r="CB177" i="34" s="1"/>
  <c r="AA64" i="34"/>
  <c r="F45" i="34"/>
  <c r="V43" i="34" s="1"/>
  <c r="B243" i="35"/>
  <c r="X180" i="35"/>
  <c r="X180" i="33"/>
  <c r="F75" i="32"/>
  <c r="V73" i="32" s="1"/>
  <c r="B182" i="35"/>
  <c r="B182" i="33"/>
  <c r="AG46" i="32"/>
  <c r="I53" i="32"/>
  <c r="CB175" i="32"/>
  <c r="CB177" i="32" s="1"/>
  <c r="I77" i="32"/>
  <c r="AG66" i="32"/>
  <c r="L182" i="33"/>
  <c r="L182" i="35"/>
  <c r="F57" i="32"/>
  <c r="V55" i="32" s="1"/>
  <c r="B179" i="33"/>
  <c r="B179" i="35"/>
  <c r="L181" i="35"/>
  <c r="L181" i="33"/>
  <c r="BZ155" i="32"/>
  <c r="I59" i="32"/>
  <c r="AG51" i="32"/>
  <c r="CE155" i="32"/>
  <c r="CE157" i="32" s="1"/>
  <c r="BB16" i="32" s="1"/>
  <c r="CE175" i="32"/>
  <c r="CE177" i="32" s="1"/>
  <c r="CB155" i="32"/>
  <c r="CB157" i="32" s="1"/>
  <c r="BB13" i="32" s="1"/>
  <c r="L178" i="33"/>
  <c r="L178" i="35"/>
  <c r="F51" i="32"/>
  <c r="V49" i="32" s="1"/>
  <c r="B178" i="35"/>
  <c r="B178" i="33"/>
  <c r="CC155" i="32"/>
  <c r="CC157" i="32" s="1"/>
  <c r="BB14" i="32" s="1"/>
  <c r="AG61" i="32"/>
  <c r="I71" i="32"/>
  <c r="F39" i="32"/>
  <c r="V37" i="32" s="1"/>
  <c r="B176" i="33"/>
  <c r="B176" i="35"/>
  <c r="BZ175" i="32"/>
  <c r="CF155" i="32"/>
  <c r="CF157" i="32" s="1"/>
  <c r="BB17" i="32" s="1"/>
  <c r="CF175" i="32"/>
  <c r="CF177" i="32" s="1"/>
  <c r="L179" i="35"/>
  <c r="L179" i="33"/>
  <c r="CC175" i="32"/>
  <c r="CC177" i="32" s="1"/>
  <c r="B181" i="33"/>
  <c r="F69" i="32"/>
  <c r="V67" i="32" s="1"/>
  <c r="B181" i="35"/>
  <c r="L115" i="33"/>
  <c r="B110" i="35"/>
  <c r="I59" i="4"/>
  <c r="X113" i="33" s="1"/>
  <c r="B115" i="33"/>
  <c r="B116" i="33"/>
  <c r="L116" i="17"/>
  <c r="B117" i="17"/>
  <c r="BA117" i="17" s="1"/>
  <c r="F75" i="4"/>
  <c r="V73" i="4" s="1"/>
  <c r="F45" i="4"/>
  <c r="V43" i="4" s="1"/>
  <c r="B111" i="33"/>
  <c r="B113" i="17"/>
  <c r="F51" i="4"/>
  <c r="V49" i="4" s="1"/>
  <c r="B109" i="35"/>
  <c r="CA175" i="4"/>
  <c r="CF175" i="4"/>
  <c r="CF177" i="4" s="1"/>
  <c r="BY155" i="4"/>
  <c r="F39" i="4"/>
  <c r="V37" i="4" s="1"/>
  <c r="CE175" i="4"/>
  <c r="CE177" i="4" s="1"/>
  <c r="CA155" i="4"/>
  <c r="B110" i="33"/>
  <c r="B109" i="33"/>
  <c r="B114" i="17"/>
  <c r="CC175" i="4"/>
  <c r="CC177" i="4" s="1"/>
  <c r="CC155" i="4"/>
  <c r="CC157" i="4" s="1"/>
  <c r="BB14" i="4" s="1"/>
  <c r="BC14" i="4" s="1"/>
  <c r="BD14" i="4" s="1"/>
  <c r="BE14" i="4" s="1"/>
  <c r="BF14" i="4" s="1"/>
  <c r="F57" i="4"/>
  <c r="V55" i="4" s="1"/>
  <c r="B113" i="35"/>
  <c r="BY175" i="4"/>
  <c r="B110" i="17"/>
  <c r="B112" i="35"/>
  <c r="L114" i="17"/>
  <c r="L113" i="33"/>
  <c r="B111" i="35"/>
  <c r="AA58" i="4"/>
  <c r="CB175" i="4"/>
  <c r="CB177" i="4" s="1"/>
  <c r="CB155" i="4"/>
  <c r="CB157" i="4" s="1"/>
  <c r="BB13" i="4" s="1"/>
  <c r="BC13" i="4" s="1"/>
  <c r="BD13" i="4" s="1"/>
  <c r="CE155" i="4"/>
  <c r="CE157" i="4" s="1"/>
  <c r="BB16" i="4" s="1"/>
  <c r="BC16" i="4" s="1"/>
  <c r="BD16" i="4" s="1"/>
  <c r="BE16" i="4" s="1"/>
  <c r="BF16" i="4" s="1"/>
  <c r="AA70" i="4"/>
  <c r="AA52" i="4"/>
  <c r="BZ155" i="4"/>
  <c r="CF155" i="4"/>
  <c r="CF157" i="4" s="1"/>
  <c r="BB17" i="4" s="1"/>
  <c r="BC17" i="4" s="1"/>
  <c r="BD17" i="4" s="1"/>
  <c r="BE17" i="4" s="1"/>
  <c r="BF17" i="4" s="1"/>
  <c r="BZ175" i="4"/>
  <c r="AG56" i="4"/>
  <c r="I65" i="4"/>
  <c r="F63" i="4"/>
  <c r="V61" i="4" s="1"/>
  <c r="B115" i="17"/>
  <c r="B114" i="35"/>
  <c r="B114" i="33"/>
  <c r="AG66" i="4"/>
  <c r="X117" i="17"/>
  <c r="I77" i="4"/>
  <c r="AA46" i="4"/>
  <c r="AA40" i="4"/>
  <c r="I53" i="4"/>
  <c r="AG46" i="4"/>
  <c r="CD175" i="4"/>
  <c r="CD177" i="4" s="1"/>
  <c r="L113" i="17"/>
  <c r="L112" i="35"/>
  <c r="L112" i="33"/>
  <c r="X113" i="35"/>
  <c r="H77" i="4"/>
  <c r="L117" i="17" s="1"/>
  <c r="L116" i="35"/>
  <c r="CD155" i="4"/>
  <c r="CD157" i="4" s="1"/>
  <c r="BB15" i="4" s="1"/>
  <c r="L115" i="17"/>
  <c r="L114" i="35"/>
  <c r="L114" i="33"/>
  <c r="X115" i="35"/>
  <c r="X115" i="33" l="1"/>
  <c r="BA42" i="35"/>
  <c r="AT28" i="4"/>
  <c r="X42" i="35"/>
  <c r="O43" i="17"/>
  <c r="BA42" i="33"/>
  <c r="X42" i="33"/>
  <c r="O42" i="35"/>
  <c r="X43" i="17"/>
  <c r="AO248" i="34"/>
  <c r="AO249" i="34"/>
  <c r="BA47" i="17"/>
  <c r="BA46" i="35"/>
  <c r="O47" i="17"/>
  <c r="BA46" i="36"/>
  <c r="O46" i="35"/>
  <c r="X46" i="35"/>
  <c r="AS17" i="4"/>
  <c r="AU35" i="4" s="1"/>
  <c r="O46" i="33"/>
  <c r="X46" i="33"/>
  <c r="BA46" i="33"/>
  <c r="X47" i="17"/>
  <c r="AT32" i="4"/>
  <c r="AS17" i="32"/>
  <c r="AU35" i="32" s="1"/>
  <c r="AT32" i="32"/>
  <c r="AA31" i="32"/>
  <c r="AB34" i="32" s="1"/>
  <c r="AC34" i="32" s="1"/>
  <c r="AD34" i="32" s="1"/>
  <c r="J34" i="32" s="1"/>
  <c r="J36" i="32" s="1"/>
  <c r="AO248" i="32"/>
  <c r="AO249" i="32"/>
  <c r="X114" i="17"/>
  <c r="B145" i="33"/>
  <c r="B145" i="35"/>
  <c r="G19" i="32"/>
  <c r="AG146" i="35"/>
  <c r="AG146" i="33"/>
  <c r="AO255" i="4"/>
  <c r="AF34" i="34"/>
  <c r="K34" i="34"/>
  <c r="K36" i="34" s="1"/>
  <c r="AM241" i="35" s="1"/>
  <c r="W73" i="4"/>
  <c r="X73" i="4" s="1"/>
  <c r="AA73" i="4" s="1"/>
  <c r="AB76" i="4" s="1"/>
  <c r="AC76" i="4" s="1"/>
  <c r="AD76" i="4" s="1"/>
  <c r="AE76" i="4" s="1"/>
  <c r="W43" i="34"/>
  <c r="X43" i="34" s="1"/>
  <c r="AO251" i="34" s="1"/>
  <c r="W67" i="32"/>
  <c r="X67" i="32" s="1"/>
  <c r="AO255" i="32" s="1"/>
  <c r="W37" i="32"/>
  <c r="X37" i="32" s="1"/>
  <c r="AO250" i="32" s="1"/>
  <c r="W49" i="32"/>
  <c r="X49" i="32" s="1"/>
  <c r="AO252" i="32" s="1"/>
  <c r="W55" i="32"/>
  <c r="X55" i="32" s="1"/>
  <c r="AO253" i="32" s="1"/>
  <c r="AA61" i="32"/>
  <c r="AB64" i="32" s="1"/>
  <c r="AC64" i="32" s="1"/>
  <c r="AD64" i="32" s="1"/>
  <c r="AE64" i="32" s="1"/>
  <c r="W49" i="4"/>
  <c r="X49" i="4" s="1"/>
  <c r="AO252" i="4" s="1"/>
  <c r="W73" i="32"/>
  <c r="X73" i="32" s="1"/>
  <c r="AA73" i="32" s="1"/>
  <c r="AB76" i="32" s="1"/>
  <c r="AC76" i="32" s="1"/>
  <c r="AD76" i="32" s="1"/>
  <c r="AE76" i="32" s="1"/>
  <c r="W67" i="34"/>
  <c r="X67" i="34" s="1"/>
  <c r="AO255" i="34" s="1"/>
  <c r="W61" i="4"/>
  <c r="X61" i="4" s="1"/>
  <c r="AO254" i="4" s="1"/>
  <c r="W37" i="4"/>
  <c r="X37" i="4" s="1"/>
  <c r="AO250" i="4" s="1"/>
  <c r="W49" i="34"/>
  <c r="X49" i="34" s="1"/>
  <c r="AO252" i="34" s="1"/>
  <c r="AB58" i="34"/>
  <c r="AC58" i="34" s="1"/>
  <c r="AD58" i="34" s="1"/>
  <c r="AE58" i="34" s="1"/>
  <c r="AF58" i="34" s="1"/>
  <c r="W55" i="4"/>
  <c r="X55" i="4" s="1"/>
  <c r="AO253" i="4" s="1"/>
  <c r="AB70" i="4"/>
  <c r="AC70" i="4" s="1"/>
  <c r="AD70" i="4" s="1"/>
  <c r="AE70" i="4" s="1"/>
  <c r="K69" i="4" s="1"/>
  <c r="K71" i="4" s="1"/>
  <c r="AM115" i="33" s="1"/>
  <c r="W43" i="4"/>
  <c r="X43" i="4" s="1"/>
  <c r="AO251" i="4" s="1"/>
  <c r="W61" i="34"/>
  <c r="X61" i="34" s="1"/>
  <c r="AO254" i="34" s="1"/>
  <c r="W73" i="34"/>
  <c r="X73" i="34" s="1"/>
  <c r="AA73" i="34" s="1"/>
  <c r="AB76" i="34" s="1"/>
  <c r="AC76" i="34" s="1"/>
  <c r="AD76" i="34" s="1"/>
  <c r="AE76" i="34" s="1"/>
  <c r="Y20" i="4"/>
  <c r="AA20" i="4" s="1"/>
  <c r="V31" i="4"/>
  <c r="AA37" i="34"/>
  <c r="AB40" i="34" s="1"/>
  <c r="AC40" i="34" s="1"/>
  <c r="AD40" i="34" s="1"/>
  <c r="AE40" i="34" s="1"/>
  <c r="AA43" i="32"/>
  <c r="AB46" i="32" s="1"/>
  <c r="AC46" i="32" s="1"/>
  <c r="AD46" i="32" s="1"/>
  <c r="B81" i="17"/>
  <c r="G20" i="4"/>
  <c r="B80" i="35"/>
  <c r="B80" i="33"/>
  <c r="B79" i="33"/>
  <c r="B79" i="35"/>
  <c r="B80" i="17"/>
  <c r="G19" i="4"/>
  <c r="L108" i="35"/>
  <c r="L109" i="17"/>
  <c r="I31" i="4"/>
  <c r="L108" i="33"/>
  <c r="BB11" i="34"/>
  <c r="BC11" i="34" s="1"/>
  <c r="BD11" i="34" s="1"/>
  <c r="BE11" i="34" s="1"/>
  <c r="BF11" i="34" s="1"/>
  <c r="BB10" i="34"/>
  <c r="BE14" i="34"/>
  <c r="BF14" i="34" s="1"/>
  <c r="BC16" i="34"/>
  <c r="BD16" i="34" s="1"/>
  <c r="BE12" i="34"/>
  <c r="BF12" i="34" s="1"/>
  <c r="BC17" i="34"/>
  <c r="BD17" i="34" s="1"/>
  <c r="BC13" i="34"/>
  <c r="BD13" i="34" s="1"/>
  <c r="BE15" i="32"/>
  <c r="BF15" i="32" s="1"/>
  <c r="X179" i="33"/>
  <c r="X179" i="35"/>
  <c r="X178" i="33"/>
  <c r="X178" i="35"/>
  <c r="BC14" i="32"/>
  <c r="BD14" i="32" s="1"/>
  <c r="BC13" i="32"/>
  <c r="BD13" i="32" s="1"/>
  <c r="BC16" i="32"/>
  <c r="BD16" i="32" s="1"/>
  <c r="X181" i="35"/>
  <c r="X181" i="33"/>
  <c r="X182" i="35"/>
  <c r="X182" i="33"/>
  <c r="BC17" i="32"/>
  <c r="BD17" i="32" s="1"/>
  <c r="X112" i="33"/>
  <c r="X113" i="17"/>
  <c r="X112" i="35"/>
  <c r="BC15" i="4"/>
  <c r="BD15" i="4" s="1"/>
  <c r="BE15" i="4" s="1"/>
  <c r="BF15" i="4" s="1"/>
  <c r="X114" i="33"/>
  <c r="X115" i="17"/>
  <c r="X114" i="35"/>
  <c r="X116" i="35"/>
  <c r="X116" i="33"/>
  <c r="BE13" i="4"/>
  <c r="BF13" i="4" s="1"/>
  <c r="AE34" i="32" l="1"/>
  <c r="K34" i="32" s="1"/>
  <c r="K36" i="32" s="1"/>
  <c r="AM175" i="33" s="1"/>
  <c r="AE46" i="32"/>
  <c r="K45" i="32" s="1"/>
  <c r="K47" i="32" s="1"/>
  <c r="J45" i="32"/>
  <c r="J47" i="32" s="1"/>
  <c r="AI175" i="35"/>
  <c r="AI175" i="33"/>
  <c r="AG145" i="33"/>
  <c r="AG145" i="35"/>
  <c r="AA61" i="4"/>
  <c r="AB64" i="4" s="1"/>
  <c r="AC64" i="4" s="1"/>
  <c r="AD64" i="4" s="1"/>
  <c r="AE64" i="4" s="1"/>
  <c r="K63" i="4" s="1"/>
  <c r="K65" i="4" s="1"/>
  <c r="K57" i="34"/>
  <c r="K59" i="34" s="1"/>
  <c r="AM245" i="35" s="1"/>
  <c r="AM115" i="35"/>
  <c r="AM116" i="17"/>
  <c r="AA49" i="32"/>
  <c r="AB52" i="32" s="1"/>
  <c r="AC52" i="32" s="1"/>
  <c r="AD52" i="32" s="1"/>
  <c r="AE52" i="32" s="1"/>
  <c r="K51" i="32" s="1"/>
  <c r="K53" i="32" s="1"/>
  <c r="AA67" i="32"/>
  <c r="AB70" i="32" s="1"/>
  <c r="AC70" i="32" s="1"/>
  <c r="AD70" i="32" s="1"/>
  <c r="AE70" i="32" s="1"/>
  <c r="AF70" i="32" s="1"/>
  <c r="AA43" i="4"/>
  <c r="AB46" i="4" s="1"/>
  <c r="AC46" i="4" s="1"/>
  <c r="AD46" i="4" s="1"/>
  <c r="AF70" i="4"/>
  <c r="AA43" i="34"/>
  <c r="AB46" i="34" s="1"/>
  <c r="AC46" i="34" s="1"/>
  <c r="AD46" i="34" s="1"/>
  <c r="AE46" i="34" s="1"/>
  <c r="AF46" i="34" s="1"/>
  <c r="AA37" i="4"/>
  <c r="AB40" i="4" s="1"/>
  <c r="AC40" i="4" s="1"/>
  <c r="AD40" i="4" s="1"/>
  <c r="K75" i="4"/>
  <c r="AF76" i="4"/>
  <c r="AF76" i="32"/>
  <c r="K75" i="32"/>
  <c r="K77" i="32" s="1"/>
  <c r="AF64" i="32"/>
  <c r="K63" i="32"/>
  <c r="K65" i="32" s="1"/>
  <c r="K75" i="34"/>
  <c r="K77" i="34" s="1"/>
  <c r="AM248" i="35" s="1"/>
  <c r="AF76" i="34"/>
  <c r="AF40" i="34"/>
  <c r="K39" i="34"/>
  <c r="K41" i="34" s="1"/>
  <c r="AM242" i="35" s="1"/>
  <c r="W31" i="4"/>
  <c r="X31" i="4" s="1"/>
  <c r="AA31" i="4" s="1"/>
  <c r="AA61" i="34"/>
  <c r="AB64" i="34" s="1"/>
  <c r="AC64" i="34" s="1"/>
  <c r="AD64" i="34" s="1"/>
  <c r="AE64" i="34" s="1"/>
  <c r="AA55" i="4"/>
  <c r="AB58" i="4" s="1"/>
  <c r="AC58" i="4" s="1"/>
  <c r="AD58" i="4" s="1"/>
  <c r="AE58" i="4" s="1"/>
  <c r="AA49" i="34"/>
  <c r="AB52" i="34" s="1"/>
  <c r="AC52" i="34" s="1"/>
  <c r="AD52" i="34" s="1"/>
  <c r="AE52" i="34" s="1"/>
  <c r="AA67" i="34"/>
  <c r="AB70" i="34" s="1"/>
  <c r="AC70" i="34" s="1"/>
  <c r="AD70" i="34" s="1"/>
  <c r="AE70" i="34" s="1"/>
  <c r="AA49" i="4"/>
  <c r="AB52" i="4" s="1"/>
  <c r="AC52" i="4" s="1"/>
  <c r="AD52" i="4" s="1"/>
  <c r="AE52" i="4" s="1"/>
  <c r="AA55" i="32"/>
  <c r="AB58" i="32" s="1"/>
  <c r="AC58" i="32" s="1"/>
  <c r="AD58" i="32" s="1"/>
  <c r="AE58" i="32" s="1"/>
  <c r="AA37" i="32"/>
  <c r="AB40" i="32" s="1"/>
  <c r="AC40" i="32" s="1"/>
  <c r="AD40" i="32" s="1"/>
  <c r="AG79" i="35"/>
  <c r="AG80" i="17"/>
  <c r="AG79" i="33"/>
  <c r="AG81" i="17"/>
  <c r="AG80" i="35"/>
  <c r="AG80" i="33"/>
  <c r="X109" i="17"/>
  <c r="X108" i="33"/>
  <c r="X108" i="35"/>
  <c r="BC10" i="34"/>
  <c r="BD10" i="34" s="1"/>
  <c r="BE10" i="34" s="1"/>
  <c r="BF10" i="34" s="1"/>
  <c r="BE16" i="34"/>
  <c r="BF16" i="34" s="1"/>
  <c r="BE17" i="34"/>
  <c r="BF17" i="34" s="1"/>
  <c r="BE13" i="34"/>
  <c r="BF13" i="34" s="1"/>
  <c r="BE17" i="32"/>
  <c r="BF17" i="32" s="1"/>
  <c r="BE16" i="32"/>
  <c r="BF16" i="32" s="1"/>
  <c r="BE14" i="32"/>
  <c r="BF14" i="32" s="1"/>
  <c r="BE13" i="32"/>
  <c r="BF13" i="32" s="1"/>
  <c r="AF46" i="32" l="1"/>
  <c r="L45" i="32" s="1"/>
  <c r="CA176" i="32" s="1"/>
  <c r="CA177" i="32" s="1"/>
  <c r="AM175" i="35"/>
  <c r="AF34" i="32"/>
  <c r="L34" i="32" s="1"/>
  <c r="BY156" i="32" s="1"/>
  <c r="BY157" i="32" s="1"/>
  <c r="BB10" i="32" s="1"/>
  <c r="BC10" i="32" s="1"/>
  <c r="BD10" i="32" s="1"/>
  <c r="BE10" i="32" s="1"/>
  <c r="BF10" i="32" s="1"/>
  <c r="L36" i="32" s="1"/>
  <c r="AI177" i="35"/>
  <c r="AI177" i="33"/>
  <c r="AF64" i="4"/>
  <c r="AE40" i="32"/>
  <c r="AF40" i="32" s="1"/>
  <c r="L39" i="32" s="1"/>
  <c r="J39" i="32"/>
  <c r="J41" i="32" s="1"/>
  <c r="AF52" i="32"/>
  <c r="K45" i="34"/>
  <c r="K47" i="34" s="1"/>
  <c r="AM243" i="35" s="1"/>
  <c r="K69" i="32"/>
  <c r="K71" i="32" s="1"/>
  <c r="AM181" i="33" s="1"/>
  <c r="AE46" i="4"/>
  <c r="K45" i="4" s="1"/>
  <c r="K47" i="4" s="1"/>
  <c r="AM111" i="33" s="1"/>
  <c r="J45" i="4"/>
  <c r="J47" i="4" s="1"/>
  <c r="AE40" i="4"/>
  <c r="K39" i="4" s="1"/>
  <c r="K41" i="4" s="1"/>
  <c r="AM110" i="33" s="1"/>
  <c r="J39" i="4"/>
  <c r="J41" i="4" s="1"/>
  <c r="AB34" i="4"/>
  <c r="AC34" i="4" s="1"/>
  <c r="AB20" i="4"/>
  <c r="AC20" i="4" s="1"/>
  <c r="K51" i="4"/>
  <c r="K53" i="4" s="1"/>
  <c r="AF52" i="4"/>
  <c r="K63" i="34"/>
  <c r="K65" i="34" s="1"/>
  <c r="AM246" i="35" s="1"/>
  <c r="AF64" i="34"/>
  <c r="AM177" i="33"/>
  <c r="AM177" i="35"/>
  <c r="AM117" i="17"/>
  <c r="K77" i="4"/>
  <c r="K57" i="32"/>
  <c r="K59" i="32" s="1"/>
  <c r="AF58" i="32"/>
  <c r="AM180" i="35"/>
  <c r="AM180" i="33"/>
  <c r="K69" i="34"/>
  <c r="K71" i="34" s="1"/>
  <c r="AM247" i="35" s="1"/>
  <c r="AF70" i="34"/>
  <c r="AM114" i="33"/>
  <c r="AM115" i="17"/>
  <c r="AM114" i="35"/>
  <c r="AM182" i="35"/>
  <c r="AM182" i="33"/>
  <c r="AF58" i="4"/>
  <c r="K57" i="4"/>
  <c r="K59" i="4" s="1"/>
  <c r="AF52" i="34"/>
  <c r="K51" i="34"/>
  <c r="K53" i="34" s="1"/>
  <c r="AM244" i="35" s="1"/>
  <c r="AO249" i="4"/>
  <c r="AO248" i="4"/>
  <c r="AM178" i="33"/>
  <c r="AM178" i="35"/>
  <c r="BY176" i="32" l="1"/>
  <c r="BY177" i="32" s="1"/>
  <c r="CA156" i="32"/>
  <c r="CA157" i="32" s="1"/>
  <c r="BB12" i="32" s="1"/>
  <c r="BC12" i="32" s="1"/>
  <c r="BD12" i="32" s="1"/>
  <c r="BE12" i="32" s="1"/>
  <c r="BF12" i="32" s="1"/>
  <c r="L47" i="32" s="1"/>
  <c r="AR177" i="33" s="1"/>
  <c r="BZ156" i="32"/>
  <c r="BZ157" i="32" s="1"/>
  <c r="BB11" i="32" s="1"/>
  <c r="BC11" i="32" s="1"/>
  <c r="BD11" i="32" s="1"/>
  <c r="BE11" i="32" s="1"/>
  <c r="BF11" i="32" s="1"/>
  <c r="L41" i="32" s="1"/>
  <c r="BZ176" i="32"/>
  <c r="BZ177" i="32" s="1"/>
  <c r="K39" i="32"/>
  <c r="K41" i="32" s="1"/>
  <c r="AI176" i="33"/>
  <c r="AI176" i="35"/>
  <c r="AR175" i="35"/>
  <c r="AR175" i="33"/>
  <c r="H36" i="32"/>
  <c r="AM181" i="35"/>
  <c r="AM111" i="35"/>
  <c r="AF46" i="4"/>
  <c r="L45" i="4" s="1"/>
  <c r="AM112" i="17"/>
  <c r="AI111" i="33"/>
  <c r="AI112" i="17"/>
  <c r="AI111" i="35"/>
  <c r="AM110" i="35"/>
  <c r="AM111" i="17"/>
  <c r="AF40" i="4"/>
  <c r="L39" i="4" s="1"/>
  <c r="AI110" i="35"/>
  <c r="AI110" i="33"/>
  <c r="AI111" i="17"/>
  <c r="AM114" i="17"/>
  <c r="AM113" i="35"/>
  <c r="AM113" i="33"/>
  <c r="AM176" i="35"/>
  <c r="AM176" i="33"/>
  <c r="AM116" i="33"/>
  <c r="AM116" i="35"/>
  <c r="AM179" i="33"/>
  <c r="AM179" i="35"/>
  <c r="AM112" i="35"/>
  <c r="AM113" i="17"/>
  <c r="AM112" i="33"/>
  <c r="AD34" i="4"/>
  <c r="AD20" i="4"/>
  <c r="AE20" i="4" s="1"/>
  <c r="AF20" i="4" s="1"/>
  <c r="H47" i="32" l="1"/>
  <c r="L177" i="33" s="1"/>
  <c r="AR177" i="35"/>
  <c r="AR176" i="33"/>
  <c r="AR176" i="35"/>
  <c r="H41" i="32"/>
  <c r="L175" i="35"/>
  <c r="I34" i="32"/>
  <c r="L175" i="33"/>
  <c r="CA156" i="4"/>
  <c r="CA157" i="4" s="1"/>
  <c r="BB12" i="4" s="1"/>
  <c r="BC12" i="4" s="1"/>
  <c r="BD12" i="4" s="1"/>
  <c r="BE12" i="4" s="1"/>
  <c r="BF12" i="4" s="1"/>
  <c r="L47" i="4" s="1"/>
  <c r="CA176" i="4"/>
  <c r="CA177" i="4" s="1"/>
  <c r="BZ176" i="4"/>
  <c r="BZ177" i="4" s="1"/>
  <c r="BZ156" i="4"/>
  <c r="BZ157" i="4" s="1"/>
  <c r="BB11" i="4" s="1"/>
  <c r="BC11" i="4" s="1"/>
  <c r="BD11" i="4" s="1"/>
  <c r="BE11" i="4" s="1"/>
  <c r="BF11" i="4" s="1"/>
  <c r="L41" i="4" s="1"/>
  <c r="AE34" i="4"/>
  <c r="AF34" i="4" s="1"/>
  <c r="L34" i="4" s="1"/>
  <c r="J34" i="4"/>
  <c r="J36" i="4" s="1"/>
  <c r="L177" i="35" l="1"/>
  <c r="I45" i="32"/>
  <c r="AG41" i="32" s="1"/>
  <c r="I39" i="32"/>
  <c r="L176" i="35"/>
  <c r="L176" i="33"/>
  <c r="AG30" i="32"/>
  <c r="I36" i="32"/>
  <c r="AR111" i="33"/>
  <c r="AR111" i="35"/>
  <c r="AR112" i="17"/>
  <c r="H47" i="4"/>
  <c r="AR110" i="33"/>
  <c r="AR111" i="17"/>
  <c r="AR110" i="35"/>
  <c r="H41" i="4"/>
  <c r="BY176" i="4"/>
  <c r="BY177" i="4" s="1"/>
  <c r="BY156" i="4"/>
  <c r="BY157" i="4" s="1"/>
  <c r="BB10" i="4" s="1"/>
  <c r="BC10" i="4" s="1"/>
  <c r="BD10" i="4" s="1"/>
  <c r="BE10" i="4" s="1"/>
  <c r="BF10" i="4" s="1"/>
  <c r="L36" i="4" s="1"/>
  <c r="K34" i="4"/>
  <c r="K36" i="4" s="1"/>
  <c r="AM109" i="33" s="1"/>
  <c r="AI109" i="35"/>
  <c r="AI110" i="17"/>
  <c r="AI109" i="33"/>
  <c r="I47" i="32" l="1"/>
  <c r="X177" i="33" s="1"/>
  <c r="AG36" i="32"/>
  <c r="I41" i="32"/>
  <c r="X175" i="33"/>
  <c r="X175" i="35"/>
  <c r="I45" i="4"/>
  <c r="L111" i="35"/>
  <c r="L111" i="33"/>
  <c r="L112" i="17"/>
  <c r="I39" i="4"/>
  <c r="L110" i="33"/>
  <c r="L110" i="35"/>
  <c r="L111" i="17"/>
  <c r="AR109" i="35"/>
  <c r="AR110" i="17"/>
  <c r="AR109" i="33"/>
  <c r="H36" i="4"/>
  <c r="AM109" i="35"/>
  <c r="AM110" i="17"/>
  <c r="X177" i="35" l="1"/>
  <c r="X176" i="33"/>
  <c r="X176" i="35"/>
  <c r="AG41" i="4"/>
  <c r="I47" i="4"/>
  <c r="I41" i="4"/>
  <c r="AG36" i="4"/>
  <c r="L109" i="33"/>
  <c r="I34" i="4"/>
  <c r="L110" i="17"/>
  <c r="L109" i="35"/>
  <c r="X112" i="17" l="1"/>
  <c r="X111" i="35"/>
  <c r="X111" i="33"/>
  <c r="X110" i="33"/>
  <c r="X111" i="17"/>
  <c r="X110" i="35"/>
  <c r="I36" i="4"/>
  <c r="AG30" i="4"/>
  <c r="X109" i="35" l="1"/>
  <c r="X110" i="17"/>
  <c r="X109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tc={8AC5475D-CB2A-48D3-9F62-9F3C6FD57014}</author>
    <author>Nadir Baptista</author>
    <author>tc={1C3A9672-F9F4-488D-B27E-F33FFB086A37}</author>
    <author>tc={AE16BFF0-912B-4AC6-9C1D-6219887C2B76}</author>
    <author>ricardoseixas</author>
    <author>Nadir</author>
    <author>Rui Ribeiro</author>
  </authors>
  <commentList>
    <comment ref="C2" authorId="0" shapeId="0" xr:uid="{8AC5475D-CB2A-48D3-9F62-9F3C6FD57014}">
      <text>
        <t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ddmmXXTT</t>
      </text>
    </comment>
    <comment ref="G2" authorId="1" shapeId="0" xr:uid="{00000000-0006-0000-0100-000001000000}">
      <text>
        <r>
          <rPr>
            <b/>
            <sz val="9"/>
            <color indexed="81"/>
            <rFont val="Tahoma"/>
            <family val="2"/>
          </rPr>
          <t>N.º de Certificado de Calibração</t>
        </r>
      </text>
    </comment>
    <comment ref="AO5" authorId="1" shapeId="0" xr:uid="{278C40F9-697C-48A5-B913-8DEDE431BBF4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u(ɗm</t>
        </r>
        <r>
          <rPr>
            <vertAlign val="subscript"/>
            <sz val="12"/>
            <color indexed="81"/>
            <rFont val="Tahoma"/>
            <family val="2"/>
          </rPr>
          <t>c</t>
        </r>
        <r>
          <rPr>
            <sz val="12"/>
            <color indexed="81"/>
            <rFont val="Tahoma"/>
            <family val="2"/>
          </rPr>
          <t xml:space="preserve">) = </t>
        </r>
        <r>
          <rPr>
            <b/>
            <sz val="12"/>
            <color indexed="81"/>
            <rFont val="Tahoma"/>
            <family val="2"/>
          </rPr>
          <t>Tol/√3</t>
        </r>
        <r>
          <rPr>
            <sz val="12"/>
            <color indexed="81"/>
            <rFont val="Tahoma"/>
            <family val="2"/>
          </rPr>
          <t xml:space="preserve"> se m</t>
        </r>
        <r>
          <rPr>
            <vertAlign val="subscript"/>
            <sz val="12"/>
            <color indexed="81"/>
            <rFont val="Tahoma"/>
            <family val="2"/>
          </rPr>
          <t>ref</t>
        </r>
        <r>
          <rPr>
            <sz val="12"/>
            <color indexed="81"/>
            <rFont val="Tahoma"/>
            <family val="2"/>
          </rPr>
          <t xml:space="preserve"> = m</t>
        </r>
        <r>
          <rPr>
            <vertAlign val="subscript"/>
            <sz val="12"/>
            <color indexed="81"/>
            <rFont val="Tahoma"/>
            <family val="2"/>
          </rPr>
          <t>N</t>
        </r>
        <r>
          <rPr>
            <sz val="12"/>
            <color indexed="81"/>
            <rFont val="Tahoma"/>
            <family val="2"/>
          </rPr>
          <t xml:space="preserve">
u(ɗm</t>
        </r>
        <r>
          <rPr>
            <vertAlign val="subscript"/>
            <sz val="12"/>
            <color indexed="81"/>
            <rFont val="Tahoma"/>
            <family val="2"/>
          </rPr>
          <t>c</t>
        </r>
        <r>
          <rPr>
            <sz val="12"/>
            <color indexed="81"/>
            <rFont val="Tahoma"/>
            <family val="2"/>
          </rPr>
          <t xml:space="preserve">) = </t>
        </r>
        <r>
          <rPr>
            <b/>
            <sz val="12"/>
            <color indexed="81"/>
            <rFont val="Tahoma"/>
            <family val="2"/>
          </rPr>
          <t>U/K</t>
        </r>
        <r>
          <rPr>
            <sz val="12"/>
            <color indexed="81"/>
            <rFont val="Tahoma"/>
            <family val="2"/>
          </rPr>
          <t xml:space="preserve"> se m</t>
        </r>
        <r>
          <rPr>
            <vertAlign val="subscript"/>
            <sz val="12"/>
            <color indexed="81"/>
            <rFont val="Tahoma"/>
            <family val="2"/>
          </rPr>
          <t>ref</t>
        </r>
        <r>
          <rPr>
            <sz val="12"/>
            <color indexed="81"/>
            <rFont val="Tahoma"/>
            <family val="2"/>
          </rPr>
          <t xml:space="preserve"> =m</t>
        </r>
        <r>
          <rPr>
            <vertAlign val="subscript"/>
            <sz val="12"/>
            <color indexed="81"/>
            <rFont val="Tahoma"/>
            <family val="2"/>
          </rPr>
          <t xml:space="preserve">N </t>
        </r>
        <r>
          <rPr>
            <sz val="12"/>
            <color indexed="81"/>
            <rFont val="Tahoma"/>
            <family val="2"/>
          </rPr>
          <t>+ ɗm</t>
        </r>
        <r>
          <rPr>
            <vertAlign val="subscript"/>
            <sz val="12"/>
            <color indexed="81"/>
            <rFont val="Tahoma"/>
            <family val="2"/>
          </rPr>
          <t>c 
Considera-se a Tol (inc+deg)</t>
        </r>
      </text>
    </comment>
    <comment ref="J9" authorId="2" shapeId="0" xr:uid="{1C3A9672-F9F4-488D-B27E-F33FFB086A37}">
      <text>
        <t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Inserir Latitude Destino</t>
      </text>
    </comment>
    <comment ref="K9" authorId="3" shapeId="0" xr:uid="{AE16BFF0-912B-4AC6-9C1D-6219887C2B76}">
      <text>
        <t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Inserir Altitude Destino</t>
      </text>
    </comment>
    <comment ref="K10" authorId="4" shapeId="0" xr:uid="{00000000-0006-0000-0100-000002000000}">
      <text>
        <r>
          <rPr>
            <sz val="11"/>
            <color indexed="81"/>
            <rFont val="Tahoma"/>
            <family val="2"/>
          </rPr>
          <t>=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b/>
            <sz val="14"/>
            <color indexed="81"/>
            <rFont val="Tahoma"/>
            <family val="2"/>
          </rPr>
          <t>⅔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Max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Tahoma"/>
            <family val="2"/>
          </rPr>
          <t>.</t>
        </r>
        <r>
          <rPr>
            <sz val="11"/>
            <color indexed="81"/>
            <rFont val="Tahoma"/>
            <family val="2"/>
          </rPr>
          <t xml:space="preserve"> (</t>
        </r>
        <r>
          <rPr>
            <b/>
            <sz val="11"/>
            <color indexed="81"/>
            <rFont val="Tahoma"/>
            <family val="2"/>
          </rPr>
          <t>g</t>
        </r>
        <r>
          <rPr>
            <b/>
            <vertAlign val="subscript"/>
            <sz val="14"/>
            <color indexed="81"/>
            <rFont val="Tahoma"/>
            <family val="2"/>
          </rPr>
          <t>destin</t>
        </r>
        <r>
          <rPr>
            <vertAlign val="subscript"/>
            <sz val="14"/>
            <color indexed="81"/>
            <rFont val="Tahoma"/>
            <family val="2"/>
          </rPr>
          <t>o</t>
        </r>
        <r>
          <rPr>
            <sz val="11"/>
            <color indexed="81"/>
            <rFont val="Tahoma"/>
            <family val="2"/>
          </rPr>
          <t xml:space="preserve"> - </t>
        </r>
        <r>
          <rPr>
            <b/>
            <sz val="11"/>
            <color indexed="81"/>
            <rFont val="Tahoma"/>
            <family val="2"/>
          </rPr>
          <t>g</t>
        </r>
        <r>
          <rPr>
            <b/>
            <vertAlign val="subscript"/>
            <sz val="14"/>
            <color indexed="81"/>
            <rFont val="Tahoma"/>
            <family val="2"/>
          </rPr>
          <t>lab</t>
        </r>
        <r>
          <rPr>
            <sz val="11"/>
            <color indexed="81"/>
            <rFont val="Tahoma"/>
            <family val="2"/>
          </rPr>
          <t xml:space="preserve">) / </t>
        </r>
        <r>
          <rPr>
            <b/>
            <sz val="11"/>
            <color indexed="81"/>
            <rFont val="Tahoma"/>
            <family val="2"/>
          </rPr>
          <t>g</t>
        </r>
        <r>
          <rPr>
            <b/>
            <vertAlign val="subscript"/>
            <sz val="14"/>
            <color indexed="81"/>
            <rFont val="Tahoma"/>
            <family val="2"/>
          </rPr>
          <t>lab</t>
        </r>
      </text>
    </comment>
    <comment ref="L11" authorId="4" shapeId="0" xr:uid="{00000000-0006-0000-0100-000003000000}">
      <text>
        <r>
          <rPr>
            <sz val="12"/>
            <color indexed="81"/>
            <rFont val="Symbol"/>
            <family val="1"/>
            <charset val="2"/>
          </rPr>
          <t xml:space="preserve">&gt;&gt; </t>
        </r>
        <r>
          <rPr>
            <sz val="12"/>
            <color indexed="81"/>
            <rFont val="Tahoma"/>
            <family val="2"/>
          </rPr>
          <t xml:space="preserve">Conforme massas disponíveis
</t>
        </r>
        <r>
          <rPr>
            <sz val="11"/>
            <color indexed="81"/>
            <rFont val="Tahoma"/>
            <family val="2"/>
          </rPr>
          <t xml:space="preserve">&gt;&gt; </t>
        </r>
        <r>
          <rPr>
            <sz val="12"/>
            <color indexed="81"/>
            <rFont val="Tahoma"/>
            <family val="2"/>
          </rPr>
          <t xml:space="preserve">Deve ter o </t>
        </r>
        <r>
          <rPr>
            <u/>
            <sz val="12"/>
            <color indexed="81"/>
            <rFont val="Tahoma"/>
            <family val="2"/>
          </rPr>
          <t>mesmo sinal</t>
        </r>
        <r>
          <rPr>
            <sz val="12"/>
            <color indexed="81"/>
            <rFont val="Tahoma"/>
            <family val="2"/>
          </rPr>
          <t xml:space="preserve"> que </t>
        </r>
        <r>
          <rPr>
            <b/>
            <sz val="12"/>
            <color indexed="81"/>
            <rFont val="Symbol"/>
            <family val="1"/>
            <charset val="2"/>
          </rPr>
          <t>D</t>
        </r>
        <r>
          <rPr>
            <b/>
            <sz val="12"/>
            <color indexed="81"/>
            <rFont val="Tahoma"/>
            <family val="2"/>
          </rPr>
          <t>m</t>
        </r>
        <r>
          <rPr>
            <b/>
            <vertAlign val="subscript"/>
            <sz val="12"/>
            <color indexed="81"/>
            <rFont val="Tahoma"/>
            <family val="2"/>
          </rPr>
          <t>calc</t>
        </r>
      </text>
    </comment>
    <comment ref="AR27" authorId="1" shapeId="0" xr:uid="{0D5F5EAF-3BF8-4A49-8813-227AF75F532D}">
      <text>
        <r>
          <rPr>
            <b/>
            <sz val="9"/>
            <color indexed="81"/>
            <rFont val="Tahoma"/>
            <family val="2"/>
          </rPr>
          <t>u</t>
        </r>
        <r>
          <rPr>
            <b/>
            <vertAlign val="subscript"/>
            <sz val="9"/>
            <color indexed="81"/>
            <rFont val="Tahoma"/>
            <family val="2"/>
          </rPr>
          <t xml:space="preserve"> rel B  </t>
        </r>
        <r>
          <rPr>
            <sz val="9"/>
            <color indexed="81"/>
            <rFont val="Tahoma"/>
            <family val="2"/>
          </rPr>
          <t>(g/kg)</t>
        </r>
      </text>
    </comment>
    <comment ref="B32" authorId="1" shapeId="0" xr:uid="{6C6F9F5D-BB94-4F83-A81A-3428B2EE1517}">
      <text>
        <r>
          <rPr>
            <b/>
            <sz val="9"/>
            <color indexed="81"/>
            <rFont val="Tahoma"/>
            <family val="2"/>
          </rPr>
          <t xml:space="preserve">Abreviaturas dos Pesos Padrão:
1- Ref 715 Gibertini  E2 1 mg a 1 kg </t>
        </r>
        <r>
          <rPr>
            <b/>
            <sz val="9"/>
            <color indexed="10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          </t>
        </r>
        <r>
          <rPr>
            <b/>
            <sz val="9"/>
            <color indexed="10"/>
            <rFont val="Tahoma"/>
            <family val="2"/>
          </rPr>
          <t xml:space="preserve">  </t>
        </r>
        <r>
          <rPr>
            <b/>
            <sz val="9"/>
            <color indexed="81"/>
            <rFont val="Tahoma"/>
            <family val="2"/>
          </rPr>
          <t xml:space="preserve">2-   Ref 716 Gibertini   F1 1 mg a 5 kg
       </t>
        </r>
        <r>
          <rPr>
            <sz val="9"/>
            <color indexed="81"/>
            <rFont val="Arial"/>
            <family val="2"/>
          </rPr>
          <t>10m - 10 mg                                                                        F10m - 10 mg
       10    - 10 g                                                                           F10   - 10 g
        20º - 20 g                                                                            F20º - 20 g
       1000 - 1000 g                                                                      F200 - 200 g
                                                                                                   F1k - 1 kg; F2kº - 2 kg; F5k - 5 kg</t>
        </r>
        <r>
          <rPr>
            <b/>
            <sz val="9"/>
            <color indexed="81"/>
            <rFont val="Tahoma"/>
            <family val="2"/>
          </rPr>
          <t xml:space="preserve">
3- Ref 717 Gibertini F1 10 kg a 20 kg
     </t>
        </r>
        <r>
          <rPr>
            <sz val="9"/>
            <color indexed="81"/>
            <rFont val="Arial"/>
            <family val="2"/>
          </rPr>
          <t xml:space="preserve"> F10k - 10 kg
      F20k - 20 kg</t>
        </r>
        <r>
          <rPr>
            <b/>
            <sz val="9"/>
            <color indexed="81"/>
            <rFont val="Tahoma"/>
            <family val="2"/>
          </rPr>
          <t xml:space="preserve">
4 - Ref 681, 682 e 708 M1 20 kg a 900 kg
      </t>
        </r>
        <r>
          <rPr>
            <sz val="9"/>
            <color indexed="81"/>
            <rFont val="Arial"/>
            <family val="2"/>
          </rPr>
          <t>20k - 20kg
      200k - 200kg (10x 20kg)
      900K - 900kg (45x 20kg)</t>
        </r>
        <r>
          <rPr>
            <b/>
            <sz val="9"/>
            <color indexed="81"/>
            <rFont val="Tahoma"/>
            <family val="2"/>
          </rPr>
          <t xml:space="preserve">
5 - Ref 529 Bilanciai M1 1000kg a 20000kg
    </t>
        </r>
        <r>
          <rPr>
            <sz val="9"/>
            <color indexed="81"/>
            <rFont val="Arial"/>
            <family val="2"/>
          </rPr>
          <t xml:space="preserve">  1000k - 1000 kg
      2000k - 2000 kg (2x 1000 kg)
      10000k - 10000 kg (10x 1000 kg)
       20000k - 20000 kg (20x 1000 kg)</t>
        </r>
        <r>
          <rPr>
            <b/>
            <sz val="9"/>
            <color indexed="81"/>
            <rFont val="Tahoma"/>
            <family val="2"/>
          </rPr>
          <t xml:space="preserve">
6 - Ref 530 Massas M1 1 kg a 10 kg
     </t>
        </r>
        <r>
          <rPr>
            <sz val="9"/>
            <color indexed="81"/>
            <rFont val="Arial"/>
            <family val="2"/>
          </rPr>
          <t xml:space="preserve"> 1k - 1 kg
      2k - 2 kg (2x 1 kg)
      10k - 10 kg (10x 1 kg)</t>
        </r>
        <r>
          <rPr>
            <b/>
            <sz val="9"/>
            <color indexed="81"/>
            <rFont val="Tahoma"/>
            <family val="2"/>
          </rPr>
          <t xml:space="preserve">
7 - Ref 531 Massas M1 2 kg a 20 kg                    8 - Ref 532 e 533 Massas M1 5 kg a 20 kg
      </t>
        </r>
        <r>
          <rPr>
            <sz val="9"/>
            <color indexed="81"/>
            <rFont val="Arial"/>
            <family val="2"/>
          </rPr>
          <t>2kg - 2 kg                                                                                5k1 - 5 kg
      4kg - 2 kg (2x 2 kg)                                                                 5k2 - 10 kg (2x 5 kg)
      6kg - 10 kg (3x 2 kg)                                                               10k1 - 10 kg (1x 10 kg)
      20kg - 10 kg (10x 2 kg)                                                           10k2 - 20 kg (2x 10 kg)</t>
        </r>
        <r>
          <rPr>
            <b/>
            <sz val="9"/>
            <color indexed="81"/>
            <rFont val="Tahoma"/>
            <family val="2"/>
          </rPr>
          <t xml:space="preserve">
9 - Ref 633 a 641 Massas 6x 100 kg (M1-2); 2x 200 kg (M1) e 1x 500 kg (M1)
     </t>
        </r>
        <r>
          <rPr>
            <sz val="9"/>
            <color indexed="81"/>
            <rFont val="Arial"/>
            <family val="2"/>
          </rPr>
          <t xml:space="preserve"> 100k1 - 100 kg
      100k3 - 300 kg (3x 100 kg)
      200k1 - 200 kg (1x 200 kg)
      200k2 - 400 kg (2x 200 kg)</t>
        </r>
        <r>
          <rPr>
            <b/>
            <sz val="9"/>
            <color indexed="81"/>
            <rFont val="Tahoma"/>
            <family val="2"/>
          </rPr>
          <t xml:space="preserve">
10 - Ref 642 a 650 Massas 2x 25 kg (~M1); 3x 50 kg (M1) e 4x 100 kg (M1-2)
      </t>
        </r>
        <r>
          <rPr>
            <sz val="9"/>
            <color indexed="81"/>
            <rFont val="Arial"/>
            <family val="2"/>
          </rPr>
          <t>25k1 - 25 kg
      25k2 - 50 kg (2x 25 kg)
      50k1 - 50 kg (1x 50 kg)
      150k3 - 150 kg (3x 50kg)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11 -  Ref 713 Gibertini/Zwiebel   M1  1 mg a 5 kg   </t>
        </r>
        <r>
          <rPr>
            <sz val="9"/>
            <color indexed="81"/>
            <rFont val="Tahoma"/>
            <family val="2"/>
          </rPr>
          <t xml:space="preserve">           
    M10m - 10 mg
    M10    - 10 g                                                                          
    M20º - 20 g                                                                            
    M1k - 1000 g 
</t>
        </r>
        <r>
          <rPr>
            <b/>
            <sz val="9"/>
            <color indexed="81"/>
            <rFont val="Tahoma"/>
            <family val="2"/>
          </rPr>
          <t>11 -  Ref 714 Gibertini/Zwiebel   M1  1 mg a 5 kg</t>
        </r>
        <r>
          <rPr>
            <sz val="9"/>
            <color indexed="81"/>
            <rFont val="Tahoma"/>
            <family val="2"/>
          </rPr>
          <t xml:space="preserve">              
    M*10m - 10 mg
    M*10    - 10 g                                                                          
    M*20º - 20 g                                                                            
    M*1k - 1000 g</t>
        </r>
      </text>
    </comment>
    <comment ref="V35" authorId="5" shapeId="0" xr:uid="{00000000-0006-0000-0100-000009000000}">
      <text>
        <r>
          <rPr>
            <b/>
            <sz val="12"/>
            <color indexed="81"/>
            <rFont val="Arial"/>
            <family val="2"/>
          </rPr>
          <t>Impulsão do ar: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(ver também tabela E2.1 do Euramet)</t>
        </r>
        <r>
          <rPr>
            <b/>
            <sz val="12"/>
            <color indexed="81"/>
            <rFont val="Arial"/>
            <family val="2"/>
          </rPr>
          <t xml:space="preserve">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A </t>
        </r>
        <r>
          <rPr>
            <sz val="12"/>
            <color indexed="81"/>
            <rFont val="Arial"/>
            <family val="2"/>
          </rPr>
          <t xml:space="preserve">p/ balança com ajuste ;
 e </t>
        </r>
        <r>
          <rPr>
            <b/>
            <sz val="12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</t>
        </r>
        <r>
          <rPr>
            <sz val="12"/>
            <color indexed="81"/>
            <rFont val="Arial"/>
            <family val="2"/>
          </rPr>
          <t xml:space="preserve"> da Tabela E2.1 para balança sem ajuste.</t>
        </r>
      </text>
    </comment>
    <comment ref="X35" authorId="1" shapeId="0" xr:uid="{00000000-0006-0000-0100-00000B000000}">
      <text>
        <r>
          <rPr>
            <sz val="9"/>
            <color indexed="81"/>
            <rFont val="Tahoma"/>
            <family val="2"/>
          </rPr>
          <t>Incerteza padrão da tabela E2.1
uA ou uB</t>
        </r>
      </text>
    </comment>
    <comment ref="V41" authorId="5" shapeId="0" xr:uid="{AFA974AC-0DB3-407F-B726-804A28B56796}">
      <text>
        <r>
          <rPr>
            <b/>
            <sz val="12"/>
            <color indexed="81"/>
            <rFont val="Arial"/>
            <family val="2"/>
          </rPr>
          <t>Impulsão do ar: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(ver também tabela E2.1 do Euramet)</t>
        </r>
        <r>
          <rPr>
            <b/>
            <sz val="12"/>
            <color indexed="81"/>
            <rFont val="Arial"/>
            <family val="2"/>
          </rPr>
          <t xml:space="preserve">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A </t>
        </r>
        <r>
          <rPr>
            <sz val="12"/>
            <color indexed="81"/>
            <rFont val="Arial"/>
            <family val="2"/>
          </rPr>
          <t xml:space="preserve">p/ balança com ajuste ;
 e </t>
        </r>
        <r>
          <rPr>
            <b/>
            <sz val="12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</t>
        </r>
        <r>
          <rPr>
            <sz val="12"/>
            <color indexed="81"/>
            <rFont val="Arial"/>
            <family val="2"/>
          </rPr>
          <t xml:space="preserve"> da Tabela E2.1 para balança sem ajuste.</t>
        </r>
      </text>
    </comment>
    <comment ref="X41" authorId="1" shapeId="0" xr:uid="{61F69E3B-7616-4DC9-BA71-2686383374C3}">
      <text>
        <r>
          <rPr>
            <sz val="9"/>
            <color indexed="81"/>
            <rFont val="Tahoma"/>
            <family val="2"/>
          </rPr>
          <t>Incerteza padrão da tabela E2.1
uA ou uB</t>
        </r>
      </text>
    </comment>
    <comment ref="V47" authorId="5" shapeId="0" xr:uid="{E0583C28-FF03-4488-9952-E4EA71D2CCD8}">
      <text>
        <r>
          <rPr>
            <b/>
            <sz val="12"/>
            <color indexed="81"/>
            <rFont val="Arial"/>
            <family val="2"/>
          </rPr>
          <t>Impulsão do ar: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(ver também tabela E2.1 do Euramet)</t>
        </r>
        <r>
          <rPr>
            <b/>
            <sz val="12"/>
            <color indexed="81"/>
            <rFont val="Arial"/>
            <family val="2"/>
          </rPr>
          <t xml:space="preserve">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A </t>
        </r>
        <r>
          <rPr>
            <sz val="12"/>
            <color indexed="81"/>
            <rFont val="Arial"/>
            <family val="2"/>
          </rPr>
          <t xml:space="preserve">p/ balança com ajuste ;
 e </t>
        </r>
        <r>
          <rPr>
            <b/>
            <sz val="12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</t>
        </r>
        <r>
          <rPr>
            <sz val="12"/>
            <color indexed="81"/>
            <rFont val="Arial"/>
            <family val="2"/>
          </rPr>
          <t xml:space="preserve"> da Tabela E2.1 para balança sem ajuste.</t>
        </r>
      </text>
    </comment>
    <comment ref="X47" authorId="1" shapeId="0" xr:uid="{5BA37B32-F0ED-40EF-B8B5-44B1BF4B9890}">
      <text>
        <r>
          <rPr>
            <sz val="9"/>
            <color indexed="81"/>
            <rFont val="Tahoma"/>
            <family val="2"/>
          </rPr>
          <t>Incerteza padrão da tabela E2.1
uA ou uB</t>
        </r>
      </text>
    </comment>
    <comment ref="V53" authorId="5" shapeId="0" xr:uid="{4F7F9C26-3559-47DD-B073-DF38A61C6350}">
      <text>
        <r>
          <rPr>
            <b/>
            <sz val="12"/>
            <color indexed="81"/>
            <rFont val="Arial"/>
            <family val="2"/>
          </rPr>
          <t>Impulsão do ar: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(ver também tabela E2.1 do Euramet)</t>
        </r>
        <r>
          <rPr>
            <b/>
            <sz val="12"/>
            <color indexed="81"/>
            <rFont val="Arial"/>
            <family val="2"/>
          </rPr>
          <t xml:space="preserve">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A </t>
        </r>
        <r>
          <rPr>
            <sz val="12"/>
            <color indexed="81"/>
            <rFont val="Arial"/>
            <family val="2"/>
          </rPr>
          <t xml:space="preserve">p/ balança com ajuste ;
 e </t>
        </r>
        <r>
          <rPr>
            <b/>
            <sz val="12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</t>
        </r>
        <r>
          <rPr>
            <sz val="12"/>
            <color indexed="81"/>
            <rFont val="Arial"/>
            <family val="2"/>
          </rPr>
          <t xml:space="preserve"> da Tabela E2.1 para balança sem ajuste.</t>
        </r>
      </text>
    </comment>
    <comment ref="X53" authorId="1" shapeId="0" xr:uid="{B7754164-B956-4611-94C1-8E554CFBF7CD}">
      <text>
        <r>
          <rPr>
            <sz val="9"/>
            <color indexed="81"/>
            <rFont val="Tahoma"/>
            <family val="2"/>
          </rPr>
          <t>Incerteza padrão da tabela E2.1
uA ou uB</t>
        </r>
      </text>
    </comment>
    <comment ref="AY55" authorId="1" shapeId="0" xr:uid="{00000000-0006-0000-0100-000023000000}">
      <text>
        <r>
          <rPr>
            <sz val="11"/>
            <color indexed="81"/>
            <rFont val="Arial"/>
            <family val="2"/>
          </rPr>
          <t>Aplicável para massas F1 e sup.(E2) entre 10g e 50 kg.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59" authorId="5" shapeId="0" xr:uid="{20376F65-A2C0-4DDE-B103-D09B34C13298}">
      <text>
        <r>
          <rPr>
            <b/>
            <sz val="12"/>
            <color indexed="81"/>
            <rFont val="Arial"/>
            <family val="2"/>
          </rPr>
          <t>Impulsão do ar: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(ver também tabela E2.1 do Euramet)</t>
        </r>
        <r>
          <rPr>
            <b/>
            <sz val="12"/>
            <color indexed="81"/>
            <rFont val="Arial"/>
            <family val="2"/>
          </rPr>
          <t xml:space="preserve">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A </t>
        </r>
        <r>
          <rPr>
            <sz val="12"/>
            <color indexed="81"/>
            <rFont val="Arial"/>
            <family val="2"/>
          </rPr>
          <t xml:space="preserve">p/ balança com ajuste ;
 e </t>
        </r>
        <r>
          <rPr>
            <b/>
            <sz val="12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</t>
        </r>
        <r>
          <rPr>
            <sz val="12"/>
            <color indexed="81"/>
            <rFont val="Arial"/>
            <family val="2"/>
          </rPr>
          <t xml:space="preserve"> da Tabela E2.1 para balança sem ajuste.</t>
        </r>
      </text>
    </comment>
    <comment ref="X59" authorId="1" shapeId="0" xr:uid="{9BD0E779-CD3B-45DA-B1AB-54992A769FC9}">
      <text>
        <r>
          <rPr>
            <sz val="9"/>
            <color indexed="81"/>
            <rFont val="Tahoma"/>
            <family val="2"/>
          </rPr>
          <t>Incerteza padrão da tabela E2.1
uA ou uB</t>
        </r>
      </text>
    </comment>
    <comment ref="AU59" authorId="6" shapeId="0" xr:uid="{00000000-0006-0000-0100-000024000000}">
      <text>
        <r>
          <rPr>
            <b/>
            <sz val="12"/>
            <color indexed="81"/>
            <rFont val="Tahoma"/>
            <family val="2"/>
          </rPr>
          <t>Unidades de trabalho permitidas, bem como a conversão de GRAMAS para a unidade selecionada</t>
        </r>
      </text>
    </comment>
    <comment ref="V65" authorId="5" shapeId="0" xr:uid="{88ED26BA-EFBF-499A-8133-EE0B9B090F24}">
      <text>
        <r>
          <rPr>
            <b/>
            <sz val="12"/>
            <color indexed="81"/>
            <rFont val="Arial"/>
            <family val="2"/>
          </rPr>
          <t>Impulsão do ar: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(ver também tabela E2.1 do Euramet)</t>
        </r>
        <r>
          <rPr>
            <b/>
            <sz val="12"/>
            <color indexed="81"/>
            <rFont val="Arial"/>
            <family val="2"/>
          </rPr>
          <t xml:space="preserve">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A </t>
        </r>
        <r>
          <rPr>
            <sz val="12"/>
            <color indexed="81"/>
            <rFont val="Arial"/>
            <family val="2"/>
          </rPr>
          <t xml:space="preserve">p/ balança com ajuste ;
 e </t>
        </r>
        <r>
          <rPr>
            <b/>
            <sz val="12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</t>
        </r>
        <r>
          <rPr>
            <sz val="12"/>
            <color indexed="81"/>
            <rFont val="Arial"/>
            <family val="2"/>
          </rPr>
          <t xml:space="preserve"> da Tabela E2.1 para balança sem ajuste.</t>
        </r>
      </text>
    </comment>
    <comment ref="X65" authorId="1" shapeId="0" xr:uid="{60CEB660-3D8E-4A32-B277-FA6B04A0B44A}">
      <text>
        <r>
          <rPr>
            <sz val="9"/>
            <color indexed="81"/>
            <rFont val="Tahoma"/>
            <family val="2"/>
          </rPr>
          <t>Incerteza padrão da tabela E2.1
uA ou uB</t>
        </r>
      </text>
    </comment>
    <comment ref="V71" authorId="5" shapeId="0" xr:uid="{0666C893-3025-4692-B857-434702445107}">
      <text>
        <r>
          <rPr>
            <b/>
            <sz val="12"/>
            <color indexed="81"/>
            <rFont val="Arial"/>
            <family val="2"/>
          </rPr>
          <t>Impulsão do ar: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(ver também tabela E2.1 do Euramet)</t>
        </r>
        <r>
          <rPr>
            <b/>
            <sz val="12"/>
            <color indexed="81"/>
            <rFont val="Arial"/>
            <family val="2"/>
          </rPr>
          <t xml:space="preserve">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A </t>
        </r>
        <r>
          <rPr>
            <sz val="12"/>
            <color indexed="81"/>
            <rFont val="Arial"/>
            <family val="2"/>
          </rPr>
          <t xml:space="preserve">p/ balança com ajuste ;
 e </t>
        </r>
        <r>
          <rPr>
            <b/>
            <sz val="12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</t>
        </r>
        <r>
          <rPr>
            <sz val="12"/>
            <color indexed="81"/>
            <rFont val="Arial"/>
            <family val="2"/>
          </rPr>
          <t xml:space="preserve"> da Tabela E2.1 para balança sem ajuste.</t>
        </r>
      </text>
    </comment>
    <comment ref="X71" authorId="1" shapeId="0" xr:uid="{C01A817E-3B5C-4542-9546-234057D31E85}">
      <text>
        <r>
          <rPr>
            <sz val="9"/>
            <color indexed="81"/>
            <rFont val="Tahoma"/>
            <family val="2"/>
          </rPr>
          <t>Incerteza padrão da tabela E2.1
uA ou uB</t>
        </r>
      </text>
    </comment>
    <comment ref="V77" authorId="5" shapeId="0" xr:uid="{624CF728-9280-4ECF-95AC-A1866B9E0334}">
      <text>
        <r>
          <rPr>
            <b/>
            <sz val="12"/>
            <color indexed="81"/>
            <rFont val="Arial"/>
            <family val="2"/>
          </rPr>
          <t>Impulsão do ar: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(ver também tabela E2.1 do Euramet)</t>
        </r>
        <r>
          <rPr>
            <b/>
            <sz val="12"/>
            <color indexed="81"/>
            <rFont val="Arial"/>
            <family val="2"/>
          </rPr>
          <t xml:space="preserve">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A </t>
        </r>
        <r>
          <rPr>
            <sz val="12"/>
            <color indexed="81"/>
            <rFont val="Arial"/>
            <family val="2"/>
          </rPr>
          <t xml:space="preserve">p/ balança com ajuste ;
 e </t>
        </r>
        <r>
          <rPr>
            <b/>
            <sz val="12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</t>
        </r>
        <r>
          <rPr>
            <sz val="12"/>
            <color indexed="81"/>
            <rFont val="Arial"/>
            <family val="2"/>
          </rPr>
          <t xml:space="preserve"> da Tabela E2.1 para balança sem ajuste.</t>
        </r>
      </text>
    </comment>
    <comment ref="X77" authorId="1" shapeId="0" xr:uid="{0D6B4838-B3B9-4FB8-BA6B-11551D3B48F7}">
      <text>
        <r>
          <rPr>
            <sz val="9"/>
            <color indexed="81"/>
            <rFont val="Tahoma"/>
            <family val="2"/>
          </rPr>
          <t>Incerteza padrão da tabela E2.1
uA ou uB</t>
        </r>
      </text>
    </comment>
    <comment ref="AV78" authorId="6" shapeId="0" xr:uid="{00000000-0006-0000-0100-000028000000}">
      <text>
        <r>
          <rPr>
            <b/>
            <sz val="11"/>
            <color indexed="81"/>
            <rFont val="Tahoma"/>
            <family val="2"/>
          </rPr>
          <t>Este valor é sempre usado quando são procurados os valores das massas, e suas incertezas</t>
        </r>
      </text>
    </comment>
    <comment ref="AY87" authorId="1" shapeId="0" xr:uid="{00000000-0006-0000-0100-000029000000}">
      <text>
        <r>
          <rPr>
            <b/>
            <sz val="12"/>
            <color indexed="81"/>
            <rFont val="Arial"/>
            <family val="2"/>
          </rPr>
          <t>Efeito de impulsão do ar quando a balança não é ajustada (imediatamente antes da calibração) - u</t>
        </r>
        <r>
          <rPr>
            <b/>
            <vertAlign val="subscript"/>
            <sz val="12"/>
            <color indexed="81"/>
            <rFont val="Arial"/>
            <family val="2"/>
          </rPr>
          <t>B</t>
        </r>
        <r>
          <rPr>
            <b/>
            <sz val="12"/>
            <color indexed="81"/>
            <rFont val="Arial"/>
            <family val="2"/>
          </rPr>
          <t xml:space="preserve"> - incerteza padrão para massas até 50 g (E2 a M1) e 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</t>
        </r>
        <r>
          <rPr>
            <b/>
            <vertAlign val="subscript"/>
            <sz val="12"/>
            <color indexed="81"/>
            <rFont val="Arial"/>
            <family val="2"/>
          </rPr>
          <t>B</t>
        </r>
        <r>
          <rPr>
            <b/>
            <sz val="12"/>
            <color indexed="81"/>
            <rFont val="Arial"/>
            <family val="2"/>
          </rPr>
          <t xml:space="preserve">  para massas &gt; 100 g.</t>
        </r>
      </text>
    </comment>
    <comment ref="BC138" authorId="1" shapeId="0" xr:uid="{00000000-0006-0000-0100-00002A000000}">
      <text>
        <r>
          <rPr>
            <b/>
            <sz val="12"/>
            <color indexed="81"/>
            <rFont val="Arial"/>
            <family val="2"/>
          </rPr>
          <t xml:space="preserve">Incerteza relativa:
Valor a incluir para massas &gt;= a 100 g (e quando não há ajuste da balança), ex.:
</t>
        </r>
        <r>
          <rPr>
            <sz val="12"/>
            <color indexed="81"/>
            <rFont val="Arial"/>
            <family val="2"/>
          </rPr>
          <t>Para m=100kg (M1)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b/>
            <sz val="16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A </t>
        </r>
        <r>
          <rPr>
            <sz val="12"/>
            <color indexed="81"/>
            <rFont val="Arial"/>
            <family val="2"/>
          </rPr>
          <t>= 7,22 mg/kg =&gt;</t>
        </r>
        <r>
          <rPr>
            <b/>
            <sz val="12"/>
            <color indexed="81"/>
            <rFont val="Arial"/>
            <family val="2"/>
          </rPr>
          <t xml:space="preserve"> 722 mg/100kg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 </t>
        </r>
        <r>
          <rPr>
            <sz val="12"/>
            <color indexed="81"/>
            <rFont val="Arial"/>
            <family val="2"/>
          </rPr>
          <t xml:space="preserve">= 15,88 mg/kg =&gt; </t>
        </r>
        <r>
          <rPr>
            <b/>
            <sz val="12"/>
            <color indexed="81"/>
            <rFont val="Arial"/>
            <family val="2"/>
          </rPr>
          <t>1588 mg/100kg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Nadir Baptista</author>
    <author>ricardoseixas</author>
    <author>Nadir</author>
    <author>Rui Ribeiro</author>
  </authors>
  <commentList>
    <comment ref="G2" authorId="0" shapeId="0" xr:uid="{27EF6B96-45EB-49FD-93BD-6067E4C8C188}">
      <text>
        <r>
          <rPr>
            <b/>
            <sz val="9"/>
            <color indexed="81"/>
            <rFont val="Tahoma"/>
            <family val="2"/>
          </rPr>
          <t>N.º de Certificado de Calibração</t>
        </r>
      </text>
    </comment>
    <comment ref="AO5" authorId="0" shapeId="0" xr:uid="{837FE132-DB2E-49C8-ABC9-181B99C7A137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u(ɗm</t>
        </r>
        <r>
          <rPr>
            <vertAlign val="subscript"/>
            <sz val="12"/>
            <color indexed="81"/>
            <rFont val="Tahoma"/>
            <family val="2"/>
          </rPr>
          <t>c</t>
        </r>
        <r>
          <rPr>
            <sz val="12"/>
            <color indexed="81"/>
            <rFont val="Tahoma"/>
            <family val="2"/>
          </rPr>
          <t xml:space="preserve">) = </t>
        </r>
        <r>
          <rPr>
            <b/>
            <sz val="12"/>
            <color indexed="81"/>
            <rFont val="Tahoma"/>
            <family val="2"/>
          </rPr>
          <t>Tol/√3</t>
        </r>
        <r>
          <rPr>
            <sz val="12"/>
            <color indexed="81"/>
            <rFont val="Tahoma"/>
            <family val="2"/>
          </rPr>
          <t xml:space="preserve"> se m</t>
        </r>
        <r>
          <rPr>
            <vertAlign val="subscript"/>
            <sz val="12"/>
            <color indexed="81"/>
            <rFont val="Tahoma"/>
            <family val="2"/>
          </rPr>
          <t>ref</t>
        </r>
        <r>
          <rPr>
            <sz val="12"/>
            <color indexed="81"/>
            <rFont val="Tahoma"/>
            <family val="2"/>
          </rPr>
          <t xml:space="preserve"> = m</t>
        </r>
        <r>
          <rPr>
            <vertAlign val="subscript"/>
            <sz val="12"/>
            <color indexed="81"/>
            <rFont val="Tahoma"/>
            <family val="2"/>
          </rPr>
          <t>N</t>
        </r>
        <r>
          <rPr>
            <sz val="12"/>
            <color indexed="81"/>
            <rFont val="Tahoma"/>
            <family val="2"/>
          </rPr>
          <t xml:space="preserve">
u(ɗm</t>
        </r>
        <r>
          <rPr>
            <vertAlign val="subscript"/>
            <sz val="12"/>
            <color indexed="81"/>
            <rFont val="Tahoma"/>
            <family val="2"/>
          </rPr>
          <t>c</t>
        </r>
        <r>
          <rPr>
            <sz val="12"/>
            <color indexed="81"/>
            <rFont val="Tahoma"/>
            <family val="2"/>
          </rPr>
          <t xml:space="preserve">) = </t>
        </r>
        <r>
          <rPr>
            <b/>
            <sz val="12"/>
            <color indexed="81"/>
            <rFont val="Tahoma"/>
            <family val="2"/>
          </rPr>
          <t>U/K</t>
        </r>
        <r>
          <rPr>
            <sz val="12"/>
            <color indexed="81"/>
            <rFont val="Tahoma"/>
            <family val="2"/>
          </rPr>
          <t xml:space="preserve"> se m</t>
        </r>
        <r>
          <rPr>
            <vertAlign val="subscript"/>
            <sz val="12"/>
            <color indexed="81"/>
            <rFont val="Tahoma"/>
            <family val="2"/>
          </rPr>
          <t>ref</t>
        </r>
        <r>
          <rPr>
            <sz val="12"/>
            <color indexed="81"/>
            <rFont val="Tahoma"/>
            <family val="2"/>
          </rPr>
          <t xml:space="preserve"> =m</t>
        </r>
        <r>
          <rPr>
            <vertAlign val="subscript"/>
            <sz val="12"/>
            <color indexed="81"/>
            <rFont val="Tahoma"/>
            <family val="2"/>
          </rPr>
          <t xml:space="preserve">N </t>
        </r>
        <r>
          <rPr>
            <sz val="12"/>
            <color indexed="81"/>
            <rFont val="Tahoma"/>
            <family val="2"/>
          </rPr>
          <t>+ ɗm</t>
        </r>
        <r>
          <rPr>
            <vertAlign val="subscript"/>
            <sz val="12"/>
            <color indexed="81"/>
            <rFont val="Tahoma"/>
            <family val="2"/>
          </rPr>
          <t>c 
Considera-se a Tol (inc+deg)</t>
        </r>
      </text>
    </comment>
    <comment ref="K10" authorId="1" shapeId="0" xr:uid="{97B78AEC-DD2C-48CB-A14A-86B689ECDA83}">
      <text>
        <r>
          <rPr>
            <sz val="11"/>
            <color indexed="81"/>
            <rFont val="Tahoma"/>
            <family val="2"/>
          </rPr>
          <t>=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b/>
            <sz val="14"/>
            <color indexed="81"/>
            <rFont val="Tahoma"/>
            <family val="2"/>
          </rPr>
          <t>⅔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Max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Tahoma"/>
            <family val="2"/>
          </rPr>
          <t>.</t>
        </r>
        <r>
          <rPr>
            <sz val="11"/>
            <color indexed="81"/>
            <rFont val="Tahoma"/>
            <family val="2"/>
          </rPr>
          <t xml:space="preserve"> (</t>
        </r>
        <r>
          <rPr>
            <b/>
            <sz val="11"/>
            <color indexed="81"/>
            <rFont val="Tahoma"/>
            <family val="2"/>
          </rPr>
          <t>g</t>
        </r>
        <r>
          <rPr>
            <b/>
            <vertAlign val="subscript"/>
            <sz val="14"/>
            <color indexed="81"/>
            <rFont val="Tahoma"/>
            <family val="2"/>
          </rPr>
          <t>destin</t>
        </r>
        <r>
          <rPr>
            <vertAlign val="subscript"/>
            <sz val="14"/>
            <color indexed="81"/>
            <rFont val="Tahoma"/>
            <family val="2"/>
          </rPr>
          <t>o</t>
        </r>
        <r>
          <rPr>
            <sz val="11"/>
            <color indexed="81"/>
            <rFont val="Tahoma"/>
            <family val="2"/>
          </rPr>
          <t xml:space="preserve"> - </t>
        </r>
        <r>
          <rPr>
            <b/>
            <sz val="11"/>
            <color indexed="81"/>
            <rFont val="Tahoma"/>
            <family val="2"/>
          </rPr>
          <t>g</t>
        </r>
        <r>
          <rPr>
            <b/>
            <vertAlign val="subscript"/>
            <sz val="14"/>
            <color indexed="81"/>
            <rFont val="Tahoma"/>
            <family val="2"/>
          </rPr>
          <t>lab</t>
        </r>
        <r>
          <rPr>
            <sz val="11"/>
            <color indexed="81"/>
            <rFont val="Tahoma"/>
            <family val="2"/>
          </rPr>
          <t xml:space="preserve">) / </t>
        </r>
        <r>
          <rPr>
            <b/>
            <sz val="11"/>
            <color indexed="81"/>
            <rFont val="Tahoma"/>
            <family val="2"/>
          </rPr>
          <t>g</t>
        </r>
        <r>
          <rPr>
            <b/>
            <vertAlign val="subscript"/>
            <sz val="14"/>
            <color indexed="81"/>
            <rFont val="Tahoma"/>
            <family val="2"/>
          </rPr>
          <t>lab</t>
        </r>
      </text>
    </comment>
    <comment ref="L11" authorId="1" shapeId="0" xr:uid="{137BAE44-4276-4A58-8C39-A4C06058B979}">
      <text>
        <r>
          <rPr>
            <sz val="12"/>
            <color indexed="81"/>
            <rFont val="Symbol"/>
            <family val="1"/>
            <charset val="2"/>
          </rPr>
          <t xml:space="preserve">&gt;&gt; </t>
        </r>
        <r>
          <rPr>
            <sz val="12"/>
            <color indexed="81"/>
            <rFont val="Tahoma"/>
            <family val="2"/>
          </rPr>
          <t xml:space="preserve">Conforme massas disponíveis
</t>
        </r>
        <r>
          <rPr>
            <sz val="11"/>
            <color indexed="81"/>
            <rFont val="Tahoma"/>
            <family val="2"/>
          </rPr>
          <t xml:space="preserve">&gt;&gt; </t>
        </r>
        <r>
          <rPr>
            <sz val="12"/>
            <color indexed="81"/>
            <rFont val="Tahoma"/>
            <family val="2"/>
          </rPr>
          <t xml:space="preserve">Deve ter o </t>
        </r>
        <r>
          <rPr>
            <u/>
            <sz val="12"/>
            <color indexed="81"/>
            <rFont val="Tahoma"/>
            <family val="2"/>
          </rPr>
          <t>mesmo sinal</t>
        </r>
        <r>
          <rPr>
            <sz val="12"/>
            <color indexed="81"/>
            <rFont val="Tahoma"/>
            <family val="2"/>
          </rPr>
          <t xml:space="preserve"> que </t>
        </r>
        <r>
          <rPr>
            <b/>
            <sz val="12"/>
            <color indexed="81"/>
            <rFont val="Symbol"/>
            <family val="1"/>
            <charset val="2"/>
          </rPr>
          <t>D</t>
        </r>
        <r>
          <rPr>
            <b/>
            <sz val="12"/>
            <color indexed="81"/>
            <rFont val="Tahoma"/>
            <family val="2"/>
          </rPr>
          <t>m</t>
        </r>
        <r>
          <rPr>
            <b/>
            <vertAlign val="subscript"/>
            <sz val="12"/>
            <color indexed="81"/>
            <rFont val="Tahoma"/>
            <family val="2"/>
          </rPr>
          <t>calc</t>
        </r>
      </text>
    </comment>
    <comment ref="AR27" authorId="0" shapeId="0" xr:uid="{4D85F7F4-D0E7-40F1-9757-552D9126061B}">
      <text>
        <r>
          <rPr>
            <b/>
            <sz val="9"/>
            <color indexed="81"/>
            <rFont val="Tahoma"/>
            <family val="2"/>
          </rPr>
          <t>u</t>
        </r>
        <r>
          <rPr>
            <b/>
            <vertAlign val="subscript"/>
            <sz val="9"/>
            <color indexed="81"/>
            <rFont val="Tahoma"/>
            <family val="2"/>
          </rPr>
          <t xml:space="preserve"> rel B  </t>
        </r>
        <r>
          <rPr>
            <sz val="9"/>
            <color indexed="81"/>
            <rFont val="Tahoma"/>
            <family val="2"/>
          </rPr>
          <t>(g/kg)</t>
        </r>
      </text>
    </comment>
    <comment ref="B32" authorId="0" shapeId="0" xr:uid="{2DB78E5F-F22F-4CA0-BAEB-051B40CFB5B1}">
      <text>
        <r>
          <rPr>
            <b/>
            <sz val="9"/>
            <color indexed="81"/>
            <rFont val="Tahoma"/>
            <family val="2"/>
          </rPr>
          <t xml:space="preserve">Abreviaturas dos Pesos Padrão:
1- Ref 715 Gibertini  E2 1 mg a 1 kg </t>
        </r>
        <r>
          <rPr>
            <b/>
            <sz val="9"/>
            <color indexed="10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          </t>
        </r>
        <r>
          <rPr>
            <b/>
            <sz val="9"/>
            <color indexed="10"/>
            <rFont val="Tahoma"/>
            <family val="2"/>
          </rPr>
          <t xml:space="preserve">  </t>
        </r>
        <r>
          <rPr>
            <b/>
            <sz val="9"/>
            <color indexed="81"/>
            <rFont val="Tahoma"/>
            <family val="2"/>
          </rPr>
          <t xml:space="preserve">2-   Ref 716 Gibertini   F1 1 mg a 5 kg
       </t>
        </r>
        <r>
          <rPr>
            <sz val="9"/>
            <color indexed="81"/>
            <rFont val="Arial"/>
            <family val="2"/>
          </rPr>
          <t>10m - 10 mg                                                                        F10m - 10 mg
       10    - 10 g                                                                           F10   - 10 g
        20º - 20 g                                                                            F20º - 20 g
       1000 - 1000 g                                                                      F200 - 200 g
                                                                                                   F1k - 1 kg; F2kº - 2 kg; F5k - 5 kg</t>
        </r>
        <r>
          <rPr>
            <b/>
            <sz val="9"/>
            <color indexed="81"/>
            <rFont val="Tahoma"/>
            <family val="2"/>
          </rPr>
          <t xml:space="preserve">
3- Ref 717 Gibertini F1 10 kg a 20 kg
     </t>
        </r>
        <r>
          <rPr>
            <sz val="9"/>
            <color indexed="81"/>
            <rFont val="Arial"/>
            <family val="2"/>
          </rPr>
          <t xml:space="preserve"> F10k - 10 kg
      F20k - 20 kg</t>
        </r>
        <r>
          <rPr>
            <b/>
            <sz val="9"/>
            <color indexed="81"/>
            <rFont val="Tahoma"/>
            <family val="2"/>
          </rPr>
          <t xml:space="preserve">
4 - Ref 681, 682 e 708 M1 20 kg a 900 kg
      </t>
        </r>
        <r>
          <rPr>
            <sz val="9"/>
            <color indexed="81"/>
            <rFont val="Arial"/>
            <family val="2"/>
          </rPr>
          <t>20k - 20kg
      200k - 200kg (10x 20kg)
      900K - 900kg (45x 20kg)</t>
        </r>
        <r>
          <rPr>
            <b/>
            <sz val="9"/>
            <color indexed="81"/>
            <rFont val="Tahoma"/>
            <family val="2"/>
          </rPr>
          <t xml:space="preserve">
5 - Ref 529 Bilanciai M1 1000kg a 20000kg
    </t>
        </r>
        <r>
          <rPr>
            <sz val="9"/>
            <color indexed="81"/>
            <rFont val="Arial"/>
            <family val="2"/>
          </rPr>
          <t xml:space="preserve">  1000k - 1000 kg
      2000k - 2000 kg (2x 1000 kg)
      10000k - 10000 kg (10x 1000 kg)
       20000k - 20000 kg (20x 1000 kg)</t>
        </r>
        <r>
          <rPr>
            <b/>
            <sz val="9"/>
            <color indexed="81"/>
            <rFont val="Tahoma"/>
            <family val="2"/>
          </rPr>
          <t xml:space="preserve">
6 - Ref 530 Massas M1 1 kg a 10 kg
     </t>
        </r>
        <r>
          <rPr>
            <sz val="9"/>
            <color indexed="81"/>
            <rFont val="Arial"/>
            <family val="2"/>
          </rPr>
          <t xml:space="preserve"> 1k - 1 kg
      2k - 2 kg (2x 1 kg)
      10k - 10 kg (10x 1 kg)</t>
        </r>
        <r>
          <rPr>
            <b/>
            <sz val="9"/>
            <color indexed="81"/>
            <rFont val="Tahoma"/>
            <family val="2"/>
          </rPr>
          <t xml:space="preserve">
7 - Ref 531 Massas M1 2 kg a 20 kg                    8 - Ref 532 e 533 Massas M1 5 kg a 20 kg
      </t>
        </r>
        <r>
          <rPr>
            <sz val="9"/>
            <color indexed="81"/>
            <rFont val="Arial"/>
            <family val="2"/>
          </rPr>
          <t>2kg - 2 kg                                                                                5k1 - 5 kg
      4kg - 2 kg (2x 2 kg)                                                                 5k2 - 10 kg (2x 5 kg)
      6kg - 10 kg (3x 2 kg)                                                               10k1 - 10 kg (1x 10 kg)
      20kg - 10 kg (10x 2 kg)                                                           10k2 - 20 kg (2x 10 kg)</t>
        </r>
        <r>
          <rPr>
            <b/>
            <sz val="9"/>
            <color indexed="81"/>
            <rFont val="Tahoma"/>
            <family val="2"/>
          </rPr>
          <t xml:space="preserve">
9 - Ref 633 a 641 Massas 6x 100 kg (M1-2); 2x 200 kg (M1) e 1x 500 kg (M1)
     </t>
        </r>
        <r>
          <rPr>
            <sz val="9"/>
            <color indexed="81"/>
            <rFont val="Arial"/>
            <family val="2"/>
          </rPr>
          <t xml:space="preserve"> 100k1 - 100 kg
      100k3 - 300 kg (3x 100 kg)
      200k1 - 200 kg (1x 200 kg)
      200k2 - 400 kg (2x 200 kg)</t>
        </r>
        <r>
          <rPr>
            <b/>
            <sz val="9"/>
            <color indexed="81"/>
            <rFont val="Tahoma"/>
            <family val="2"/>
          </rPr>
          <t xml:space="preserve">
10 - Ref 642 a 650 Massas 2x 25 kg (~M1); 3x 50 kg (M1) e 4x 100 kg (M1-2)
      </t>
        </r>
        <r>
          <rPr>
            <sz val="9"/>
            <color indexed="81"/>
            <rFont val="Arial"/>
            <family val="2"/>
          </rPr>
          <t>25k1 - 25 kg
      25k2 - 50 kg (2x 25 kg)
      50k1 - 50 kg (1x 50 kg)
      150k3 - 150 kg (3x 50kg)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11 -  Ref 713 Gibertini/Zwiebel   M1  1 mg a 5 kg   </t>
        </r>
        <r>
          <rPr>
            <sz val="9"/>
            <color indexed="81"/>
            <rFont val="Tahoma"/>
            <family val="2"/>
          </rPr>
          <t xml:space="preserve">           
    M10m - 10 mg
    M10    - 10 g                                                                          
    M20º - 20 g                                                                            
    M1k - 1000 g 
</t>
        </r>
        <r>
          <rPr>
            <b/>
            <sz val="9"/>
            <color indexed="81"/>
            <rFont val="Tahoma"/>
            <family val="2"/>
          </rPr>
          <t>11 -  Ref 714 Gibertini/Zwiebel   M1  1 mg a 5 kg</t>
        </r>
        <r>
          <rPr>
            <sz val="9"/>
            <color indexed="81"/>
            <rFont val="Tahoma"/>
            <family val="2"/>
          </rPr>
          <t xml:space="preserve">              
    M*10m - 10 mg
    M*10    - 10 g                                                                          
    M*20º - 20 g                                                                            
    M*1k - 1000 g</t>
        </r>
      </text>
    </comment>
    <comment ref="V35" authorId="2" shapeId="0" xr:uid="{28F659B7-8B35-44E2-B526-1BF59014984B}">
      <text>
        <r>
          <rPr>
            <b/>
            <sz val="12"/>
            <color indexed="81"/>
            <rFont val="Arial"/>
            <family val="2"/>
          </rPr>
          <t>Impulsão do ar: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(ver também tabela E2.1 do Euramet)</t>
        </r>
        <r>
          <rPr>
            <b/>
            <sz val="12"/>
            <color indexed="81"/>
            <rFont val="Arial"/>
            <family val="2"/>
          </rPr>
          <t xml:space="preserve">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A </t>
        </r>
        <r>
          <rPr>
            <sz val="12"/>
            <color indexed="81"/>
            <rFont val="Arial"/>
            <family val="2"/>
          </rPr>
          <t xml:space="preserve">p/ balança com ajuste ;
 e </t>
        </r>
        <r>
          <rPr>
            <b/>
            <sz val="12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</t>
        </r>
        <r>
          <rPr>
            <sz val="12"/>
            <color indexed="81"/>
            <rFont val="Arial"/>
            <family val="2"/>
          </rPr>
          <t xml:space="preserve"> da Tabela E2.1 para balança sem ajuste.</t>
        </r>
      </text>
    </comment>
    <comment ref="X35" authorId="0" shapeId="0" xr:uid="{FE4E9480-B611-45BF-9667-9D3AF4917801}">
      <text>
        <r>
          <rPr>
            <sz val="9"/>
            <color indexed="81"/>
            <rFont val="Tahoma"/>
            <family val="2"/>
          </rPr>
          <t>Incerteza padrão da tabela E2.1
uA ou uB</t>
        </r>
      </text>
    </comment>
    <comment ref="V41" authorId="2" shapeId="0" xr:uid="{407295DA-211B-4C5B-B3F8-58AB99235D86}">
      <text>
        <r>
          <rPr>
            <b/>
            <sz val="12"/>
            <color indexed="81"/>
            <rFont val="Arial"/>
            <family val="2"/>
          </rPr>
          <t>Impulsão do ar: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(ver também tabela E2.1 do Euramet)</t>
        </r>
        <r>
          <rPr>
            <b/>
            <sz val="12"/>
            <color indexed="81"/>
            <rFont val="Arial"/>
            <family val="2"/>
          </rPr>
          <t xml:space="preserve">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A </t>
        </r>
        <r>
          <rPr>
            <sz val="12"/>
            <color indexed="81"/>
            <rFont val="Arial"/>
            <family val="2"/>
          </rPr>
          <t xml:space="preserve">p/ balança com ajuste ;
 e </t>
        </r>
        <r>
          <rPr>
            <b/>
            <sz val="12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</t>
        </r>
        <r>
          <rPr>
            <sz val="12"/>
            <color indexed="81"/>
            <rFont val="Arial"/>
            <family val="2"/>
          </rPr>
          <t xml:space="preserve"> da Tabela E2.1 para balança sem ajuste.</t>
        </r>
      </text>
    </comment>
    <comment ref="X41" authorId="0" shapeId="0" xr:uid="{721864F6-540E-42F7-80BF-FA7E00CB9BCA}">
      <text>
        <r>
          <rPr>
            <sz val="9"/>
            <color indexed="81"/>
            <rFont val="Tahoma"/>
            <family val="2"/>
          </rPr>
          <t>Incerteza padrão da tabela E2.1
uA ou uB</t>
        </r>
      </text>
    </comment>
    <comment ref="V47" authorId="2" shapeId="0" xr:uid="{21D95B96-78B7-45AB-9530-D4DDDD2CA3E5}">
      <text>
        <r>
          <rPr>
            <b/>
            <sz val="12"/>
            <color indexed="81"/>
            <rFont val="Arial"/>
            <family val="2"/>
          </rPr>
          <t>Impulsão do ar: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(ver também tabela E2.1 do Euramet)</t>
        </r>
        <r>
          <rPr>
            <b/>
            <sz val="12"/>
            <color indexed="81"/>
            <rFont val="Arial"/>
            <family val="2"/>
          </rPr>
          <t xml:space="preserve">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A </t>
        </r>
        <r>
          <rPr>
            <sz val="12"/>
            <color indexed="81"/>
            <rFont val="Arial"/>
            <family val="2"/>
          </rPr>
          <t xml:space="preserve">p/ balança com ajuste ;
 e </t>
        </r>
        <r>
          <rPr>
            <b/>
            <sz val="12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</t>
        </r>
        <r>
          <rPr>
            <sz val="12"/>
            <color indexed="81"/>
            <rFont val="Arial"/>
            <family val="2"/>
          </rPr>
          <t xml:space="preserve"> da Tabela E2.1 para balança sem ajuste.</t>
        </r>
      </text>
    </comment>
    <comment ref="X47" authorId="0" shapeId="0" xr:uid="{04B3FC32-5941-4285-9417-CD0081EC318D}">
      <text>
        <r>
          <rPr>
            <sz val="9"/>
            <color indexed="81"/>
            <rFont val="Tahoma"/>
            <family val="2"/>
          </rPr>
          <t>Incerteza padrão da tabela E2.1
uA ou uB</t>
        </r>
      </text>
    </comment>
    <comment ref="V53" authorId="2" shapeId="0" xr:uid="{B3114BCD-FDAC-4EA4-A9CF-6781229A6017}">
      <text>
        <r>
          <rPr>
            <b/>
            <sz val="12"/>
            <color indexed="81"/>
            <rFont val="Arial"/>
            <family val="2"/>
          </rPr>
          <t>Impulsão do ar: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(ver também tabela E2.1 do Euramet)</t>
        </r>
        <r>
          <rPr>
            <b/>
            <sz val="12"/>
            <color indexed="81"/>
            <rFont val="Arial"/>
            <family val="2"/>
          </rPr>
          <t xml:space="preserve">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A </t>
        </r>
        <r>
          <rPr>
            <sz val="12"/>
            <color indexed="81"/>
            <rFont val="Arial"/>
            <family val="2"/>
          </rPr>
          <t xml:space="preserve">p/ balança com ajuste ;
 e </t>
        </r>
        <r>
          <rPr>
            <b/>
            <sz val="12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</t>
        </r>
        <r>
          <rPr>
            <sz val="12"/>
            <color indexed="81"/>
            <rFont val="Arial"/>
            <family val="2"/>
          </rPr>
          <t xml:space="preserve"> da Tabela E2.1 para balança sem ajuste.</t>
        </r>
      </text>
    </comment>
    <comment ref="X53" authorId="0" shapeId="0" xr:uid="{91D6D48D-1C60-439F-A302-617258A3636F}">
      <text>
        <r>
          <rPr>
            <sz val="9"/>
            <color indexed="81"/>
            <rFont val="Tahoma"/>
            <family val="2"/>
          </rPr>
          <t>Incerteza padrão da tabela E2.1
uA ou uB</t>
        </r>
      </text>
    </comment>
    <comment ref="AY55" authorId="0" shapeId="0" xr:uid="{BD0701F6-15B9-4210-A955-5F9DAEC1E176}">
      <text>
        <r>
          <rPr>
            <sz val="11"/>
            <color indexed="81"/>
            <rFont val="Arial"/>
            <family val="2"/>
          </rPr>
          <t>Aplicável para massas F1 e sup.(E2) entre 10g e 50 kg.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59" authorId="2" shapeId="0" xr:uid="{C25E72EE-9C59-4BBD-AC1F-1553E3171F83}">
      <text>
        <r>
          <rPr>
            <b/>
            <sz val="12"/>
            <color indexed="81"/>
            <rFont val="Arial"/>
            <family val="2"/>
          </rPr>
          <t>Impulsão do ar: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(ver também tabela E2.1 do Euramet)</t>
        </r>
        <r>
          <rPr>
            <b/>
            <sz val="12"/>
            <color indexed="81"/>
            <rFont val="Arial"/>
            <family val="2"/>
          </rPr>
          <t xml:space="preserve">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A </t>
        </r>
        <r>
          <rPr>
            <sz val="12"/>
            <color indexed="81"/>
            <rFont val="Arial"/>
            <family val="2"/>
          </rPr>
          <t xml:space="preserve">p/ balança com ajuste ;
 e </t>
        </r>
        <r>
          <rPr>
            <b/>
            <sz val="12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</t>
        </r>
        <r>
          <rPr>
            <sz val="12"/>
            <color indexed="81"/>
            <rFont val="Arial"/>
            <family val="2"/>
          </rPr>
          <t xml:space="preserve"> da Tabela E2.1 para balança sem ajuste.</t>
        </r>
      </text>
    </comment>
    <comment ref="X59" authorId="0" shapeId="0" xr:uid="{0394E6F7-5F48-4E6F-94AE-B4D734A76002}">
      <text>
        <r>
          <rPr>
            <sz val="9"/>
            <color indexed="81"/>
            <rFont val="Tahoma"/>
            <family val="2"/>
          </rPr>
          <t>Incerteza padrão da tabela E2.1
uA ou uB</t>
        </r>
      </text>
    </comment>
    <comment ref="AU59" authorId="3" shapeId="0" xr:uid="{FD9A64B4-7023-4021-936C-A801D3EC4368}">
      <text>
        <r>
          <rPr>
            <b/>
            <sz val="12"/>
            <color indexed="81"/>
            <rFont val="Tahoma"/>
            <family val="2"/>
          </rPr>
          <t>Unidades de trabalho permitidas, bem como a conversão de GRAMAS para a unidade selecionada</t>
        </r>
      </text>
    </comment>
    <comment ref="V65" authorId="2" shapeId="0" xr:uid="{8BE16BA6-F724-4BFE-B839-3D12DD3C6B21}">
      <text>
        <r>
          <rPr>
            <b/>
            <sz val="12"/>
            <color indexed="81"/>
            <rFont val="Arial"/>
            <family val="2"/>
          </rPr>
          <t>Impulsão do ar: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(ver também tabela E2.1 do Euramet)</t>
        </r>
        <r>
          <rPr>
            <b/>
            <sz val="12"/>
            <color indexed="81"/>
            <rFont val="Arial"/>
            <family val="2"/>
          </rPr>
          <t xml:space="preserve">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A </t>
        </r>
        <r>
          <rPr>
            <sz val="12"/>
            <color indexed="81"/>
            <rFont val="Arial"/>
            <family val="2"/>
          </rPr>
          <t xml:space="preserve">p/ balança com ajuste ;
 e </t>
        </r>
        <r>
          <rPr>
            <b/>
            <sz val="12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</t>
        </r>
        <r>
          <rPr>
            <sz val="12"/>
            <color indexed="81"/>
            <rFont val="Arial"/>
            <family val="2"/>
          </rPr>
          <t xml:space="preserve"> da Tabela E2.1 para balança sem ajuste.</t>
        </r>
      </text>
    </comment>
    <comment ref="X65" authorId="0" shapeId="0" xr:uid="{D54F5A75-8CDF-42F0-9CC7-4A385B8E1D2C}">
      <text>
        <r>
          <rPr>
            <sz val="9"/>
            <color indexed="81"/>
            <rFont val="Tahoma"/>
            <family val="2"/>
          </rPr>
          <t>Incerteza padrão da tabela E2.1
uA ou uB</t>
        </r>
      </text>
    </comment>
    <comment ref="V71" authorId="2" shapeId="0" xr:uid="{19C08DAD-91E8-452E-91E0-0498FF3B9E08}">
      <text>
        <r>
          <rPr>
            <b/>
            <sz val="12"/>
            <color indexed="81"/>
            <rFont val="Arial"/>
            <family val="2"/>
          </rPr>
          <t>Impulsão do ar: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(ver também tabela E2.1 do Euramet)</t>
        </r>
        <r>
          <rPr>
            <b/>
            <sz val="12"/>
            <color indexed="81"/>
            <rFont val="Arial"/>
            <family val="2"/>
          </rPr>
          <t xml:space="preserve">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A </t>
        </r>
        <r>
          <rPr>
            <sz val="12"/>
            <color indexed="81"/>
            <rFont val="Arial"/>
            <family val="2"/>
          </rPr>
          <t xml:space="preserve">p/ balança com ajuste ;
 e </t>
        </r>
        <r>
          <rPr>
            <b/>
            <sz val="12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</t>
        </r>
        <r>
          <rPr>
            <sz val="12"/>
            <color indexed="81"/>
            <rFont val="Arial"/>
            <family val="2"/>
          </rPr>
          <t xml:space="preserve"> da Tabela E2.1 para balança sem ajuste.</t>
        </r>
      </text>
    </comment>
    <comment ref="X71" authorId="0" shapeId="0" xr:uid="{6B6B2F26-671C-41F6-BF06-EC11179AAE83}">
      <text>
        <r>
          <rPr>
            <sz val="9"/>
            <color indexed="81"/>
            <rFont val="Tahoma"/>
            <family val="2"/>
          </rPr>
          <t>Incerteza padrão da tabela E2.1
uA ou uB</t>
        </r>
      </text>
    </comment>
    <comment ref="V77" authorId="2" shapeId="0" xr:uid="{6353717D-2B44-44E0-AA50-2545D3182E48}">
      <text>
        <r>
          <rPr>
            <b/>
            <sz val="12"/>
            <color indexed="81"/>
            <rFont val="Arial"/>
            <family val="2"/>
          </rPr>
          <t>Impulsão do ar: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(ver também tabela E2.1 do Euramet)</t>
        </r>
        <r>
          <rPr>
            <b/>
            <sz val="12"/>
            <color indexed="81"/>
            <rFont val="Arial"/>
            <family val="2"/>
          </rPr>
          <t xml:space="preserve">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A </t>
        </r>
        <r>
          <rPr>
            <sz val="12"/>
            <color indexed="81"/>
            <rFont val="Arial"/>
            <family val="2"/>
          </rPr>
          <t xml:space="preserve">p/ balança com ajuste ;
 e </t>
        </r>
        <r>
          <rPr>
            <b/>
            <sz val="12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</t>
        </r>
        <r>
          <rPr>
            <sz val="12"/>
            <color indexed="81"/>
            <rFont val="Arial"/>
            <family val="2"/>
          </rPr>
          <t xml:space="preserve"> da Tabela E2.1 para balança sem ajuste.</t>
        </r>
      </text>
    </comment>
    <comment ref="X77" authorId="0" shapeId="0" xr:uid="{B5E8DA72-5BE2-4CFB-AAC0-0DC8139C05F7}">
      <text>
        <r>
          <rPr>
            <sz val="9"/>
            <color indexed="81"/>
            <rFont val="Tahoma"/>
            <family val="2"/>
          </rPr>
          <t>Incerteza padrão da tabela E2.1
uA ou uB</t>
        </r>
      </text>
    </comment>
    <comment ref="AV78" authorId="3" shapeId="0" xr:uid="{04B307B1-AA60-4461-9656-882ABA9667B6}">
      <text>
        <r>
          <rPr>
            <b/>
            <sz val="11"/>
            <color indexed="81"/>
            <rFont val="Tahoma"/>
            <family val="2"/>
          </rPr>
          <t>Este valor é sempre usado quando são procurados os valores das massas, e suas incertezas</t>
        </r>
      </text>
    </comment>
    <comment ref="AY87" authorId="0" shapeId="0" xr:uid="{DA89FE55-3081-4B92-B922-C2FE8CC059BF}">
      <text>
        <r>
          <rPr>
            <b/>
            <sz val="12"/>
            <color indexed="81"/>
            <rFont val="Arial"/>
            <family val="2"/>
          </rPr>
          <t>Efeito de impulsão do ar quando a balança não é ajustada (imediatamente antes da calibração) - u</t>
        </r>
        <r>
          <rPr>
            <b/>
            <vertAlign val="subscript"/>
            <sz val="12"/>
            <color indexed="81"/>
            <rFont val="Arial"/>
            <family val="2"/>
          </rPr>
          <t>B</t>
        </r>
        <r>
          <rPr>
            <b/>
            <sz val="12"/>
            <color indexed="81"/>
            <rFont val="Arial"/>
            <family val="2"/>
          </rPr>
          <t xml:space="preserve"> - incerteza padrão para massas até 50 g (E2 a M1) e 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</t>
        </r>
        <r>
          <rPr>
            <b/>
            <vertAlign val="subscript"/>
            <sz val="12"/>
            <color indexed="81"/>
            <rFont val="Arial"/>
            <family val="2"/>
          </rPr>
          <t>B</t>
        </r>
        <r>
          <rPr>
            <b/>
            <sz val="12"/>
            <color indexed="81"/>
            <rFont val="Arial"/>
            <family val="2"/>
          </rPr>
          <t xml:space="preserve">  para massas &gt; 100 g.</t>
        </r>
      </text>
    </comment>
    <comment ref="BC138" authorId="0" shapeId="0" xr:uid="{DAFDE3FD-D268-4E10-8E09-663D3DF6982A}">
      <text>
        <r>
          <rPr>
            <b/>
            <sz val="12"/>
            <color indexed="81"/>
            <rFont val="Arial"/>
            <family val="2"/>
          </rPr>
          <t xml:space="preserve">Incerteza relativa:
Valor a incluir para massas &gt;= a 100 g (e quando não há ajuste da balança), ex.:
</t>
        </r>
        <r>
          <rPr>
            <sz val="12"/>
            <color indexed="81"/>
            <rFont val="Arial"/>
            <family val="2"/>
          </rPr>
          <t>Para m=100kg (M1)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b/>
            <sz val="16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A </t>
        </r>
        <r>
          <rPr>
            <sz val="12"/>
            <color indexed="81"/>
            <rFont val="Arial"/>
            <family val="2"/>
          </rPr>
          <t>= 7,22 mg/kg =&gt;</t>
        </r>
        <r>
          <rPr>
            <b/>
            <sz val="12"/>
            <color indexed="81"/>
            <rFont val="Arial"/>
            <family val="2"/>
          </rPr>
          <t xml:space="preserve"> 722 mg/100kg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 </t>
        </r>
        <r>
          <rPr>
            <sz val="12"/>
            <color indexed="81"/>
            <rFont val="Arial"/>
            <family val="2"/>
          </rPr>
          <t xml:space="preserve">= 15,88 mg/kg =&gt; </t>
        </r>
        <r>
          <rPr>
            <b/>
            <sz val="12"/>
            <color indexed="81"/>
            <rFont val="Arial"/>
            <family val="2"/>
          </rPr>
          <t>1588 mg/100kg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Nadir Baptista</author>
    <author>ricardoseixas</author>
    <author>Nadir</author>
    <author>Rui Ribeiro</author>
  </authors>
  <commentList>
    <comment ref="G2" authorId="0" shapeId="0" xr:uid="{6B339A6B-7812-4A66-93A4-990BEBCD3A39}">
      <text>
        <r>
          <rPr>
            <b/>
            <sz val="9"/>
            <color indexed="81"/>
            <rFont val="Tahoma"/>
            <family val="2"/>
          </rPr>
          <t>N.º de Certificado de Calibração</t>
        </r>
      </text>
    </comment>
    <comment ref="AO5" authorId="0" shapeId="0" xr:uid="{F48BCFD0-C743-4FD3-90C8-54813669CEF3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u(ɗm</t>
        </r>
        <r>
          <rPr>
            <vertAlign val="subscript"/>
            <sz val="12"/>
            <color indexed="81"/>
            <rFont val="Tahoma"/>
            <family val="2"/>
          </rPr>
          <t>c</t>
        </r>
        <r>
          <rPr>
            <sz val="12"/>
            <color indexed="81"/>
            <rFont val="Tahoma"/>
            <family val="2"/>
          </rPr>
          <t xml:space="preserve">) = </t>
        </r>
        <r>
          <rPr>
            <b/>
            <sz val="12"/>
            <color indexed="81"/>
            <rFont val="Tahoma"/>
            <family val="2"/>
          </rPr>
          <t>Tol/√3</t>
        </r>
        <r>
          <rPr>
            <sz val="12"/>
            <color indexed="81"/>
            <rFont val="Tahoma"/>
            <family val="2"/>
          </rPr>
          <t xml:space="preserve"> se m</t>
        </r>
        <r>
          <rPr>
            <vertAlign val="subscript"/>
            <sz val="12"/>
            <color indexed="81"/>
            <rFont val="Tahoma"/>
            <family val="2"/>
          </rPr>
          <t>ref</t>
        </r>
        <r>
          <rPr>
            <sz val="12"/>
            <color indexed="81"/>
            <rFont val="Tahoma"/>
            <family val="2"/>
          </rPr>
          <t xml:space="preserve"> = m</t>
        </r>
        <r>
          <rPr>
            <vertAlign val="subscript"/>
            <sz val="12"/>
            <color indexed="81"/>
            <rFont val="Tahoma"/>
            <family val="2"/>
          </rPr>
          <t>N</t>
        </r>
        <r>
          <rPr>
            <sz val="12"/>
            <color indexed="81"/>
            <rFont val="Tahoma"/>
            <family val="2"/>
          </rPr>
          <t xml:space="preserve">
u(ɗm</t>
        </r>
        <r>
          <rPr>
            <vertAlign val="subscript"/>
            <sz val="12"/>
            <color indexed="81"/>
            <rFont val="Tahoma"/>
            <family val="2"/>
          </rPr>
          <t>c</t>
        </r>
        <r>
          <rPr>
            <sz val="12"/>
            <color indexed="81"/>
            <rFont val="Tahoma"/>
            <family val="2"/>
          </rPr>
          <t xml:space="preserve">) = </t>
        </r>
        <r>
          <rPr>
            <b/>
            <sz val="12"/>
            <color indexed="81"/>
            <rFont val="Tahoma"/>
            <family val="2"/>
          </rPr>
          <t>U/K</t>
        </r>
        <r>
          <rPr>
            <sz val="12"/>
            <color indexed="81"/>
            <rFont val="Tahoma"/>
            <family val="2"/>
          </rPr>
          <t xml:space="preserve"> se m</t>
        </r>
        <r>
          <rPr>
            <vertAlign val="subscript"/>
            <sz val="12"/>
            <color indexed="81"/>
            <rFont val="Tahoma"/>
            <family val="2"/>
          </rPr>
          <t>ref</t>
        </r>
        <r>
          <rPr>
            <sz val="12"/>
            <color indexed="81"/>
            <rFont val="Tahoma"/>
            <family val="2"/>
          </rPr>
          <t xml:space="preserve"> =m</t>
        </r>
        <r>
          <rPr>
            <vertAlign val="subscript"/>
            <sz val="12"/>
            <color indexed="81"/>
            <rFont val="Tahoma"/>
            <family val="2"/>
          </rPr>
          <t xml:space="preserve">N </t>
        </r>
        <r>
          <rPr>
            <sz val="12"/>
            <color indexed="81"/>
            <rFont val="Tahoma"/>
            <family val="2"/>
          </rPr>
          <t>+ ɗm</t>
        </r>
        <r>
          <rPr>
            <vertAlign val="subscript"/>
            <sz val="12"/>
            <color indexed="81"/>
            <rFont val="Tahoma"/>
            <family val="2"/>
          </rPr>
          <t>c 
Considera-se a Tol (inc+deg)</t>
        </r>
      </text>
    </comment>
    <comment ref="K10" authorId="1" shapeId="0" xr:uid="{466DC8F5-93DB-4EFF-BA1D-F57E3EEE0E0D}">
      <text>
        <r>
          <rPr>
            <sz val="11"/>
            <color indexed="81"/>
            <rFont val="Tahoma"/>
            <family val="2"/>
          </rPr>
          <t>=</t>
        </r>
        <r>
          <rPr>
            <sz val="14"/>
            <color indexed="81"/>
            <rFont val="Tahoma"/>
            <family val="2"/>
          </rPr>
          <t xml:space="preserve"> </t>
        </r>
        <r>
          <rPr>
            <b/>
            <sz val="14"/>
            <color indexed="81"/>
            <rFont val="Tahoma"/>
            <family val="2"/>
          </rPr>
          <t>⅔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Max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Tahoma"/>
            <family val="2"/>
          </rPr>
          <t>.</t>
        </r>
        <r>
          <rPr>
            <sz val="11"/>
            <color indexed="81"/>
            <rFont val="Tahoma"/>
            <family val="2"/>
          </rPr>
          <t xml:space="preserve"> (</t>
        </r>
        <r>
          <rPr>
            <b/>
            <sz val="11"/>
            <color indexed="81"/>
            <rFont val="Tahoma"/>
            <family val="2"/>
          </rPr>
          <t>g</t>
        </r>
        <r>
          <rPr>
            <b/>
            <vertAlign val="subscript"/>
            <sz val="14"/>
            <color indexed="81"/>
            <rFont val="Tahoma"/>
            <family val="2"/>
          </rPr>
          <t>destin</t>
        </r>
        <r>
          <rPr>
            <vertAlign val="subscript"/>
            <sz val="14"/>
            <color indexed="81"/>
            <rFont val="Tahoma"/>
            <family val="2"/>
          </rPr>
          <t>o</t>
        </r>
        <r>
          <rPr>
            <sz val="11"/>
            <color indexed="81"/>
            <rFont val="Tahoma"/>
            <family val="2"/>
          </rPr>
          <t xml:space="preserve"> - </t>
        </r>
        <r>
          <rPr>
            <b/>
            <sz val="11"/>
            <color indexed="81"/>
            <rFont val="Tahoma"/>
            <family val="2"/>
          </rPr>
          <t>g</t>
        </r>
        <r>
          <rPr>
            <b/>
            <vertAlign val="subscript"/>
            <sz val="14"/>
            <color indexed="81"/>
            <rFont val="Tahoma"/>
            <family val="2"/>
          </rPr>
          <t>lab</t>
        </r>
        <r>
          <rPr>
            <sz val="11"/>
            <color indexed="81"/>
            <rFont val="Tahoma"/>
            <family val="2"/>
          </rPr>
          <t xml:space="preserve">) / </t>
        </r>
        <r>
          <rPr>
            <b/>
            <sz val="11"/>
            <color indexed="81"/>
            <rFont val="Tahoma"/>
            <family val="2"/>
          </rPr>
          <t>g</t>
        </r>
        <r>
          <rPr>
            <b/>
            <vertAlign val="subscript"/>
            <sz val="14"/>
            <color indexed="81"/>
            <rFont val="Tahoma"/>
            <family val="2"/>
          </rPr>
          <t>lab</t>
        </r>
      </text>
    </comment>
    <comment ref="L11" authorId="1" shapeId="0" xr:uid="{98FD42F5-68A5-4CDD-A7FE-46F024CE8F0E}">
      <text>
        <r>
          <rPr>
            <sz val="12"/>
            <color indexed="81"/>
            <rFont val="Symbol"/>
            <family val="1"/>
            <charset val="2"/>
          </rPr>
          <t xml:space="preserve">&gt;&gt; </t>
        </r>
        <r>
          <rPr>
            <sz val="12"/>
            <color indexed="81"/>
            <rFont val="Tahoma"/>
            <family val="2"/>
          </rPr>
          <t xml:space="preserve">Conforme massas disponíveis
</t>
        </r>
        <r>
          <rPr>
            <sz val="11"/>
            <color indexed="81"/>
            <rFont val="Tahoma"/>
            <family val="2"/>
          </rPr>
          <t xml:space="preserve">&gt;&gt; </t>
        </r>
        <r>
          <rPr>
            <sz val="12"/>
            <color indexed="81"/>
            <rFont val="Tahoma"/>
            <family val="2"/>
          </rPr>
          <t xml:space="preserve">Deve ter o </t>
        </r>
        <r>
          <rPr>
            <u/>
            <sz val="12"/>
            <color indexed="81"/>
            <rFont val="Tahoma"/>
            <family val="2"/>
          </rPr>
          <t>mesmo sinal</t>
        </r>
        <r>
          <rPr>
            <sz val="12"/>
            <color indexed="81"/>
            <rFont val="Tahoma"/>
            <family val="2"/>
          </rPr>
          <t xml:space="preserve"> que </t>
        </r>
        <r>
          <rPr>
            <b/>
            <sz val="12"/>
            <color indexed="81"/>
            <rFont val="Symbol"/>
            <family val="1"/>
            <charset val="2"/>
          </rPr>
          <t>D</t>
        </r>
        <r>
          <rPr>
            <b/>
            <sz val="12"/>
            <color indexed="81"/>
            <rFont val="Tahoma"/>
            <family val="2"/>
          </rPr>
          <t>m</t>
        </r>
        <r>
          <rPr>
            <b/>
            <vertAlign val="subscript"/>
            <sz val="12"/>
            <color indexed="81"/>
            <rFont val="Tahoma"/>
            <family val="2"/>
          </rPr>
          <t>calc</t>
        </r>
      </text>
    </comment>
    <comment ref="AR27" authorId="0" shapeId="0" xr:uid="{614571E9-CC8C-4D02-937B-8E138B5CE2AB}">
      <text>
        <r>
          <rPr>
            <b/>
            <sz val="9"/>
            <color indexed="81"/>
            <rFont val="Tahoma"/>
            <family val="2"/>
          </rPr>
          <t>u</t>
        </r>
        <r>
          <rPr>
            <b/>
            <vertAlign val="subscript"/>
            <sz val="9"/>
            <color indexed="81"/>
            <rFont val="Tahoma"/>
            <family val="2"/>
          </rPr>
          <t xml:space="preserve"> rel B  </t>
        </r>
        <r>
          <rPr>
            <sz val="9"/>
            <color indexed="81"/>
            <rFont val="Tahoma"/>
            <family val="2"/>
          </rPr>
          <t>(g/kg)</t>
        </r>
      </text>
    </comment>
    <comment ref="B32" authorId="0" shapeId="0" xr:uid="{B4CFFEBA-35CD-459E-9FA0-ABDCA46403F0}">
      <text>
        <r>
          <rPr>
            <b/>
            <sz val="9"/>
            <color indexed="81"/>
            <rFont val="Tahoma"/>
            <family val="2"/>
          </rPr>
          <t xml:space="preserve">Abreviaturas dos Pesos Padrão:
1- Ref 715 Gibertini  E2 1 mg a 1 kg </t>
        </r>
        <r>
          <rPr>
            <b/>
            <sz val="9"/>
            <color indexed="10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          </t>
        </r>
        <r>
          <rPr>
            <b/>
            <sz val="9"/>
            <color indexed="10"/>
            <rFont val="Tahoma"/>
            <family val="2"/>
          </rPr>
          <t xml:space="preserve">  </t>
        </r>
        <r>
          <rPr>
            <b/>
            <sz val="9"/>
            <color indexed="81"/>
            <rFont val="Tahoma"/>
            <family val="2"/>
          </rPr>
          <t xml:space="preserve">2-   Ref 716 Gibertini   F1 1 mg a 5 kg
       </t>
        </r>
        <r>
          <rPr>
            <sz val="9"/>
            <color indexed="81"/>
            <rFont val="Arial"/>
            <family val="2"/>
          </rPr>
          <t>10m - 10 mg                                                                        F10m - 10 mg
       10    - 10 g                                                                           F10   - 10 g
        20º - 20 g                                                                            F20º - 20 g
       1000 - 1000 g                                                                      F200 - 200 g
                                                                                                   F1k - 1 kg; F2kº - 2 kg; F5k - 5 kg</t>
        </r>
        <r>
          <rPr>
            <b/>
            <sz val="9"/>
            <color indexed="81"/>
            <rFont val="Tahoma"/>
            <family val="2"/>
          </rPr>
          <t xml:space="preserve">
3- Ref 717 Gibertini F1 10 kg a 20 kg
     </t>
        </r>
        <r>
          <rPr>
            <sz val="9"/>
            <color indexed="81"/>
            <rFont val="Arial"/>
            <family val="2"/>
          </rPr>
          <t xml:space="preserve"> F10k - 10 kg
      F20k - 20 kg</t>
        </r>
        <r>
          <rPr>
            <b/>
            <sz val="9"/>
            <color indexed="81"/>
            <rFont val="Tahoma"/>
            <family val="2"/>
          </rPr>
          <t xml:space="preserve">
4 - Ref 681, 682 e 708 M1 20 kg a 900 kg
      </t>
        </r>
        <r>
          <rPr>
            <sz val="9"/>
            <color indexed="81"/>
            <rFont val="Arial"/>
            <family val="2"/>
          </rPr>
          <t>20k - 20kg
      200k - 200kg (10x 20kg)
      900K - 900kg (45x 20kg)</t>
        </r>
        <r>
          <rPr>
            <b/>
            <sz val="9"/>
            <color indexed="81"/>
            <rFont val="Tahoma"/>
            <family val="2"/>
          </rPr>
          <t xml:space="preserve">
5 - Ref 529 Bilanciai M1 1000kg a 20000kg
    </t>
        </r>
        <r>
          <rPr>
            <sz val="9"/>
            <color indexed="81"/>
            <rFont val="Arial"/>
            <family val="2"/>
          </rPr>
          <t xml:space="preserve">  1000k - 1000 kg
      2000k - 2000 kg (2x 1000 kg)
      10000k - 10000 kg (10x 1000 kg)
       20000k - 20000 kg (20x 1000 kg)</t>
        </r>
        <r>
          <rPr>
            <b/>
            <sz val="9"/>
            <color indexed="81"/>
            <rFont val="Tahoma"/>
            <family val="2"/>
          </rPr>
          <t xml:space="preserve">
6 - Ref 530 Massas M1 1 kg a 10 kg
     </t>
        </r>
        <r>
          <rPr>
            <sz val="9"/>
            <color indexed="81"/>
            <rFont val="Arial"/>
            <family val="2"/>
          </rPr>
          <t xml:space="preserve"> 1k - 1 kg
      2k - 2 kg (2x 1 kg)
      10k - 10 kg (10x 1 kg)</t>
        </r>
        <r>
          <rPr>
            <b/>
            <sz val="9"/>
            <color indexed="81"/>
            <rFont val="Tahoma"/>
            <family val="2"/>
          </rPr>
          <t xml:space="preserve">
7 - Ref 531 Massas M1 2 kg a 20 kg                    8 - Ref 532 e 533 Massas M1 5 kg a 20 kg
      </t>
        </r>
        <r>
          <rPr>
            <sz val="9"/>
            <color indexed="81"/>
            <rFont val="Arial"/>
            <family val="2"/>
          </rPr>
          <t>2kg - 2 kg                                                                                5k1 - 5 kg
      4kg - 2 kg (2x 2 kg)                                                                 5k2 - 10 kg (2x 5 kg)
      6kg - 10 kg (3x 2 kg)                                                               10k1 - 10 kg (1x 10 kg)
      20kg - 10 kg (10x 2 kg)                                                           10k2 - 20 kg (2x 10 kg)</t>
        </r>
        <r>
          <rPr>
            <b/>
            <sz val="9"/>
            <color indexed="81"/>
            <rFont val="Tahoma"/>
            <family val="2"/>
          </rPr>
          <t xml:space="preserve">
9 - Ref 633 a 641 Massas 6x 100 kg (M1-2); 2x 200 kg (M1) e 1x 500 kg (M1)
     </t>
        </r>
        <r>
          <rPr>
            <sz val="9"/>
            <color indexed="81"/>
            <rFont val="Arial"/>
            <family val="2"/>
          </rPr>
          <t xml:space="preserve"> 100k1 - 100 kg
      100k3 - 300 kg (3x 100 kg)
      200k1 - 200 kg (1x 200 kg)
      200k2 - 400 kg (2x 200 kg)</t>
        </r>
        <r>
          <rPr>
            <b/>
            <sz val="9"/>
            <color indexed="81"/>
            <rFont val="Tahoma"/>
            <family val="2"/>
          </rPr>
          <t xml:space="preserve">
10 - Ref 642 a 650 Massas 2x 25 kg (~M1); 3x 50 kg (M1) e 4x 100 kg (M1-2)
      </t>
        </r>
        <r>
          <rPr>
            <sz val="9"/>
            <color indexed="81"/>
            <rFont val="Arial"/>
            <family val="2"/>
          </rPr>
          <t>25k1 - 25 kg
      25k2 - 50 kg (2x 25 kg)
      50k1 - 50 kg (1x 50 kg)
      150k3 - 150 kg (3x 50kg)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11 -  Ref 713 Gibertini/Zwiebel   M1  1 mg a 5 kg   </t>
        </r>
        <r>
          <rPr>
            <sz val="9"/>
            <color indexed="81"/>
            <rFont val="Tahoma"/>
            <family val="2"/>
          </rPr>
          <t xml:space="preserve">           
    M10m - 10 mg
    M10    - 10 g                                                                          
    M20º - 20 g                                                                            
    M1k - 1000 g 
</t>
        </r>
        <r>
          <rPr>
            <b/>
            <sz val="9"/>
            <color indexed="81"/>
            <rFont val="Tahoma"/>
            <family val="2"/>
          </rPr>
          <t>11 -  Ref 714 Gibertini/Zwiebel   M1  1 mg a 5 kg</t>
        </r>
        <r>
          <rPr>
            <sz val="9"/>
            <color indexed="81"/>
            <rFont val="Tahoma"/>
            <family val="2"/>
          </rPr>
          <t xml:space="preserve">              
    M*10m - 10 mg
    M*10    - 10 g                                                                          
    M*20º - 20 g                                                                            
    M*1k - 1000 g</t>
        </r>
      </text>
    </comment>
    <comment ref="V35" authorId="2" shapeId="0" xr:uid="{47D6954D-871E-4BFF-B31A-A016748449DA}">
      <text>
        <r>
          <rPr>
            <b/>
            <sz val="12"/>
            <color indexed="81"/>
            <rFont val="Arial"/>
            <family val="2"/>
          </rPr>
          <t>Impulsão do ar: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(ver também tabela E2.1 do Euramet)</t>
        </r>
        <r>
          <rPr>
            <b/>
            <sz val="12"/>
            <color indexed="81"/>
            <rFont val="Arial"/>
            <family val="2"/>
          </rPr>
          <t xml:space="preserve">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A </t>
        </r>
        <r>
          <rPr>
            <sz val="12"/>
            <color indexed="81"/>
            <rFont val="Arial"/>
            <family val="2"/>
          </rPr>
          <t xml:space="preserve">p/ balança com ajuste ;
 e </t>
        </r>
        <r>
          <rPr>
            <b/>
            <sz val="12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</t>
        </r>
        <r>
          <rPr>
            <sz val="12"/>
            <color indexed="81"/>
            <rFont val="Arial"/>
            <family val="2"/>
          </rPr>
          <t xml:space="preserve"> da Tabela E2.1 para balança sem ajuste.</t>
        </r>
      </text>
    </comment>
    <comment ref="X35" authorId="0" shapeId="0" xr:uid="{D68C9476-C416-4B98-8492-4DED57977B6B}">
      <text>
        <r>
          <rPr>
            <sz val="9"/>
            <color indexed="81"/>
            <rFont val="Tahoma"/>
            <family val="2"/>
          </rPr>
          <t>Incerteza padrão da tabela E2.1
uA ou uB</t>
        </r>
      </text>
    </comment>
    <comment ref="V41" authorId="2" shapeId="0" xr:uid="{D61F479D-46DC-4162-8DA7-A7BDE690FCCA}">
      <text>
        <r>
          <rPr>
            <b/>
            <sz val="12"/>
            <color indexed="81"/>
            <rFont val="Arial"/>
            <family val="2"/>
          </rPr>
          <t>Impulsão do ar: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(ver também tabela E2.1 do Euramet)</t>
        </r>
        <r>
          <rPr>
            <b/>
            <sz val="12"/>
            <color indexed="81"/>
            <rFont val="Arial"/>
            <family val="2"/>
          </rPr>
          <t xml:space="preserve">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A </t>
        </r>
        <r>
          <rPr>
            <sz val="12"/>
            <color indexed="81"/>
            <rFont val="Arial"/>
            <family val="2"/>
          </rPr>
          <t xml:space="preserve">p/ balança com ajuste ;
 e </t>
        </r>
        <r>
          <rPr>
            <b/>
            <sz val="12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</t>
        </r>
        <r>
          <rPr>
            <sz val="12"/>
            <color indexed="81"/>
            <rFont val="Arial"/>
            <family val="2"/>
          </rPr>
          <t xml:space="preserve"> da Tabela E2.1 para balança sem ajuste.</t>
        </r>
      </text>
    </comment>
    <comment ref="X41" authorId="0" shapeId="0" xr:uid="{F4E24C4D-CBEA-4C6D-8C8C-3348CF3CFB46}">
      <text>
        <r>
          <rPr>
            <sz val="9"/>
            <color indexed="81"/>
            <rFont val="Tahoma"/>
            <family val="2"/>
          </rPr>
          <t>Incerteza padrão da tabela E2.1
uA ou uB</t>
        </r>
      </text>
    </comment>
    <comment ref="V47" authorId="2" shapeId="0" xr:uid="{CD32A95A-8ACA-49BB-91F9-61CC7FC5889D}">
      <text>
        <r>
          <rPr>
            <b/>
            <sz val="12"/>
            <color indexed="81"/>
            <rFont val="Arial"/>
            <family val="2"/>
          </rPr>
          <t>Impulsão do ar: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(ver também tabela E2.1 do Euramet)</t>
        </r>
        <r>
          <rPr>
            <b/>
            <sz val="12"/>
            <color indexed="81"/>
            <rFont val="Arial"/>
            <family val="2"/>
          </rPr>
          <t xml:space="preserve">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A </t>
        </r>
        <r>
          <rPr>
            <sz val="12"/>
            <color indexed="81"/>
            <rFont val="Arial"/>
            <family val="2"/>
          </rPr>
          <t xml:space="preserve">p/ balança com ajuste ;
 e </t>
        </r>
        <r>
          <rPr>
            <b/>
            <sz val="12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</t>
        </r>
        <r>
          <rPr>
            <sz val="12"/>
            <color indexed="81"/>
            <rFont val="Arial"/>
            <family val="2"/>
          </rPr>
          <t xml:space="preserve"> da Tabela E2.1 para balança sem ajuste.</t>
        </r>
      </text>
    </comment>
    <comment ref="X47" authorId="0" shapeId="0" xr:uid="{9EB58090-BD61-47C9-A8BE-B37E9AB18E7B}">
      <text>
        <r>
          <rPr>
            <sz val="9"/>
            <color indexed="81"/>
            <rFont val="Tahoma"/>
            <family val="2"/>
          </rPr>
          <t>Incerteza padrão da tabela E2.1
uA ou uB</t>
        </r>
      </text>
    </comment>
    <comment ref="V53" authorId="2" shapeId="0" xr:uid="{A457032E-EFC2-4801-9FE7-DA207AEFE5D3}">
      <text>
        <r>
          <rPr>
            <b/>
            <sz val="12"/>
            <color indexed="81"/>
            <rFont val="Arial"/>
            <family val="2"/>
          </rPr>
          <t>Impulsão do ar: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(ver também tabela E2.1 do Euramet)</t>
        </r>
        <r>
          <rPr>
            <b/>
            <sz val="12"/>
            <color indexed="81"/>
            <rFont val="Arial"/>
            <family val="2"/>
          </rPr>
          <t xml:space="preserve">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A </t>
        </r>
        <r>
          <rPr>
            <sz val="12"/>
            <color indexed="81"/>
            <rFont val="Arial"/>
            <family val="2"/>
          </rPr>
          <t xml:space="preserve">p/ balança com ajuste ;
 e </t>
        </r>
        <r>
          <rPr>
            <b/>
            <sz val="12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</t>
        </r>
        <r>
          <rPr>
            <sz val="12"/>
            <color indexed="81"/>
            <rFont val="Arial"/>
            <family val="2"/>
          </rPr>
          <t xml:space="preserve"> da Tabela E2.1 para balança sem ajuste.</t>
        </r>
      </text>
    </comment>
    <comment ref="X53" authorId="0" shapeId="0" xr:uid="{27F04F42-78C5-4446-803D-D5B1BACFB6D9}">
      <text>
        <r>
          <rPr>
            <sz val="9"/>
            <color indexed="81"/>
            <rFont val="Tahoma"/>
            <family val="2"/>
          </rPr>
          <t>Incerteza padrão da tabela E2.1
uA ou uB</t>
        </r>
      </text>
    </comment>
    <comment ref="AY55" authorId="0" shapeId="0" xr:uid="{74DC6E94-E46F-4C02-88D8-E83945DF561A}">
      <text>
        <r>
          <rPr>
            <sz val="11"/>
            <color indexed="81"/>
            <rFont val="Arial"/>
            <family val="2"/>
          </rPr>
          <t>Aplicável para massas F1 e sup.(E2) entre 10g e 50 kg.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59" authorId="2" shapeId="0" xr:uid="{77DABB4A-1763-4CAB-AC98-3D7AA1E398EB}">
      <text>
        <r>
          <rPr>
            <b/>
            <sz val="12"/>
            <color indexed="81"/>
            <rFont val="Arial"/>
            <family val="2"/>
          </rPr>
          <t>Impulsão do ar: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(ver também tabela E2.1 do Euramet)</t>
        </r>
        <r>
          <rPr>
            <b/>
            <sz val="12"/>
            <color indexed="81"/>
            <rFont val="Arial"/>
            <family val="2"/>
          </rPr>
          <t xml:space="preserve">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A </t>
        </r>
        <r>
          <rPr>
            <sz val="12"/>
            <color indexed="81"/>
            <rFont val="Arial"/>
            <family val="2"/>
          </rPr>
          <t xml:space="preserve">p/ balança com ajuste ;
 e </t>
        </r>
        <r>
          <rPr>
            <b/>
            <sz val="12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</t>
        </r>
        <r>
          <rPr>
            <sz val="12"/>
            <color indexed="81"/>
            <rFont val="Arial"/>
            <family val="2"/>
          </rPr>
          <t xml:space="preserve"> da Tabela E2.1 para balança sem ajuste.</t>
        </r>
      </text>
    </comment>
    <comment ref="X59" authorId="0" shapeId="0" xr:uid="{A29CB5FA-9E75-455D-B0C2-F0D23999884D}">
      <text>
        <r>
          <rPr>
            <sz val="9"/>
            <color indexed="81"/>
            <rFont val="Tahoma"/>
            <family val="2"/>
          </rPr>
          <t>Incerteza padrão da tabela E2.1
uA ou uB</t>
        </r>
      </text>
    </comment>
    <comment ref="AU59" authorId="3" shapeId="0" xr:uid="{41F43B4A-6960-47BB-AA8F-7FF2F0F7EDB7}">
      <text>
        <r>
          <rPr>
            <b/>
            <sz val="12"/>
            <color indexed="81"/>
            <rFont val="Tahoma"/>
            <family val="2"/>
          </rPr>
          <t>Unidades de trabalho permitidas, bem como a conversão de GRAMAS para a unidade selecionada</t>
        </r>
      </text>
    </comment>
    <comment ref="V65" authorId="2" shapeId="0" xr:uid="{22DD923D-F3E2-4710-BE70-9F4AABA6F90D}">
      <text>
        <r>
          <rPr>
            <b/>
            <sz val="12"/>
            <color indexed="81"/>
            <rFont val="Arial"/>
            <family val="2"/>
          </rPr>
          <t>Impulsão do ar: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(ver também tabela E2.1 do Euramet)</t>
        </r>
        <r>
          <rPr>
            <b/>
            <sz val="12"/>
            <color indexed="81"/>
            <rFont val="Arial"/>
            <family val="2"/>
          </rPr>
          <t xml:space="preserve">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A </t>
        </r>
        <r>
          <rPr>
            <sz val="12"/>
            <color indexed="81"/>
            <rFont val="Arial"/>
            <family val="2"/>
          </rPr>
          <t xml:space="preserve">p/ balança com ajuste ;
 e </t>
        </r>
        <r>
          <rPr>
            <b/>
            <sz val="12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</t>
        </r>
        <r>
          <rPr>
            <sz val="12"/>
            <color indexed="81"/>
            <rFont val="Arial"/>
            <family val="2"/>
          </rPr>
          <t xml:space="preserve"> da Tabela E2.1 para balança sem ajuste.</t>
        </r>
      </text>
    </comment>
    <comment ref="X65" authorId="0" shapeId="0" xr:uid="{54AE4577-7DE3-47BC-99DF-AE04A1E6F988}">
      <text>
        <r>
          <rPr>
            <sz val="9"/>
            <color indexed="81"/>
            <rFont val="Tahoma"/>
            <family val="2"/>
          </rPr>
          <t>Incerteza padrão da tabela E2.1
uA ou uB</t>
        </r>
      </text>
    </comment>
    <comment ref="V71" authorId="2" shapeId="0" xr:uid="{FA667823-6F3B-4FB6-910C-E004EEB4CDDA}">
      <text>
        <r>
          <rPr>
            <b/>
            <sz val="12"/>
            <color indexed="81"/>
            <rFont val="Arial"/>
            <family val="2"/>
          </rPr>
          <t>Impulsão do ar: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(ver também tabela E2.1 do Euramet)</t>
        </r>
        <r>
          <rPr>
            <b/>
            <sz val="12"/>
            <color indexed="81"/>
            <rFont val="Arial"/>
            <family val="2"/>
          </rPr>
          <t xml:space="preserve">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A </t>
        </r>
        <r>
          <rPr>
            <sz val="12"/>
            <color indexed="81"/>
            <rFont val="Arial"/>
            <family val="2"/>
          </rPr>
          <t xml:space="preserve">p/ balança com ajuste ;
 e </t>
        </r>
        <r>
          <rPr>
            <b/>
            <sz val="12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</t>
        </r>
        <r>
          <rPr>
            <sz val="12"/>
            <color indexed="81"/>
            <rFont val="Arial"/>
            <family val="2"/>
          </rPr>
          <t xml:space="preserve"> da Tabela E2.1 para balança sem ajuste.</t>
        </r>
      </text>
    </comment>
    <comment ref="X71" authorId="0" shapeId="0" xr:uid="{B11E63C2-47B3-46FE-A183-5ADC956DBBD3}">
      <text>
        <r>
          <rPr>
            <sz val="9"/>
            <color indexed="81"/>
            <rFont val="Tahoma"/>
            <family val="2"/>
          </rPr>
          <t>Incerteza padrão da tabela E2.1
uA ou uB</t>
        </r>
      </text>
    </comment>
    <comment ref="V77" authorId="2" shapeId="0" xr:uid="{F3437A56-50F5-482E-B9D2-07BD34A2D3D2}">
      <text>
        <r>
          <rPr>
            <b/>
            <sz val="12"/>
            <color indexed="81"/>
            <rFont val="Arial"/>
            <family val="2"/>
          </rPr>
          <t>Impulsão do ar: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(ver também tabela E2.1 do Euramet)</t>
        </r>
        <r>
          <rPr>
            <b/>
            <sz val="12"/>
            <color indexed="81"/>
            <rFont val="Arial"/>
            <family val="2"/>
          </rPr>
          <t xml:space="preserve">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A </t>
        </r>
        <r>
          <rPr>
            <sz val="12"/>
            <color indexed="81"/>
            <rFont val="Arial"/>
            <family val="2"/>
          </rPr>
          <t xml:space="preserve">p/ balança com ajuste ;
 e </t>
        </r>
        <r>
          <rPr>
            <b/>
            <sz val="12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</t>
        </r>
        <r>
          <rPr>
            <sz val="12"/>
            <color indexed="81"/>
            <rFont val="Arial"/>
            <family val="2"/>
          </rPr>
          <t xml:space="preserve"> da Tabela E2.1 para balança sem ajuste.</t>
        </r>
      </text>
    </comment>
    <comment ref="X77" authorId="0" shapeId="0" xr:uid="{7FEF7CE2-4443-47A9-AA00-913959645840}">
      <text>
        <r>
          <rPr>
            <sz val="9"/>
            <color indexed="81"/>
            <rFont val="Tahoma"/>
            <family val="2"/>
          </rPr>
          <t>Incerteza padrão da tabela E2.1
uA ou uB</t>
        </r>
      </text>
    </comment>
    <comment ref="AV78" authorId="3" shapeId="0" xr:uid="{7BEACD0A-1B05-4850-9AFC-A2B77EECDBBE}">
      <text>
        <r>
          <rPr>
            <b/>
            <sz val="11"/>
            <color indexed="81"/>
            <rFont val="Tahoma"/>
            <family val="2"/>
          </rPr>
          <t>Este valor é sempre usado quando são procurados os valores das massas, e suas incertezas</t>
        </r>
      </text>
    </comment>
    <comment ref="AY87" authorId="0" shapeId="0" xr:uid="{50A94030-2022-42DE-A3B3-B33F9719D997}">
      <text>
        <r>
          <rPr>
            <b/>
            <sz val="12"/>
            <color indexed="81"/>
            <rFont val="Arial"/>
            <family val="2"/>
          </rPr>
          <t>Efeito de impulsão do ar quando a balança não é ajustada (imediatamente antes da calibração) - u</t>
        </r>
        <r>
          <rPr>
            <b/>
            <vertAlign val="subscript"/>
            <sz val="12"/>
            <color indexed="81"/>
            <rFont val="Arial"/>
            <family val="2"/>
          </rPr>
          <t>B</t>
        </r>
        <r>
          <rPr>
            <b/>
            <sz val="12"/>
            <color indexed="81"/>
            <rFont val="Arial"/>
            <family val="2"/>
          </rPr>
          <t xml:space="preserve"> - incerteza padrão para massas até 50 g (E2 a M1) e 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</t>
        </r>
        <r>
          <rPr>
            <b/>
            <vertAlign val="subscript"/>
            <sz val="12"/>
            <color indexed="81"/>
            <rFont val="Arial"/>
            <family val="2"/>
          </rPr>
          <t>B</t>
        </r>
        <r>
          <rPr>
            <b/>
            <sz val="12"/>
            <color indexed="81"/>
            <rFont val="Arial"/>
            <family val="2"/>
          </rPr>
          <t xml:space="preserve">  para massas &gt; 100 g.</t>
        </r>
      </text>
    </comment>
    <comment ref="BC138" authorId="0" shapeId="0" xr:uid="{42FA4125-5202-4479-97FD-385AF5079B22}">
      <text>
        <r>
          <rPr>
            <b/>
            <sz val="12"/>
            <color indexed="81"/>
            <rFont val="Arial"/>
            <family val="2"/>
          </rPr>
          <t xml:space="preserve">Incerteza relativa:
Valor a incluir para massas &gt;= a 100 g (e quando não há ajuste da balança), ex.:
</t>
        </r>
        <r>
          <rPr>
            <sz val="12"/>
            <color indexed="81"/>
            <rFont val="Arial"/>
            <family val="2"/>
          </rPr>
          <t>Para m=100kg (M1)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b/>
            <sz val="16"/>
            <color indexed="81"/>
            <rFont val="Arial"/>
            <family val="2"/>
          </rPr>
          <t>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A </t>
        </r>
        <r>
          <rPr>
            <sz val="12"/>
            <color indexed="81"/>
            <rFont val="Arial"/>
            <family val="2"/>
          </rPr>
          <t>= 7,22 mg/kg =&gt;</t>
        </r>
        <r>
          <rPr>
            <b/>
            <sz val="12"/>
            <color indexed="81"/>
            <rFont val="Arial"/>
            <family val="2"/>
          </rPr>
          <t xml:space="preserve"> 722 mg/100kg
u</t>
        </r>
        <r>
          <rPr>
            <b/>
            <vertAlign val="subscript"/>
            <sz val="12"/>
            <color indexed="81"/>
            <rFont val="Arial"/>
            <family val="2"/>
          </rPr>
          <t>rel</t>
        </r>
        <r>
          <rPr>
            <b/>
            <sz val="12"/>
            <color indexed="81"/>
            <rFont val="Arial"/>
            <family val="2"/>
          </rPr>
          <t xml:space="preserve"> B </t>
        </r>
        <r>
          <rPr>
            <sz val="12"/>
            <color indexed="81"/>
            <rFont val="Arial"/>
            <family val="2"/>
          </rPr>
          <t xml:space="preserve">= 15,88 mg/kg =&gt; </t>
        </r>
        <r>
          <rPr>
            <b/>
            <sz val="12"/>
            <color indexed="81"/>
            <rFont val="Arial"/>
            <family val="2"/>
          </rPr>
          <t>1588 mg/100kg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Nadir</author>
    <author>Nadir Baptista</author>
  </authors>
  <commentList>
    <comment ref="B8" authorId="0" shapeId="0" xr:uid="{A13D55B5-C66C-4BE9-B2E1-C5CAE403C9B9}">
      <text>
        <r>
          <rPr>
            <b/>
            <sz val="8"/>
            <color indexed="81"/>
            <rFont val="Tahoma"/>
            <family val="2"/>
          </rPr>
          <t>Nadir:</t>
        </r>
        <r>
          <rPr>
            <sz val="8"/>
            <color indexed="81"/>
            <rFont val="Tahoma"/>
            <family val="2"/>
          </rPr>
          <t xml:space="preserve">
Nota: 2ª Via do Certificado Nº e
"Correcção ao certificado..."
</t>
        </r>
      </text>
    </comment>
    <comment ref="AK28" authorId="1" shapeId="0" xr:uid="{35DBBB0F-0F9A-4F34-A6EC-81394BCF391F}">
      <text>
        <r>
          <rPr>
            <sz val="9"/>
            <color indexed="81"/>
            <rFont val="Tahoma"/>
            <family val="2"/>
          </rPr>
          <t xml:space="preserve">Atualizar valor (±) de acordo com Critério de aceitação definido para o termohigrómetro.
</t>
        </r>
      </text>
    </comment>
    <comment ref="B64" authorId="0" shapeId="0" xr:uid="{D68C30C1-5C55-4806-B051-FDDDC5167C17}">
      <text>
        <r>
          <rPr>
            <b/>
            <sz val="8"/>
            <color indexed="81"/>
            <rFont val="Tahoma"/>
            <family val="2"/>
          </rPr>
          <t>Nadir:</t>
        </r>
        <r>
          <rPr>
            <sz val="8"/>
            <color indexed="81"/>
            <rFont val="Tahoma"/>
            <family val="2"/>
          </rPr>
          <t xml:space="preserve">
Nota: 2ª Via do Certificado Nº e
"Correcção ao certificado..."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Nadir</author>
    <author>Nadir Baptista</author>
  </authors>
  <commentList>
    <comment ref="B8" authorId="0" shapeId="0" xr:uid="{9591609E-888A-4D8B-852C-B98127EE4069}">
      <text>
        <r>
          <rPr>
            <b/>
            <sz val="8"/>
            <color indexed="81"/>
            <rFont val="Tahoma"/>
            <family val="2"/>
          </rPr>
          <t>Nadir:</t>
        </r>
        <r>
          <rPr>
            <sz val="8"/>
            <color indexed="81"/>
            <rFont val="Tahoma"/>
            <family val="2"/>
          </rPr>
          <t xml:space="preserve">
Nota: 2ª Via do Certificado Nº e
"Correcção ao certificado..."
</t>
        </r>
      </text>
    </comment>
    <comment ref="AK27" authorId="1" shapeId="0" xr:uid="{004B1B4D-2243-42D8-B473-2CCBE2EE81F1}">
      <text>
        <r>
          <rPr>
            <sz val="9"/>
            <color indexed="81"/>
            <rFont val="Tahoma"/>
            <family val="2"/>
          </rPr>
          <t xml:space="preserve">Atualizar valor (±) de acordo com Critério de aceitação definido para o termohigrómetro.
</t>
        </r>
      </text>
    </comment>
    <comment ref="B63" authorId="0" shapeId="0" xr:uid="{B83607FE-5CF2-48A8-BEB1-9E7E73F7CC9E}">
      <text>
        <r>
          <rPr>
            <b/>
            <sz val="8"/>
            <color indexed="81"/>
            <rFont val="Tahoma"/>
            <family val="2"/>
          </rPr>
          <t>Nadir:</t>
        </r>
        <r>
          <rPr>
            <sz val="8"/>
            <color indexed="81"/>
            <rFont val="Tahoma"/>
            <family val="2"/>
          </rPr>
          <t xml:space="preserve">
Nota: 2ª Via do Certificado Nº e
"Correcção ao certificado..."
</t>
        </r>
      </text>
    </comment>
    <comment ref="B129" authorId="0" shapeId="0" xr:uid="{029D922A-542C-47F5-8F68-BE647B27285C}">
      <text>
        <r>
          <rPr>
            <b/>
            <sz val="8"/>
            <color indexed="81"/>
            <rFont val="Tahoma"/>
            <family val="2"/>
          </rPr>
          <t>Nadir:</t>
        </r>
        <r>
          <rPr>
            <sz val="8"/>
            <color indexed="81"/>
            <rFont val="Tahoma"/>
            <family val="2"/>
          </rPr>
          <t xml:space="preserve">
Nota: 2ª Via do Certificado Nº e
"Correcção ao certificado..."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Nadir</author>
    <author>Nadir Baptista</author>
  </authors>
  <commentList>
    <comment ref="B8" authorId="0" shapeId="0" xr:uid="{8074C130-CED3-494F-87BB-2CDF8F4AAF75}">
      <text>
        <r>
          <rPr>
            <b/>
            <sz val="8"/>
            <color indexed="81"/>
            <rFont val="Tahoma"/>
            <family val="2"/>
          </rPr>
          <t>Nadir:</t>
        </r>
        <r>
          <rPr>
            <sz val="8"/>
            <color indexed="81"/>
            <rFont val="Tahoma"/>
            <family val="2"/>
          </rPr>
          <t xml:space="preserve">
Nota: 2ª Via do Certificado Nº e
"Correcção ao certificado..."
</t>
        </r>
      </text>
    </comment>
    <comment ref="AK27" authorId="1" shapeId="0" xr:uid="{5133BF22-A6A9-4FD1-B055-DE9B8452E242}">
      <text>
        <r>
          <rPr>
            <sz val="9"/>
            <color indexed="81"/>
            <rFont val="Tahoma"/>
            <family val="2"/>
          </rPr>
          <t xml:space="preserve">Atualizar valor (±) de acordo com Critério de aceitação definido para o termohigrómetro.
</t>
        </r>
      </text>
    </comment>
    <comment ref="B63" authorId="0" shapeId="0" xr:uid="{BF868230-BFAB-446E-A943-49553C1E8CDA}">
      <text>
        <r>
          <rPr>
            <b/>
            <sz val="8"/>
            <color indexed="81"/>
            <rFont val="Tahoma"/>
            <family val="2"/>
          </rPr>
          <t>Nadir:</t>
        </r>
        <r>
          <rPr>
            <sz val="8"/>
            <color indexed="81"/>
            <rFont val="Tahoma"/>
            <family val="2"/>
          </rPr>
          <t xml:space="preserve">
Nota: 2ª Via do Certificado Nº e
"Correcção ao certificado..."
</t>
        </r>
      </text>
    </comment>
    <comment ref="B129" authorId="0" shapeId="0" xr:uid="{160508EB-F1A7-46CA-AEC2-B752CB3F2149}">
      <text>
        <r>
          <rPr>
            <b/>
            <sz val="8"/>
            <color indexed="81"/>
            <rFont val="Tahoma"/>
            <family val="2"/>
          </rPr>
          <t>Nadir:</t>
        </r>
        <r>
          <rPr>
            <sz val="8"/>
            <color indexed="81"/>
            <rFont val="Tahoma"/>
            <family val="2"/>
          </rPr>
          <t xml:space="preserve">
Nota: 2ª Via do Certificado Nº e
"Correcção ao certificado..."
</t>
        </r>
      </text>
    </comment>
    <comment ref="B195" authorId="0" shapeId="0" xr:uid="{AA5A804A-A650-448F-8984-84DBCC43DA96}">
      <text>
        <r>
          <rPr>
            <b/>
            <sz val="8"/>
            <color indexed="81"/>
            <rFont val="Tahoma"/>
            <family val="2"/>
          </rPr>
          <t>Nadir:</t>
        </r>
        <r>
          <rPr>
            <sz val="8"/>
            <color indexed="81"/>
            <rFont val="Tahoma"/>
            <family val="2"/>
          </rPr>
          <t xml:space="preserve">
Nota: 2ª Via do Certificado Nº e
"Correcção ao certificado..."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Nadir</author>
  </authors>
  <commentList>
    <comment ref="B8" authorId="0" shapeId="0" xr:uid="{06E6228F-E66E-4A50-A419-EE209BFFF16B}">
      <text>
        <r>
          <rPr>
            <b/>
            <sz val="8"/>
            <color indexed="81"/>
            <rFont val="Tahoma"/>
            <family val="2"/>
          </rPr>
          <t>Nadir:</t>
        </r>
        <r>
          <rPr>
            <sz val="8"/>
            <color indexed="81"/>
            <rFont val="Tahoma"/>
            <family val="2"/>
          </rPr>
          <t xml:space="preserve">
Nota: 2ª Via do Certificado Nº e
"Correcção ao certificado..."
</t>
        </r>
      </text>
    </comment>
  </commentList>
</comments>
</file>

<file path=xl/sharedStrings.xml><?xml version="1.0" encoding="utf-8"?>
<sst xmlns="http://schemas.openxmlformats.org/spreadsheetml/2006/main" count="2762" uniqueCount="684">
  <si>
    <t>mg</t>
  </si>
  <si>
    <t>Posição</t>
  </si>
  <si>
    <t>Erro de Indicação</t>
  </si>
  <si>
    <t>±</t>
  </si>
  <si>
    <t>Resolução</t>
  </si>
  <si>
    <t>Dados referentes ao Ponto de Calibração</t>
  </si>
  <si>
    <t>k</t>
  </si>
  <si>
    <t>Incerteza</t>
  </si>
  <si>
    <t>Média</t>
  </si>
  <si>
    <t>Erro</t>
  </si>
  <si>
    <t>Variância</t>
  </si>
  <si>
    <t>1º P</t>
  </si>
  <si>
    <t>2º P</t>
  </si>
  <si>
    <t>3º P</t>
  </si>
  <si>
    <t>20k</t>
  </si>
  <si>
    <t>160k</t>
  </si>
  <si>
    <t>4º P</t>
  </si>
  <si>
    <t>5º P</t>
  </si>
  <si>
    <t>Soma de controle</t>
  </si>
  <si>
    <t>6º P</t>
  </si>
  <si>
    <t>Controle const conversão</t>
  </si>
  <si>
    <t>7º P</t>
  </si>
  <si>
    <t>kg</t>
  </si>
  <si>
    <t>40k</t>
  </si>
  <si>
    <t>g</t>
  </si>
  <si>
    <t>60k</t>
  </si>
  <si>
    <t>80k</t>
  </si>
  <si>
    <t>mN</t>
  </si>
  <si>
    <t>8º P</t>
  </si>
  <si>
    <t>100k</t>
  </si>
  <si>
    <t>cN</t>
  </si>
  <si>
    <t>120k</t>
  </si>
  <si>
    <t>N</t>
  </si>
  <si>
    <t>140k</t>
  </si>
  <si>
    <t>daN</t>
  </si>
  <si>
    <t>kN</t>
  </si>
  <si>
    <t>180k</t>
  </si>
  <si>
    <t>lbf</t>
  </si>
  <si>
    <t>200k</t>
  </si>
  <si>
    <t>oz</t>
  </si>
  <si>
    <t>220k</t>
  </si>
  <si>
    <t>240k</t>
  </si>
  <si>
    <t>260k</t>
  </si>
  <si>
    <t>280k</t>
  </si>
  <si>
    <t>300k</t>
  </si>
  <si>
    <t>Valor conversão</t>
  </si>
  <si>
    <t>2º</t>
  </si>
  <si>
    <t>20º</t>
  </si>
  <si>
    <t>200º</t>
  </si>
  <si>
    <t>1m</t>
  </si>
  <si>
    <t>2m</t>
  </si>
  <si>
    <t>2mº</t>
  </si>
  <si>
    <t>5m</t>
  </si>
  <si>
    <t>10m</t>
  </si>
  <si>
    <t>20m</t>
  </si>
  <si>
    <t>20mº</t>
  </si>
  <si>
    <t>50m</t>
  </si>
  <si>
    <t>100m</t>
  </si>
  <si>
    <t>200m</t>
  </si>
  <si>
    <t>200mº</t>
  </si>
  <si>
    <t>500m</t>
  </si>
  <si>
    <t>Ensaio Previo</t>
  </si>
  <si>
    <t>&lt;==&gt;</t>
  </si>
  <si>
    <t>Unidade</t>
  </si>
  <si>
    <t>HR [ % ]:</t>
  </si>
  <si>
    <t>Cliente:</t>
  </si>
  <si>
    <t>lcmas004</t>
  </si>
  <si>
    <t>lcmas006</t>
  </si>
  <si>
    <t>Descrição para Certificado</t>
  </si>
  <si>
    <t>Rastreios a utilizar</t>
  </si>
  <si>
    <t>Não utilizado</t>
  </si>
  <si>
    <t>Total Rastr</t>
  </si>
  <si>
    <t>Cota Y=</t>
  </si>
  <si>
    <t>Cota X=</t>
  </si>
  <si>
    <t>Caso seja uma 2ª emissão do Certificado</t>
  </si>
  <si>
    <t>Correcção de Certificado</t>
  </si>
  <si>
    <t>Emissão de Original</t>
  </si>
  <si>
    <t>Morada:</t>
  </si>
  <si>
    <t>Declaração de Incerteza</t>
  </si>
  <si>
    <t>Nº Digitos</t>
  </si>
  <si>
    <t xml:space="preserve">     S/N</t>
  </si>
  <si>
    <t>320k</t>
  </si>
  <si>
    <t>340k</t>
  </si>
  <si>
    <t>360k</t>
  </si>
  <si>
    <t>380k</t>
  </si>
  <si>
    <t>400k</t>
  </si>
  <si>
    <t>420k</t>
  </si>
  <si>
    <t>440k</t>
  </si>
  <si>
    <t>460k</t>
  </si>
  <si>
    <t>480k</t>
  </si>
  <si>
    <t>500k</t>
  </si>
  <si>
    <t>520k</t>
  </si>
  <si>
    <t>540k</t>
  </si>
  <si>
    <t>560k</t>
  </si>
  <si>
    <t>580k</t>
  </si>
  <si>
    <t>600k</t>
  </si>
  <si>
    <t>Nadir Baptista</t>
  </si>
  <si>
    <t>Técnicos</t>
  </si>
  <si>
    <t>Opção seleccionada</t>
  </si>
  <si>
    <t>2k</t>
  </si>
  <si>
    <t>5k</t>
  </si>
  <si>
    <t>1000k</t>
  </si>
  <si>
    <t>2000k</t>
  </si>
  <si>
    <t>3000k</t>
  </si>
  <si>
    <t>4000k</t>
  </si>
  <si>
    <t>5000k</t>
  </si>
  <si>
    <t>6000k</t>
  </si>
  <si>
    <t>7000k</t>
  </si>
  <si>
    <t>8000k</t>
  </si>
  <si>
    <t>9000k</t>
  </si>
  <si>
    <t>10000k</t>
  </si>
  <si>
    <t>11000k</t>
  </si>
  <si>
    <t>12000k</t>
  </si>
  <si>
    <t>13000k</t>
  </si>
  <si>
    <t>14000k</t>
  </si>
  <si>
    <t>15000k</t>
  </si>
  <si>
    <t>16000k</t>
  </si>
  <si>
    <t>17000k</t>
  </si>
  <si>
    <t>18000k</t>
  </si>
  <si>
    <t>19000k</t>
  </si>
  <si>
    <t>20000k</t>
  </si>
  <si>
    <t>Cargas de substituição</t>
  </si>
  <si>
    <t>Centro 1</t>
  </si>
  <si>
    <t>A incerteza foi calculada de acordo com o Doc. EA-4/02."</t>
  </si>
  <si>
    <t>620k</t>
  </si>
  <si>
    <t>640k</t>
  </si>
  <si>
    <t>660k</t>
  </si>
  <si>
    <t>680k</t>
  </si>
  <si>
    <t>700k</t>
  </si>
  <si>
    <t>720k</t>
  </si>
  <si>
    <t>740k</t>
  </si>
  <si>
    <t>760k</t>
  </si>
  <si>
    <t>780k</t>
  </si>
  <si>
    <t>800k</t>
  </si>
  <si>
    <t>820k</t>
  </si>
  <si>
    <t>840k</t>
  </si>
  <si>
    <t>860k</t>
  </si>
  <si>
    <t>880k</t>
  </si>
  <si>
    <t>900k</t>
  </si>
  <si>
    <t>920k</t>
  </si>
  <si>
    <t>940k</t>
  </si>
  <si>
    <t>960k</t>
  </si>
  <si>
    <t>980k</t>
  </si>
  <si>
    <t>1000k*</t>
  </si>
  <si>
    <t>1020k</t>
  </si>
  <si>
    <t>1040k</t>
  </si>
  <si>
    <t>1060k</t>
  </si>
  <si>
    <t>1080k</t>
  </si>
  <si>
    <t>1100k</t>
  </si>
  <si>
    <t>Valor</t>
  </si>
  <si>
    <r>
      <t>u</t>
    </r>
    <r>
      <rPr>
        <b/>
        <i/>
        <vertAlign val="subscript"/>
        <sz val="10"/>
        <color indexed="8"/>
        <rFont val="Trebuchet MS"/>
        <family val="2"/>
      </rPr>
      <t>i</t>
    </r>
    <r>
      <rPr>
        <b/>
        <i/>
        <vertAlign val="superscript"/>
        <sz val="10"/>
        <color indexed="8"/>
        <rFont val="Trebuchet MS"/>
        <family val="2"/>
      </rPr>
      <t>2</t>
    </r>
    <r>
      <rPr>
        <b/>
        <i/>
        <sz val="10"/>
        <color indexed="8"/>
        <rFont val="Trebuchet MS"/>
        <family val="2"/>
      </rPr>
      <t>(y)</t>
    </r>
  </si>
  <si>
    <t>Efeito de Convecção</t>
  </si>
  <si>
    <t>Efeito convecção</t>
  </si>
  <si>
    <t>N.º Série:</t>
  </si>
  <si>
    <t>1.ª Coluna</t>
  </si>
  <si>
    <t>2.ª Coluna</t>
  </si>
  <si>
    <t>Coeficiente de Sensibilidade</t>
  </si>
  <si>
    <t>Inc. Padrão</t>
  </si>
  <si>
    <t>Unidade de Trabalho:</t>
  </si>
  <si>
    <t>Factor Conversão:</t>
  </si>
  <si>
    <t>N.º de díg. após a vírgula</t>
  </si>
  <si>
    <t>N.º de díg. da Resolução</t>
  </si>
  <si>
    <t>COMPENSAÇÃO DA GRAVIDADE</t>
  </si>
  <si>
    <t>Texto a inserir no Certificado</t>
  </si>
  <si>
    <t>2kg</t>
  </si>
  <si>
    <t>Final</t>
  </si>
  <si>
    <t>Humidade Relativa (%):</t>
  </si>
  <si>
    <t>F1m</t>
  </si>
  <si>
    <t>F2m</t>
  </si>
  <si>
    <t>F2mº</t>
  </si>
  <si>
    <t>F5m</t>
  </si>
  <si>
    <t>F10m</t>
  </si>
  <si>
    <t>F20m</t>
  </si>
  <si>
    <t>F20mº</t>
  </si>
  <si>
    <t>F50m</t>
  </si>
  <si>
    <t>F100m</t>
  </si>
  <si>
    <t>F200m</t>
  </si>
  <si>
    <t>F200mº</t>
  </si>
  <si>
    <t>F500m</t>
  </si>
  <si>
    <t>F1</t>
  </si>
  <si>
    <t>F2</t>
  </si>
  <si>
    <t>F2º</t>
  </si>
  <si>
    <t>F5</t>
  </si>
  <si>
    <t>F10</t>
  </si>
  <si>
    <t>F20</t>
  </si>
  <si>
    <t>F20º</t>
  </si>
  <si>
    <t>F50</t>
  </si>
  <si>
    <t>F100</t>
  </si>
  <si>
    <t>F200</t>
  </si>
  <si>
    <t>F200º</t>
  </si>
  <si>
    <t>F500</t>
  </si>
  <si>
    <t>F1k</t>
  </si>
  <si>
    <t>F2k</t>
  </si>
  <si>
    <t>F2kº</t>
  </si>
  <si>
    <t>F5k</t>
  </si>
  <si>
    <t>F10k</t>
  </si>
  <si>
    <t>F20k</t>
  </si>
  <si>
    <t>Bilanciai  M1 1000 kg - 20000 kg</t>
  </si>
  <si>
    <t>M1 1 kg a 10 kg</t>
  </si>
  <si>
    <t>1k</t>
  </si>
  <si>
    <t>3k</t>
  </si>
  <si>
    <t>4k</t>
  </si>
  <si>
    <t>6k</t>
  </si>
  <si>
    <t>7k</t>
  </si>
  <si>
    <t>8k</t>
  </si>
  <si>
    <t>9k</t>
  </si>
  <si>
    <t>10k</t>
  </si>
  <si>
    <t>M1 2 kg a 20 kg</t>
  </si>
  <si>
    <t>4kg</t>
  </si>
  <si>
    <t>6kg</t>
  </si>
  <si>
    <t>8kg</t>
  </si>
  <si>
    <t>10kg</t>
  </si>
  <si>
    <t>20kg</t>
  </si>
  <si>
    <t>12kg</t>
  </si>
  <si>
    <t>14kg</t>
  </si>
  <si>
    <t>16kg</t>
  </si>
  <si>
    <t>18kg</t>
  </si>
  <si>
    <t>M1 5 kg a 20 kg</t>
  </si>
  <si>
    <t>5k1</t>
  </si>
  <si>
    <t>10k1</t>
  </si>
  <si>
    <t>10k2</t>
  </si>
  <si>
    <t>20k2</t>
  </si>
  <si>
    <t>100k1</t>
  </si>
  <si>
    <t>200k1</t>
  </si>
  <si>
    <t>400k2</t>
  </si>
  <si>
    <t>500k1</t>
  </si>
  <si>
    <t>200k2</t>
  </si>
  <si>
    <t>300k3</t>
  </si>
  <si>
    <t>400k4</t>
  </si>
  <si>
    <t>500k5</t>
  </si>
  <si>
    <t>600k6</t>
  </si>
  <si>
    <t>As incertezas padrão absolutas,  uA e uB, com ajuste da balança ou sem ajuste respetivamente, são:</t>
  </si>
  <si>
    <t>ρ0</t>
  </si>
  <si>
    <t>kg/m3</t>
  </si>
  <si>
    <t>uA</t>
  </si>
  <si>
    <t>(7.1.2-5c)</t>
  </si>
  <si>
    <t>ρc</t>
  </si>
  <si>
    <t>uB</t>
  </si>
  <si>
    <t>(7.1.2-5d)</t>
  </si>
  <si>
    <t>Classe E2</t>
  </si>
  <si>
    <t>Classe F1</t>
  </si>
  <si>
    <t>Classe F2</t>
  </si>
  <si>
    <t>Classe M1</t>
  </si>
  <si>
    <t>mN (g)</t>
  </si>
  <si>
    <t>mpe (mg)</t>
  </si>
  <si>
    <t>uA (mg)</t>
  </si>
  <si>
    <t>uB (mg)</t>
  </si>
  <si>
    <r>
      <rPr>
        <i/>
        <u/>
        <sz val="11"/>
        <color theme="1"/>
        <rFont val="Arial"/>
        <family val="2"/>
        <scheme val="minor"/>
      </rPr>
      <t xml:space="preserve">mpe </t>
    </r>
    <r>
      <rPr>
        <u/>
        <sz val="11"/>
        <color theme="1"/>
        <rFont val="Arial"/>
        <family val="2"/>
        <scheme val="minor"/>
      </rPr>
      <t>relativo e incertezas padrão relativas</t>
    </r>
    <r>
      <rPr>
        <sz val="10"/>
        <rFont val="Arial"/>
        <family val="2"/>
      </rPr>
      <t xml:space="preserve">                                </t>
    </r>
    <r>
      <rPr>
        <u/>
        <sz val="11"/>
        <color theme="1"/>
        <rFont val="Arial"/>
        <family val="2"/>
        <scheme val="minor"/>
      </rPr>
      <t xml:space="preserve"> em mg/kg para pesos de 100 g ou maiores</t>
    </r>
  </si>
  <si>
    <t>mpe/mN (mg/kg)</t>
  </si>
  <si>
    <r>
      <rPr>
        <sz val="14"/>
        <color theme="1"/>
        <rFont val="Arial"/>
        <family val="2"/>
        <scheme val="minor"/>
      </rPr>
      <t>u</t>
    </r>
    <r>
      <rPr>
        <sz val="9"/>
        <color theme="1"/>
        <rFont val="Arial"/>
        <family val="2"/>
        <scheme val="minor"/>
      </rPr>
      <t xml:space="preserve">rel </t>
    </r>
    <r>
      <rPr>
        <sz val="10"/>
        <rFont val="Arial"/>
        <family val="2"/>
      </rPr>
      <t>A (mg/kg)</t>
    </r>
  </si>
  <si>
    <r>
      <rPr>
        <sz val="14"/>
        <color theme="1"/>
        <rFont val="Arial"/>
        <family val="2"/>
        <scheme val="minor"/>
      </rPr>
      <t>u</t>
    </r>
    <r>
      <rPr>
        <sz val="9"/>
        <color theme="1"/>
        <rFont val="Arial"/>
        <family val="2"/>
        <scheme val="minor"/>
      </rPr>
      <t xml:space="preserve">rel </t>
    </r>
    <r>
      <rPr>
        <sz val="10"/>
        <rFont val="Arial"/>
        <family val="2"/>
      </rPr>
      <t>B (mg/kg)</t>
    </r>
  </si>
  <si>
    <t>≥100 g</t>
  </si>
  <si>
    <t>Ref. int.</t>
  </si>
  <si>
    <t>Efeito de impulsão do ar:</t>
  </si>
  <si>
    <t>Ref. Int.</t>
  </si>
  <si>
    <t>E2</t>
  </si>
  <si>
    <t>M1</t>
  </si>
  <si>
    <t>F1K</t>
  </si>
  <si>
    <t>F2K</t>
  </si>
  <si>
    <t>F2Kº</t>
  </si>
  <si>
    <t>F5K</t>
  </si>
  <si>
    <t>F10K</t>
  </si>
  <si>
    <t>F20K</t>
  </si>
  <si>
    <t>Efeito de Impulsão ar</t>
  </si>
  <si>
    <t>Max:</t>
  </si>
  <si>
    <t>d:</t>
  </si>
  <si>
    <t>Modelo:</t>
  </si>
  <si>
    <t>Temperatura [ ºC ]:</t>
  </si>
  <si>
    <t>Data da Calibração:</t>
  </si>
  <si>
    <t>Calibração nas instalações permanentes do laboratório?</t>
  </si>
  <si>
    <r>
      <rPr>
        <b/>
        <sz val="12"/>
        <rFont val="Symbol"/>
        <family val="1"/>
        <charset val="2"/>
      </rPr>
      <t>D</t>
    </r>
    <r>
      <rPr>
        <b/>
        <sz val="12"/>
        <rFont val="Bookman Old Style"/>
        <family val="1"/>
      </rPr>
      <t>m</t>
    </r>
    <r>
      <rPr>
        <b/>
        <vertAlign val="subscript"/>
        <sz val="16"/>
        <rFont val="Bookman Old Style"/>
        <family val="1"/>
      </rPr>
      <t>calculado</t>
    </r>
  </si>
  <si>
    <r>
      <rPr>
        <b/>
        <sz val="12"/>
        <rFont val="Symbol"/>
        <family val="1"/>
        <charset val="2"/>
      </rPr>
      <t>D</t>
    </r>
    <r>
      <rPr>
        <b/>
        <sz val="12"/>
        <rFont val="Bookman Old Style"/>
        <family val="1"/>
      </rPr>
      <t>m</t>
    </r>
    <r>
      <rPr>
        <b/>
        <vertAlign val="subscript"/>
        <sz val="16"/>
        <rFont val="Bookman Old Style"/>
        <family val="1"/>
      </rPr>
      <t>utilizado</t>
    </r>
  </si>
  <si>
    <r>
      <rPr>
        <b/>
        <sz val="14"/>
        <rFont val="Bookman Old Style"/>
        <family val="1"/>
      </rPr>
      <t>m</t>
    </r>
    <r>
      <rPr>
        <b/>
        <vertAlign val="subscript"/>
        <sz val="12"/>
        <rFont val="Bookman Old Style"/>
        <family val="1"/>
      </rPr>
      <t xml:space="preserve">A </t>
    </r>
    <r>
      <rPr>
        <b/>
        <sz val="12"/>
        <rFont val="Bookman Old Style"/>
        <family val="1"/>
      </rPr>
      <t>(</t>
    </r>
    <r>
      <rPr>
        <sz val="18"/>
        <rFont val="Calibri"/>
        <family val="2"/>
      </rPr>
      <t>⅔</t>
    </r>
    <r>
      <rPr>
        <b/>
        <sz val="12"/>
        <rFont val="Bookman Old Style"/>
        <family val="1"/>
      </rPr>
      <t xml:space="preserve"> Max)</t>
    </r>
  </si>
  <si>
    <t>Características do Instrumento:</t>
  </si>
  <si>
    <t>Inicial</t>
  </si>
  <si>
    <t>Condições ambientais:</t>
  </si>
  <si>
    <t>AJUSTE?</t>
  </si>
  <si>
    <r>
      <t>g</t>
    </r>
    <r>
      <rPr>
        <b/>
        <vertAlign val="subscript"/>
        <sz val="12"/>
        <rFont val="Arial"/>
        <family val="2"/>
      </rPr>
      <t>L</t>
    </r>
    <r>
      <rPr>
        <b/>
        <sz val="12"/>
        <rFont val="Arial"/>
        <family val="2"/>
      </rPr>
      <t>=</t>
    </r>
  </si>
  <si>
    <r>
      <t>g</t>
    </r>
    <r>
      <rPr>
        <b/>
        <vertAlign val="subscript"/>
        <sz val="12"/>
        <rFont val="Arial"/>
        <family val="2"/>
      </rPr>
      <t>d</t>
    </r>
    <r>
      <rPr>
        <b/>
        <sz val="12"/>
        <rFont val="Arial"/>
        <family val="2"/>
      </rPr>
      <t>=</t>
    </r>
  </si>
  <si>
    <r>
      <rPr>
        <b/>
        <sz val="12"/>
        <rFont val="Arial"/>
        <family val="2"/>
      </rPr>
      <t xml:space="preserve">Compensação da gravidade </t>
    </r>
    <r>
      <rPr>
        <b/>
        <sz val="14"/>
        <rFont val="Century Gothic"/>
        <family val="2"/>
      </rPr>
      <t>(</t>
    </r>
    <r>
      <rPr>
        <b/>
        <sz val="14"/>
        <rFont val="Symbol"/>
        <family val="1"/>
        <charset val="2"/>
      </rPr>
      <t>D</t>
    </r>
    <r>
      <rPr>
        <b/>
        <sz val="14"/>
        <rFont val="Century Gothic"/>
        <family val="2"/>
      </rPr>
      <t>m)</t>
    </r>
  </si>
  <si>
    <t>(g)</t>
  </si>
  <si>
    <t>Individual Massas</t>
  </si>
  <si>
    <t>Registo de Calibração n.º:</t>
  </si>
  <si>
    <t>1 - Ensaio Prévio</t>
  </si>
  <si>
    <t>Ponto Calib.</t>
  </si>
  <si>
    <t>Peso Padrão</t>
  </si>
  <si>
    <t>2 - Ensaio Excentricidade</t>
  </si>
  <si>
    <r>
      <t>Carga utilizada (</t>
    </r>
    <r>
      <rPr>
        <b/>
        <i/>
        <sz val="11"/>
        <rFont val="Arial"/>
        <family val="2"/>
      </rPr>
      <t>L</t>
    </r>
    <r>
      <rPr>
        <b/>
        <i/>
        <vertAlign val="subscript"/>
        <sz val="11"/>
        <rFont val="Arial"/>
        <family val="2"/>
      </rPr>
      <t>exc</t>
    </r>
    <r>
      <rPr>
        <b/>
        <sz val="11"/>
        <rFont val="Arial"/>
        <family val="2"/>
      </rPr>
      <t>):</t>
    </r>
  </si>
  <si>
    <r>
      <t xml:space="preserve">Erro de Excentricidade máx. </t>
    </r>
    <r>
      <rPr>
        <b/>
        <i/>
        <sz val="11"/>
        <rFont val="Arial"/>
        <family val="2"/>
      </rPr>
      <t>|∆</t>
    </r>
    <r>
      <rPr>
        <b/>
        <i/>
        <sz val="11"/>
        <rFont val="Times New Roman"/>
        <family val="1"/>
      </rPr>
      <t>I</t>
    </r>
    <r>
      <rPr>
        <b/>
        <i/>
        <vertAlign val="subscript"/>
        <sz val="11"/>
        <rFont val="Arial"/>
        <family val="2"/>
      </rPr>
      <t>exc,i</t>
    </r>
    <r>
      <rPr>
        <b/>
        <i/>
        <sz val="11"/>
        <rFont val="Arial"/>
        <family val="2"/>
      </rPr>
      <t>|max</t>
    </r>
    <r>
      <rPr>
        <b/>
        <sz val="11"/>
        <rFont val="Arial"/>
        <family val="2"/>
      </rPr>
      <t>:</t>
    </r>
  </si>
  <si>
    <t>N.º Pontos de Apoio:</t>
  </si>
  <si>
    <t>Narciso Batista</t>
  </si>
  <si>
    <t>Registo de Calibração 1 Esc</t>
  </si>
  <si>
    <t>2º Escalão</t>
  </si>
  <si>
    <t>Incerteza Expandida</t>
  </si>
  <si>
    <t>N.º casas decimais</t>
  </si>
  <si>
    <t xml:space="preserve">U </t>
  </si>
  <si>
    <t>U com 2 Algarismos Significativos</t>
  </si>
  <si>
    <t>3º Escalão</t>
  </si>
  <si>
    <t>3º</t>
  </si>
  <si>
    <t>1º</t>
  </si>
  <si>
    <r>
      <t>(</t>
    </r>
    <r>
      <rPr>
        <sz val="11"/>
        <rFont val="Symbol"/>
        <family val="1"/>
        <charset val="2"/>
      </rPr>
      <t>D</t>
    </r>
    <r>
      <rPr>
        <sz val="11"/>
        <rFont val="Bookman Old Style"/>
        <family val="1"/>
      </rPr>
      <t>T = 3ºC)</t>
    </r>
  </si>
  <si>
    <r>
      <t>(</t>
    </r>
    <r>
      <rPr>
        <sz val="11"/>
        <rFont val="Symbol"/>
        <family val="1"/>
        <charset val="2"/>
      </rPr>
      <t>D</t>
    </r>
    <r>
      <rPr>
        <sz val="11"/>
        <rFont val="Bookman Old Style"/>
        <family val="1"/>
      </rPr>
      <t>T = 5ºC)</t>
    </r>
  </si>
  <si>
    <r>
      <t>m(</t>
    </r>
    <r>
      <rPr>
        <b/>
        <sz val="11"/>
        <rFont val="Arial"/>
        <family val="2"/>
      </rPr>
      <t>kg</t>
    </r>
    <r>
      <rPr>
        <sz val="11"/>
        <rFont val="Arial"/>
        <family val="2"/>
      </rPr>
      <t>)</t>
    </r>
  </si>
  <si>
    <t>25k1</t>
  </si>
  <si>
    <t>50k1</t>
  </si>
  <si>
    <t>50k2</t>
  </si>
  <si>
    <t>100k2</t>
  </si>
  <si>
    <t>150k3</t>
  </si>
  <si>
    <t>1k100</t>
  </si>
  <si>
    <t>2k200</t>
  </si>
  <si>
    <t>3k300</t>
  </si>
  <si>
    <t>4k400</t>
  </si>
  <si>
    <r>
      <t>m</t>
    </r>
    <r>
      <rPr>
        <b/>
        <vertAlign val="subscript"/>
        <sz val="12"/>
        <rFont val="Arial"/>
        <family val="2"/>
      </rPr>
      <t>N</t>
    </r>
    <r>
      <rPr>
        <b/>
        <sz val="12"/>
        <rFont val="Arial"/>
        <family val="2"/>
      </rPr>
      <t xml:space="preserve"> ou m</t>
    </r>
    <r>
      <rPr>
        <b/>
        <vertAlign val="subscript"/>
        <sz val="12"/>
        <rFont val="Arial"/>
        <family val="2"/>
      </rPr>
      <t>c</t>
    </r>
  </si>
  <si>
    <t>Ref.ª Interna</t>
  </si>
  <si>
    <t xml:space="preserve">Inc+deg </t>
  </si>
  <si>
    <r>
      <t>u(ɗm</t>
    </r>
    <r>
      <rPr>
        <i/>
        <vertAlign val="subscript"/>
        <sz val="14"/>
        <rFont val="Arial"/>
        <family val="2"/>
      </rPr>
      <t>B</t>
    </r>
    <r>
      <rPr>
        <i/>
        <sz val="14"/>
        <rFont val="Arial"/>
        <family val="2"/>
      </rPr>
      <t>) [± g]</t>
    </r>
  </si>
  <si>
    <t>Impulsão do ar</t>
  </si>
  <si>
    <t>CS</t>
  </si>
  <si>
    <t>NGL</t>
  </si>
  <si>
    <t>N.º de casa decimais</t>
  </si>
  <si>
    <t>Instalações fixas do Laboratório</t>
  </si>
  <si>
    <t>u (E)</t>
  </si>
  <si>
    <r>
      <t>u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(E) = u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(</t>
    </r>
    <r>
      <rPr>
        <b/>
        <i/>
        <sz val="10"/>
        <rFont val="Times New Roman"/>
        <family val="1"/>
      </rPr>
      <t>I</t>
    </r>
    <r>
      <rPr>
        <b/>
        <i/>
        <sz val="10"/>
        <rFont val="Arial"/>
        <family val="2"/>
      </rPr>
      <t>) + u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(m</t>
    </r>
    <r>
      <rPr>
        <b/>
        <i/>
        <vertAlign val="subscript"/>
        <sz val="10"/>
        <rFont val="Arial"/>
        <family val="2"/>
      </rPr>
      <t>ref</t>
    </r>
    <r>
      <rPr>
        <b/>
        <i/>
        <sz val="10"/>
        <rFont val="Arial"/>
        <family val="2"/>
      </rPr>
      <t>)</t>
    </r>
  </si>
  <si>
    <t>Balança com aprovação de modelo?</t>
  </si>
  <si>
    <t xml:space="preserve">        S/N</t>
  </si>
  <si>
    <t>Balança com aprovação de Modelo?</t>
  </si>
  <si>
    <r>
      <t>Peso(s) Padrão (m</t>
    </r>
    <r>
      <rPr>
        <b/>
        <vertAlign val="subscript"/>
        <sz val="12"/>
        <rFont val="Arial"/>
        <family val="2"/>
      </rPr>
      <t>c</t>
    </r>
    <r>
      <rPr>
        <b/>
        <sz val="12"/>
        <rFont val="Arial"/>
        <family val="2"/>
      </rPr>
      <t>)</t>
    </r>
  </si>
  <si>
    <r>
      <t>Localização do Instrumento</t>
    </r>
    <r>
      <rPr>
        <sz val="12"/>
        <rFont val="Bookman Old Style"/>
        <family val="1"/>
      </rPr>
      <t xml:space="preserve"> (se diferente de morada da sede):</t>
    </r>
  </si>
  <si>
    <t>Técnico:</t>
  </si>
  <si>
    <t>Emissão do Certificado:</t>
  </si>
  <si>
    <r>
      <rPr>
        <b/>
        <sz val="12"/>
        <rFont val="Calibri"/>
        <family val="2"/>
      </rPr>
      <t>∆</t>
    </r>
    <r>
      <rPr>
        <b/>
        <sz val="12"/>
        <rFont val="Bookman Old Style"/>
        <family val="1"/>
      </rPr>
      <t>m</t>
    </r>
    <r>
      <rPr>
        <b/>
        <vertAlign val="subscript"/>
        <sz val="12"/>
        <rFont val="Bookman Old Style"/>
        <family val="1"/>
      </rPr>
      <t>i</t>
    </r>
  </si>
  <si>
    <r>
      <t>V</t>
    </r>
    <r>
      <rPr>
        <b/>
        <i/>
        <vertAlign val="subscript"/>
        <sz val="12"/>
        <rFont val="Arial"/>
        <family val="2"/>
      </rPr>
      <t>ef</t>
    </r>
  </si>
  <si>
    <t>U (E)</t>
  </si>
  <si>
    <t>Resol control</t>
  </si>
  <si>
    <t>xi</t>
  </si>
  <si>
    <t>u(xi)</t>
  </si>
  <si>
    <t>Incerteza padrão</t>
  </si>
  <si>
    <t>N.º Graus de Liberdade</t>
  </si>
  <si>
    <t>ou</t>
  </si>
  <si>
    <r>
      <t>∆</t>
    </r>
    <r>
      <rPr>
        <i/>
        <sz val="10"/>
        <rFont val="Arial"/>
        <family val="2"/>
      </rPr>
      <t>m</t>
    </r>
    <r>
      <rPr>
        <i/>
        <vertAlign val="subscript"/>
        <sz val="12"/>
        <rFont val="Arial"/>
        <family val="2"/>
      </rPr>
      <t>conv</t>
    </r>
  </si>
  <si>
    <t>Ponto de Calibração</t>
  </si>
  <si>
    <r>
      <t>g [ m/s</t>
    </r>
    <r>
      <rPr>
        <b/>
        <vertAlign val="superscript"/>
        <sz val="11"/>
        <rFont val="Arial"/>
        <family val="2"/>
      </rPr>
      <t>2</t>
    </r>
    <r>
      <rPr>
        <b/>
        <sz val="11"/>
        <rFont val="Arial"/>
        <family val="2"/>
      </rPr>
      <t xml:space="preserve"> =]</t>
    </r>
  </si>
  <si>
    <r>
      <t>g/m</t>
    </r>
    <r>
      <rPr>
        <vertAlign val="superscript"/>
        <sz val="10"/>
        <rFont val="Arial"/>
        <family val="2"/>
      </rPr>
      <t>2</t>
    </r>
  </si>
  <si>
    <t>Unidade trabalho</t>
  </si>
  <si>
    <t>Unid. Selecionada</t>
  </si>
  <si>
    <r>
      <rPr>
        <sz val="11"/>
        <rFont val="Symbol"/>
        <family val="1"/>
        <charset val="2"/>
      </rPr>
      <t>D</t>
    </r>
    <r>
      <rPr>
        <sz val="11"/>
        <rFont val="Bookman Old Style"/>
        <family val="1"/>
      </rPr>
      <t>m conv (g)</t>
    </r>
  </si>
  <si>
    <t>Pesos Padrão</t>
  </si>
  <si>
    <r>
      <t>V</t>
    </r>
    <r>
      <rPr>
        <b/>
        <vertAlign val="subscript"/>
        <sz val="12"/>
        <rFont val="Arial"/>
        <family val="2"/>
      </rPr>
      <t>R</t>
    </r>
    <r>
      <rPr>
        <b/>
        <sz val="12"/>
        <rFont val="Arial"/>
        <family val="2"/>
      </rPr>
      <t>/ V</t>
    </r>
    <r>
      <rPr>
        <b/>
        <vertAlign val="subscript"/>
        <sz val="12"/>
        <rFont val="Arial"/>
        <family val="2"/>
      </rPr>
      <t>N</t>
    </r>
    <r>
      <rPr>
        <b/>
        <sz val="12"/>
        <rFont val="Arial"/>
        <family val="2"/>
      </rPr>
      <t>/ V</t>
    </r>
    <r>
      <rPr>
        <b/>
        <vertAlign val="subscript"/>
        <sz val="12"/>
        <rFont val="Arial"/>
        <family val="2"/>
      </rPr>
      <t>S</t>
    </r>
  </si>
  <si>
    <t>Modo de avaliação</t>
  </si>
  <si>
    <t>Fórmula</t>
  </si>
  <si>
    <t>Data de Emissão do Certificado original:</t>
  </si>
  <si>
    <t>CERTIFICADO DE CALIBRAÇÃO</t>
  </si>
  <si>
    <t>Certificate of Calibration</t>
  </si>
  <si>
    <t xml:space="preserve">Number </t>
  </si>
  <si>
    <t>NÚMERO</t>
  </si>
  <si>
    <r>
      <t xml:space="preserve">Página </t>
    </r>
    <r>
      <rPr>
        <b/>
        <sz val="11"/>
        <rFont val="Arial"/>
        <family val="2"/>
        <scheme val="minor"/>
      </rPr>
      <t>1</t>
    </r>
    <r>
      <rPr>
        <sz val="11"/>
        <rFont val="Arial"/>
        <family val="2"/>
        <scheme val="minor"/>
      </rPr>
      <t xml:space="preserve"> de</t>
    </r>
    <r>
      <rPr>
        <b/>
        <sz val="11"/>
        <rFont val="Arial"/>
        <family val="2"/>
        <scheme val="minor"/>
      </rPr>
      <t xml:space="preserve"> 2</t>
    </r>
  </si>
  <si>
    <t>2.ª Via ao Certificado</t>
  </si>
  <si>
    <t>Objecto</t>
  </si>
  <si>
    <t>Objeto:</t>
  </si>
  <si>
    <t>Marca:</t>
  </si>
  <si>
    <t>Marca</t>
  </si>
  <si>
    <t>Modelo</t>
  </si>
  <si>
    <t>N.º Série</t>
  </si>
  <si>
    <t>Identificação</t>
  </si>
  <si>
    <t>Identificação Interna:</t>
  </si>
  <si>
    <t>Solicitante</t>
  </si>
  <si>
    <t>Applicant</t>
  </si>
  <si>
    <t>Código Postal:</t>
  </si>
  <si>
    <t>Data de Calibração</t>
  </si>
  <si>
    <t>Date of Calibration</t>
  </si>
  <si>
    <t>Condições de calibração:</t>
  </si>
  <si>
    <t>Calibration conditions:</t>
  </si>
  <si>
    <t>Temperatura (˚C):</t>
  </si>
  <si>
    <t>Procedure</t>
  </si>
  <si>
    <t>Peso(s) Padrão</t>
  </si>
  <si>
    <t>Código</t>
  </si>
  <si>
    <t>Rastreabilidade</t>
  </si>
  <si>
    <t>633 a 641</t>
  </si>
  <si>
    <t>642 a 650</t>
  </si>
  <si>
    <t>Pesos padrão utilizados na calibração</t>
  </si>
  <si>
    <t xml:space="preserve"> Gibertini F1 10 kg </t>
  </si>
  <si>
    <t>M1 20 kg a 900 kg</t>
  </si>
  <si>
    <t>Pesos utilizados</t>
  </si>
  <si>
    <t>532</t>
  </si>
  <si>
    <t>Opção selecionada</t>
  </si>
  <si>
    <r>
      <t>Conjunto de Pesos de 20 kg, Classe M</t>
    </r>
    <r>
      <rPr>
        <vertAlign val="subscript"/>
        <sz val="12"/>
        <rFont val="Arial"/>
        <family val="2"/>
      </rPr>
      <t>1</t>
    </r>
  </si>
  <si>
    <r>
      <t>Conjunto de Pesos de 1000 kg, Classe  M</t>
    </r>
    <r>
      <rPr>
        <vertAlign val="subscript"/>
        <sz val="12"/>
        <rFont val="Arial"/>
        <family val="2"/>
      </rPr>
      <t>1</t>
    </r>
  </si>
  <si>
    <r>
      <t>Conjunto de pesos de 1 kg, Classe M</t>
    </r>
    <r>
      <rPr>
        <vertAlign val="subscript"/>
        <sz val="12"/>
        <rFont val="Arial"/>
        <family val="2"/>
      </rPr>
      <t>1</t>
    </r>
  </si>
  <si>
    <r>
      <t>Conjunto de pesos de 2 kg, Classe M</t>
    </r>
    <r>
      <rPr>
        <vertAlign val="subscript"/>
        <sz val="12"/>
        <rFont val="Arial"/>
        <family val="2"/>
      </rPr>
      <t>1</t>
    </r>
  </si>
  <si>
    <r>
      <t>Conjunto de pesos de 5 kg, Classe M</t>
    </r>
    <r>
      <rPr>
        <vertAlign val="subscript"/>
        <sz val="12"/>
        <rFont val="Arial"/>
        <family val="2"/>
      </rPr>
      <t>1</t>
    </r>
  </si>
  <si>
    <r>
      <t>Conjunto de pesos de 10 kg, Classe M</t>
    </r>
    <r>
      <rPr>
        <vertAlign val="subscript"/>
        <sz val="12"/>
        <rFont val="Arial"/>
        <family val="2"/>
      </rPr>
      <t>1</t>
    </r>
  </si>
  <si>
    <r>
      <t>Conjunto de pesos de 100 kg, Classe M</t>
    </r>
    <r>
      <rPr>
        <vertAlign val="subscript"/>
        <sz val="12"/>
        <rFont val="Arial"/>
        <family val="2"/>
      </rPr>
      <t>1-2</t>
    </r>
    <r>
      <rPr>
        <sz val="12"/>
        <rFont val="Arial"/>
        <family val="2"/>
      </rPr>
      <t xml:space="preserve"> e de 200 kg e 500kg, Classe M</t>
    </r>
    <r>
      <rPr>
        <vertAlign val="subscript"/>
        <sz val="12"/>
        <rFont val="Arial"/>
        <family val="2"/>
      </rPr>
      <t>1</t>
    </r>
  </si>
  <si>
    <r>
      <t>Conjunto de pesos de 25 kg e 50 kg, Classe M</t>
    </r>
    <r>
      <rPr>
        <vertAlign val="subscript"/>
        <sz val="12"/>
        <rFont val="Arial"/>
        <family val="2"/>
      </rPr>
      <t>1</t>
    </r>
    <r>
      <rPr>
        <sz val="12"/>
        <rFont val="Arial"/>
        <family val="2"/>
      </rPr>
      <t xml:space="preserve"> e 100 kg, Classe M</t>
    </r>
    <r>
      <rPr>
        <vertAlign val="subscript"/>
        <sz val="12"/>
        <rFont val="Arial"/>
        <family val="2"/>
      </rPr>
      <t>1-2</t>
    </r>
    <r>
      <rPr>
        <sz val="12"/>
        <rFont val="Arial"/>
        <family val="2"/>
      </rPr>
      <t xml:space="preserve"> </t>
    </r>
    <r>
      <rPr>
        <sz val="11"/>
        <color theme="1"/>
        <rFont val="Arial"/>
        <family val="2"/>
        <scheme val="minor"/>
      </rPr>
      <t/>
    </r>
  </si>
  <si>
    <r>
      <t>/</t>
    </r>
    <r>
      <rPr>
        <i/>
        <sz val="10"/>
        <rFont val="Arial"/>
        <family val="2"/>
      </rPr>
      <t>Mark</t>
    </r>
  </si>
  <si>
    <r>
      <rPr>
        <sz val="10"/>
        <rFont val="Arial"/>
        <family val="2"/>
      </rPr>
      <t>/</t>
    </r>
    <r>
      <rPr>
        <i/>
        <sz val="10"/>
        <rFont val="Arial"/>
        <family val="2"/>
      </rPr>
      <t>Item</t>
    </r>
  </si>
  <si>
    <r>
      <t>/</t>
    </r>
    <r>
      <rPr>
        <i/>
        <sz val="10"/>
        <rFont val="Arial"/>
        <family val="2"/>
      </rPr>
      <t>Model</t>
    </r>
  </si>
  <si>
    <r>
      <t>/</t>
    </r>
    <r>
      <rPr>
        <i/>
        <sz val="10"/>
        <rFont val="Arial"/>
        <family val="2"/>
      </rPr>
      <t>Serial number</t>
    </r>
  </si>
  <si>
    <r>
      <t>/</t>
    </r>
    <r>
      <rPr>
        <i/>
        <sz val="10"/>
        <rFont val="Arial"/>
        <family val="2"/>
      </rPr>
      <t>Identification</t>
    </r>
  </si>
  <si>
    <t>Traceability</t>
  </si>
  <si>
    <t>Observações</t>
  </si>
  <si>
    <t>Observations</t>
  </si>
  <si>
    <r>
      <t>Date</t>
    </r>
    <r>
      <rPr>
        <b/>
        <i/>
        <sz val="10"/>
        <rFont val="Arial"/>
        <family val="2"/>
        <scheme val="minor"/>
      </rPr>
      <t xml:space="preserve"> </t>
    </r>
  </si>
  <si>
    <t>DATA</t>
  </si>
  <si>
    <t>ESTE CERTIFICADO NÃO PODE SER REPRODUZIDO PARCIALMENTE - 2 PÁGINA(S)</t>
  </si>
  <si>
    <t xml:space="preserve"> Técnico:</t>
  </si>
  <si>
    <t>Direção Técnica:</t>
  </si>
  <si>
    <t xml:space="preserve">Certificado n.º </t>
  </si>
  <si>
    <r>
      <t xml:space="preserve">Página </t>
    </r>
    <r>
      <rPr>
        <b/>
        <sz val="11"/>
        <rFont val="Arial"/>
        <family val="2"/>
        <scheme val="minor"/>
      </rPr>
      <t>2</t>
    </r>
    <r>
      <rPr>
        <sz val="11"/>
        <rFont val="Arial"/>
        <family val="2"/>
        <scheme val="minor"/>
      </rPr>
      <t xml:space="preserve"> de</t>
    </r>
    <r>
      <rPr>
        <b/>
        <sz val="11"/>
        <rFont val="Arial"/>
        <family val="2"/>
        <scheme val="minor"/>
      </rPr>
      <t xml:space="preserve"> 2</t>
    </r>
  </si>
  <si>
    <t>Certificate nr.</t>
  </si>
  <si>
    <t>Capacidade Máxima (Max):</t>
  </si>
  <si>
    <t>ENSAIO PRÉVIO</t>
  </si>
  <si>
    <t>Indicação na balança</t>
  </si>
  <si>
    <t>Indicação na Balança</t>
  </si>
  <si>
    <t>N.º de díg. apresentar na Indicação</t>
  </si>
  <si>
    <t>N.º de díg. apresentar no Peso Padrão</t>
  </si>
  <si>
    <t xml:space="preserve">Resolução da Balança (d): </t>
  </si>
  <si>
    <r>
      <t>d</t>
    </r>
    <r>
      <rPr>
        <b/>
        <vertAlign val="subscript"/>
        <sz val="12"/>
        <rFont val="Arial"/>
        <family val="2"/>
      </rPr>
      <t>T</t>
    </r>
  </si>
  <si>
    <t>ENSAIO DE EXCENTRICIDADE</t>
  </si>
  <si>
    <t>----------</t>
  </si>
  <si>
    <t>3 - Ensaio de Pesagem e Repetibilidade (n = 3 para Max &gt; 100kg e n = 5 para Max &lt; 100 kg)</t>
  </si>
  <si>
    <t>ENSAIO DE PESAGEM/ REPETIBILIDADE</t>
  </si>
  <si>
    <r>
      <rPr>
        <b/>
        <sz val="16"/>
        <rFont val="Calibri"/>
        <family val="2"/>
      </rPr>
      <t>Ѵ</t>
    </r>
    <r>
      <rPr>
        <b/>
        <sz val="11"/>
        <rFont val="Arial"/>
        <family val="2"/>
        <scheme val="minor"/>
      </rPr>
      <t>ef</t>
    </r>
  </si>
  <si>
    <r>
      <t xml:space="preserve">± </t>
    </r>
    <r>
      <rPr>
        <b/>
        <sz val="11"/>
        <rFont val="Arial"/>
        <family val="2"/>
        <scheme val="major"/>
      </rPr>
      <t>U</t>
    </r>
  </si>
  <si>
    <r>
      <t>Massas - m</t>
    </r>
    <r>
      <rPr>
        <b/>
        <vertAlign val="subscript"/>
        <sz val="12"/>
        <rFont val="Arial"/>
        <family val="2"/>
        <scheme val="minor"/>
      </rPr>
      <t xml:space="preserve">ref </t>
    </r>
    <r>
      <rPr>
        <b/>
        <sz val="12"/>
        <rFont val="Arial"/>
        <family val="2"/>
        <scheme val="minor"/>
      </rPr>
      <t xml:space="preserve"> - e Incerteza - u(ɗm</t>
    </r>
    <r>
      <rPr>
        <b/>
        <vertAlign val="subscript"/>
        <sz val="12"/>
        <rFont val="Arial"/>
        <family val="2"/>
        <scheme val="minor"/>
      </rPr>
      <t>c</t>
    </r>
    <r>
      <rPr>
        <b/>
        <sz val="12"/>
        <rFont val="Arial"/>
        <family val="2"/>
        <scheme val="minor"/>
      </rPr>
      <t>)</t>
    </r>
  </si>
  <si>
    <r>
      <t>m</t>
    </r>
    <r>
      <rPr>
        <i/>
        <vertAlign val="subscript"/>
        <sz val="12"/>
        <rFont val="Arial"/>
        <family val="2"/>
        <scheme val="minor"/>
      </rPr>
      <t>N</t>
    </r>
    <r>
      <rPr>
        <i/>
        <sz val="12"/>
        <rFont val="Arial"/>
        <family val="2"/>
        <scheme val="minor"/>
      </rPr>
      <t xml:space="preserve"> ou m</t>
    </r>
    <r>
      <rPr>
        <i/>
        <vertAlign val="subscript"/>
        <sz val="12"/>
        <rFont val="Arial"/>
        <family val="2"/>
        <scheme val="minor"/>
      </rPr>
      <t>c</t>
    </r>
    <r>
      <rPr>
        <i/>
        <sz val="12"/>
        <rFont val="Arial"/>
        <family val="2"/>
        <scheme val="minor"/>
      </rPr>
      <t xml:space="preserve"> [ g ]</t>
    </r>
  </si>
  <si>
    <r>
      <t xml:space="preserve">Cachapuz  M1 e </t>
    </r>
    <r>
      <rPr>
        <b/>
        <sz val="12"/>
        <color theme="3"/>
        <rFont val="Arial"/>
        <family val="2"/>
        <scheme val="minor"/>
      </rPr>
      <t>M1-2</t>
    </r>
    <r>
      <rPr>
        <b/>
        <sz val="12"/>
        <rFont val="Arial"/>
        <family val="2"/>
        <scheme val="minor"/>
      </rPr>
      <t xml:space="preserve"> 100kg a 1500 kg</t>
    </r>
  </si>
  <si>
    <r>
      <t xml:space="preserve">Camião grua Cachapuz </t>
    </r>
    <r>
      <rPr>
        <sz val="12"/>
        <color rgb="FFFF0000"/>
        <rFont val="Arial"/>
        <family val="2"/>
      </rPr>
      <t>e Camião e taras do cliente.</t>
    </r>
  </si>
  <si>
    <t>Capacidade Máxima (Max1):</t>
  </si>
  <si>
    <t xml:space="preserve">Resolução da Balança (d1): </t>
  </si>
  <si>
    <t>Capacidade Máxima (Max2):</t>
  </si>
  <si>
    <t xml:space="preserve">Resolução da Balança (d2): </t>
  </si>
  <si>
    <r>
      <t xml:space="preserve">Página </t>
    </r>
    <r>
      <rPr>
        <b/>
        <sz val="11"/>
        <rFont val="Arial"/>
        <family val="2"/>
        <scheme val="minor"/>
      </rPr>
      <t>1</t>
    </r>
    <r>
      <rPr>
        <sz val="11"/>
        <rFont val="Arial"/>
        <family val="2"/>
        <scheme val="minor"/>
      </rPr>
      <t xml:space="preserve"> de</t>
    </r>
    <r>
      <rPr>
        <b/>
        <sz val="11"/>
        <rFont val="Arial"/>
        <family val="2"/>
        <scheme val="minor"/>
      </rPr>
      <t xml:space="preserve"> 3</t>
    </r>
  </si>
  <si>
    <r>
      <t xml:space="preserve">Página </t>
    </r>
    <r>
      <rPr>
        <b/>
        <sz val="11"/>
        <rFont val="Arial"/>
        <family val="2"/>
        <scheme val="minor"/>
      </rPr>
      <t>2</t>
    </r>
    <r>
      <rPr>
        <sz val="11"/>
        <rFont val="Arial"/>
        <family val="2"/>
        <scheme val="minor"/>
      </rPr>
      <t xml:space="preserve"> de</t>
    </r>
    <r>
      <rPr>
        <b/>
        <sz val="11"/>
        <rFont val="Arial"/>
        <family val="2"/>
        <scheme val="minor"/>
      </rPr>
      <t xml:space="preserve"> 3</t>
    </r>
  </si>
  <si>
    <r>
      <t xml:space="preserve">Página </t>
    </r>
    <r>
      <rPr>
        <b/>
        <sz val="11"/>
        <rFont val="Arial"/>
        <family val="2"/>
        <scheme val="minor"/>
      </rPr>
      <t>3</t>
    </r>
    <r>
      <rPr>
        <sz val="11"/>
        <rFont val="Arial"/>
        <family val="2"/>
        <scheme val="minor"/>
      </rPr>
      <t xml:space="preserve"> de</t>
    </r>
    <r>
      <rPr>
        <b/>
        <sz val="11"/>
        <rFont val="Arial"/>
        <family val="2"/>
        <scheme val="minor"/>
      </rPr>
      <t xml:space="preserve"> 3</t>
    </r>
  </si>
  <si>
    <t>Ensaio com Cargas de Substituição:</t>
  </si>
  <si>
    <r>
      <t>I</t>
    </r>
    <r>
      <rPr>
        <i/>
        <sz val="14"/>
        <rFont val="Arial"/>
        <family val="2"/>
      </rPr>
      <t>(L</t>
    </r>
    <r>
      <rPr>
        <i/>
        <vertAlign val="subscript"/>
        <sz val="14"/>
        <rFont val="Arial"/>
        <family val="2"/>
      </rPr>
      <t>Sub1</t>
    </r>
    <r>
      <rPr>
        <sz val="14"/>
        <rFont val="Arial"/>
        <family val="2"/>
      </rPr>
      <t xml:space="preserve">) ≈ </t>
    </r>
    <r>
      <rPr>
        <i/>
        <sz val="14"/>
        <rFont val="Times New Roman"/>
        <family val="1"/>
      </rPr>
      <t>I</t>
    </r>
    <r>
      <rPr>
        <i/>
        <sz val="14"/>
        <rFont val="Arial"/>
        <family val="2"/>
      </rPr>
      <t>(m</t>
    </r>
    <r>
      <rPr>
        <i/>
        <vertAlign val="subscript"/>
        <sz val="14"/>
        <rFont val="Arial"/>
        <family val="2"/>
      </rPr>
      <t>ref</t>
    </r>
    <r>
      <rPr>
        <sz val="14"/>
        <rFont val="Arial"/>
        <family val="2"/>
      </rPr>
      <t>)</t>
    </r>
  </si>
  <si>
    <r>
      <t>L</t>
    </r>
    <r>
      <rPr>
        <i/>
        <vertAlign val="subscript"/>
        <sz val="14"/>
        <rFont val="Arial"/>
        <family val="2"/>
      </rPr>
      <t>sub1</t>
    </r>
    <r>
      <rPr>
        <i/>
        <sz val="14"/>
        <rFont val="Arial"/>
        <family val="2"/>
      </rPr>
      <t xml:space="preserve"> = m</t>
    </r>
    <r>
      <rPr>
        <i/>
        <vertAlign val="subscript"/>
        <sz val="14"/>
        <rFont val="Arial"/>
        <family val="2"/>
      </rPr>
      <t>ref</t>
    </r>
    <r>
      <rPr>
        <i/>
        <sz val="14"/>
        <rFont val="Arial"/>
        <family val="2"/>
      </rPr>
      <t xml:space="preserve"> + </t>
    </r>
    <r>
      <rPr>
        <i/>
        <sz val="14"/>
        <rFont val="Times New Roman"/>
        <family val="1"/>
      </rPr>
      <t>I</t>
    </r>
    <r>
      <rPr>
        <i/>
        <sz val="14"/>
        <rFont val="Arial"/>
        <family val="2"/>
      </rPr>
      <t xml:space="preserve"> (L</t>
    </r>
    <r>
      <rPr>
        <i/>
        <vertAlign val="subscript"/>
        <sz val="14"/>
        <rFont val="Arial"/>
        <family val="2"/>
      </rPr>
      <t>sub1</t>
    </r>
    <r>
      <rPr>
        <i/>
        <sz val="14"/>
        <rFont val="Arial"/>
        <family val="2"/>
      </rPr>
      <t xml:space="preserve">) – </t>
    </r>
    <r>
      <rPr>
        <i/>
        <sz val="14"/>
        <rFont val="Times New Roman"/>
        <family val="1"/>
      </rPr>
      <t>I</t>
    </r>
    <r>
      <rPr>
        <i/>
        <sz val="14"/>
        <rFont val="Arial"/>
        <family val="2"/>
      </rPr>
      <t xml:space="preserve"> (m</t>
    </r>
    <r>
      <rPr>
        <i/>
        <vertAlign val="subscript"/>
        <sz val="14"/>
        <rFont val="Arial"/>
        <family val="2"/>
      </rPr>
      <t>ref</t>
    </r>
    <r>
      <rPr>
        <i/>
        <sz val="14"/>
        <rFont val="Arial"/>
        <family val="2"/>
      </rPr>
      <t>) = m</t>
    </r>
    <r>
      <rPr>
        <i/>
        <vertAlign val="subscript"/>
        <sz val="14"/>
        <rFont val="Arial"/>
        <family val="2"/>
      </rPr>
      <t>ref</t>
    </r>
    <r>
      <rPr>
        <i/>
        <sz val="14"/>
        <rFont val="Arial"/>
        <family val="2"/>
      </rPr>
      <t xml:space="preserve"> + ∆</t>
    </r>
    <r>
      <rPr>
        <i/>
        <sz val="14"/>
        <rFont val="Times New Roman"/>
        <family val="1"/>
      </rPr>
      <t>I</t>
    </r>
    <r>
      <rPr>
        <i/>
        <vertAlign val="subscript"/>
        <sz val="14"/>
        <rFont val="Arial"/>
        <family val="2"/>
      </rPr>
      <t>1</t>
    </r>
  </si>
  <si>
    <r>
      <rPr>
        <i/>
        <sz val="14"/>
        <rFont val="Arial"/>
        <family val="2"/>
      </rPr>
      <t>L</t>
    </r>
    <r>
      <rPr>
        <i/>
        <vertAlign val="subscript"/>
        <sz val="14"/>
        <rFont val="Arial"/>
        <family val="2"/>
      </rPr>
      <t>2</t>
    </r>
    <r>
      <rPr>
        <sz val="14"/>
        <rFont val="Arial"/>
        <family val="2"/>
      </rPr>
      <t xml:space="preserve"> ≈ </t>
    </r>
    <r>
      <rPr>
        <i/>
        <sz val="14"/>
        <rFont val="Times New Roman"/>
        <family val="1"/>
      </rPr>
      <t>2</t>
    </r>
    <r>
      <rPr>
        <i/>
        <sz val="14"/>
        <rFont val="Arial"/>
        <family val="2"/>
      </rPr>
      <t>m</t>
    </r>
    <r>
      <rPr>
        <i/>
        <vertAlign val="subscript"/>
        <sz val="14"/>
        <rFont val="Arial"/>
        <family val="2"/>
      </rPr>
      <t xml:space="preserve">ref </t>
    </r>
    <r>
      <rPr>
        <sz val="14"/>
        <rFont val="Arial"/>
        <family val="2"/>
      </rPr>
      <t>+I(L</t>
    </r>
    <r>
      <rPr>
        <vertAlign val="subscript"/>
        <sz val="14"/>
        <rFont val="Arial"/>
        <family val="2"/>
      </rPr>
      <t>Sub1</t>
    </r>
    <r>
      <rPr>
        <sz val="14"/>
        <rFont val="Arial"/>
        <family val="2"/>
      </rPr>
      <t>) - I(m</t>
    </r>
    <r>
      <rPr>
        <vertAlign val="subscript"/>
        <sz val="14"/>
        <rFont val="Arial"/>
        <family val="2"/>
      </rPr>
      <t>ref</t>
    </r>
    <r>
      <rPr>
        <sz val="14"/>
        <rFont val="Arial"/>
        <family val="2"/>
      </rPr>
      <t>)</t>
    </r>
  </si>
  <si>
    <r>
      <t>Abreviaturas dos Pesos Padrão (m</t>
    </r>
    <r>
      <rPr>
        <b/>
        <vertAlign val="subscript"/>
        <sz val="12"/>
        <rFont val="Arial"/>
        <family val="2"/>
      </rPr>
      <t>N</t>
    </r>
    <r>
      <rPr>
        <b/>
        <sz val="12"/>
        <rFont val="Arial"/>
        <family val="2"/>
      </rPr>
      <t>)</t>
    </r>
  </si>
  <si>
    <r>
      <t>L</t>
    </r>
    <r>
      <rPr>
        <i/>
        <vertAlign val="subscript"/>
        <sz val="14"/>
        <rFont val="Arial"/>
        <family val="2"/>
      </rPr>
      <t>2</t>
    </r>
    <r>
      <rPr>
        <sz val="14"/>
        <rFont val="Arial"/>
        <family val="2"/>
      </rPr>
      <t xml:space="preserve"> ≈ L</t>
    </r>
    <r>
      <rPr>
        <vertAlign val="subscript"/>
        <sz val="14"/>
        <rFont val="Arial"/>
        <family val="2"/>
      </rPr>
      <t>Sub1</t>
    </r>
    <r>
      <rPr>
        <sz val="14"/>
        <rFont val="Arial"/>
        <family val="2"/>
      </rPr>
      <t xml:space="preserve"> + m</t>
    </r>
    <r>
      <rPr>
        <vertAlign val="subscript"/>
        <sz val="14"/>
        <rFont val="Arial"/>
        <family val="2"/>
      </rPr>
      <t xml:space="preserve">ref  </t>
    </r>
    <r>
      <rPr>
        <sz val="14"/>
        <rFont val="Arial"/>
        <family val="2"/>
      </rPr>
      <t>= 2 m</t>
    </r>
    <r>
      <rPr>
        <vertAlign val="subscript"/>
        <sz val="14"/>
        <rFont val="Arial"/>
        <family val="2"/>
      </rPr>
      <t>ref</t>
    </r>
    <r>
      <rPr>
        <sz val="14"/>
        <rFont val="Arial"/>
        <family val="2"/>
      </rPr>
      <t xml:space="preserve"> + ∆I</t>
    </r>
    <r>
      <rPr>
        <vertAlign val="subscript"/>
        <sz val="14"/>
        <rFont val="Arial"/>
        <family val="2"/>
      </rPr>
      <t>1</t>
    </r>
  </si>
  <si>
    <r>
      <t>L</t>
    </r>
    <r>
      <rPr>
        <i/>
        <vertAlign val="subscript"/>
        <sz val="14"/>
        <rFont val="Arial"/>
        <family val="2"/>
      </rPr>
      <t xml:space="preserve">3 </t>
    </r>
    <r>
      <rPr>
        <sz val="14"/>
        <rFont val="Arial"/>
        <family val="2"/>
      </rPr>
      <t>≈ 3m</t>
    </r>
    <r>
      <rPr>
        <vertAlign val="subscript"/>
        <sz val="14"/>
        <rFont val="Arial"/>
        <family val="2"/>
      </rPr>
      <t>ref</t>
    </r>
    <r>
      <rPr>
        <sz val="14"/>
        <rFont val="Arial"/>
        <family val="2"/>
      </rPr>
      <t xml:space="preserve"> + ∆I</t>
    </r>
    <r>
      <rPr>
        <vertAlign val="subscript"/>
        <sz val="14"/>
        <rFont val="Arial"/>
        <family val="2"/>
      </rPr>
      <t>1</t>
    </r>
    <r>
      <rPr>
        <sz val="14"/>
        <rFont val="Arial"/>
        <family val="2"/>
      </rPr>
      <t xml:space="preserve"> +  ∆I</t>
    </r>
    <r>
      <rPr>
        <vertAlign val="subscript"/>
        <sz val="14"/>
        <rFont val="Arial"/>
        <family val="2"/>
      </rPr>
      <t>2</t>
    </r>
    <r>
      <rPr>
        <sz val="14"/>
        <rFont val="Arial"/>
        <family val="2"/>
      </rPr>
      <t xml:space="preserve"> </t>
    </r>
  </si>
  <si>
    <t>I(Lsub1)=I (L1)</t>
  </si>
  <si>
    <t>I(Lsub2)=I (L2)</t>
  </si>
  <si>
    <t>I(Lsub3)=I (L3)</t>
  </si>
  <si>
    <r>
      <t>m</t>
    </r>
    <r>
      <rPr>
        <vertAlign val="subscript"/>
        <sz val="12"/>
        <rFont val="Arial"/>
        <family val="2"/>
      </rPr>
      <t>ref,1</t>
    </r>
    <r>
      <rPr>
        <sz val="12"/>
        <rFont val="Arial"/>
        <family val="2"/>
      </rPr>
      <t xml:space="preserve"> &lt; m</t>
    </r>
    <r>
      <rPr>
        <vertAlign val="subscript"/>
        <sz val="12"/>
        <rFont val="Arial"/>
        <family val="2"/>
      </rPr>
      <t>ref,2</t>
    </r>
    <r>
      <rPr>
        <sz val="12"/>
        <rFont val="Arial"/>
        <family val="2"/>
      </rPr>
      <t xml:space="preserve"> &lt; … &lt; m</t>
    </r>
    <r>
      <rPr>
        <vertAlign val="subscript"/>
        <sz val="12"/>
        <rFont val="Arial"/>
        <family val="2"/>
      </rPr>
      <t>ref,N</t>
    </r>
    <r>
      <rPr>
        <sz val="12"/>
        <rFont val="Arial"/>
        <family val="2"/>
      </rPr>
      <t xml:space="preserve"> = m</t>
    </r>
    <r>
      <rPr>
        <vertAlign val="subscript"/>
        <sz val="12"/>
        <rFont val="Arial"/>
        <family val="2"/>
      </rPr>
      <t>ref</t>
    </r>
    <r>
      <rPr>
        <sz val="12"/>
        <rFont val="Arial"/>
        <family val="2"/>
      </rPr>
      <t xml:space="preserve"> = </t>
    </r>
    <r>
      <rPr>
        <i/>
        <sz val="12"/>
        <rFont val="Arial"/>
        <family val="2"/>
      </rPr>
      <t>L</t>
    </r>
    <r>
      <rPr>
        <i/>
        <vertAlign val="subscript"/>
        <sz val="12"/>
        <rFont val="Arial"/>
        <family val="2"/>
      </rPr>
      <t>T1</t>
    </r>
    <r>
      <rPr>
        <sz val="12"/>
        <rFont val="Arial"/>
        <family val="2"/>
      </rPr>
      <t xml:space="preserve"> </t>
    </r>
  </si>
  <si>
    <t>O IPAC é um dos signatários do Acordo de Reconhecimento Mútuo (MLA) da European Cooperation for Accreditation (EA) e da International Laboratory Accreditation Cooperation (ILAC) para a calibração.</t>
  </si>
  <si>
    <t>U</t>
  </si>
  <si>
    <t>Cargas de Substituição</t>
  </si>
  <si>
    <r>
      <t>L</t>
    </r>
    <r>
      <rPr>
        <b/>
        <i/>
        <vertAlign val="subscript"/>
        <sz val="12"/>
        <rFont val="Arial"/>
        <family val="2"/>
      </rPr>
      <t>sub</t>
    </r>
  </si>
  <si>
    <r>
      <t>m</t>
    </r>
    <r>
      <rPr>
        <b/>
        <i/>
        <vertAlign val="subscript"/>
        <sz val="12"/>
        <rFont val="Arial"/>
        <family val="2"/>
      </rPr>
      <t>c</t>
    </r>
  </si>
  <si>
    <r>
      <t>Indicação (</t>
    </r>
    <r>
      <rPr>
        <b/>
        <i/>
        <sz val="12"/>
        <rFont val="Times New Roman"/>
        <family val="1"/>
      </rPr>
      <t>I</t>
    </r>
    <r>
      <rPr>
        <i/>
        <vertAlign val="subscript"/>
        <sz val="12"/>
        <rFont val="Arial"/>
        <family val="2"/>
      </rPr>
      <t>L</t>
    </r>
    <r>
      <rPr>
        <b/>
        <sz val="12"/>
        <rFont val="Arial"/>
        <family val="2"/>
      </rPr>
      <t>)</t>
    </r>
  </si>
  <si>
    <t>Total Carga Teste</t>
  </si>
  <si>
    <t>Sem Carga</t>
  </si>
  <si>
    <r>
      <t>u</t>
    </r>
    <r>
      <rPr>
        <b/>
        <i/>
        <vertAlign val="subscript"/>
        <sz val="12"/>
        <color indexed="8"/>
        <rFont val="Arial"/>
        <family val="2"/>
        <scheme val="major"/>
      </rPr>
      <t>i</t>
    </r>
    <r>
      <rPr>
        <b/>
        <i/>
        <vertAlign val="superscript"/>
        <sz val="12"/>
        <color indexed="8"/>
        <rFont val="Arial"/>
        <family val="2"/>
        <scheme val="major"/>
      </rPr>
      <t>2</t>
    </r>
    <r>
      <rPr>
        <b/>
        <i/>
        <sz val="12"/>
        <color indexed="8"/>
        <rFont val="Arial"/>
        <family val="2"/>
        <scheme val="major"/>
      </rPr>
      <t>(y)</t>
    </r>
  </si>
  <si>
    <r>
      <t>u</t>
    </r>
    <r>
      <rPr>
        <b/>
        <i/>
        <vertAlign val="subscript"/>
        <sz val="12"/>
        <color indexed="8"/>
        <rFont val="Trebuchet MS"/>
        <family val="2"/>
      </rPr>
      <t>i</t>
    </r>
    <r>
      <rPr>
        <b/>
        <i/>
        <vertAlign val="superscript"/>
        <sz val="12"/>
        <color indexed="8"/>
        <rFont val="Trebuchet MS"/>
        <family val="2"/>
      </rPr>
      <t>2</t>
    </r>
    <r>
      <rPr>
        <b/>
        <i/>
        <sz val="12"/>
        <color indexed="8"/>
        <rFont val="Trebuchet MS"/>
        <family val="2"/>
      </rPr>
      <t>(y)</t>
    </r>
  </si>
  <si>
    <t>u(DigL)</t>
  </si>
  <si>
    <t>u(Dig0)</t>
  </si>
  <si>
    <r>
      <t>L</t>
    </r>
    <r>
      <rPr>
        <b/>
        <vertAlign val="subscript"/>
        <sz val="11"/>
        <rFont val="Arial"/>
        <family val="2"/>
        <scheme val="major"/>
      </rPr>
      <t>T</t>
    </r>
  </si>
  <si>
    <r>
      <t xml:space="preserve">Página </t>
    </r>
    <r>
      <rPr>
        <b/>
        <sz val="11"/>
        <rFont val="Arial"/>
        <family val="2"/>
        <scheme val="minor"/>
      </rPr>
      <t>1</t>
    </r>
    <r>
      <rPr>
        <sz val="11"/>
        <rFont val="Arial"/>
        <family val="2"/>
        <scheme val="minor"/>
      </rPr>
      <t xml:space="preserve"> de</t>
    </r>
    <r>
      <rPr>
        <b/>
        <sz val="11"/>
        <rFont val="Arial"/>
        <family val="2"/>
        <scheme val="minor"/>
      </rPr>
      <t xml:space="preserve"> 4</t>
    </r>
  </si>
  <si>
    <r>
      <t>Max</t>
    </r>
    <r>
      <rPr>
        <b/>
        <vertAlign val="subscript"/>
        <sz val="12"/>
        <rFont val="Bookman Old Style"/>
        <family val="1"/>
      </rPr>
      <t>2</t>
    </r>
    <r>
      <rPr>
        <b/>
        <sz val="12"/>
        <rFont val="Bookman Old Style"/>
        <family val="1"/>
      </rPr>
      <t>:</t>
    </r>
  </si>
  <si>
    <r>
      <t>d</t>
    </r>
    <r>
      <rPr>
        <b/>
        <vertAlign val="subscript"/>
        <sz val="12"/>
        <rFont val="Bookman Old Style"/>
        <family val="1"/>
      </rPr>
      <t>2</t>
    </r>
    <r>
      <rPr>
        <b/>
        <sz val="12"/>
        <rFont val="Bookman Old Style"/>
        <family val="1"/>
      </rPr>
      <t>:</t>
    </r>
  </si>
  <si>
    <r>
      <t>Max</t>
    </r>
    <r>
      <rPr>
        <b/>
        <vertAlign val="subscript"/>
        <sz val="12"/>
        <rFont val="Bookman Old Style"/>
        <family val="1"/>
      </rPr>
      <t>3</t>
    </r>
    <r>
      <rPr>
        <b/>
        <sz val="12"/>
        <rFont val="Bookman Old Style"/>
        <family val="1"/>
      </rPr>
      <t>:</t>
    </r>
  </si>
  <si>
    <r>
      <t>d</t>
    </r>
    <r>
      <rPr>
        <b/>
        <vertAlign val="subscript"/>
        <sz val="12"/>
        <rFont val="Bookman Old Style"/>
        <family val="1"/>
      </rPr>
      <t>3</t>
    </r>
    <r>
      <rPr>
        <b/>
        <sz val="12"/>
        <rFont val="Bookman Old Style"/>
        <family val="1"/>
      </rPr>
      <t>:</t>
    </r>
  </si>
  <si>
    <t>CALIBRAÇÃO DE BALANÇAS - 3º ESCALÃO/ INTERVALO</t>
  </si>
  <si>
    <t>CALIBRAÇÃO DE BALANÇAS - 2.º ESCALÃO/INTERVALO</t>
  </si>
  <si>
    <r>
      <t>Capacidade Máxima (Max</t>
    </r>
    <r>
      <rPr>
        <b/>
        <i/>
        <vertAlign val="subscript"/>
        <sz val="11"/>
        <rFont val="Arial"/>
        <family val="2"/>
        <scheme val="major"/>
      </rPr>
      <t>3</t>
    </r>
    <r>
      <rPr>
        <b/>
        <i/>
        <sz val="11"/>
        <rFont val="Arial"/>
        <family val="2"/>
        <scheme val="major"/>
      </rPr>
      <t>):</t>
    </r>
  </si>
  <si>
    <r>
      <t>Resolução da Balança (d</t>
    </r>
    <r>
      <rPr>
        <b/>
        <i/>
        <vertAlign val="subscript"/>
        <sz val="11"/>
        <rFont val="Arial"/>
        <family val="2"/>
        <scheme val="major"/>
      </rPr>
      <t>3</t>
    </r>
    <r>
      <rPr>
        <b/>
        <i/>
        <sz val="11"/>
        <rFont val="Arial"/>
        <family val="2"/>
        <scheme val="major"/>
      </rPr>
      <t xml:space="preserve">): </t>
    </r>
  </si>
  <si>
    <r>
      <t>Capacidade Máxima (Max</t>
    </r>
    <r>
      <rPr>
        <b/>
        <i/>
        <vertAlign val="subscript"/>
        <sz val="11"/>
        <rFont val="Arial"/>
        <family val="2"/>
        <scheme val="major"/>
      </rPr>
      <t>2</t>
    </r>
    <r>
      <rPr>
        <b/>
        <i/>
        <sz val="11"/>
        <rFont val="Arial"/>
        <family val="2"/>
        <scheme val="major"/>
      </rPr>
      <t>):</t>
    </r>
  </si>
  <si>
    <r>
      <t>Resolução da Balança (d</t>
    </r>
    <r>
      <rPr>
        <b/>
        <i/>
        <vertAlign val="subscript"/>
        <sz val="11"/>
        <rFont val="Arial"/>
        <family val="2"/>
        <scheme val="major"/>
      </rPr>
      <t>2</t>
    </r>
    <r>
      <rPr>
        <b/>
        <i/>
        <sz val="11"/>
        <rFont val="Arial"/>
        <family val="2"/>
        <scheme val="major"/>
      </rPr>
      <t xml:space="preserve">): </t>
    </r>
  </si>
  <si>
    <t>ESTE CERTIFICADO NÃO PODE SER REPRODUZIDO PARCIALMENTE - 3 PÁGINA(S)</t>
  </si>
  <si>
    <r>
      <t xml:space="preserve">Página </t>
    </r>
    <r>
      <rPr>
        <b/>
        <sz val="11"/>
        <rFont val="Arial"/>
        <family val="2"/>
        <scheme val="minor"/>
      </rPr>
      <t>2</t>
    </r>
    <r>
      <rPr>
        <sz val="11"/>
        <rFont val="Arial"/>
        <family val="2"/>
        <scheme val="minor"/>
      </rPr>
      <t xml:space="preserve"> de</t>
    </r>
    <r>
      <rPr>
        <b/>
        <sz val="11"/>
        <rFont val="Arial"/>
        <family val="2"/>
        <scheme val="minor"/>
      </rPr>
      <t xml:space="preserve"> 4</t>
    </r>
  </si>
  <si>
    <t>ESTE CERTIFICADO NÃO PODE SER REPRODUZIDO PARCIALMENTE - 4 PÁGINA(S)</t>
  </si>
  <si>
    <r>
      <t xml:space="preserve">Página </t>
    </r>
    <r>
      <rPr>
        <b/>
        <sz val="11"/>
        <rFont val="Arial"/>
        <family val="2"/>
        <scheme val="minor"/>
      </rPr>
      <t>3</t>
    </r>
    <r>
      <rPr>
        <sz val="11"/>
        <rFont val="Arial"/>
        <family val="2"/>
        <scheme val="minor"/>
      </rPr>
      <t xml:space="preserve"> de</t>
    </r>
    <r>
      <rPr>
        <b/>
        <sz val="11"/>
        <rFont val="Arial"/>
        <family val="2"/>
        <scheme val="minor"/>
      </rPr>
      <t xml:space="preserve"> 4</t>
    </r>
  </si>
  <si>
    <r>
      <t xml:space="preserve">Página </t>
    </r>
    <r>
      <rPr>
        <b/>
        <sz val="11"/>
        <rFont val="Arial"/>
        <family val="2"/>
        <scheme val="minor"/>
      </rPr>
      <t>4</t>
    </r>
    <r>
      <rPr>
        <sz val="11"/>
        <rFont val="Arial"/>
        <family val="2"/>
        <scheme val="minor"/>
      </rPr>
      <t xml:space="preserve"> de</t>
    </r>
    <r>
      <rPr>
        <b/>
        <sz val="11"/>
        <rFont val="Arial"/>
        <family val="2"/>
        <scheme val="minor"/>
      </rPr>
      <t xml:space="preserve"> 4</t>
    </r>
  </si>
  <si>
    <t>Diagrama Esquemático de Localização da Balança de Quadrante:</t>
  </si>
  <si>
    <t>Schematic Diagram of Quadrant Weighing Scale Location:</t>
  </si>
  <si>
    <t>cm</t>
  </si>
  <si>
    <t>A incerteza expandida de medição apresentada, é indicada como a incerteza padrão da medição, multiplicada por um fator de cobertura "k" tal, que a probabilidade de cobertura corresponde a aproximadamente 95%.</t>
  </si>
  <si>
    <r>
      <t>Calibração com rastreabilidade ao Sistema Internacional de Unidades (</t>
    </r>
    <r>
      <rPr>
        <i/>
        <sz val="11"/>
        <rFont val="Arial"/>
        <family val="2"/>
      </rPr>
      <t>SI</t>
    </r>
    <r>
      <rPr>
        <sz val="11"/>
        <rFont val="Arial"/>
        <family val="2"/>
      </rPr>
      <t>) por intermédio do(s) seguinte(s) peso(s) padrão:</t>
    </r>
  </si>
  <si>
    <t>u(T)</t>
  </si>
  <si>
    <t>M50</t>
  </si>
  <si>
    <t>M20</t>
  </si>
  <si>
    <t>M10</t>
  </si>
  <si>
    <t>M5</t>
  </si>
  <si>
    <t>M2</t>
  </si>
  <si>
    <t>M500m</t>
  </si>
  <si>
    <t>M200m</t>
  </si>
  <si>
    <t>M100m</t>
  </si>
  <si>
    <t>M50*</t>
  </si>
  <si>
    <t>M20*</t>
  </si>
  <si>
    <t>M10*</t>
  </si>
  <si>
    <t>M5*</t>
  </si>
  <si>
    <t>M2*</t>
  </si>
  <si>
    <t>M1*</t>
  </si>
  <si>
    <t>M500m*</t>
  </si>
  <si>
    <t>M200m*</t>
  </si>
  <si>
    <t>M100m*</t>
  </si>
  <si>
    <t>Zwiebel M1 1kg - 5kg</t>
  </si>
  <si>
    <t>M1m</t>
  </si>
  <si>
    <t>M2m</t>
  </si>
  <si>
    <t>M2mº</t>
  </si>
  <si>
    <t>M5m</t>
  </si>
  <si>
    <t>M10m</t>
  </si>
  <si>
    <t>M20m</t>
  </si>
  <si>
    <t>M20mº</t>
  </si>
  <si>
    <t>M50m</t>
  </si>
  <si>
    <t>M200mº</t>
  </si>
  <si>
    <t>M2º</t>
  </si>
  <si>
    <t>M20º</t>
  </si>
  <si>
    <t>M100</t>
  </si>
  <si>
    <t>M200</t>
  </si>
  <si>
    <t>M200º</t>
  </si>
  <si>
    <t>M500</t>
  </si>
  <si>
    <t>M1k</t>
  </si>
  <si>
    <t>M2k</t>
  </si>
  <si>
    <t>M2kº</t>
  </si>
  <si>
    <t>M5k</t>
  </si>
  <si>
    <r>
      <t>Tol (OIML)</t>
    </r>
    <r>
      <rPr>
        <i/>
        <sz val="12"/>
        <rFont val="Arial"/>
        <family val="2"/>
        <scheme val="minor"/>
      </rPr>
      <t xml:space="preserve"> [± g]</t>
    </r>
  </si>
  <si>
    <t>LabWeigh</t>
  </si>
  <si>
    <t>by Cachapuz Bilanciai Group</t>
  </si>
  <si>
    <t>713</t>
  </si>
  <si>
    <t>714</t>
  </si>
  <si>
    <t>715</t>
  </si>
  <si>
    <t>717</t>
  </si>
  <si>
    <t>Zwiebel E2 1mg - 1kg</t>
  </si>
  <si>
    <t xml:space="preserve"> Gibertini F1 1mg - 5kg</t>
  </si>
  <si>
    <t>1mg</t>
  </si>
  <si>
    <t>2mg</t>
  </si>
  <si>
    <t>2mgº</t>
  </si>
  <si>
    <t>5mg</t>
  </si>
  <si>
    <t>10mg</t>
  </si>
  <si>
    <t>20mg</t>
  </si>
  <si>
    <t>20mgº</t>
  </si>
  <si>
    <t>50mg</t>
  </si>
  <si>
    <t>100mg</t>
  </si>
  <si>
    <t>200mg</t>
  </si>
  <si>
    <t>200mgº</t>
  </si>
  <si>
    <t>500mg</t>
  </si>
  <si>
    <t>1g</t>
  </si>
  <si>
    <t>2g</t>
  </si>
  <si>
    <t>2gº</t>
  </si>
  <si>
    <t>5g</t>
  </si>
  <si>
    <t>10g</t>
  </si>
  <si>
    <t>20g</t>
  </si>
  <si>
    <t>20gº</t>
  </si>
  <si>
    <t>50g</t>
  </si>
  <si>
    <t>100g</t>
  </si>
  <si>
    <t>200g</t>
  </si>
  <si>
    <t>200gº</t>
  </si>
  <si>
    <t>500g</t>
  </si>
  <si>
    <t>1000g</t>
  </si>
  <si>
    <t>2000g</t>
  </si>
  <si>
    <t>2000gº</t>
  </si>
  <si>
    <t>5000g</t>
  </si>
  <si>
    <t>Emanuel Rodrigues</t>
  </si>
  <si>
    <t>Domingos Gomes</t>
  </si>
  <si>
    <t>Domingos Barroso</t>
  </si>
  <si>
    <r>
      <t>Conjunto de pesos 1 mg a 1 kg, Classe E</t>
    </r>
    <r>
      <rPr>
        <vertAlign val="subscript"/>
        <sz val="12"/>
        <rFont val="Arial"/>
        <family val="2"/>
      </rPr>
      <t>2</t>
    </r>
  </si>
  <si>
    <r>
      <t>Conjunto de pesos 1 mg a 5 kg, Classe F</t>
    </r>
    <r>
      <rPr>
        <vertAlign val="subscript"/>
        <sz val="12"/>
        <rFont val="Arial"/>
        <family val="2"/>
      </rPr>
      <t>1</t>
    </r>
  </si>
  <si>
    <r>
      <t>Conjunto de peso 10 kg e 20 kg, Classe F</t>
    </r>
    <r>
      <rPr>
        <vertAlign val="subscript"/>
        <sz val="12"/>
        <rFont val="Arial"/>
        <family val="2"/>
      </rPr>
      <t>1</t>
    </r>
  </si>
  <si>
    <t>Conjunto de pesos de 1 mg a 5 kg, Classe M1</t>
  </si>
  <si>
    <t>TAP</t>
  </si>
  <si>
    <t>LEM</t>
  </si>
  <si>
    <t>534, 536, 542, 548 a 552, 663, 681, 682  e 708</t>
  </si>
  <si>
    <t>Erro Rep:</t>
  </si>
  <si>
    <t>Ref.ª:</t>
  </si>
  <si>
    <t>Peso de ajuste</t>
  </si>
  <si>
    <t>Interno da balança</t>
  </si>
  <si>
    <t>Externo do cliente</t>
  </si>
  <si>
    <t>Externo do laboratório</t>
  </si>
  <si>
    <t>Carga de Ajuste/ Peso Padrão:</t>
  </si>
  <si>
    <t>1 mg ≤ M ≤ 5 mg</t>
  </si>
  <si>
    <t>5 mg &lt; M ≤ 20 mg</t>
  </si>
  <si>
    <t>(0,02% x M + 0,0047) mg</t>
  </si>
  <si>
    <t>20 mg &lt; M ≤ 1000 mg</t>
  </si>
  <si>
    <r>
      <t>(12x10</t>
    </r>
    <r>
      <rPr>
        <vertAlign val="superscript"/>
        <sz val="10"/>
        <rFont val="Arial"/>
        <family val="2"/>
      </rPr>
      <t>-6</t>
    </r>
    <r>
      <rPr>
        <sz val="10"/>
        <rFont val="Arial"/>
        <family val="2"/>
      </rPr>
      <t xml:space="preserve"> x M + 0,015) mg</t>
    </r>
  </si>
  <si>
    <t>1 g &lt; M ≤ 20 g</t>
  </si>
  <si>
    <r>
      <t>(3x10</t>
    </r>
    <r>
      <rPr>
        <vertAlign val="superscript"/>
        <sz val="10"/>
        <rFont val="Arial"/>
        <family val="2"/>
      </rPr>
      <t>-6</t>
    </r>
    <r>
      <rPr>
        <sz val="10"/>
        <rFont val="Arial"/>
        <family val="2"/>
      </rPr>
      <t xml:space="preserve"> x M + 0,03) mg</t>
    </r>
  </si>
  <si>
    <t>20 g &lt; M ≤ 1000 g</t>
  </si>
  <si>
    <t>0,00032% x M</t>
  </si>
  <si>
    <t>1 kg &lt; M ≤ 40 kg</t>
  </si>
  <si>
    <t>0,00050% x M</t>
  </si>
  <si>
    <t>40 kg &lt; M ≤ 900 kg</t>
  </si>
  <si>
    <t xml:space="preserve">0,0042% x M </t>
  </si>
  <si>
    <t>900 kg &lt; M ≤ 1000 kg</t>
  </si>
  <si>
    <t xml:space="preserve">0,053 kg </t>
  </si>
  <si>
    <t>1000 kg &lt; M ≤ 4000 kg</t>
  </si>
  <si>
    <t>0,0045% x M</t>
  </si>
  <si>
    <t>4000 kg &lt; M ≤ 20000 kg</t>
  </si>
  <si>
    <t>0,0042% x M</t>
  </si>
  <si>
    <t>20000 kg &lt; M ≤ 22000 kg</t>
  </si>
  <si>
    <t>1,1 kg</t>
  </si>
  <si>
    <t>22000 kg &lt; M ≤ 32000 kg</t>
  </si>
  <si>
    <t>1,2 kg</t>
  </si>
  <si>
    <t>32000 kg &lt; M ≤ 37000 kg</t>
  </si>
  <si>
    <t>1,3 kg</t>
  </si>
  <si>
    <t>37000 kg &lt; M ≤ 40000 kg</t>
  </si>
  <si>
    <t>1,4 kg</t>
  </si>
  <si>
    <t>40000 kg &lt; M ≤ 54000 kg</t>
  </si>
  <si>
    <t>1,8 kg</t>
  </si>
  <si>
    <t>54000 kg &lt; M ≤ 60000 kg</t>
  </si>
  <si>
    <t>1,9 kg</t>
  </si>
  <si>
    <t>60000 kg &lt; M ≤ 69000 kg</t>
  </si>
  <si>
    <t>2,5 kg</t>
  </si>
  <si>
    <t>69000 kg &lt; M ≤ 80000 kg</t>
  </si>
  <si>
    <t>2,6 kg</t>
  </si>
  <si>
    <t>MI (g)</t>
  </si>
  <si>
    <t>OK?</t>
  </si>
  <si>
    <t>N.º</t>
  </si>
  <si>
    <t>Gama</t>
  </si>
  <si>
    <t>Ponto calibração</t>
  </si>
  <si>
    <t>Controlo da Incerteza maior ou igual à Melhor Incerteza</t>
  </si>
  <si>
    <t>MI=</t>
  </si>
  <si>
    <t>Resultado U =</t>
  </si>
  <si>
    <t>U =</t>
  </si>
  <si>
    <t>Ou no ponto:</t>
  </si>
  <si>
    <t>Ou Repetibilidade com tara (&gt; 100 kg):</t>
  </si>
  <si>
    <t>CATEGORIA 0</t>
  </si>
  <si>
    <t>CATEGORIA 1</t>
  </si>
  <si>
    <t>Pedido de Acreditação</t>
  </si>
  <si>
    <t xml:space="preserve">Resolução ≥ </t>
  </si>
  <si>
    <t>M. Incerteza</t>
  </si>
  <si>
    <t>≤ M ≤</t>
  </si>
  <si>
    <t>0,0001 mg</t>
  </si>
  <si>
    <t>±  0,0051 mg</t>
  </si>
  <si>
    <t>&lt; M ≤</t>
  </si>
  <si>
    <t>± (0,02% x M + 0,0048) mg</t>
  </si>
  <si>
    <t xml:space="preserve"> &lt; M ≤</t>
  </si>
  <si>
    <t>± (0,011%*M + 0,0068) mg</t>
  </si>
  <si>
    <t>± (0,012%*M) mg</t>
  </si>
  <si>
    <t>± (0,012%*M) g</t>
  </si>
  <si>
    <t>0,1 mg</t>
  </si>
  <si>
    <t>100 mg</t>
  </si>
  <si>
    <t>± (0,013%*M) kg</t>
  </si>
  <si>
    <t>0,05 kg</t>
  </si>
  <si>
    <t>1 kg</t>
  </si>
  <si>
    <t>± 3,0 kg</t>
  </si>
  <si>
    <t>± 3,1 kg</t>
  </si>
  <si>
    <t>± (0,011%*M + 0,1) kg</t>
  </si>
  <si>
    <t>± (0,01%*M + 0,1) kg</t>
  </si>
  <si>
    <t>± (0,0098%*M) kg</t>
  </si>
  <si>
    <t>0,0050 mg</t>
  </si>
  <si>
    <t>20 mg &lt; M ≤ 500 mg</t>
  </si>
  <si>
    <t>0,5 g &lt; M ≤ 20 g</t>
  </si>
  <si>
    <t>0,0051 mg</t>
  </si>
  <si>
    <t>(0,02% x M + 0,0048) mg</t>
  </si>
  <si>
    <t>(0,011%*M + 0,0068) mg</t>
  </si>
  <si>
    <t>(0,012%*M) mg</t>
  </si>
  <si>
    <t>(0,012%*M) g</t>
  </si>
  <si>
    <t>40 kg &lt; M ≤ 1000 kg</t>
  </si>
  <si>
    <t>(0,013%*M) kg</t>
  </si>
  <si>
    <t>1000 kg &lt; M ≤ 20000 kg</t>
  </si>
  <si>
    <t>20000 kg &lt; M ≤ 23000 kg</t>
  </si>
  <si>
    <t xml:space="preserve"> 3,0 kg</t>
  </si>
  <si>
    <t xml:space="preserve"> 3,1 kg</t>
  </si>
  <si>
    <t>(0,011%*M + 0,1) kg</t>
  </si>
  <si>
    <t>(0,01%*M + 0,1) kg</t>
  </si>
  <si>
    <t>23000 kg &lt; M ≤ 27000 kg</t>
  </si>
  <si>
    <t>27000 kg &lt; M ≤ 31000 kg</t>
  </si>
  <si>
    <t>31000 kg &lt; M ≤ 36000 kg</t>
  </si>
  <si>
    <t>36000 kg &lt; M ≤ 40000 kg</t>
  </si>
  <si>
    <t>(0,0098%*M) kg</t>
  </si>
  <si>
    <t>Registo de alterações e motivo</t>
  </si>
  <si>
    <t>Alterações:</t>
  </si>
  <si>
    <t>Motivo:</t>
  </si>
  <si>
    <t>código inserido errado.</t>
  </si>
  <si>
    <t>correção das massas utilizadas</t>
  </si>
  <si>
    <t>FORA DE USO</t>
  </si>
  <si>
    <t>José Vilaça</t>
  </si>
  <si>
    <t>Pedro Carvalho</t>
  </si>
  <si>
    <t>MI (g)=</t>
  </si>
  <si>
    <t>U (g) =</t>
  </si>
  <si>
    <t>Visor</t>
  </si>
  <si>
    <t>Procedimento</t>
  </si>
  <si>
    <r>
      <t>Indicação (</t>
    </r>
    <r>
      <rPr>
        <b/>
        <i/>
        <sz val="11"/>
        <color rgb="FF0070C0"/>
        <rFont val="Times New Roman"/>
        <family val="1"/>
      </rPr>
      <t>I</t>
    </r>
    <r>
      <rPr>
        <b/>
        <i/>
        <vertAlign val="subscript"/>
        <sz val="11"/>
        <color rgb="FF0070C0"/>
        <rFont val="Arial"/>
        <family val="2"/>
      </rPr>
      <t>0'</t>
    </r>
    <r>
      <rPr>
        <b/>
        <sz val="11"/>
        <color rgb="FF0070C0"/>
        <rFont val="Arial"/>
        <family val="2"/>
      </rPr>
      <t>)</t>
    </r>
  </si>
  <si>
    <t>PT 05 01, Rev.4</t>
  </si>
  <si>
    <t>Vitor Rodrigues</t>
  </si>
  <si>
    <t>Tiago Veiga</t>
  </si>
  <si>
    <t>João Lopes</t>
  </si>
  <si>
    <t xml:space="preserve"> Inicial</t>
  </si>
  <si>
    <t>Registo de Cargas de substituição</t>
  </si>
  <si>
    <t>Cargas:</t>
  </si>
  <si>
    <t>ex.: Camião grua Cachapuz e Camião e taras do cliente.</t>
  </si>
  <si>
    <t>CALIBRAÇÃO DE BALANÇAS - Revisão de 07-09-2022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</si>
</sst>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-* #,##0.00\ _€_-;\-* #,##0.00\ _€_-;_-* &quot;-&quot;??\ _€_-;_-@_-"/>
    <numFmt numFmtId="165" formatCode="0.0000000"/>
    <numFmt numFmtId="166" formatCode="0.00000000000"/>
    <numFmt numFmtId="167" formatCode="0.000"/>
    <numFmt numFmtId="168" formatCode="#,##0.0"/>
    <numFmt numFmtId="169" formatCode="0.0000"/>
    <numFmt numFmtId="170" formatCode="0.0"/>
    <numFmt numFmtId="171" formatCode="#,##0.0000"/>
    <numFmt numFmtId="172" formatCode="0.000000"/>
    <numFmt numFmtId="173" formatCode="0.00000"/>
  </numFmts>
  <fonts count="161">
    <font>
      <sz val="10"/>
      <name val="Arial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name val="Arial"/>
      <family val="2"/>
    </font>
    <font>
      <b/>
      <sz val="36"/>
      <name val="Comic Sans MS"/>
      <family val="4"/>
    </font>
    <font>
      <sz val="12"/>
      <name val="Book Antiqua"/>
      <family val="1"/>
    </font>
    <font>
      <b/>
      <sz val="12"/>
      <name val="Book Antiqua"/>
      <family val="1"/>
    </font>
    <font>
      <sz val="10"/>
      <name val="Arial"/>
      <family val="2"/>
    </font>
    <font>
      <b/>
      <sz val="14"/>
      <name val="Bookman Old Style"/>
      <family val="1"/>
    </font>
    <font>
      <b/>
      <sz val="12"/>
      <name val="Bookman Old Style"/>
      <family val="1"/>
    </font>
    <font>
      <sz val="12"/>
      <name val="Bookman Old Style"/>
      <family val="1"/>
    </font>
    <font>
      <sz val="14"/>
      <name val="Bookman Old Style"/>
      <family val="1"/>
    </font>
    <font>
      <sz val="11"/>
      <name val="Bookman Old Style"/>
      <family val="1"/>
    </font>
    <font>
      <b/>
      <sz val="10"/>
      <name val="Bookman Old Style"/>
      <family val="1"/>
    </font>
    <font>
      <sz val="10"/>
      <name val="Bookman Old Style"/>
      <family val="1"/>
    </font>
    <font>
      <sz val="12"/>
      <name val="Arial"/>
      <family val="2"/>
    </font>
    <font>
      <b/>
      <sz val="11"/>
      <name val="Bookman Old Style"/>
      <family val="1"/>
    </font>
    <font>
      <b/>
      <sz val="12"/>
      <name val="Arial"/>
      <family val="2"/>
    </font>
    <font>
      <b/>
      <sz val="12"/>
      <color indexed="81"/>
      <name val="Tahoma"/>
      <family val="2"/>
    </font>
    <font>
      <b/>
      <sz val="11"/>
      <color indexed="81"/>
      <name val="Tahoma"/>
      <family val="2"/>
    </font>
    <font>
      <b/>
      <sz val="10"/>
      <name val="Arial"/>
      <family val="2"/>
    </font>
    <font>
      <sz val="12"/>
      <name val="Albertus Medium"/>
      <family val="2"/>
    </font>
    <font>
      <sz val="10"/>
      <name val="Albertus Medium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12"/>
      <color indexed="81"/>
      <name val="Tahoma"/>
      <family val="2"/>
    </font>
    <font>
      <u/>
      <sz val="12"/>
      <color indexed="81"/>
      <name val="Tahoma"/>
      <family val="2"/>
    </font>
    <font>
      <sz val="11"/>
      <name val="Times New Roman"/>
      <family val="1"/>
    </font>
    <font>
      <b/>
      <sz val="11"/>
      <name val="Times New Roman"/>
      <family val="1"/>
    </font>
    <font>
      <sz val="9"/>
      <name val="Arial"/>
      <family val="2"/>
    </font>
    <font>
      <b/>
      <sz val="12"/>
      <name val="Comic Sans MS"/>
      <family val="4"/>
    </font>
    <font>
      <sz val="11"/>
      <name val="Arial"/>
      <family val="2"/>
    </font>
    <font>
      <sz val="11"/>
      <color indexed="9"/>
      <name val="Arial"/>
      <family val="2"/>
    </font>
    <font>
      <b/>
      <sz val="11"/>
      <name val="Book Antiqua"/>
      <family val="1"/>
    </font>
    <font>
      <sz val="11"/>
      <name val="Book Antiqua"/>
      <family val="1"/>
    </font>
    <font>
      <b/>
      <sz val="11"/>
      <name val="Arial"/>
      <family val="2"/>
    </font>
    <font>
      <b/>
      <sz val="14"/>
      <name val="Arial"/>
      <family val="2"/>
    </font>
    <font>
      <b/>
      <sz val="14"/>
      <name val="Century Gothic"/>
      <family val="2"/>
    </font>
    <font>
      <b/>
      <i/>
      <sz val="12"/>
      <name val="Arial"/>
      <family val="2"/>
    </font>
    <font>
      <b/>
      <i/>
      <vertAlign val="subscript"/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Comic Sans MS"/>
      <family val="4"/>
    </font>
    <font>
      <sz val="20"/>
      <name val="Comic Sans MS"/>
      <family val="4"/>
    </font>
    <font>
      <b/>
      <i/>
      <sz val="11"/>
      <name val="Comic Sans MS"/>
      <family val="4"/>
    </font>
    <font>
      <b/>
      <i/>
      <sz val="10"/>
      <name val="Comic Sans MS"/>
      <family val="4"/>
    </font>
    <font>
      <i/>
      <sz val="11"/>
      <name val="Arial"/>
      <family val="2"/>
    </font>
    <font>
      <b/>
      <i/>
      <sz val="10"/>
      <color indexed="8"/>
      <name val="Trebuchet MS"/>
      <family val="2"/>
    </font>
    <font>
      <b/>
      <i/>
      <vertAlign val="subscript"/>
      <sz val="10"/>
      <color indexed="8"/>
      <name val="Trebuchet MS"/>
      <family val="2"/>
    </font>
    <font>
      <b/>
      <i/>
      <vertAlign val="superscript"/>
      <sz val="10"/>
      <color indexed="8"/>
      <name val="Trebuchet M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1"/>
      <name val="Tahoma"/>
      <family val="2"/>
    </font>
    <font>
      <sz val="12"/>
      <color indexed="81"/>
      <name val="Symbol"/>
      <family val="1"/>
      <charset val="2"/>
    </font>
    <font>
      <vertAlign val="subscript"/>
      <sz val="12"/>
      <color indexed="81"/>
      <name val="Tahoma"/>
      <family val="2"/>
    </font>
    <font>
      <sz val="11"/>
      <name val="Symbol"/>
      <family val="1"/>
      <charset val="2"/>
    </font>
    <font>
      <b/>
      <vertAlign val="subscript"/>
      <sz val="9"/>
      <color indexed="81"/>
      <name val="Tahoma"/>
      <family val="2"/>
    </font>
    <font>
      <b/>
      <sz val="12"/>
      <name val="Symbol"/>
      <family val="1"/>
      <charset val="2"/>
    </font>
    <font>
      <b/>
      <sz val="14"/>
      <name val="Symbol"/>
      <family val="1"/>
      <charset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vertAlign val="subscript"/>
      <sz val="14"/>
      <color indexed="81"/>
      <name val="Tahoma"/>
      <family val="2"/>
    </font>
    <font>
      <b/>
      <vertAlign val="subscript"/>
      <sz val="14"/>
      <color indexed="81"/>
      <name val="Tahoma"/>
      <family val="2"/>
    </font>
    <font>
      <sz val="18"/>
      <name val="Calibri"/>
      <family val="2"/>
    </font>
    <font>
      <vertAlign val="subscript"/>
      <sz val="12"/>
      <name val="Arial"/>
      <family val="2"/>
    </font>
    <font>
      <b/>
      <vertAlign val="subscript"/>
      <sz val="16"/>
      <name val="Bookman Old Style"/>
      <family val="1"/>
    </font>
    <font>
      <b/>
      <sz val="12"/>
      <color indexed="81"/>
      <name val="Symbol"/>
      <family val="1"/>
      <charset val="2"/>
    </font>
    <font>
      <b/>
      <vertAlign val="subscript"/>
      <sz val="12"/>
      <color indexed="81"/>
      <name val="Tahoma"/>
      <family val="2"/>
    </font>
    <font>
      <b/>
      <sz val="12"/>
      <color rgb="FFFF0000"/>
      <name val="Arial"/>
      <family val="2"/>
    </font>
    <font>
      <sz val="10"/>
      <name val="Arial"/>
      <family val="2"/>
    </font>
    <font>
      <b/>
      <sz val="11"/>
      <name val="Calibri"/>
      <family val="2"/>
    </font>
    <font>
      <i/>
      <sz val="14"/>
      <name val="Arial"/>
      <family val="2"/>
    </font>
    <font>
      <sz val="11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i/>
      <u/>
      <sz val="11"/>
      <color theme="1"/>
      <name val="Arial"/>
      <family val="2"/>
      <scheme val="minor"/>
    </font>
    <font>
      <u/>
      <sz val="11"/>
      <color theme="1"/>
      <name val="Arial"/>
      <family val="2"/>
      <scheme val="minor"/>
    </font>
    <font>
      <sz val="11"/>
      <color theme="1"/>
      <name val="Calibri"/>
      <family val="2"/>
    </font>
    <font>
      <sz val="14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sz val="9"/>
      <color indexed="81"/>
      <name val="Arial"/>
      <family val="2"/>
    </font>
    <font>
      <sz val="12"/>
      <color indexed="81"/>
      <name val="Arial"/>
      <family val="2"/>
    </font>
    <font>
      <b/>
      <sz val="12"/>
      <color indexed="81"/>
      <name val="Arial"/>
      <family val="2"/>
    </font>
    <font>
      <b/>
      <vertAlign val="subscript"/>
      <sz val="12"/>
      <color indexed="81"/>
      <name val="Arial"/>
      <family val="2"/>
    </font>
    <font>
      <b/>
      <sz val="16"/>
      <color indexed="81"/>
      <name val="Arial"/>
      <family val="2"/>
    </font>
    <font>
      <b/>
      <sz val="11"/>
      <name val="Arial"/>
      <family val="2"/>
      <scheme val="minor"/>
    </font>
    <font>
      <b/>
      <sz val="16"/>
      <name val="Arial"/>
      <family val="2"/>
    </font>
    <font>
      <b/>
      <sz val="12"/>
      <name val="Bookman Old Style"/>
      <family val="1"/>
      <charset val="2"/>
    </font>
    <font>
      <b/>
      <vertAlign val="subscript"/>
      <sz val="12"/>
      <name val="Bookman Old Style"/>
      <family val="1"/>
    </font>
    <font>
      <b/>
      <vertAlign val="subscript"/>
      <sz val="12"/>
      <name val="Arial"/>
      <family val="2"/>
    </font>
    <font>
      <sz val="12"/>
      <color rgb="FF000000"/>
      <name val="Arial"/>
      <family val="2"/>
    </font>
    <font>
      <b/>
      <sz val="9"/>
      <color indexed="10"/>
      <name val="Tahoma"/>
      <family val="2"/>
    </font>
    <font>
      <b/>
      <i/>
      <sz val="11"/>
      <name val="Arial"/>
      <family val="2"/>
    </font>
    <font>
      <b/>
      <i/>
      <vertAlign val="subscript"/>
      <sz val="11"/>
      <name val="Arial"/>
      <family val="2"/>
    </font>
    <font>
      <b/>
      <i/>
      <sz val="11"/>
      <name val="Times New Roman"/>
      <family val="1"/>
    </font>
    <font>
      <i/>
      <vertAlign val="subscript"/>
      <sz val="12"/>
      <name val="Arial"/>
      <family val="2"/>
    </font>
    <font>
      <sz val="10"/>
      <color theme="3"/>
      <name val="Arial"/>
      <family val="2"/>
    </font>
    <font>
      <b/>
      <sz val="18"/>
      <name val="Arial"/>
      <family val="2"/>
    </font>
    <font>
      <sz val="12"/>
      <color rgb="FFFF0000"/>
      <name val="Arial"/>
      <family val="2"/>
    </font>
    <font>
      <sz val="14"/>
      <name val="Arial"/>
      <family val="2"/>
    </font>
    <font>
      <vertAlign val="subscript"/>
      <sz val="14"/>
      <name val="Arial"/>
      <family val="2"/>
    </font>
    <font>
      <sz val="11"/>
      <name val="Bookman Old Style"/>
      <family val="1"/>
      <charset val="2"/>
    </font>
    <font>
      <sz val="11"/>
      <color indexed="81"/>
      <name val="Arial"/>
      <family val="2"/>
    </font>
    <font>
      <i/>
      <vertAlign val="subscript"/>
      <sz val="14"/>
      <name val="Arial"/>
      <family val="2"/>
    </font>
    <font>
      <i/>
      <sz val="12"/>
      <name val="Arial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b/>
      <sz val="12"/>
      <name val="Calibri"/>
      <family val="2"/>
    </font>
    <font>
      <i/>
      <sz val="12"/>
      <name val="Bookman Old Style"/>
      <family val="1"/>
    </font>
    <font>
      <b/>
      <i/>
      <vertAlign val="superscript"/>
      <sz val="10"/>
      <name val="Arial"/>
      <family val="2"/>
    </font>
    <font>
      <b/>
      <i/>
      <sz val="10"/>
      <name val="Times New Roman"/>
      <family val="1"/>
    </font>
    <font>
      <b/>
      <sz val="12"/>
      <name val="Bookman Old Style"/>
      <family val="2"/>
    </font>
    <font>
      <sz val="10"/>
      <color rgb="FFFF0000"/>
      <name val="Arial"/>
      <family val="2"/>
    </font>
    <font>
      <b/>
      <sz val="12"/>
      <name val="Arial"/>
      <family val="2"/>
      <scheme val="minor"/>
    </font>
    <font>
      <b/>
      <i/>
      <sz val="12"/>
      <name val="Arial"/>
      <family val="2"/>
      <scheme val="minor"/>
    </font>
    <font>
      <i/>
      <sz val="10"/>
      <name val="Arial"/>
      <family val="2"/>
    </font>
    <font>
      <b/>
      <vertAlign val="superscript"/>
      <sz val="11"/>
      <name val="Arial"/>
      <family val="2"/>
    </font>
    <font>
      <vertAlign val="superscript"/>
      <sz val="10"/>
      <name val="Arial"/>
      <family val="2"/>
    </font>
    <font>
      <sz val="12"/>
      <name val="Arial"/>
      <family val="2"/>
      <scheme val="minor"/>
    </font>
    <font>
      <b/>
      <sz val="12"/>
      <name val="Arial"/>
      <family val="2"/>
      <scheme val="major"/>
    </font>
    <font>
      <b/>
      <sz val="14"/>
      <name val="Arial"/>
      <family val="2"/>
      <scheme val="minor"/>
    </font>
    <font>
      <i/>
      <sz val="10"/>
      <name val="Arial"/>
      <family val="2"/>
      <scheme val="minor"/>
    </font>
    <font>
      <b/>
      <sz val="16"/>
      <name val="Arial"/>
      <family val="2"/>
      <scheme val="minor"/>
    </font>
    <font>
      <b/>
      <i/>
      <sz val="10"/>
      <name val="Arial"/>
      <family val="2"/>
      <scheme val="minor"/>
    </font>
    <font>
      <b/>
      <sz val="9"/>
      <name val="Arial"/>
      <family val="2"/>
      <scheme val="minor"/>
    </font>
    <font>
      <sz val="8"/>
      <name val="Arial"/>
      <family val="2"/>
    </font>
    <font>
      <i/>
      <sz val="9"/>
      <name val="Arial"/>
      <family val="2"/>
      <scheme val="minor"/>
    </font>
    <font>
      <i/>
      <sz val="8"/>
      <name val="Arial"/>
      <family val="2"/>
      <scheme val="minor"/>
    </font>
    <font>
      <sz val="10"/>
      <name val="Arial"/>
      <family val="2"/>
      <scheme val="major"/>
    </font>
    <font>
      <b/>
      <i/>
      <sz val="11"/>
      <name val="Arial"/>
      <family val="2"/>
      <scheme val="major"/>
    </font>
    <font>
      <sz val="11"/>
      <name val="Arial"/>
      <family val="2"/>
      <scheme val="major"/>
    </font>
    <font>
      <i/>
      <sz val="11"/>
      <name val="Arial"/>
      <family val="2"/>
      <scheme val="major"/>
    </font>
    <font>
      <b/>
      <sz val="16"/>
      <name val="Calibri"/>
      <family val="2"/>
    </font>
    <font>
      <b/>
      <sz val="11"/>
      <name val="Arial"/>
      <family val="2"/>
      <scheme val="major"/>
    </font>
    <font>
      <sz val="12"/>
      <color theme="3"/>
      <name val="Arial"/>
      <family val="2"/>
      <scheme val="minor"/>
    </font>
    <font>
      <b/>
      <sz val="12"/>
      <color theme="3"/>
      <name val="Arial"/>
      <family val="2"/>
      <scheme val="minor"/>
    </font>
    <font>
      <b/>
      <vertAlign val="subscript"/>
      <sz val="12"/>
      <name val="Arial"/>
      <family val="2"/>
      <scheme val="minor"/>
    </font>
    <font>
      <i/>
      <sz val="12"/>
      <name val="Arial"/>
      <family val="2"/>
      <scheme val="minor"/>
    </font>
    <font>
      <i/>
      <vertAlign val="subscript"/>
      <sz val="12"/>
      <name val="Arial"/>
      <family val="2"/>
      <scheme val="minor"/>
    </font>
    <font>
      <i/>
      <sz val="14"/>
      <name val="Times New Roman"/>
      <family val="1"/>
    </font>
    <font>
      <i/>
      <sz val="14"/>
      <name val="Times New Roman"/>
      <family val="2"/>
    </font>
    <font>
      <b/>
      <i/>
      <sz val="12"/>
      <name val="Times New Roman"/>
      <family val="1"/>
    </font>
    <font>
      <b/>
      <vertAlign val="subscript"/>
      <sz val="11"/>
      <name val="Arial"/>
      <family val="2"/>
      <scheme val="major"/>
    </font>
    <font>
      <b/>
      <i/>
      <sz val="12"/>
      <color indexed="8"/>
      <name val="Arial"/>
      <family val="2"/>
      <scheme val="major"/>
    </font>
    <font>
      <b/>
      <i/>
      <vertAlign val="subscript"/>
      <sz val="12"/>
      <color indexed="8"/>
      <name val="Arial"/>
      <family val="2"/>
      <scheme val="major"/>
    </font>
    <font>
      <b/>
      <i/>
      <vertAlign val="superscript"/>
      <sz val="12"/>
      <color indexed="8"/>
      <name val="Arial"/>
      <family val="2"/>
      <scheme val="major"/>
    </font>
    <font>
      <b/>
      <i/>
      <sz val="12"/>
      <color indexed="8"/>
      <name val="Trebuchet MS"/>
      <family val="2"/>
    </font>
    <font>
      <b/>
      <i/>
      <vertAlign val="subscript"/>
      <sz val="12"/>
      <color indexed="8"/>
      <name val="Trebuchet MS"/>
      <family val="2"/>
    </font>
    <font>
      <b/>
      <i/>
      <vertAlign val="superscript"/>
      <sz val="12"/>
      <color indexed="8"/>
      <name val="Trebuchet MS"/>
      <family val="2"/>
    </font>
    <font>
      <b/>
      <i/>
      <vertAlign val="subscript"/>
      <sz val="11"/>
      <name val="Arial"/>
      <family val="2"/>
      <scheme val="major"/>
    </font>
    <font>
      <sz val="13"/>
      <name val="Arial"/>
      <family val="2"/>
    </font>
    <font>
      <b/>
      <i/>
      <sz val="24"/>
      <color theme="1" tint="0.34998626667073579"/>
      <name val="Arial"/>
      <family val="2"/>
    </font>
    <font>
      <sz val="11"/>
      <name val="Calibri"/>
      <family val="2"/>
    </font>
    <font>
      <b/>
      <sz val="16"/>
      <name val="Century Gothic"/>
      <family val="2"/>
    </font>
    <font>
      <b/>
      <sz val="11"/>
      <color rgb="FFFF0000"/>
      <name val="Arial"/>
      <family val="2"/>
    </font>
    <font>
      <b/>
      <sz val="11"/>
      <color rgb="FF0070C0"/>
      <name val="Arial"/>
      <family val="2"/>
    </font>
    <font>
      <b/>
      <i/>
      <vertAlign val="subscript"/>
      <sz val="11"/>
      <color rgb="FF0070C0"/>
      <name val="Arial"/>
      <family val="2"/>
    </font>
    <font>
      <b/>
      <i/>
      <sz val="11"/>
      <color rgb="FF0070C0"/>
      <name val="Times New Roman"/>
      <family val="1"/>
    </font>
  </fonts>
  <fills count="3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B0F0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164" fontId="72" fillId="0" borderId="0" applyFont="0" applyFill="0" applyBorder="0" applyAlignment="0" applyProtection="0"/>
    <xf numFmtId="0" fontId="5" fillId="0" borderId="0"/>
  </cellStyleXfs>
  <cellXfs count="1297">
    <xf numFmtId="0" fontId="0" fillId="0" borderId="0" xfId="0"/>
    <xf numFmtId="0" fontId="0" fillId="0" borderId="1" xfId="0" applyBorder="1"/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0" fontId="13" fillId="0" borderId="0" xfId="0" applyFont="1" applyAlignment="1">
      <alignment horizontal="center" vertical="center"/>
    </xf>
    <xf numFmtId="0" fontId="13" fillId="0" borderId="0" xfId="0" applyFont="1"/>
    <xf numFmtId="166" fontId="13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0" xfId="0" applyFont="1"/>
    <xf numFmtId="168" fontId="15" fillId="0" borderId="0" xfId="0" applyNumberFormat="1" applyFont="1" applyAlignment="1">
      <alignment horizontal="center" vertical="center"/>
    </xf>
    <xf numFmtId="169" fontId="15" fillId="0" borderId="0" xfId="0" applyNumberFormat="1" applyFont="1" applyAlignment="1">
      <alignment horizontal="center" vertical="center"/>
    </xf>
    <xf numFmtId="0" fontId="15" fillId="0" borderId="1" xfId="0" applyFont="1" applyBorder="1" applyAlignment="1">
      <alignment horizontal="center"/>
    </xf>
    <xf numFmtId="168" fontId="15" fillId="0" borderId="1" xfId="0" applyNumberFormat="1" applyFont="1" applyBorder="1" applyAlignment="1">
      <alignment horizontal="center"/>
    </xf>
    <xf numFmtId="169" fontId="15" fillId="0" borderId="1" xfId="0" applyNumberFormat="1" applyFont="1" applyBorder="1" applyAlignment="1">
      <alignment horizontal="center"/>
    </xf>
    <xf numFmtId="0" fontId="15" fillId="0" borderId="0" xfId="0" applyFont="1" applyAlignment="1">
      <alignment horizontal="center"/>
    </xf>
    <xf numFmtId="169" fontId="15" fillId="0" borderId="0" xfId="0" applyNumberFormat="1" applyFont="1"/>
    <xf numFmtId="0" fontId="17" fillId="0" borderId="0" xfId="0" applyFont="1" applyAlignment="1">
      <alignment horizontal="center"/>
    </xf>
    <xf numFmtId="165" fontId="17" fillId="0" borderId="0" xfId="0" applyNumberFormat="1" applyFont="1" applyAlignment="1">
      <alignment horizontal="center"/>
    </xf>
    <xf numFmtId="166" fontId="17" fillId="0" borderId="0" xfId="0" applyNumberFormat="1" applyFont="1" applyAlignment="1">
      <alignment horizontal="center"/>
    </xf>
    <xf numFmtId="0" fontId="17" fillId="0" borderId="0" xfId="0" applyFont="1"/>
    <xf numFmtId="165" fontId="0" fillId="0" borderId="0" xfId="0" applyNumberFormat="1"/>
    <xf numFmtId="0" fontId="25" fillId="0" borderId="0" xfId="0" applyFont="1"/>
    <xf numFmtId="0" fontId="26" fillId="0" borderId="0" xfId="0" applyFont="1"/>
    <xf numFmtId="0" fontId="26" fillId="0" borderId="0" xfId="0" applyFont="1" applyAlignment="1">
      <alignment horizontal="center" vertical="center" wrapText="1"/>
    </xf>
    <xf numFmtId="0" fontId="6" fillId="0" borderId="0" xfId="0" applyFont="1"/>
    <xf numFmtId="0" fontId="0" fillId="3" borderId="20" xfId="0" applyFill="1" applyBorder="1"/>
    <xf numFmtId="0" fontId="0" fillId="3" borderId="30" xfId="0" applyFill="1" applyBorder="1" applyAlignment="1">
      <alignment horizontal="center" vertical="center"/>
    </xf>
    <xf numFmtId="0" fontId="0" fillId="3" borderId="43" xfId="0" applyFill="1" applyBorder="1"/>
    <xf numFmtId="0" fontId="0" fillId="3" borderId="38" xfId="0" applyFill="1" applyBorder="1"/>
    <xf numFmtId="0" fontId="23" fillId="3" borderId="0" xfId="0" applyFont="1" applyFill="1" applyAlignment="1">
      <alignment horizontal="center" vertical="center"/>
    </xf>
    <xf numFmtId="0" fontId="23" fillId="3" borderId="2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30" fillId="0" borderId="0" xfId="0" applyFont="1" applyAlignment="1">
      <alignment horizontal="left"/>
    </xf>
    <xf numFmtId="0" fontId="35" fillId="0" borderId="0" xfId="0" applyFont="1"/>
    <xf numFmtId="0" fontId="34" fillId="0" borderId="0" xfId="0" applyFont="1"/>
    <xf numFmtId="0" fontId="23" fillId="3" borderId="19" xfId="0" applyFont="1" applyFill="1" applyBorder="1" applyAlignment="1" applyProtection="1">
      <alignment horizontal="center" vertical="center"/>
      <protection locked="0"/>
    </xf>
    <xf numFmtId="0" fontId="0" fillId="3" borderId="35" xfId="0" applyFill="1" applyBorder="1" applyAlignment="1">
      <alignment horizontal="center" vertical="center"/>
    </xf>
    <xf numFmtId="0" fontId="31" fillId="0" borderId="0" xfId="0" applyFont="1" applyAlignment="1">
      <alignment horizontal="center" wrapText="1"/>
    </xf>
    <xf numFmtId="0" fontId="8" fillId="0" borderId="0" xfId="0" applyFont="1" applyAlignment="1">
      <alignment vertical="top" wrapText="1"/>
    </xf>
    <xf numFmtId="0" fontId="32" fillId="0" borderId="0" xfId="0" applyFont="1" applyAlignment="1">
      <alignment horizontal="left" vertical="center" wrapText="1"/>
    </xf>
    <xf numFmtId="165" fontId="17" fillId="0" borderId="55" xfId="0" applyNumberFormat="1" applyFont="1" applyBorder="1" applyAlignment="1">
      <alignment horizontal="center" vertical="center"/>
    </xf>
    <xf numFmtId="166" fontId="17" fillId="0" borderId="57" xfId="0" applyNumberFormat="1" applyFont="1" applyBorder="1" applyAlignment="1">
      <alignment horizontal="center" vertical="center"/>
    </xf>
    <xf numFmtId="165" fontId="17" fillId="0" borderId="58" xfId="0" applyNumberFormat="1" applyFont="1" applyBorder="1" applyAlignment="1">
      <alignment horizontal="center" vertical="center"/>
    </xf>
    <xf numFmtId="166" fontId="17" fillId="0" borderId="59" xfId="0" applyNumberFormat="1" applyFont="1" applyBorder="1" applyAlignment="1">
      <alignment horizontal="center" vertical="center"/>
    </xf>
    <xf numFmtId="165" fontId="17" fillId="0" borderId="42" xfId="0" applyNumberFormat="1" applyFont="1" applyBorder="1" applyAlignment="1">
      <alignment horizontal="center" vertical="center"/>
    </xf>
    <xf numFmtId="166" fontId="17" fillId="0" borderId="12" xfId="0" applyNumberFormat="1" applyFont="1" applyBorder="1" applyAlignment="1">
      <alignment horizontal="center" vertical="center"/>
    </xf>
    <xf numFmtId="0" fontId="0" fillId="3" borderId="45" xfId="0" applyFill="1" applyBorder="1"/>
    <xf numFmtId="165" fontId="17" fillId="0" borderId="61" xfId="0" applyNumberFormat="1" applyFont="1" applyBorder="1" applyAlignment="1">
      <alignment horizontal="center" vertical="center"/>
    </xf>
    <xf numFmtId="165" fontId="17" fillId="0" borderId="41" xfId="0" applyNumberFormat="1" applyFont="1" applyBorder="1" applyAlignment="1">
      <alignment horizontal="center" vertical="center"/>
    </xf>
    <xf numFmtId="165" fontId="17" fillId="0" borderId="51" xfId="0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top" wrapText="1"/>
    </xf>
    <xf numFmtId="0" fontId="36" fillId="0" borderId="0" xfId="0" applyFont="1"/>
    <xf numFmtId="1" fontId="18" fillId="0" borderId="48" xfId="0" applyNumberFormat="1" applyFont="1" applyBorder="1" applyAlignment="1">
      <alignment horizontal="center" vertical="center"/>
    </xf>
    <xf numFmtId="1" fontId="18" fillId="0" borderId="48" xfId="0" quotePrefix="1" applyNumberFormat="1" applyFont="1" applyBorder="1" applyAlignment="1">
      <alignment horizontal="center" vertical="center"/>
    </xf>
    <xf numFmtId="1" fontId="18" fillId="0" borderId="49" xfId="0" applyNumberFormat="1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5" fillId="9" borderId="0" xfId="0" applyFont="1" applyFill="1" applyAlignment="1">
      <alignment horizontal="center" vertical="center"/>
    </xf>
    <xf numFmtId="1" fontId="18" fillId="0" borderId="62" xfId="0" applyNumberFormat="1" applyFont="1" applyBorder="1" applyAlignment="1">
      <alignment horizontal="center" vertical="center"/>
    </xf>
    <xf numFmtId="0" fontId="10" fillId="0" borderId="0" xfId="0" applyFont="1"/>
    <xf numFmtId="165" fontId="16" fillId="0" borderId="0" xfId="0" applyNumberFormat="1" applyFont="1" applyAlignment="1">
      <alignment horizontal="center" vertical="center"/>
    </xf>
    <xf numFmtId="0" fontId="15" fillId="0" borderId="64" xfId="0" applyFont="1" applyBorder="1" applyAlignment="1">
      <alignment horizontal="center"/>
    </xf>
    <xf numFmtId="168" fontId="15" fillId="0" borderId="64" xfId="0" applyNumberFormat="1" applyFont="1" applyBorder="1" applyAlignment="1">
      <alignment horizontal="center"/>
    </xf>
    <xf numFmtId="169" fontId="15" fillId="0" borderId="64" xfId="0" applyNumberFormat="1" applyFont="1" applyBorder="1" applyAlignment="1">
      <alignment horizontal="center"/>
    </xf>
    <xf numFmtId="0" fontId="15" fillId="9" borderId="19" xfId="0" applyFont="1" applyFill="1" applyBorder="1" applyAlignment="1">
      <alignment horizontal="center" vertical="center"/>
    </xf>
    <xf numFmtId="0" fontId="17" fillId="0" borderId="19" xfId="0" applyFont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5" fillId="0" borderId="43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168" fontId="15" fillId="0" borderId="14" xfId="0" applyNumberFormat="1" applyFont="1" applyBorder="1" applyAlignment="1">
      <alignment horizontal="center"/>
    </xf>
    <xf numFmtId="169" fontId="15" fillId="0" borderId="14" xfId="0" applyNumberFormat="1" applyFont="1" applyBorder="1" applyAlignment="1">
      <alignment horizontal="center"/>
    </xf>
    <xf numFmtId="0" fontId="15" fillId="0" borderId="38" xfId="0" applyFont="1" applyBorder="1" applyAlignment="1">
      <alignment horizontal="center"/>
    </xf>
    <xf numFmtId="0" fontId="71" fillId="9" borderId="0" xfId="0" applyFont="1" applyFill="1" applyAlignment="1">
      <alignment horizontal="left"/>
    </xf>
    <xf numFmtId="0" fontId="0" fillId="9" borderId="0" xfId="0" applyFill="1"/>
    <xf numFmtId="0" fontId="18" fillId="0" borderId="0" xfId="0" applyFont="1"/>
    <xf numFmtId="0" fontId="0" fillId="9" borderId="0" xfId="0" applyFill="1" applyAlignment="1">
      <alignment horizontal="center"/>
    </xf>
    <xf numFmtId="0" fontId="20" fillId="0" borderId="0" xfId="0" applyFont="1" applyAlignment="1">
      <alignment vertical="center"/>
    </xf>
    <xf numFmtId="167" fontId="6" fillId="0" borderId="30" xfId="0" applyNumberFormat="1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5" fillId="0" borderId="0" xfId="2"/>
    <xf numFmtId="0" fontId="76" fillId="0" borderId="0" xfId="2" applyFont="1"/>
    <xf numFmtId="0" fontId="76" fillId="15" borderId="44" xfId="2" applyFont="1" applyFill="1" applyBorder="1" applyAlignment="1">
      <alignment horizontal="right"/>
    </xf>
    <xf numFmtId="0" fontId="5" fillId="15" borderId="39" xfId="2" applyFill="1" applyBorder="1" applyAlignment="1">
      <alignment horizontal="center"/>
    </xf>
    <xf numFmtId="0" fontId="5" fillId="15" borderId="45" xfId="2" applyFill="1" applyBorder="1"/>
    <xf numFmtId="0" fontId="76" fillId="13" borderId="0" xfId="2" applyFont="1" applyFill="1" applyAlignment="1">
      <alignment horizontal="right"/>
    </xf>
    <xf numFmtId="0" fontId="76" fillId="15" borderId="43" xfId="2" applyFont="1" applyFill="1" applyBorder="1" applyAlignment="1">
      <alignment horizontal="right"/>
    </xf>
    <xf numFmtId="0" fontId="5" fillId="15" borderId="14" xfId="2" applyFill="1" applyBorder="1" applyAlignment="1">
      <alignment horizontal="center"/>
    </xf>
    <xf numFmtId="0" fontId="5" fillId="15" borderId="38" xfId="2" applyFill="1" applyBorder="1"/>
    <xf numFmtId="0" fontId="76" fillId="15" borderId="0" xfId="2" applyFont="1" applyFill="1" applyAlignment="1">
      <alignment horizontal="right"/>
    </xf>
    <xf numFmtId="0" fontId="5" fillId="0" borderId="35" xfId="2" applyBorder="1"/>
    <xf numFmtId="0" fontId="5" fillId="0" borderId="21" xfId="2" applyBorder="1" applyAlignment="1">
      <alignment horizontal="center" wrapText="1"/>
    </xf>
    <xf numFmtId="0" fontId="5" fillId="13" borderId="24" xfId="2" applyFill="1" applyBorder="1" applyAlignment="1">
      <alignment horizontal="center" wrapText="1"/>
    </xf>
    <xf numFmtId="0" fontId="5" fillId="15" borderId="26" xfId="2" applyFill="1" applyBorder="1" applyAlignment="1">
      <alignment horizontal="center" wrapText="1"/>
    </xf>
    <xf numFmtId="0" fontId="5" fillId="0" borderId="52" xfId="2" applyBorder="1" applyAlignment="1">
      <alignment horizontal="center"/>
    </xf>
    <xf numFmtId="0" fontId="5" fillId="0" borderId="55" xfId="2" applyBorder="1" applyAlignment="1">
      <alignment horizontal="center"/>
    </xf>
    <xf numFmtId="0" fontId="5" fillId="0" borderId="71" xfId="2" applyBorder="1" applyAlignment="1">
      <alignment horizontal="center"/>
    </xf>
    <xf numFmtId="0" fontId="5" fillId="0" borderId="58" xfId="2" applyBorder="1" applyAlignment="1">
      <alignment horizontal="center"/>
    </xf>
    <xf numFmtId="0" fontId="5" fillId="0" borderId="53" xfId="2" applyBorder="1" applyAlignment="1">
      <alignment horizontal="center"/>
    </xf>
    <xf numFmtId="0" fontId="5" fillId="0" borderId="42" xfId="2" applyBorder="1" applyAlignment="1">
      <alignment horizontal="center"/>
    </xf>
    <xf numFmtId="0" fontId="5" fillId="0" borderId="22" xfId="2" applyBorder="1" applyAlignment="1">
      <alignment horizontal="center" wrapText="1"/>
    </xf>
    <xf numFmtId="2" fontId="5" fillId="0" borderId="70" xfId="2" applyNumberFormat="1" applyBorder="1" applyAlignment="1">
      <alignment horizontal="center"/>
    </xf>
    <xf numFmtId="2" fontId="5" fillId="0" borderId="54" xfId="2" applyNumberFormat="1" applyBorder="1" applyAlignment="1">
      <alignment horizontal="center"/>
    </xf>
    <xf numFmtId="2" fontId="5" fillId="0" borderId="50" xfId="2" applyNumberFormat="1" applyBorder="1" applyAlignment="1">
      <alignment horizontal="center"/>
    </xf>
    <xf numFmtId="0" fontId="5" fillId="15" borderId="11" xfId="2" applyFill="1" applyBorder="1" applyAlignment="1">
      <alignment horizontal="center" wrapText="1"/>
    </xf>
    <xf numFmtId="167" fontId="77" fillId="13" borderId="61" xfId="2" applyNumberFormat="1" applyFont="1" applyFill="1" applyBorder="1" applyAlignment="1">
      <alignment horizontal="center"/>
    </xf>
    <xf numFmtId="167" fontId="5" fillId="13" borderId="41" xfId="2" applyNumberFormat="1" applyFill="1" applyBorder="1" applyAlignment="1">
      <alignment horizontal="center"/>
    </xf>
    <xf numFmtId="167" fontId="5" fillId="13" borderId="51" xfId="2" applyNumberFormat="1" applyFill="1" applyBorder="1" applyAlignment="1">
      <alignment horizontal="center"/>
    </xf>
    <xf numFmtId="167" fontId="77" fillId="15" borderId="72" xfId="2" applyNumberFormat="1" applyFont="1" applyFill="1" applyBorder="1" applyAlignment="1">
      <alignment horizontal="center"/>
    </xf>
    <xf numFmtId="167" fontId="77" fillId="15" borderId="71" xfId="2" applyNumberFormat="1" applyFont="1" applyFill="1" applyBorder="1" applyAlignment="1">
      <alignment horizontal="center"/>
    </xf>
    <xf numFmtId="167" fontId="77" fillId="15" borderId="53" xfId="2" applyNumberFormat="1" applyFont="1" applyFill="1" applyBorder="1" applyAlignment="1">
      <alignment horizontal="center"/>
    </xf>
    <xf numFmtId="2" fontId="77" fillId="13" borderId="61" xfId="2" applyNumberFormat="1" applyFont="1" applyFill="1" applyBorder="1" applyAlignment="1">
      <alignment horizontal="center"/>
    </xf>
    <xf numFmtId="2" fontId="77" fillId="13" borderId="7" xfId="2" applyNumberFormat="1" applyFont="1" applyFill="1" applyBorder="1" applyAlignment="1">
      <alignment horizontal="center"/>
    </xf>
    <xf numFmtId="2" fontId="77" fillId="13" borderId="51" xfId="2" applyNumberFormat="1" applyFont="1" applyFill="1" applyBorder="1" applyAlignment="1">
      <alignment horizontal="center"/>
    </xf>
    <xf numFmtId="170" fontId="5" fillId="0" borderId="70" xfId="2" applyNumberFormat="1" applyBorder="1" applyAlignment="1">
      <alignment horizontal="center"/>
    </xf>
    <xf numFmtId="170" fontId="5" fillId="0" borderId="8" xfId="2" applyNumberFormat="1" applyBorder="1" applyAlignment="1">
      <alignment horizontal="center"/>
    </xf>
    <xf numFmtId="2" fontId="77" fillId="15" borderId="72" xfId="2" applyNumberFormat="1" applyFont="1" applyFill="1" applyBorder="1" applyAlignment="1">
      <alignment horizontal="center"/>
    </xf>
    <xf numFmtId="2" fontId="77" fillId="15" borderId="71" xfId="2" applyNumberFormat="1" applyFont="1" applyFill="1" applyBorder="1" applyAlignment="1">
      <alignment horizontal="center"/>
    </xf>
    <xf numFmtId="2" fontId="77" fillId="15" borderId="53" xfId="2" applyNumberFormat="1" applyFont="1" applyFill="1" applyBorder="1" applyAlignment="1">
      <alignment horizontal="center"/>
    </xf>
    <xf numFmtId="0" fontId="80" fillId="0" borderId="7" xfId="2" applyFont="1" applyBorder="1"/>
    <xf numFmtId="0" fontId="5" fillId="0" borderId="67" xfId="2" applyBorder="1" applyAlignment="1">
      <alignment horizontal="center"/>
    </xf>
    <xf numFmtId="2" fontId="5" fillId="13" borderId="23" xfId="2" applyNumberFormat="1" applyFill="1" applyBorder="1" applyAlignment="1">
      <alignment horizontal="center"/>
    </xf>
    <xf numFmtId="0" fontId="5" fillId="0" borderId="23" xfId="2" applyBorder="1" applyAlignment="1">
      <alignment horizontal="center"/>
    </xf>
    <xf numFmtId="0" fontId="76" fillId="0" borderId="0" xfId="2" applyFont="1" applyAlignment="1">
      <alignment horizontal="center"/>
    </xf>
    <xf numFmtId="0" fontId="5" fillId="7" borderId="40" xfId="2" applyFill="1" applyBorder="1" applyAlignment="1">
      <alignment horizontal="center" wrapText="1"/>
    </xf>
    <xf numFmtId="0" fontId="76" fillId="7" borderId="35" xfId="2" applyFont="1" applyFill="1" applyBorder="1" applyAlignment="1">
      <alignment horizontal="center"/>
    </xf>
    <xf numFmtId="0" fontId="76" fillId="7" borderId="30" xfId="2" applyFont="1" applyFill="1" applyBorder="1"/>
    <xf numFmtId="0" fontId="76" fillId="7" borderId="52" xfId="2" applyFont="1" applyFill="1" applyBorder="1"/>
    <xf numFmtId="0" fontId="76" fillId="7" borderId="30" xfId="2" applyFont="1" applyFill="1" applyBorder="1" applyAlignment="1">
      <alignment horizontal="center"/>
    </xf>
    <xf numFmtId="0" fontId="76" fillId="7" borderId="36" xfId="2" applyFont="1" applyFill="1" applyBorder="1" applyAlignment="1">
      <alignment horizontal="center"/>
    </xf>
    <xf numFmtId="167" fontId="77" fillId="7" borderId="72" xfId="2" applyNumberFormat="1" applyFont="1" applyFill="1" applyBorder="1" applyAlignment="1">
      <alignment horizontal="center"/>
    </xf>
    <xf numFmtId="167" fontId="77" fillId="7" borderId="71" xfId="2" applyNumberFormat="1" applyFont="1" applyFill="1" applyBorder="1" applyAlignment="1">
      <alignment horizontal="center"/>
    </xf>
    <xf numFmtId="167" fontId="77" fillId="7" borderId="53" xfId="2" applyNumberFormat="1" applyFont="1" applyFill="1" applyBorder="1" applyAlignment="1">
      <alignment horizontal="center"/>
    </xf>
    <xf numFmtId="167" fontId="77" fillId="19" borderId="65" xfId="2" applyNumberFormat="1" applyFont="1" applyFill="1" applyBorder="1" applyAlignment="1">
      <alignment horizontal="center"/>
    </xf>
    <xf numFmtId="167" fontId="77" fillId="19" borderId="68" xfId="2" applyNumberFormat="1" applyFont="1" applyFill="1" applyBorder="1" applyAlignment="1">
      <alignment horizontal="center"/>
    </xf>
    <xf numFmtId="167" fontId="77" fillId="19" borderId="63" xfId="2" applyNumberFormat="1" applyFont="1" applyFill="1" applyBorder="1" applyAlignment="1">
      <alignment horizontal="center"/>
    </xf>
    <xf numFmtId="2" fontId="77" fillId="19" borderId="65" xfId="2" applyNumberFormat="1" applyFont="1" applyFill="1" applyBorder="1" applyAlignment="1">
      <alignment horizontal="center"/>
    </xf>
    <xf numFmtId="2" fontId="77" fillId="19" borderId="1" xfId="2" applyNumberFormat="1" applyFont="1" applyFill="1" applyBorder="1" applyAlignment="1">
      <alignment horizontal="center"/>
    </xf>
    <xf numFmtId="2" fontId="88" fillId="7" borderId="35" xfId="2" applyNumberFormat="1" applyFont="1" applyFill="1" applyBorder="1" applyAlignment="1">
      <alignment horizontal="center"/>
    </xf>
    <xf numFmtId="2" fontId="88" fillId="7" borderId="30" xfId="2" applyNumberFormat="1" applyFont="1" applyFill="1" applyBorder="1" applyAlignment="1">
      <alignment horizontal="center"/>
    </xf>
    <xf numFmtId="0" fontId="23" fillId="7" borderId="30" xfId="0" applyFont="1" applyFill="1" applyBorder="1" applyAlignment="1">
      <alignment horizontal="center"/>
    </xf>
    <xf numFmtId="0" fontId="23" fillId="7" borderId="36" xfId="0" applyFont="1" applyFill="1" applyBorder="1" applyAlignment="1">
      <alignment horizontal="center"/>
    </xf>
    <xf numFmtId="2" fontId="75" fillId="16" borderId="23" xfId="2" applyNumberFormat="1" applyFont="1" applyFill="1" applyBorder="1" applyAlignment="1">
      <alignment horizontal="center"/>
    </xf>
    <xf numFmtId="2" fontId="75" fillId="7" borderId="23" xfId="2" applyNumberFormat="1" applyFont="1" applyFill="1" applyBorder="1" applyAlignment="1">
      <alignment horizontal="center"/>
    </xf>
    <xf numFmtId="165" fontId="15" fillId="20" borderId="45" xfId="0" applyNumberFormat="1" applyFont="1" applyFill="1" applyBorder="1" applyAlignment="1">
      <alignment horizontal="center"/>
    </xf>
    <xf numFmtId="165" fontId="15" fillId="20" borderId="20" xfId="0" applyNumberFormat="1" applyFont="1" applyFill="1" applyBorder="1" applyAlignment="1">
      <alignment horizontal="center"/>
    </xf>
    <xf numFmtId="165" fontId="15" fillId="20" borderId="38" xfId="0" applyNumberFormat="1" applyFont="1" applyFill="1" applyBorder="1" applyAlignment="1">
      <alignment horizontal="center"/>
    </xf>
    <xf numFmtId="0" fontId="12" fillId="7" borderId="36" xfId="0" applyFont="1" applyFill="1" applyBorder="1"/>
    <xf numFmtId="0" fontId="20" fillId="0" borderId="37" xfId="0" applyFont="1" applyBorder="1" applyAlignment="1">
      <alignment horizontal="center" vertical="center"/>
    </xf>
    <xf numFmtId="0" fontId="20" fillId="0" borderId="37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90" fillId="7" borderId="43" xfId="0" applyFont="1" applyFill="1" applyBorder="1" applyAlignment="1">
      <alignment horizontal="center"/>
    </xf>
    <xf numFmtId="0" fontId="90" fillId="7" borderId="36" xfId="0" applyFont="1" applyFill="1" applyBorder="1" applyAlignment="1">
      <alignment horizontal="center"/>
    </xf>
    <xf numFmtId="0" fontId="20" fillId="18" borderId="67" xfId="0" applyFont="1" applyFill="1" applyBorder="1" applyAlignment="1">
      <alignment horizontal="center" vertical="center"/>
    </xf>
    <xf numFmtId="0" fontId="20" fillId="18" borderId="26" xfId="0" applyFont="1" applyFill="1" applyBorder="1" applyAlignment="1">
      <alignment horizontal="center" vertical="center"/>
    </xf>
    <xf numFmtId="0" fontId="20" fillId="9" borderId="19" xfId="0" applyFont="1" applyFill="1" applyBorder="1" applyAlignment="1">
      <alignment horizontal="left"/>
    </xf>
    <xf numFmtId="0" fontId="20" fillId="12" borderId="72" xfId="0" applyFont="1" applyFill="1" applyBorder="1" applyAlignment="1">
      <alignment horizontal="right" vertical="center" wrapText="1"/>
    </xf>
    <xf numFmtId="172" fontId="20" fillId="13" borderId="67" xfId="0" quotePrefix="1" applyNumberFormat="1" applyFont="1" applyFill="1" applyBorder="1" applyAlignment="1">
      <alignment horizontal="center" vertical="center"/>
    </xf>
    <xf numFmtId="0" fontId="20" fillId="18" borderId="40" xfId="0" applyFont="1" applyFill="1" applyBorder="1" applyAlignment="1">
      <alignment horizontal="center" vertical="center"/>
    </xf>
    <xf numFmtId="0" fontId="20" fillId="18" borderId="69" xfId="0" applyFont="1" applyFill="1" applyBorder="1" applyAlignment="1">
      <alignment horizontal="center" vertical="center"/>
    </xf>
    <xf numFmtId="0" fontId="20" fillId="13" borderId="40" xfId="0" applyFont="1" applyFill="1" applyBorder="1" applyAlignment="1" applyProtection="1">
      <alignment horizontal="center" vertical="center"/>
      <protection locked="0"/>
    </xf>
    <xf numFmtId="172" fontId="20" fillId="22" borderId="26" xfId="0" applyNumberFormat="1" applyFont="1" applyFill="1" applyBorder="1" applyAlignment="1" applyProtection="1">
      <alignment horizontal="center" vertical="center"/>
      <protection locked="0"/>
    </xf>
    <xf numFmtId="0" fontId="20" fillId="22" borderId="67" xfId="0" quotePrefix="1" applyFont="1" applyFill="1" applyBorder="1" applyAlignment="1" applyProtection="1">
      <alignment horizontal="center"/>
      <protection locked="0"/>
    </xf>
    <xf numFmtId="0" fontId="20" fillId="7" borderId="69" xfId="0" applyFont="1" applyFill="1" applyBorder="1" applyAlignment="1">
      <alignment horizontal="center" vertical="center"/>
    </xf>
    <xf numFmtId="0" fontId="20" fillId="7" borderId="24" xfId="0" applyFont="1" applyFill="1" applyBorder="1" applyAlignment="1">
      <alignment horizontal="center"/>
    </xf>
    <xf numFmtId="0" fontId="20" fillId="7" borderId="26" xfId="0" applyFont="1" applyFill="1" applyBorder="1" applyAlignment="1">
      <alignment horizontal="center"/>
    </xf>
    <xf numFmtId="0" fontId="20" fillId="2" borderId="46" xfId="0" applyFont="1" applyFill="1" applyBorder="1" applyAlignment="1" applyProtection="1">
      <alignment horizontal="center"/>
      <protection locked="0"/>
    </xf>
    <xf numFmtId="0" fontId="38" fillId="2" borderId="7" xfId="0" applyFont="1" applyFill="1" applyBorder="1" applyAlignment="1" applyProtection="1">
      <alignment horizontal="center" vertical="center"/>
      <protection locked="0"/>
    </xf>
    <xf numFmtId="0" fontId="20" fillId="7" borderId="52" xfId="0" applyFont="1" applyFill="1" applyBorder="1" applyAlignment="1">
      <alignment horizontal="center" vertical="center"/>
    </xf>
    <xf numFmtId="0" fontId="20" fillId="7" borderId="50" xfId="0" applyFont="1" applyFill="1" applyBorder="1" applyAlignment="1">
      <alignment horizontal="center" vertical="center"/>
    </xf>
    <xf numFmtId="0" fontId="38" fillId="2" borderId="51" xfId="0" applyFont="1" applyFill="1" applyBorder="1" applyAlignment="1" applyProtection="1">
      <alignment horizontal="center" vertical="center"/>
      <protection locked="0"/>
    </xf>
    <xf numFmtId="0" fontId="20" fillId="7" borderId="53" xfId="0" applyFont="1" applyFill="1" applyBorder="1" applyAlignment="1">
      <alignment horizontal="center" vertical="center"/>
    </xf>
    <xf numFmtId="2" fontId="77" fillId="19" borderId="4" xfId="2" applyNumberFormat="1" applyFont="1" applyFill="1" applyBorder="1" applyAlignment="1">
      <alignment horizontal="center"/>
    </xf>
    <xf numFmtId="0" fontId="5" fillId="0" borderId="74" xfId="2" applyBorder="1" applyAlignment="1">
      <alignment horizontal="center"/>
    </xf>
    <xf numFmtId="170" fontId="5" fillId="0" borderId="5" xfId="2" applyNumberFormat="1" applyBorder="1" applyAlignment="1">
      <alignment horizontal="center"/>
    </xf>
    <xf numFmtId="2" fontId="77" fillId="13" borderId="2" xfId="2" applyNumberFormat="1" applyFont="1" applyFill="1" applyBorder="1" applyAlignment="1">
      <alignment horizontal="center"/>
    </xf>
    <xf numFmtId="2" fontId="77" fillId="15" borderId="74" xfId="2" applyNumberFormat="1" applyFont="1" applyFill="1" applyBorder="1" applyAlignment="1">
      <alignment horizontal="center"/>
    </xf>
    <xf numFmtId="2" fontId="77" fillId="15" borderId="67" xfId="2" applyNumberFormat="1" applyFont="1" applyFill="1" applyBorder="1" applyAlignment="1">
      <alignment horizontal="center"/>
    </xf>
    <xf numFmtId="0" fontId="80" fillId="0" borderId="6" xfId="2" applyFont="1" applyBorder="1" applyAlignment="1">
      <alignment horizontal="center"/>
    </xf>
    <xf numFmtId="0" fontId="5" fillId="0" borderId="40" xfId="2" applyBorder="1" applyAlignment="1">
      <alignment horizontal="center"/>
    </xf>
    <xf numFmtId="2" fontId="77" fillId="15" borderId="40" xfId="2" applyNumberFormat="1" applyFont="1" applyFill="1" applyBorder="1" applyAlignment="1">
      <alignment horizontal="center"/>
    </xf>
    <xf numFmtId="0" fontId="4" fillId="7" borderId="30" xfId="2" applyFont="1" applyFill="1" applyBorder="1" applyAlignment="1">
      <alignment horizontal="center"/>
    </xf>
    <xf numFmtId="0" fontId="4" fillId="7" borderId="36" xfId="2" applyFont="1" applyFill="1" applyBorder="1" applyAlignment="1">
      <alignment horizontal="center"/>
    </xf>
    <xf numFmtId="1" fontId="18" fillId="5" borderId="0" xfId="0" applyNumberFormat="1" applyFont="1" applyFill="1" applyAlignment="1" applyProtection="1">
      <alignment horizontal="center" vertical="center"/>
      <protection locked="0"/>
    </xf>
    <xf numFmtId="49" fontId="18" fillId="5" borderId="14" xfId="0" applyNumberFormat="1" applyFont="1" applyFill="1" applyBorder="1" applyAlignment="1" applyProtection="1">
      <alignment horizontal="center" vertical="center"/>
      <protection locked="0"/>
    </xf>
    <xf numFmtId="0" fontId="23" fillId="5" borderId="72" xfId="0" applyFont="1" applyFill="1" applyBorder="1" applyAlignment="1">
      <alignment horizontal="center"/>
    </xf>
    <xf numFmtId="0" fontId="23" fillId="5" borderId="53" xfId="0" applyFont="1" applyFill="1" applyBorder="1" applyAlignment="1">
      <alignment horizontal="center"/>
    </xf>
    <xf numFmtId="0" fontId="20" fillId="0" borderId="9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3" fontId="34" fillId="0" borderId="0" xfId="0" applyNumberFormat="1" applyFont="1" applyAlignment="1">
      <alignment horizontal="center" vertical="center"/>
    </xf>
    <xf numFmtId="3" fontId="34" fillId="0" borderId="29" xfId="0" applyNumberFormat="1" applyFont="1" applyBorder="1" applyAlignment="1">
      <alignment horizontal="center" vertical="center"/>
    </xf>
    <xf numFmtId="3" fontId="34" fillId="0" borderId="27" xfId="0" applyNumberFormat="1" applyFont="1" applyBorder="1" applyAlignment="1">
      <alignment horizontal="center" vertical="center"/>
    </xf>
    <xf numFmtId="4" fontId="34" fillId="0" borderId="27" xfId="0" applyNumberFormat="1" applyFont="1" applyBorder="1" applyAlignment="1">
      <alignment horizontal="center" vertical="center"/>
    </xf>
    <xf numFmtId="2" fontId="6" fillId="24" borderId="42" xfId="0" applyNumberFormat="1" applyFont="1" applyFill="1" applyBorder="1" applyAlignment="1">
      <alignment horizontal="center" vertical="center"/>
    </xf>
    <xf numFmtId="2" fontId="6" fillId="24" borderId="15" xfId="0" applyNumberFormat="1" applyFont="1" applyFill="1" applyBorder="1" applyAlignment="1">
      <alignment horizontal="center" vertical="center"/>
    </xf>
    <xf numFmtId="2" fontId="6" fillId="24" borderId="12" xfId="0" applyNumberFormat="1" applyFont="1" applyFill="1" applyBorder="1" applyAlignment="1">
      <alignment horizontal="center" vertical="center"/>
    </xf>
    <xf numFmtId="0" fontId="20" fillId="7" borderId="25" xfId="0" applyFont="1" applyFill="1" applyBorder="1" applyAlignment="1">
      <alignment horizontal="center"/>
    </xf>
    <xf numFmtId="0" fontId="23" fillId="22" borderId="40" xfId="0" applyFont="1" applyFill="1" applyBorder="1" applyAlignment="1">
      <alignment horizontal="center"/>
    </xf>
    <xf numFmtId="0" fontId="20" fillId="23" borderId="23" xfId="0" applyFont="1" applyFill="1" applyBorder="1" applyAlignment="1">
      <alignment horizontal="center" vertical="center"/>
    </xf>
    <xf numFmtId="0" fontId="20" fillId="23" borderId="24" xfId="0" applyFont="1" applyFill="1" applyBorder="1" applyAlignment="1">
      <alignment horizontal="center" vertical="center"/>
    </xf>
    <xf numFmtId="1" fontId="20" fillId="23" borderId="24" xfId="0" applyNumberFormat="1" applyFont="1" applyFill="1" applyBorder="1" applyAlignment="1">
      <alignment horizontal="center" vertical="center"/>
    </xf>
    <xf numFmtId="2" fontId="20" fillId="23" borderId="25" xfId="0" applyNumberFormat="1" applyFont="1" applyFill="1" applyBorder="1" applyAlignment="1">
      <alignment horizontal="center" vertical="center"/>
    </xf>
    <xf numFmtId="3" fontId="38" fillId="23" borderId="16" xfId="0" applyNumberFormat="1" applyFont="1" applyFill="1" applyBorder="1" applyAlignment="1">
      <alignment horizontal="center" vertical="center"/>
    </xf>
    <xf numFmtId="3" fontId="38" fillId="23" borderId="16" xfId="0" applyNumberFormat="1" applyFont="1" applyFill="1" applyBorder="1" applyAlignment="1" applyProtection="1">
      <alignment horizontal="center" vertical="center"/>
      <protection hidden="1"/>
    </xf>
    <xf numFmtId="4" fontId="38" fillId="23" borderId="16" xfId="0" applyNumberFormat="1" applyFont="1" applyFill="1" applyBorder="1" applyAlignment="1">
      <alignment horizontal="center" vertical="center"/>
    </xf>
    <xf numFmtId="0" fontId="99" fillId="0" borderId="0" xfId="0" applyFont="1" applyAlignment="1">
      <alignment horizontal="center" vertical="center"/>
    </xf>
    <xf numFmtId="0" fontId="99" fillId="0" borderId="29" xfId="0" applyFont="1" applyBorder="1" applyAlignment="1">
      <alignment horizontal="center" vertical="center"/>
    </xf>
    <xf numFmtId="0" fontId="99" fillId="0" borderId="27" xfId="0" applyFont="1" applyBorder="1" applyAlignment="1">
      <alignment horizontal="center" vertical="center"/>
    </xf>
    <xf numFmtId="0" fontId="38" fillId="0" borderId="0" xfId="0" applyFont="1" applyAlignment="1">
      <alignment horizontal="right" vertical="center" wrapText="1"/>
    </xf>
    <xf numFmtId="0" fontId="101" fillId="0" borderId="0" xfId="0" quotePrefix="1" applyFont="1" applyAlignment="1">
      <alignment horizontal="left" vertical="center" wrapText="1"/>
    </xf>
    <xf numFmtId="0" fontId="34" fillId="0" borderId="0" xfId="0" applyFont="1" applyAlignment="1">
      <alignment horizontal="left"/>
    </xf>
    <xf numFmtId="0" fontId="18" fillId="0" borderId="0" xfId="0" quotePrefix="1" applyFont="1" applyAlignment="1">
      <alignment horizontal="left" vertical="center" wrapText="1"/>
    </xf>
    <xf numFmtId="0" fontId="38" fillId="0" borderId="0" xfId="0" applyFont="1" applyAlignment="1">
      <alignment horizontal="right"/>
    </xf>
    <xf numFmtId="0" fontId="38" fillId="3" borderId="3" xfId="0" applyFont="1" applyFill="1" applyBorder="1" applyAlignment="1">
      <alignment horizontal="left"/>
    </xf>
    <xf numFmtId="0" fontId="102" fillId="0" borderId="0" xfId="0" quotePrefix="1" applyFont="1" applyAlignment="1">
      <alignment horizontal="left" vertical="top" wrapText="1"/>
    </xf>
    <xf numFmtId="0" fontId="18" fillId="0" borderId="0" xfId="0" applyFont="1" applyAlignment="1">
      <alignment vertical="top" wrapText="1"/>
    </xf>
    <xf numFmtId="0" fontId="34" fillId="3" borderId="0" xfId="0" applyFont="1" applyFill="1" applyAlignment="1">
      <alignment horizontal="center"/>
    </xf>
    <xf numFmtId="2" fontId="34" fillId="3" borderId="40" xfId="0" applyNumberFormat="1" applyFont="1" applyFill="1" applyBorder="1" applyAlignment="1">
      <alignment horizontal="right"/>
    </xf>
    <xf numFmtId="49" fontId="34" fillId="3" borderId="40" xfId="0" applyNumberFormat="1" applyFont="1" applyFill="1" applyBorder="1" applyAlignment="1">
      <alignment horizontal="right"/>
    </xf>
    <xf numFmtId="0" fontId="38" fillId="3" borderId="0" xfId="0" applyFont="1" applyFill="1" applyAlignment="1" applyProtection="1">
      <alignment horizontal="center"/>
      <protection hidden="1"/>
    </xf>
    <xf numFmtId="0" fontId="38" fillId="3" borderId="0" xfId="0" applyFont="1" applyFill="1" applyAlignment="1">
      <alignment horizontal="center"/>
    </xf>
    <xf numFmtId="0" fontId="0" fillId="17" borderId="67" xfId="0" applyFill="1" applyBorder="1"/>
    <xf numFmtId="0" fontId="34" fillId="3" borderId="23" xfId="0" applyFont="1" applyFill="1" applyBorder="1" applyAlignment="1">
      <alignment horizontal="center"/>
    </xf>
    <xf numFmtId="0" fontId="34" fillId="3" borderId="67" xfId="0" applyFont="1" applyFill="1" applyBorder="1" applyAlignment="1" applyProtection="1">
      <alignment horizontal="center"/>
      <protection hidden="1"/>
    </xf>
    <xf numFmtId="0" fontId="34" fillId="3" borderId="67" xfId="0" applyFont="1" applyFill="1" applyBorder="1"/>
    <xf numFmtId="0" fontId="38" fillId="0" borderId="0" xfId="0" applyFont="1" applyAlignment="1" applyProtection="1">
      <alignment horizontal="center"/>
      <protection hidden="1"/>
    </xf>
    <xf numFmtId="0" fontId="34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18" fillId="0" borderId="10" xfId="0" applyFont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0" fontId="18" fillId="0" borderId="27" xfId="0" applyFont="1" applyBorder="1" applyAlignment="1">
      <alignment horizontal="center"/>
    </xf>
    <xf numFmtId="0" fontId="18" fillId="0" borderId="17" xfId="0" applyFont="1" applyBorder="1" applyAlignment="1">
      <alignment horizontal="center" vertical="center"/>
    </xf>
    <xf numFmtId="0" fontId="18" fillId="8" borderId="44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/>
    </xf>
    <xf numFmtId="0" fontId="15" fillId="7" borderId="67" xfId="0" applyFont="1" applyFill="1" applyBorder="1" applyAlignment="1">
      <alignment horizontal="center" vertical="center"/>
    </xf>
    <xf numFmtId="0" fontId="15" fillId="7" borderId="69" xfId="0" applyFont="1" applyFill="1" applyBorder="1" applyAlignment="1">
      <alignment horizontal="center" vertical="center"/>
    </xf>
    <xf numFmtId="0" fontId="18" fillId="0" borderId="39" xfId="0" applyFont="1" applyBorder="1" applyAlignment="1">
      <alignment horizontal="center" vertical="center"/>
    </xf>
    <xf numFmtId="2" fontId="18" fillId="0" borderId="39" xfId="0" applyNumberFormat="1" applyFont="1" applyBorder="1" applyAlignment="1">
      <alignment horizontal="center" vertical="center"/>
    </xf>
    <xf numFmtId="0" fontId="34" fillId="0" borderId="21" xfId="0" applyFont="1" applyBorder="1" applyAlignment="1">
      <alignment horizontal="center"/>
    </xf>
    <xf numFmtId="0" fontId="34" fillId="0" borderId="26" xfId="0" applyFont="1" applyBorder="1" applyAlignment="1">
      <alignment horizontal="center"/>
    </xf>
    <xf numFmtId="165" fontId="15" fillId="10" borderId="44" xfId="0" applyNumberFormat="1" applyFont="1" applyFill="1" applyBorder="1" applyAlignment="1">
      <alignment horizontal="center"/>
    </xf>
    <xf numFmtId="165" fontId="15" fillId="10" borderId="45" xfId="0" applyNumberFormat="1" applyFont="1" applyFill="1" applyBorder="1" applyAlignment="1">
      <alignment horizontal="center"/>
    </xf>
    <xf numFmtId="165" fontId="15" fillId="10" borderId="19" xfId="0" applyNumberFormat="1" applyFont="1" applyFill="1" applyBorder="1" applyAlignment="1">
      <alignment horizontal="center"/>
    </xf>
    <xf numFmtId="165" fontId="15" fillId="10" borderId="20" xfId="0" applyNumberFormat="1" applyFont="1" applyFill="1" applyBorder="1" applyAlignment="1">
      <alignment horizontal="center"/>
    </xf>
    <xf numFmtId="165" fontId="15" fillId="10" borderId="43" xfId="0" applyNumberFormat="1" applyFont="1" applyFill="1" applyBorder="1" applyAlignment="1">
      <alignment horizontal="center"/>
    </xf>
    <xf numFmtId="165" fontId="15" fillId="10" borderId="38" xfId="0" applyNumberFormat="1" applyFont="1" applyFill="1" applyBorder="1" applyAlignment="1">
      <alignment horizontal="center"/>
    </xf>
    <xf numFmtId="165" fontId="17" fillId="0" borderId="0" xfId="0" applyNumberFormat="1" applyFont="1" applyAlignment="1">
      <alignment horizontal="center" vertical="center"/>
    </xf>
    <xf numFmtId="166" fontId="17" fillId="0" borderId="0" xfId="0" applyNumberFormat="1" applyFont="1" applyAlignment="1">
      <alignment horizontal="center" vertical="center"/>
    </xf>
    <xf numFmtId="166" fontId="17" fillId="0" borderId="45" xfId="0" applyNumberFormat="1" applyFont="1" applyBorder="1" applyAlignment="1">
      <alignment horizontal="center" vertical="center"/>
    </xf>
    <xf numFmtId="166" fontId="17" fillId="0" borderId="20" xfId="0" applyNumberFormat="1" applyFont="1" applyBorder="1" applyAlignment="1">
      <alignment horizontal="center" vertical="center"/>
    </xf>
    <xf numFmtId="0" fontId="0" fillId="5" borderId="0" xfId="0" applyFill="1"/>
    <xf numFmtId="0" fontId="20" fillId="14" borderId="40" xfId="0" applyFont="1" applyFill="1" applyBorder="1" applyAlignment="1">
      <alignment horizontal="center"/>
    </xf>
    <xf numFmtId="166" fontId="17" fillId="0" borderId="55" xfId="0" applyNumberFormat="1" applyFont="1" applyBorder="1" applyAlignment="1">
      <alignment horizontal="center" vertical="center"/>
    </xf>
    <xf numFmtId="166" fontId="17" fillId="0" borderId="58" xfId="0" applyNumberFormat="1" applyFont="1" applyBorder="1" applyAlignment="1">
      <alignment horizontal="center" vertical="center"/>
    </xf>
    <xf numFmtId="166" fontId="17" fillId="0" borderId="42" xfId="0" applyNumberFormat="1" applyFont="1" applyBorder="1" applyAlignment="1">
      <alignment horizontal="center" vertical="center"/>
    </xf>
    <xf numFmtId="0" fontId="34" fillId="3" borderId="0" xfId="0" applyFont="1" applyFill="1" applyAlignment="1">
      <alignment horizontal="left" vertical="center"/>
    </xf>
    <xf numFmtId="166" fontId="18" fillId="3" borderId="20" xfId="0" applyNumberFormat="1" applyFont="1" applyFill="1" applyBorder="1" applyAlignment="1">
      <alignment horizontal="center"/>
    </xf>
    <xf numFmtId="0" fontId="34" fillId="3" borderId="33" xfId="0" applyFont="1" applyFill="1" applyBorder="1" applyAlignment="1">
      <alignment horizontal="center" vertical="center"/>
    </xf>
    <xf numFmtId="0" fontId="34" fillId="3" borderId="43" xfId="0" applyFont="1" applyFill="1" applyBorder="1" applyAlignment="1">
      <alignment horizontal="center" vertical="center"/>
    </xf>
    <xf numFmtId="0" fontId="34" fillId="3" borderId="14" xfId="0" applyFont="1" applyFill="1" applyBorder="1" applyAlignment="1">
      <alignment horizontal="left" vertical="center"/>
    </xf>
    <xf numFmtId="166" fontId="6" fillId="3" borderId="38" xfId="0" applyNumberFormat="1" applyFont="1" applyFill="1" applyBorder="1" applyAlignment="1">
      <alignment horizontal="center"/>
    </xf>
    <xf numFmtId="0" fontId="100" fillId="7" borderId="19" xfId="0" applyFont="1" applyFill="1" applyBorder="1" applyAlignment="1">
      <alignment horizontal="center" vertical="center" wrapText="1"/>
    </xf>
    <xf numFmtId="0" fontId="0" fillId="0" borderId="4" xfId="0" applyBorder="1"/>
    <xf numFmtId="0" fontId="47" fillId="0" borderId="0" xfId="0" applyFont="1"/>
    <xf numFmtId="168" fontId="15" fillId="24" borderId="0" xfId="0" applyNumberFormat="1" applyFont="1" applyFill="1" applyAlignment="1">
      <alignment horizontal="center" vertical="center"/>
    </xf>
    <xf numFmtId="165" fontId="20" fillId="3" borderId="45" xfId="0" applyNumberFormat="1" applyFont="1" applyFill="1" applyBorder="1" applyAlignment="1">
      <alignment horizontal="center" vertical="center"/>
    </xf>
    <xf numFmtId="166" fontId="6" fillId="3" borderId="38" xfId="0" applyNumberFormat="1" applyFont="1" applyFill="1" applyBorder="1"/>
    <xf numFmtId="0" fontId="20" fillId="9" borderId="0" xfId="0" applyFont="1" applyFill="1" applyAlignment="1">
      <alignment horizontal="center"/>
    </xf>
    <xf numFmtId="0" fontId="20" fillId="18" borderId="36" xfId="0" applyFont="1" applyFill="1" applyBorder="1" applyAlignment="1">
      <alignment horizontal="center" vertical="center"/>
    </xf>
    <xf numFmtId="0" fontId="38" fillId="7" borderId="44" xfId="0" applyFont="1" applyFill="1" applyBorder="1" applyAlignment="1">
      <alignment horizontal="center" vertical="center" wrapText="1"/>
    </xf>
    <xf numFmtId="0" fontId="20" fillId="7" borderId="40" xfId="0" applyFont="1" applyFill="1" applyBorder="1" applyAlignment="1">
      <alignment horizontal="center" vertical="center"/>
    </xf>
    <xf numFmtId="0" fontId="39" fillId="22" borderId="40" xfId="0" applyFont="1" applyFill="1" applyBorder="1" applyAlignment="1">
      <alignment vertical="center"/>
    </xf>
    <xf numFmtId="0" fontId="27" fillId="0" borderId="0" xfId="0" applyFont="1"/>
    <xf numFmtId="0" fontId="20" fillId="0" borderId="14" xfId="0" applyFont="1" applyBorder="1" applyAlignment="1">
      <alignment horizontal="right"/>
    </xf>
    <xf numFmtId="0" fontId="13" fillId="9" borderId="0" xfId="0" applyFont="1" applyFill="1"/>
    <xf numFmtId="0" fontId="13" fillId="9" borderId="0" xfId="0" applyFont="1" applyFill="1" applyAlignment="1">
      <alignment horizontal="center"/>
    </xf>
    <xf numFmtId="0" fontId="12" fillId="9" borderId="0" xfId="0" applyFont="1" applyFill="1" applyAlignment="1" applyProtection="1">
      <alignment horizontal="center"/>
      <protection locked="0"/>
    </xf>
    <xf numFmtId="1" fontId="0" fillId="9" borderId="0" xfId="0" applyNumberFormat="1" applyFill="1" applyAlignment="1">
      <alignment horizontal="center" vertical="center"/>
    </xf>
    <xf numFmtId="165" fontId="15" fillId="9" borderId="0" xfId="0" applyNumberFormat="1" applyFont="1" applyFill="1" applyAlignment="1">
      <alignment horizontal="center"/>
    </xf>
    <xf numFmtId="165" fontId="0" fillId="9" borderId="0" xfId="0" applyNumberFormat="1" applyFill="1"/>
    <xf numFmtId="0" fontId="89" fillId="23" borderId="0" xfId="0" applyFont="1" applyFill="1" applyAlignment="1">
      <alignment vertical="center"/>
    </xf>
    <xf numFmtId="0" fontId="102" fillId="0" borderId="0" xfId="0" quotePrefix="1" applyFont="1" applyAlignment="1">
      <alignment horizontal="center" vertical="top" wrapText="1"/>
    </xf>
    <xf numFmtId="0" fontId="18" fillId="3" borderId="27" xfId="0" applyFont="1" applyFill="1" applyBorder="1"/>
    <xf numFmtId="0" fontId="18" fillId="3" borderId="0" xfId="0" applyFont="1" applyFill="1"/>
    <xf numFmtId="0" fontId="18" fillId="3" borderId="28" xfId="0" applyFont="1" applyFill="1" applyBorder="1"/>
    <xf numFmtId="0" fontId="18" fillId="3" borderId="13" xfId="0" applyFont="1" applyFill="1" applyBorder="1" applyAlignment="1" applyProtection="1">
      <alignment horizontal="center"/>
      <protection locked="0"/>
    </xf>
    <xf numFmtId="0" fontId="18" fillId="3" borderId="27" xfId="0" applyFont="1" applyFill="1" applyBorder="1" applyAlignment="1">
      <alignment vertical="top"/>
    </xf>
    <xf numFmtId="1" fontId="38" fillId="23" borderId="13" xfId="0" applyNumberFormat="1" applyFont="1" applyFill="1" applyBorder="1" applyAlignment="1">
      <alignment horizontal="center" vertical="center"/>
    </xf>
    <xf numFmtId="0" fontId="34" fillId="2" borderId="40" xfId="0" applyFont="1" applyFill="1" applyBorder="1" applyAlignment="1" applyProtection="1">
      <alignment horizontal="center" vertical="center"/>
      <protection locked="0"/>
    </xf>
    <xf numFmtId="0" fontId="41" fillId="0" borderId="16" xfId="0" applyFont="1" applyBorder="1" applyAlignment="1">
      <alignment horizontal="center" vertical="center"/>
    </xf>
    <xf numFmtId="0" fontId="20" fillId="23" borderId="25" xfId="0" applyFont="1" applyFill="1" applyBorder="1" applyAlignment="1">
      <alignment horizontal="center" vertical="center"/>
    </xf>
    <xf numFmtId="3" fontId="38" fillId="23" borderId="17" xfId="0" applyNumberFormat="1" applyFont="1" applyFill="1" applyBorder="1" applyAlignment="1">
      <alignment horizontal="center" vertical="center"/>
    </xf>
    <xf numFmtId="0" fontId="0" fillId="9" borderId="35" xfId="0" applyFill="1" applyBorder="1"/>
    <xf numFmtId="0" fontId="0" fillId="9" borderId="30" xfId="0" applyFill="1" applyBorder="1"/>
    <xf numFmtId="171" fontId="34" fillId="12" borderId="30" xfId="0" applyNumberFormat="1" applyFont="1" applyFill="1" applyBorder="1" applyAlignment="1">
      <alignment horizontal="center" vertical="center"/>
    </xf>
    <xf numFmtId="0" fontId="0" fillId="9" borderId="36" xfId="0" applyFill="1" applyBorder="1"/>
    <xf numFmtId="0" fontId="15" fillId="0" borderId="29" xfId="0" applyFont="1" applyBorder="1"/>
    <xf numFmtId="0" fontId="0" fillId="0" borderId="29" xfId="0" applyBorder="1"/>
    <xf numFmtId="0" fontId="20" fillId="7" borderId="21" xfId="0" quotePrefix="1" applyFont="1" applyFill="1" applyBorder="1" applyAlignment="1">
      <alignment horizontal="center" wrapText="1"/>
    </xf>
    <xf numFmtId="0" fontId="117" fillId="0" borderId="23" xfId="0" applyFont="1" applyBorder="1" applyAlignment="1">
      <alignment horizontal="center" vertical="center"/>
    </xf>
    <xf numFmtId="0" fontId="116" fillId="0" borderId="23" xfId="0" applyFont="1" applyBorder="1" applyAlignment="1">
      <alignment horizontal="center" vertical="center"/>
    </xf>
    <xf numFmtId="0" fontId="15" fillId="0" borderId="75" xfId="0" applyFont="1" applyBorder="1" applyAlignment="1">
      <alignment horizontal="center"/>
    </xf>
    <xf numFmtId="0" fontId="15" fillId="0" borderId="76" xfId="0" applyFont="1" applyBorder="1" applyAlignment="1">
      <alignment horizontal="center"/>
    </xf>
    <xf numFmtId="0" fontId="15" fillId="0" borderId="33" xfId="0" applyFont="1" applyBorder="1" applyAlignment="1">
      <alignment horizontal="center"/>
    </xf>
    <xf numFmtId="0" fontId="15" fillId="0" borderId="34" xfId="0" applyFont="1" applyBorder="1" applyAlignment="1">
      <alignment horizontal="center"/>
    </xf>
    <xf numFmtId="0" fontId="20" fillId="0" borderId="67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0" fontId="41" fillId="0" borderId="23" xfId="0" applyFont="1" applyBorder="1" applyAlignment="1">
      <alignment horizontal="center" vertical="center"/>
    </xf>
    <xf numFmtId="0" fontId="34" fillId="9" borderId="19" xfId="0" applyFont="1" applyFill="1" applyBorder="1" applyAlignment="1">
      <alignment horizontal="center" vertical="center"/>
    </xf>
    <xf numFmtId="0" fontId="34" fillId="9" borderId="0" xfId="0" applyFont="1" applyFill="1" applyAlignment="1">
      <alignment horizontal="center" vertical="center"/>
    </xf>
    <xf numFmtId="0" fontId="34" fillId="9" borderId="20" xfId="0" applyFont="1" applyFill="1" applyBorder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38" fillId="27" borderId="19" xfId="0" applyFont="1" applyFill="1" applyBorder="1" applyAlignment="1">
      <alignment horizontal="center" vertical="center"/>
    </xf>
    <xf numFmtId="0" fontId="38" fillId="27" borderId="0" xfId="0" applyFont="1" applyFill="1" applyAlignment="1">
      <alignment horizontal="center" vertical="center"/>
    </xf>
    <xf numFmtId="0" fontId="38" fillId="27" borderId="20" xfId="0" applyFont="1" applyFill="1" applyBorder="1" applyAlignment="1">
      <alignment horizontal="center" vertical="center"/>
    </xf>
    <xf numFmtId="0" fontId="34" fillId="2" borderId="57" xfId="0" applyFont="1" applyFill="1" applyBorder="1" applyAlignment="1" applyProtection="1">
      <alignment horizontal="center" vertical="center"/>
      <protection locked="0"/>
    </xf>
    <xf numFmtId="0" fontId="34" fillId="2" borderId="59" xfId="0" applyFont="1" applyFill="1" applyBorder="1" applyAlignment="1" applyProtection="1">
      <alignment horizontal="center" vertical="center"/>
      <protection locked="0"/>
    </xf>
    <xf numFmtId="0" fontId="34" fillId="2" borderId="12" xfId="0" applyFont="1" applyFill="1" applyBorder="1" applyAlignment="1" applyProtection="1">
      <alignment horizontal="center" vertical="center"/>
      <protection locked="0"/>
    </xf>
    <xf numFmtId="0" fontId="34" fillId="0" borderId="0" xfId="0" applyFont="1" applyAlignment="1">
      <alignment horizontal="right" vertical="center"/>
    </xf>
    <xf numFmtId="0" fontId="38" fillId="0" borderId="37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18" fillId="0" borderId="37" xfId="0" applyFont="1" applyBorder="1" applyAlignment="1">
      <alignment horizontal="center" vertical="center"/>
    </xf>
    <xf numFmtId="0" fontId="18" fillId="0" borderId="0" xfId="0" applyFont="1" applyAlignment="1">
      <alignment horizontal="right"/>
    </xf>
    <xf numFmtId="0" fontId="18" fillId="0" borderId="37" xfId="0" applyFont="1" applyBorder="1" applyAlignment="1">
      <alignment horizontal="center"/>
    </xf>
    <xf numFmtId="0" fontId="18" fillId="0" borderId="41" xfId="0" applyFont="1" applyBorder="1" applyAlignment="1">
      <alignment horizontal="center"/>
    </xf>
    <xf numFmtId="0" fontId="18" fillId="0" borderId="54" xfId="0" applyFont="1" applyBorder="1" applyAlignment="1">
      <alignment horizontal="center"/>
    </xf>
    <xf numFmtId="0" fontId="6" fillId="0" borderId="41" xfId="0" applyFont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18" fillId="0" borderId="0" xfId="0" applyFont="1" applyAlignment="1" applyProtection="1">
      <alignment horizontal="center"/>
      <protection locked="0"/>
    </xf>
    <xf numFmtId="0" fontId="34" fillId="0" borderId="0" xfId="0" applyFont="1" applyAlignment="1">
      <alignment horizontal="right"/>
    </xf>
    <xf numFmtId="173" fontId="18" fillId="8" borderId="45" xfId="0" applyNumberFormat="1" applyFont="1" applyFill="1" applyBorder="1" applyAlignment="1">
      <alignment horizontal="center" vertical="center"/>
    </xf>
    <xf numFmtId="173" fontId="18" fillId="8" borderId="20" xfId="0" applyNumberFormat="1" applyFont="1" applyFill="1" applyBorder="1" applyAlignment="1">
      <alignment horizontal="center" vertical="center"/>
    </xf>
    <xf numFmtId="173" fontId="18" fillId="8" borderId="38" xfId="0" applyNumberFormat="1" applyFont="1" applyFill="1" applyBorder="1" applyAlignment="1">
      <alignment horizontal="center" vertical="center"/>
    </xf>
    <xf numFmtId="173" fontId="18" fillId="8" borderId="43" xfId="0" applyNumberFormat="1" applyFont="1" applyFill="1" applyBorder="1" applyAlignment="1">
      <alignment horizontal="center" vertical="center"/>
    </xf>
    <xf numFmtId="165" fontId="15" fillId="0" borderId="19" xfId="0" applyNumberFormat="1" applyFont="1" applyBorder="1" applyAlignment="1">
      <alignment horizontal="center"/>
    </xf>
    <xf numFmtId="165" fontId="15" fillId="0" borderId="44" xfId="0" applyNumberFormat="1" applyFont="1" applyBorder="1" applyAlignment="1">
      <alignment horizontal="center"/>
    </xf>
    <xf numFmtId="165" fontId="15" fillId="0" borderId="43" xfId="0" applyNumberFormat="1" applyFont="1" applyBorder="1" applyAlignment="1">
      <alignment horizontal="center"/>
    </xf>
    <xf numFmtId="165" fontId="15" fillId="0" borderId="45" xfId="0" applyNumberFormat="1" applyFont="1" applyBorder="1" applyAlignment="1">
      <alignment horizontal="center"/>
    </xf>
    <xf numFmtId="165" fontId="15" fillId="0" borderId="20" xfId="0" applyNumberFormat="1" applyFont="1" applyBorder="1" applyAlignment="1">
      <alignment horizontal="center"/>
    </xf>
    <xf numFmtId="165" fontId="15" fillId="0" borderId="38" xfId="0" applyNumberFormat="1" applyFont="1" applyBorder="1" applyAlignment="1">
      <alignment horizontal="center"/>
    </xf>
    <xf numFmtId="0" fontId="6" fillId="29" borderId="30" xfId="0" applyFont="1" applyFill="1" applyBorder="1" applyAlignment="1">
      <alignment horizontal="center" vertical="center"/>
    </xf>
    <xf numFmtId="0" fontId="6" fillId="15" borderId="30" xfId="0" applyFont="1" applyFill="1" applyBorder="1" applyAlignment="1">
      <alignment horizontal="center" vertical="center"/>
    </xf>
    <xf numFmtId="0" fontId="34" fillId="28" borderId="0" xfId="0" applyFont="1" applyFill="1" applyAlignment="1">
      <alignment horizontal="center" vertical="center"/>
    </xf>
    <xf numFmtId="0" fontId="34" fillId="28" borderId="0" xfId="0" applyFont="1" applyFill="1" applyAlignment="1">
      <alignment horizontal="center" vertical="center" wrapText="1"/>
    </xf>
    <xf numFmtId="3" fontId="34" fillId="28" borderId="0" xfId="0" applyNumberFormat="1" applyFont="1" applyFill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88" fillId="23" borderId="35" xfId="0" applyFont="1" applyFill="1" applyBorder="1" applyAlignment="1">
      <alignment horizontal="center" vertical="center"/>
    </xf>
    <xf numFmtId="0" fontId="88" fillId="23" borderId="36" xfId="0" applyFont="1" applyFill="1" applyBorder="1" applyAlignment="1">
      <alignment horizontal="center"/>
    </xf>
    <xf numFmtId="0" fontId="34" fillId="23" borderId="0" xfId="0" applyFont="1" applyFill="1" applyAlignment="1">
      <alignment horizontal="center" vertical="center"/>
    </xf>
    <xf numFmtId="0" fontId="34" fillId="23" borderId="20" xfId="0" applyFont="1" applyFill="1" applyBorder="1" applyAlignment="1">
      <alignment horizontal="center" vertical="center"/>
    </xf>
    <xf numFmtId="165" fontId="34" fillId="8" borderId="43" xfId="0" applyNumberFormat="1" applyFont="1" applyFill="1" applyBorder="1" applyAlignment="1">
      <alignment horizontal="center" vertical="center"/>
    </xf>
    <xf numFmtId="0" fontId="34" fillId="8" borderId="14" xfId="0" applyFont="1" applyFill="1" applyBorder="1" applyAlignment="1">
      <alignment horizontal="center" vertical="center"/>
    </xf>
    <xf numFmtId="0" fontId="34" fillId="8" borderId="38" xfId="0" applyFont="1" applyFill="1" applyBorder="1" applyAlignment="1">
      <alignment horizontal="center" vertical="center"/>
    </xf>
    <xf numFmtId="0" fontId="6" fillId="9" borderId="0" xfId="0" quotePrefix="1" applyFont="1" applyFill="1" applyAlignment="1">
      <alignment horizontal="left"/>
    </xf>
    <xf numFmtId="0" fontId="6" fillId="9" borderId="0" xfId="0" applyFont="1" applyFill="1" applyAlignment="1">
      <alignment horizontal="center"/>
    </xf>
    <xf numFmtId="0" fontId="111" fillId="9" borderId="0" xfId="0" applyFont="1" applyFill="1" applyAlignment="1">
      <alignment horizontal="center"/>
    </xf>
    <xf numFmtId="0" fontId="115" fillId="9" borderId="0" xfId="0" applyFont="1" applyFill="1" applyAlignment="1">
      <alignment horizontal="center" vertical="center"/>
    </xf>
    <xf numFmtId="0" fontId="41" fillId="9" borderId="0" xfId="0" applyFont="1" applyFill="1" applyAlignment="1">
      <alignment vertical="center"/>
    </xf>
    <xf numFmtId="1" fontId="37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165" fontId="18" fillId="28" borderId="30" xfId="0" applyNumberFormat="1" applyFont="1" applyFill="1" applyBorder="1" applyAlignment="1">
      <alignment horizontal="right" vertical="top"/>
    </xf>
    <xf numFmtId="0" fontId="15" fillId="23" borderId="30" xfId="0" applyFont="1" applyFill="1" applyBorder="1"/>
    <xf numFmtId="0" fontId="34" fillId="27" borderId="30" xfId="0" applyFont="1" applyFill="1" applyBorder="1" applyAlignment="1">
      <alignment horizontal="right" vertical="top"/>
    </xf>
    <xf numFmtId="165" fontId="15" fillId="8" borderId="36" xfId="0" applyNumberFormat="1" applyFont="1" applyFill="1" applyBorder="1" applyAlignment="1">
      <alignment horizontal="center"/>
    </xf>
    <xf numFmtId="0" fontId="15" fillId="26" borderId="19" xfId="0" applyFont="1" applyFill="1" applyBorder="1" applyAlignment="1">
      <alignment horizontal="center" vertical="center"/>
    </xf>
    <xf numFmtId="0" fontId="15" fillId="0" borderId="19" xfId="0" applyFont="1" applyBorder="1"/>
    <xf numFmtId="0" fontId="15" fillId="0" borderId="20" xfId="0" applyFont="1" applyBorder="1"/>
    <xf numFmtId="0" fontId="15" fillId="0" borderId="45" xfId="0" applyFont="1" applyBorder="1"/>
    <xf numFmtId="0" fontId="15" fillId="23" borderId="20" xfId="0" applyFont="1" applyFill="1" applyBorder="1" applyAlignment="1">
      <alignment horizontal="center" vertical="center"/>
    </xf>
    <xf numFmtId="0" fontId="117" fillId="23" borderId="69" xfId="0" applyFont="1" applyFill="1" applyBorder="1" applyAlignment="1">
      <alignment horizontal="center" vertical="center"/>
    </xf>
    <xf numFmtId="0" fontId="116" fillId="24" borderId="23" xfId="0" applyFont="1" applyFill="1" applyBorder="1" applyAlignment="1">
      <alignment horizontal="center" vertical="center"/>
    </xf>
    <xf numFmtId="0" fontId="50" fillId="26" borderId="69" xfId="0" applyFont="1" applyFill="1" applyBorder="1" applyAlignment="1">
      <alignment horizontal="center" vertical="center" wrapText="1"/>
    </xf>
    <xf numFmtId="169" fontId="34" fillId="30" borderId="44" xfId="0" applyNumberFormat="1" applyFont="1" applyFill="1" applyBorder="1" applyAlignment="1">
      <alignment horizontal="center" vertical="center"/>
    </xf>
    <xf numFmtId="49" fontId="34" fillId="30" borderId="39" xfId="0" applyNumberFormat="1" applyFont="1" applyFill="1" applyBorder="1" applyAlignment="1">
      <alignment horizontal="center" vertical="center"/>
    </xf>
    <xf numFmtId="0" fontId="34" fillId="30" borderId="39" xfId="0" applyFont="1" applyFill="1" applyBorder="1" applyAlignment="1">
      <alignment horizontal="center" vertical="center"/>
    </xf>
    <xf numFmtId="0" fontId="34" fillId="30" borderId="45" xfId="0" applyFont="1" applyFill="1" applyBorder="1" applyAlignment="1">
      <alignment horizontal="center" vertical="center"/>
    </xf>
    <xf numFmtId="0" fontId="23" fillId="3" borderId="43" xfId="0" applyFont="1" applyFill="1" applyBorder="1" applyAlignment="1" applyProtection="1">
      <alignment horizontal="center" vertical="center"/>
      <protection locked="0"/>
    </xf>
    <xf numFmtId="0" fontId="23" fillId="3" borderId="14" xfId="0" applyFont="1" applyFill="1" applyBorder="1" applyAlignment="1">
      <alignment horizontal="center" vertical="center"/>
    </xf>
    <xf numFmtId="0" fontId="23" fillId="3" borderId="38" xfId="0" applyFont="1" applyFill="1" applyBorder="1" applyAlignment="1">
      <alignment horizontal="center" vertical="center"/>
    </xf>
    <xf numFmtId="0" fontId="0" fillId="0" borderId="45" xfId="0" applyBorder="1"/>
    <xf numFmtId="0" fontId="0" fillId="0" borderId="19" xfId="0" applyBorder="1"/>
    <xf numFmtId="0" fontId="0" fillId="0" borderId="20" xfId="0" applyBorder="1"/>
    <xf numFmtId="14" fontId="0" fillId="9" borderId="0" xfId="0" applyNumberFormat="1" applyFill="1" applyProtection="1">
      <protection locked="0"/>
    </xf>
    <xf numFmtId="0" fontId="46" fillId="0" borderId="0" xfId="0" quotePrefix="1" applyFont="1" applyAlignment="1">
      <alignment vertical="center" wrapText="1"/>
    </xf>
    <xf numFmtId="0" fontId="45" fillId="0" borderId="0" xfId="0" applyFont="1" applyAlignment="1">
      <alignment vertical="center" textRotation="90" wrapText="1"/>
    </xf>
    <xf numFmtId="0" fontId="123" fillId="0" borderId="0" xfId="0" quotePrefix="1" applyFont="1" applyAlignment="1">
      <alignment horizontal="left" vertical="center" wrapText="1"/>
    </xf>
    <xf numFmtId="0" fontId="23" fillId="0" borderId="0" xfId="0" applyFont="1" applyAlignment="1">
      <alignment horizontal="left"/>
    </xf>
    <xf numFmtId="0" fontId="34" fillId="0" borderId="0" xfId="0" applyFont="1" applyAlignment="1">
      <alignment horizontal="center" wrapText="1"/>
    </xf>
    <xf numFmtId="0" fontId="124" fillId="0" borderId="0" xfId="0" quotePrefix="1" applyFont="1" applyAlignment="1">
      <alignment vertical="center" wrapText="1"/>
    </xf>
    <xf numFmtId="0" fontId="124" fillId="0" borderId="0" xfId="0" applyFont="1" applyAlignment="1">
      <alignment horizontal="left"/>
    </xf>
    <xf numFmtId="0" fontId="26" fillId="9" borderId="0" xfId="0" applyFont="1" applyFill="1"/>
    <xf numFmtId="0" fontId="45" fillId="9" borderId="0" xfId="0" applyFont="1" applyFill="1" applyAlignment="1">
      <alignment vertical="center" textRotation="90" wrapText="1"/>
    </xf>
    <xf numFmtId="0" fontId="48" fillId="0" borderId="0" xfId="0" quotePrefix="1" applyFont="1" applyAlignment="1">
      <alignment wrapText="1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7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118" fillId="0" borderId="0" xfId="0" applyFont="1" applyAlignment="1">
      <alignment vertical="top"/>
    </xf>
    <xf numFmtId="49" fontId="10" fillId="9" borderId="0" xfId="0" applyNumberFormat="1" applyFont="1" applyFill="1"/>
    <xf numFmtId="0" fontId="34" fillId="9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34" fillId="9" borderId="0" xfId="0" applyFont="1" applyFill="1"/>
    <xf numFmtId="0" fontId="118" fillId="0" borderId="1" xfId="0" applyFont="1" applyBorder="1" applyAlignment="1">
      <alignment vertical="top"/>
    </xf>
    <xf numFmtId="0" fontId="45" fillId="0" borderId="1" xfId="0" applyFont="1" applyBorder="1" applyAlignment="1">
      <alignment vertical="center" textRotation="90" wrapText="1"/>
    </xf>
    <xf numFmtId="0" fontId="20" fillId="0" borderId="0" xfId="0" applyFont="1" applyAlignment="1">
      <alignment horizontal="left" vertical="top"/>
    </xf>
    <xf numFmtId="0" fontId="20" fillId="0" borderId="0" xfId="0" applyFont="1" applyAlignment="1">
      <alignment horizontal="left"/>
    </xf>
    <xf numFmtId="0" fontId="95" fillId="0" borderId="0" xfId="0" applyFont="1"/>
    <xf numFmtId="0" fontId="20" fillId="0" borderId="1" xfId="0" applyFont="1" applyBorder="1" applyAlignment="1">
      <alignment horizontal="left" vertical="center"/>
    </xf>
    <xf numFmtId="0" fontId="38" fillId="0" borderId="0" xfId="0" applyFont="1"/>
    <xf numFmtId="0" fontId="118" fillId="0" borderId="0" xfId="0" applyFont="1" applyAlignment="1">
      <alignment vertical="center"/>
    </xf>
    <xf numFmtId="0" fontId="100" fillId="7" borderId="0" xfId="0" applyFont="1" applyFill="1" applyAlignment="1">
      <alignment vertical="center" wrapText="1"/>
    </xf>
    <xf numFmtId="0" fontId="38" fillId="9" borderId="0" xfId="0" applyFont="1" applyFill="1" applyAlignment="1">
      <alignment horizontal="center" vertical="center"/>
    </xf>
    <xf numFmtId="0" fontId="18" fillId="9" borderId="0" xfId="0" applyFon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0" fontId="18" fillId="9" borderId="0" xfId="0" applyFont="1" applyFill="1" applyAlignment="1" applyProtection="1">
      <alignment horizontal="center"/>
      <protection locked="0"/>
    </xf>
    <xf numFmtId="0" fontId="20" fillId="9" borderId="0" xfId="0" applyFont="1" applyFill="1" applyAlignment="1">
      <alignment horizontal="center" vertical="center"/>
    </xf>
    <xf numFmtId="0" fontId="18" fillId="9" borderId="0" xfId="0" applyFont="1" applyFill="1"/>
    <xf numFmtId="166" fontId="17" fillId="0" borderId="20" xfId="0" applyNumberFormat="1" applyFont="1" applyBorder="1" applyAlignment="1">
      <alignment horizontal="center"/>
    </xf>
    <xf numFmtId="0" fontId="6" fillId="7" borderId="30" xfId="0" applyFont="1" applyFill="1" applyBorder="1" applyAlignment="1">
      <alignment horizontal="center" vertical="center"/>
    </xf>
    <xf numFmtId="0" fontId="15" fillId="5" borderId="0" xfId="0" quotePrefix="1" applyFont="1" applyFill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8" fillId="0" borderId="0" xfId="0" quotePrefix="1" applyFont="1" applyAlignment="1">
      <alignment horizontal="left" wrapText="1"/>
    </xf>
    <xf numFmtId="0" fontId="0" fillId="3" borderId="44" xfId="0" applyFill="1" applyBorder="1" applyAlignment="1">
      <alignment horizontal="left" vertical="center"/>
    </xf>
    <xf numFmtId="0" fontId="0" fillId="3" borderId="19" xfId="0" applyFill="1" applyBorder="1" applyAlignment="1">
      <alignment horizontal="left" vertical="center"/>
    </xf>
    <xf numFmtId="0" fontId="20" fillId="9" borderId="0" xfId="0" applyFont="1" applyFill="1" applyAlignment="1">
      <alignment vertical="center"/>
    </xf>
    <xf numFmtId="0" fontId="47" fillId="0" borderId="0" xfId="0" quotePrefix="1" applyFont="1" applyAlignment="1">
      <alignment wrapText="1"/>
    </xf>
    <xf numFmtId="0" fontId="34" fillId="0" borderId="0" xfId="0" applyFont="1" applyAlignment="1">
      <alignment vertical="top" wrapText="1"/>
    </xf>
    <xf numFmtId="0" fontId="34" fillId="0" borderId="1" xfId="0" applyFont="1" applyBorder="1" applyAlignment="1">
      <alignment vertical="top" wrapText="1"/>
    </xf>
    <xf numFmtId="14" fontId="34" fillId="0" borderId="0" xfId="0" applyNumberFormat="1" applyFont="1" applyAlignment="1">
      <alignment vertical="center"/>
    </xf>
    <xf numFmtId="0" fontId="34" fillId="0" borderId="0" xfId="0" applyFont="1" applyAlignment="1">
      <alignment vertical="center" wrapText="1"/>
    </xf>
    <xf numFmtId="0" fontId="6" fillId="5" borderId="0" xfId="0" applyFont="1" applyFill="1"/>
    <xf numFmtId="0" fontId="24" fillId="0" borderId="0" xfId="0" applyFont="1"/>
    <xf numFmtId="0" fontId="24" fillId="0" borderId="0" xfId="0" quotePrefix="1" applyFont="1"/>
    <xf numFmtId="0" fontId="25" fillId="0" borderId="0" xfId="0" applyFont="1" applyAlignment="1">
      <alignment vertical="top"/>
    </xf>
    <xf numFmtId="0" fontId="0" fillId="0" borderId="0" xfId="0" applyAlignment="1">
      <alignment vertical="top"/>
    </xf>
    <xf numFmtId="0" fontId="129" fillId="9" borderId="0" xfId="0" applyFont="1" applyFill="1" applyAlignment="1">
      <alignment vertical="center" wrapText="1"/>
    </xf>
    <xf numFmtId="0" fontId="125" fillId="0" borderId="0" xfId="0" quotePrefix="1" applyFont="1" applyAlignment="1">
      <alignment wrapText="1"/>
    </xf>
    <xf numFmtId="0" fontId="131" fillId="0" borderId="0" xfId="0" applyFont="1"/>
    <xf numFmtId="0" fontId="132" fillId="0" borderId="0" xfId="0" quotePrefix="1" applyFont="1"/>
    <xf numFmtId="0" fontId="132" fillId="0" borderId="0" xfId="0" applyFont="1"/>
    <xf numFmtId="0" fontId="132" fillId="0" borderId="0" xfId="0" quotePrefix="1" applyFont="1" applyAlignment="1">
      <alignment vertical="center"/>
    </xf>
    <xf numFmtId="0" fontId="132" fillId="0" borderId="0" xfId="0" applyFont="1" applyAlignment="1">
      <alignment vertical="center"/>
    </xf>
    <xf numFmtId="0" fontId="133" fillId="0" borderId="0" xfId="0" applyFont="1" applyAlignment="1">
      <alignment horizontal="left" vertical="center"/>
    </xf>
    <xf numFmtId="0" fontId="131" fillId="0" borderId="0" xfId="0" applyFont="1" applyAlignment="1">
      <alignment horizontal="left"/>
    </xf>
    <xf numFmtId="14" fontId="20" fillId="0" borderId="0" xfId="0" applyNumberFormat="1" applyFont="1" applyAlignment="1">
      <alignment vertical="center"/>
    </xf>
    <xf numFmtId="2" fontId="37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2" fontId="20" fillId="7" borderId="8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3" fillId="0" borderId="0" xfId="0" applyFont="1" applyAlignment="1">
      <alignment vertical="center" wrapText="1"/>
    </xf>
    <xf numFmtId="0" fontId="36" fillId="0" borderId="0" xfId="0" applyFont="1" applyAlignment="1">
      <alignment vertical="center"/>
    </xf>
    <xf numFmtId="0" fontId="37" fillId="0" borderId="0" xfId="0" applyFont="1"/>
    <xf numFmtId="1" fontId="37" fillId="0" borderId="0" xfId="0" applyNumberFormat="1" applyFont="1" applyAlignment="1">
      <alignment vertical="center"/>
    </xf>
    <xf numFmtId="1" fontId="34" fillId="0" borderId="0" xfId="0" applyNumberFormat="1" applyFont="1" applyAlignment="1">
      <alignment vertical="center"/>
    </xf>
    <xf numFmtId="0" fontId="38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170" fontId="20" fillId="2" borderId="46" xfId="0" applyNumberFormat="1" applyFont="1" applyFill="1" applyBorder="1" applyAlignment="1" applyProtection="1">
      <alignment horizontal="center" vertical="center"/>
      <protection locked="0"/>
    </xf>
    <xf numFmtId="170" fontId="20" fillId="2" borderId="47" xfId="0" applyNumberFormat="1" applyFont="1" applyFill="1" applyBorder="1" applyAlignment="1" applyProtection="1">
      <alignment horizontal="center" vertical="center"/>
      <protection locked="0"/>
    </xf>
    <xf numFmtId="170" fontId="20" fillId="2" borderId="60" xfId="0" applyNumberFormat="1" applyFont="1" applyFill="1" applyBorder="1" applyAlignment="1" applyProtection="1">
      <alignment horizontal="center" vertical="center"/>
      <protection locked="0"/>
    </xf>
    <xf numFmtId="170" fontId="20" fillId="2" borderId="12" xfId="0" applyNumberFormat="1" applyFont="1" applyFill="1" applyBorder="1" applyAlignment="1" applyProtection="1">
      <alignment horizontal="center" vertical="center"/>
      <protection locked="0"/>
    </xf>
    <xf numFmtId="0" fontId="34" fillId="0" borderId="1" xfId="0" applyFont="1" applyBorder="1"/>
    <xf numFmtId="1" fontId="34" fillId="0" borderId="1" xfId="0" applyNumberFormat="1" applyFont="1" applyBorder="1" applyAlignment="1">
      <alignment vertical="center"/>
    </xf>
    <xf numFmtId="0" fontId="38" fillId="0" borderId="1" xfId="0" applyFont="1" applyBorder="1" applyAlignment="1">
      <alignment vertical="center"/>
    </xf>
    <xf numFmtId="0" fontId="34" fillId="0" borderId="1" xfId="0" applyFont="1" applyBorder="1" applyAlignment="1">
      <alignment vertical="center"/>
    </xf>
    <xf numFmtId="0" fontId="121" fillId="0" borderId="0" xfId="0" applyFont="1" applyAlignment="1">
      <alignment horizontal="center" vertical="center" wrapText="1"/>
    </xf>
    <xf numFmtId="167" fontId="121" fillId="0" borderId="19" xfId="0" applyNumberFormat="1" applyFont="1" applyBorder="1" applyAlignment="1">
      <alignment horizontal="center" vertical="center"/>
    </xf>
    <xf numFmtId="165" fontId="121" fillId="0" borderId="20" xfId="0" applyNumberFormat="1" applyFont="1" applyBorder="1" applyAlignment="1">
      <alignment horizontal="center" vertical="center"/>
    </xf>
    <xf numFmtId="165" fontId="121" fillId="0" borderId="19" xfId="0" applyNumberFormat="1" applyFont="1" applyBorder="1" applyAlignment="1">
      <alignment horizontal="center" vertical="center"/>
    </xf>
    <xf numFmtId="165" fontId="121" fillId="0" borderId="33" xfId="0" applyNumberFormat="1" applyFont="1" applyBorder="1" applyAlignment="1">
      <alignment horizontal="center" vertical="center"/>
    </xf>
    <xf numFmtId="165" fontId="121" fillId="0" borderId="34" xfId="0" applyNumberFormat="1" applyFont="1" applyBorder="1" applyAlignment="1">
      <alignment horizontal="center" vertical="center"/>
    </xf>
    <xf numFmtId="165" fontId="121" fillId="29" borderId="19" xfId="0" applyNumberFormat="1" applyFont="1" applyFill="1" applyBorder="1" applyAlignment="1">
      <alignment horizontal="center" vertical="center"/>
    </xf>
    <xf numFmtId="165" fontId="121" fillId="29" borderId="33" xfId="0" applyNumberFormat="1" applyFont="1" applyFill="1" applyBorder="1" applyAlignment="1">
      <alignment horizontal="center" vertical="center"/>
    </xf>
    <xf numFmtId="1" fontId="121" fillId="29" borderId="19" xfId="0" applyNumberFormat="1" applyFont="1" applyFill="1" applyBorder="1" applyAlignment="1">
      <alignment horizontal="center" vertical="center"/>
    </xf>
    <xf numFmtId="1" fontId="121" fillId="29" borderId="33" xfId="0" applyNumberFormat="1" applyFont="1" applyFill="1" applyBorder="1" applyAlignment="1">
      <alignment horizontal="center" vertical="center"/>
    </xf>
    <xf numFmtId="1" fontId="121" fillId="15" borderId="19" xfId="0" applyNumberFormat="1" applyFont="1" applyFill="1" applyBorder="1" applyAlignment="1">
      <alignment horizontal="center" vertical="center"/>
    </xf>
    <xf numFmtId="1" fontId="121" fillId="15" borderId="0" xfId="0" applyNumberFormat="1" applyFont="1" applyFill="1" applyAlignment="1">
      <alignment horizontal="center" vertical="center"/>
    </xf>
    <xf numFmtId="1" fontId="121" fillId="15" borderId="1" xfId="0" applyNumberFormat="1" applyFont="1" applyFill="1" applyBorder="1" applyAlignment="1">
      <alignment horizontal="center" vertical="center"/>
    </xf>
    <xf numFmtId="1" fontId="121" fillId="15" borderId="14" xfId="0" applyNumberFormat="1" applyFont="1" applyFill="1" applyBorder="1" applyAlignment="1">
      <alignment horizontal="center" vertical="center"/>
    </xf>
    <xf numFmtId="165" fontId="121" fillId="0" borderId="38" xfId="0" applyNumberFormat="1" applyFont="1" applyBorder="1" applyAlignment="1">
      <alignment horizontal="center" vertical="center"/>
    </xf>
    <xf numFmtId="1" fontId="121" fillId="15" borderId="0" xfId="0" quotePrefix="1" applyNumberFormat="1" applyFont="1" applyFill="1" applyAlignment="1">
      <alignment horizontal="center" vertical="center"/>
    </xf>
    <xf numFmtId="1" fontId="121" fillId="15" borderId="33" xfId="0" applyNumberFormat="1" applyFont="1" applyFill="1" applyBorder="1" applyAlignment="1">
      <alignment horizontal="center" vertical="center"/>
    </xf>
    <xf numFmtId="165" fontId="121" fillId="0" borderId="19" xfId="0" quotePrefix="1" applyNumberFormat="1" applyFont="1" applyBorder="1" applyAlignment="1">
      <alignment horizontal="center" vertical="center"/>
    </xf>
    <xf numFmtId="165" fontId="121" fillId="0" borderId="0" xfId="0" applyNumberFormat="1" applyFont="1" applyAlignment="1">
      <alignment horizontal="center" vertical="center"/>
    </xf>
    <xf numFmtId="0" fontId="121" fillId="0" borderId="19" xfId="0" applyFont="1" applyBorder="1" applyAlignment="1">
      <alignment horizontal="center" vertical="center"/>
    </xf>
    <xf numFmtId="0" fontId="121" fillId="0" borderId="0" xfId="0" applyFont="1" applyAlignment="1">
      <alignment horizontal="center" vertical="center"/>
    </xf>
    <xf numFmtId="0" fontId="121" fillId="0" borderId="19" xfId="0" quotePrefix="1" applyFont="1" applyBorder="1" applyAlignment="1">
      <alignment horizontal="center" vertical="center"/>
    </xf>
    <xf numFmtId="0" fontId="121" fillId="9" borderId="19" xfId="0" applyFont="1" applyFill="1" applyBorder="1" applyAlignment="1">
      <alignment horizontal="center" vertical="center"/>
    </xf>
    <xf numFmtId="0" fontId="121" fillId="0" borderId="43" xfId="0" applyFont="1" applyBorder="1" applyAlignment="1">
      <alignment horizontal="center" vertical="center"/>
    </xf>
    <xf numFmtId="165" fontId="121" fillId="0" borderId="14" xfId="0" applyNumberFormat="1" applyFont="1" applyBorder="1" applyAlignment="1">
      <alignment horizontal="center" vertical="center"/>
    </xf>
    <xf numFmtId="0" fontId="121" fillId="5" borderId="19" xfId="0" applyFont="1" applyFill="1" applyBorder="1" applyAlignment="1">
      <alignment horizontal="center" vertical="center"/>
    </xf>
    <xf numFmtId="165" fontId="121" fillId="5" borderId="0" xfId="0" applyNumberFormat="1" applyFont="1" applyFill="1" applyAlignment="1">
      <alignment horizontal="center" vertical="center"/>
    </xf>
    <xf numFmtId="165" fontId="121" fillId="5" borderId="20" xfId="0" applyNumberFormat="1" applyFont="1" applyFill="1" applyBorder="1" applyAlignment="1">
      <alignment horizontal="center" vertical="center"/>
    </xf>
    <xf numFmtId="165" fontId="121" fillId="0" borderId="43" xfId="0" applyNumberFormat="1" applyFont="1" applyBorder="1" applyAlignment="1">
      <alignment horizontal="center" vertical="center"/>
    </xf>
    <xf numFmtId="1" fontId="121" fillId="0" borderId="19" xfId="0" applyNumberFormat="1" applyFont="1" applyBorder="1" applyAlignment="1">
      <alignment horizontal="center" vertical="center"/>
    </xf>
    <xf numFmtId="1" fontId="121" fillId="0" borderId="19" xfId="0" quotePrefix="1" applyNumberFormat="1" applyFont="1" applyBorder="1" applyAlignment="1">
      <alignment horizontal="center" vertical="center"/>
    </xf>
    <xf numFmtId="167" fontId="137" fillId="0" borderId="19" xfId="0" applyNumberFormat="1" applyFont="1" applyBorder="1" applyAlignment="1">
      <alignment horizontal="center" vertical="center"/>
    </xf>
    <xf numFmtId="165" fontId="121" fillId="0" borderId="0" xfId="0" quotePrefix="1" applyNumberFormat="1" applyFont="1" applyAlignment="1">
      <alignment horizontal="center" vertical="center"/>
    </xf>
    <xf numFmtId="165" fontId="137" fillId="0" borderId="19" xfId="0" applyNumberFormat="1" applyFont="1" applyBorder="1" applyAlignment="1">
      <alignment horizontal="center" vertical="center"/>
    </xf>
    <xf numFmtId="165" fontId="138" fillId="9" borderId="19" xfId="0" applyNumberFormat="1" applyFont="1" applyFill="1" applyBorder="1" applyAlignment="1">
      <alignment horizontal="center" vertical="center"/>
    </xf>
    <xf numFmtId="165" fontId="138" fillId="9" borderId="43" xfId="0" applyNumberFormat="1" applyFont="1" applyFill="1" applyBorder="1" applyAlignment="1">
      <alignment horizontal="center" vertical="center"/>
    </xf>
    <xf numFmtId="165" fontId="121" fillId="17" borderId="44" xfId="0" quotePrefix="1" applyNumberFormat="1" applyFont="1" applyFill="1" applyBorder="1" applyAlignment="1">
      <alignment horizontal="center" vertical="center"/>
    </xf>
    <xf numFmtId="0" fontId="121" fillId="0" borderId="0" xfId="0" applyFont="1"/>
    <xf numFmtId="0" fontId="140" fillId="7" borderId="44" xfId="0" applyFont="1" applyFill="1" applyBorder="1" applyAlignment="1">
      <alignment horizontal="center" vertical="center"/>
    </xf>
    <xf numFmtId="0" fontId="140" fillId="0" borderId="39" xfId="0" applyFont="1" applyBorder="1" applyAlignment="1">
      <alignment horizontal="center" vertical="center"/>
    </xf>
    <xf numFmtId="165" fontId="140" fillId="0" borderId="20" xfId="0" quotePrefix="1" applyNumberFormat="1" applyFont="1" applyBorder="1" applyAlignment="1">
      <alignment horizontal="center" vertical="center"/>
    </xf>
    <xf numFmtId="0" fontId="116" fillId="7" borderId="39" xfId="0" applyFont="1" applyFill="1" applyBorder="1" applyAlignment="1">
      <alignment horizontal="center" vertical="center"/>
    </xf>
    <xf numFmtId="0" fontId="116" fillId="3" borderId="45" xfId="0" applyFont="1" applyFill="1" applyBorder="1" applyAlignment="1">
      <alignment horizontal="center" vertical="center"/>
    </xf>
    <xf numFmtId="0" fontId="121" fillId="3" borderId="44" xfId="0" applyFont="1" applyFill="1" applyBorder="1" applyAlignment="1">
      <alignment horizontal="center" vertical="center"/>
    </xf>
    <xf numFmtId="0" fontId="116" fillId="7" borderId="0" xfId="0" applyFont="1" applyFill="1" applyAlignment="1">
      <alignment horizontal="center" vertical="center"/>
    </xf>
    <xf numFmtId="0" fontId="116" fillId="3" borderId="20" xfId="0" applyFont="1" applyFill="1" applyBorder="1" applyAlignment="1">
      <alignment horizontal="center" vertical="center"/>
    </xf>
    <xf numFmtId="0" fontId="121" fillId="3" borderId="19" xfId="0" applyFont="1" applyFill="1" applyBorder="1" applyAlignment="1">
      <alignment horizontal="center" vertical="center"/>
    </xf>
    <xf numFmtId="0" fontId="121" fillId="0" borderId="33" xfId="0" applyFont="1" applyBorder="1" applyAlignment="1">
      <alignment horizontal="center" vertical="center"/>
    </xf>
    <xf numFmtId="0" fontId="121" fillId="0" borderId="30" xfId="0" applyFont="1" applyBorder="1" applyAlignment="1">
      <alignment horizontal="center" vertical="center"/>
    </xf>
    <xf numFmtId="0" fontId="121" fillId="0" borderId="20" xfId="0" applyFont="1" applyBorder="1" applyAlignment="1">
      <alignment horizontal="center" vertical="center"/>
    </xf>
    <xf numFmtId="0" fontId="121" fillId="0" borderId="36" xfId="0" applyFont="1" applyBorder="1" applyAlignment="1">
      <alignment horizontal="center" vertical="center"/>
    </xf>
    <xf numFmtId="0" fontId="116" fillId="7" borderId="20" xfId="0" applyFont="1" applyFill="1" applyBorder="1" applyAlignment="1">
      <alignment horizontal="center" vertical="center"/>
    </xf>
    <xf numFmtId="0" fontId="121" fillId="7" borderId="19" xfId="0" applyFont="1" applyFill="1" applyBorder="1" applyAlignment="1">
      <alignment horizontal="center" vertical="center"/>
    </xf>
    <xf numFmtId="0" fontId="116" fillId="7" borderId="44" xfId="0" quotePrefix="1" applyFont="1" applyFill="1" applyBorder="1" applyAlignment="1">
      <alignment horizontal="center" vertical="center" wrapText="1"/>
    </xf>
    <xf numFmtId="0" fontId="116" fillId="7" borderId="39" xfId="0" quotePrefix="1" applyFont="1" applyFill="1" applyBorder="1" applyAlignment="1">
      <alignment horizontal="center" vertical="center"/>
    </xf>
    <xf numFmtId="0" fontId="116" fillId="7" borderId="44" xfId="0" quotePrefix="1" applyFont="1" applyFill="1" applyBorder="1" applyAlignment="1">
      <alignment horizontal="center" vertical="center"/>
    </xf>
    <xf numFmtId="0" fontId="116" fillId="7" borderId="44" xfId="0" applyFont="1" applyFill="1" applyBorder="1" applyAlignment="1">
      <alignment horizontal="center" vertical="center"/>
    </xf>
    <xf numFmtId="0" fontId="116" fillId="3" borderId="39" xfId="0" applyFont="1" applyFill="1" applyBorder="1" applyAlignment="1">
      <alignment horizontal="center" vertical="center"/>
    </xf>
    <xf numFmtId="0" fontId="121" fillId="0" borderId="39" xfId="0" applyFont="1" applyBorder="1"/>
    <xf numFmtId="0" fontId="131" fillId="9" borderId="0" xfId="0" applyFont="1" applyFill="1"/>
    <xf numFmtId="164" fontId="23" fillId="17" borderId="0" xfId="1" applyFont="1" applyFill="1" applyBorder="1" applyAlignment="1"/>
    <xf numFmtId="2" fontId="34" fillId="0" borderId="0" xfId="0" applyNumberFormat="1" applyFont="1" applyAlignment="1">
      <alignment vertical="center"/>
    </xf>
    <xf numFmtId="0" fontId="20" fillId="7" borderId="0" xfId="0" applyFont="1" applyFill="1" applyAlignment="1">
      <alignment horizontal="center"/>
    </xf>
    <xf numFmtId="0" fontId="15" fillId="0" borderId="0" xfId="0" applyFont="1" applyAlignment="1">
      <alignment horizontal="right"/>
    </xf>
    <xf numFmtId="0" fontId="15" fillId="0" borderId="14" xfId="0" applyFont="1" applyBorder="1" applyAlignment="1">
      <alignment horizontal="right"/>
    </xf>
    <xf numFmtId="0" fontId="20" fillId="7" borderId="44" xfId="0" applyFont="1" applyFill="1" applyBorder="1"/>
    <xf numFmtId="0" fontId="0" fillId="7" borderId="39" xfId="0" applyFill="1" applyBorder="1"/>
    <xf numFmtId="0" fontId="74" fillId="0" borderId="19" xfId="0" applyFont="1" applyBorder="1"/>
    <xf numFmtId="0" fontId="0" fillId="9" borderId="20" xfId="0" applyFill="1" applyBorder="1"/>
    <xf numFmtId="0" fontId="34" fillId="4" borderId="20" xfId="0" applyFont="1" applyFill="1" applyBorder="1" applyAlignment="1" applyProtection="1">
      <alignment horizontal="center" vertical="center"/>
      <protection locked="0"/>
    </xf>
    <xf numFmtId="0" fontId="0" fillId="0" borderId="14" xfId="0" applyBorder="1"/>
    <xf numFmtId="0" fontId="34" fillId="4" borderId="38" xfId="0" applyFont="1" applyFill="1" applyBorder="1" applyAlignment="1" applyProtection="1">
      <alignment horizontal="center" vertical="center"/>
      <protection locked="0"/>
    </xf>
    <xf numFmtId="0" fontId="0" fillId="7" borderId="45" xfId="0" applyFill="1" applyBorder="1"/>
    <xf numFmtId="0" fontId="142" fillId="7" borderId="39" xfId="0" applyFont="1" applyFill="1" applyBorder="1"/>
    <xf numFmtId="0" fontId="143" fillId="0" borderId="19" xfId="0" applyFont="1" applyBorder="1"/>
    <xf numFmtId="0" fontId="18" fillId="0" borderId="43" xfId="0" applyFont="1" applyBorder="1"/>
    <xf numFmtId="0" fontId="6" fillId="0" borderId="0" xfId="0" applyFont="1" applyAlignment="1">
      <alignment horizontal="center"/>
    </xf>
    <xf numFmtId="0" fontId="6" fillId="9" borderId="20" xfId="0" applyFont="1" applyFill="1" applyBorder="1" applyAlignment="1">
      <alignment horizontal="center"/>
    </xf>
    <xf numFmtId="0" fontId="20" fillId="0" borderId="31" xfId="0" applyFont="1" applyBorder="1" applyAlignment="1">
      <alignment horizontal="center" vertical="center" wrapText="1"/>
    </xf>
    <xf numFmtId="0" fontId="34" fillId="0" borderId="30" xfId="0" applyFont="1" applyBorder="1"/>
    <xf numFmtId="165" fontId="41" fillId="0" borderId="51" xfId="0" applyNumberFormat="1" applyFont="1" applyBorder="1" applyAlignment="1">
      <alignment horizontal="center" vertical="center"/>
    </xf>
    <xf numFmtId="0" fontId="12" fillId="9" borderId="0" xfId="0" applyFont="1" applyFill="1" applyAlignment="1">
      <alignment horizontal="left" vertical="center"/>
    </xf>
    <xf numFmtId="0" fontId="18" fillId="9" borderId="0" xfId="0" applyFont="1" applyFill="1" applyAlignment="1" applyProtection="1">
      <alignment horizontal="left" vertical="center" wrapText="1"/>
      <protection locked="0"/>
    </xf>
    <xf numFmtId="0" fontId="39" fillId="9" borderId="0" xfId="0" applyFont="1" applyFill="1" applyAlignment="1">
      <alignment horizontal="center" vertical="center"/>
    </xf>
    <xf numFmtId="0" fontId="90" fillId="9" borderId="0" xfId="0" applyFont="1" applyFill="1" applyAlignment="1">
      <alignment horizontal="center"/>
    </xf>
    <xf numFmtId="172" fontId="20" fillId="9" borderId="0" xfId="0" applyNumberFormat="1" applyFont="1" applyFill="1" applyAlignment="1" applyProtection="1">
      <alignment horizontal="center" vertical="center"/>
      <protection locked="0"/>
    </xf>
    <xf numFmtId="170" fontId="20" fillId="9" borderId="0" xfId="0" applyNumberFormat="1" applyFont="1" applyFill="1" applyAlignment="1" applyProtection="1">
      <alignment horizontal="center" vertical="center"/>
      <protection locked="0"/>
    </xf>
    <xf numFmtId="0" fontId="89" fillId="9" borderId="0" xfId="0" applyFont="1" applyFill="1" applyAlignment="1">
      <alignment horizontal="left" vertical="center"/>
    </xf>
    <xf numFmtId="0" fontId="38" fillId="9" borderId="0" xfId="0" applyFont="1" applyFill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0" fontId="20" fillId="0" borderId="16" xfId="0" applyFont="1" applyBorder="1" applyAlignment="1">
      <alignment horizontal="center" vertical="center"/>
    </xf>
    <xf numFmtId="0" fontId="34" fillId="2" borderId="34" xfId="0" quotePrefix="1" applyFont="1" applyFill="1" applyBorder="1" applyAlignment="1" applyProtection="1">
      <alignment horizontal="center" vertical="center"/>
      <protection locked="0"/>
    </xf>
    <xf numFmtId="0" fontId="34" fillId="2" borderId="34" xfId="0" applyFont="1" applyFill="1" applyBorder="1" applyAlignment="1" applyProtection="1">
      <alignment horizontal="center" vertical="center"/>
      <protection locked="0"/>
    </xf>
    <xf numFmtId="0" fontId="136" fillId="0" borderId="30" xfId="0" applyFont="1" applyBorder="1" applyAlignment="1">
      <alignment horizontal="center" vertical="center"/>
    </xf>
    <xf numFmtId="0" fontId="15" fillId="17" borderId="30" xfId="0" applyFont="1" applyFill="1" applyBorder="1"/>
    <xf numFmtId="0" fontId="23" fillId="24" borderId="0" xfId="0" applyFont="1" applyFill="1" applyAlignment="1">
      <alignment horizontal="center" vertical="center" wrapText="1"/>
    </xf>
    <xf numFmtId="0" fontId="89" fillId="23" borderId="0" xfId="0" applyFont="1" applyFill="1" applyAlignment="1">
      <alignment horizontal="center" vertical="center"/>
    </xf>
    <xf numFmtId="0" fontId="18" fillId="5" borderId="14" xfId="0" applyFont="1" applyFill="1" applyBorder="1" applyAlignment="1">
      <alignment horizontal="center"/>
    </xf>
    <xf numFmtId="0" fontId="0" fillId="0" borderId="38" xfId="0" applyBorder="1"/>
    <xf numFmtId="3" fontId="34" fillId="17" borderId="30" xfId="0" applyNumberFormat="1" applyFont="1" applyFill="1" applyBorder="1" applyAlignment="1">
      <alignment horizontal="center" vertical="center"/>
    </xf>
    <xf numFmtId="172" fontId="99" fillId="17" borderId="30" xfId="0" applyNumberFormat="1" applyFont="1" applyFill="1" applyBorder="1" applyAlignment="1">
      <alignment horizontal="center" vertical="center"/>
    </xf>
    <xf numFmtId="0" fontId="34" fillId="17" borderId="30" xfId="0" applyFont="1" applyFill="1" applyBorder="1"/>
    <xf numFmtId="172" fontId="99" fillId="17" borderId="35" xfId="0" applyNumberFormat="1" applyFont="1" applyFill="1" applyBorder="1" applyAlignment="1">
      <alignment horizontal="center" vertical="center"/>
    </xf>
    <xf numFmtId="0" fontId="15" fillId="17" borderId="36" xfId="0" applyFont="1" applyFill="1" applyBorder="1"/>
    <xf numFmtId="1" fontId="38" fillId="17" borderId="71" xfId="0" applyNumberFormat="1" applyFont="1" applyFill="1" applyBorder="1" applyAlignment="1">
      <alignment horizontal="center" vertical="center"/>
    </xf>
    <xf numFmtId="0" fontId="23" fillId="7" borderId="30" xfId="0" applyFont="1" applyFill="1" applyBorder="1" applyAlignment="1">
      <alignment vertical="center" wrapText="1"/>
    </xf>
    <xf numFmtId="1" fontId="20" fillId="17" borderId="39" xfId="0" quotePrefix="1" applyNumberFormat="1" applyFont="1" applyFill="1" applyBorder="1" applyAlignment="1">
      <alignment horizontal="center" vertical="center"/>
    </xf>
    <xf numFmtId="1" fontId="20" fillId="17" borderId="25" xfId="0" quotePrefix="1" applyNumberFormat="1" applyFont="1" applyFill="1" applyBorder="1" applyAlignment="1">
      <alignment horizontal="center" vertical="center"/>
    </xf>
    <xf numFmtId="0" fontId="34" fillId="2" borderId="55" xfId="0" applyFont="1" applyFill="1" applyBorder="1" applyAlignment="1" applyProtection="1">
      <alignment horizontal="center" vertical="center"/>
      <protection locked="0"/>
    </xf>
    <xf numFmtId="0" fontId="34" fillId="2" borderId="58" xfId="0" applyFont="1" applyFill="1" applyBorder="1" applyAlignment="1" applyProtection="1">
      <alignment horizontal="center" vertical="center"/>
      <protection locked="0"/>
    </xf>
    <xf numFmtId="0" fontId="34" fillId="2" borderId="42" xfId="0" applyFont="1" applyFill="1" applyBorder="1" applyAlignment="1" applyProtection="1">
      <alignment horizontal="center" vertical="center"/>
      <protection locked="0"/>
    </xf>
    <xf numFmtId="0" fontId="34" fillId="22" borderId="23" xfId="0" applyFont="1" applyFill="1" applyBorder="1" applyAlignment="1">
      <alignment horizontal="center"/>
    </xf>
    <xf numFmtId="0" fontId="38" fillId="23" borderId="30" xfId="0" applyFont="1" applyFill="1" applyBorder="1" applyAlignment="1">
      <alignment horizontal="center" vertical="center"/>
    </xf>
    <xf numFmtId="0" fontId="34" fillId="0" borderId="14" xfId="0" applyFont="1" applyBorder="1" applyAlignment="1">
      <alignment horizontal="center"/>
    </xf>
    <xf numFmtId="0" fontId="18" fillId="30" borderId="35" xfId="0" applyFont="1" applyFill="1" applyBorder="1" applyAlignment="1">
      <alignment horizontal="center" vertical="center"/>
    </xf>
    <xf numFmtId="2" fontId="121" fillId="0" borderId="0" xfId="0" applyNumberFormat="1" applyFont="1" applyAlignment="1">
      <alignment horizontal="center"/>
    </xf>
    <xf numFmtId="2" fontId="121" fillId="0" borderId="14" xfId="0" applyNumberFormat="1" applyFont="1" applyBorder="1" applyAlignment="1">
      <alignment horizontal="center"/>
    </xf>
    <xf numFmtId="0" fontId="6" fillId="15" borderId="36" xfId="0" applyFont="1" applyFill="1" applyBorder="1" applyAlignment="1">
      <alignment horizontal="center" vertical="center"/>
    </xf>
    <xf numFmtId="165" fontId="34" fillId="23" borderId="19" xfId="0" applyNumberFormat="1" applyFont="1" applyFill="1" applyBorder="1" applyAlignment="1">
      <alignment horizontal="center" vertical="center"/>
    </xf>
    <xf numFmtId="0" fontId="149" fillId="9" borderId="69" xfId="0" applyFont="1" applyFill="1" applyBorder="1" applyAlignment="1">
      <alignment horizontal="center" vertical="center" wrapText="1"/>
    </xf>
    <xf numFmtId="0" fontId="15" fillId="0" borderId="19" xfId="0" applyFont="1" applyBorder="1" applyAlignment="1">
      <alignment horizontal="center"/>
    </xf>
    <xf numFmtId="168" fontId="15" fillId="0" borderId="0" xfId="0" applyNumberFormat="1" applyFont="1" applyAlignment="1">
      <alignment horizontal="center"/>
    </xf>
    <xf numFmtId="169" fontId="15" fillId="0" borderId="0" xfId="0" applyNumberFormat="1" applyFont="1" applyAlignment="1">
      <alignment horizontal="center"/>
    </xf>
    <xf numFmtId="0" fontId="15" fillId="0" borderId="20" xfId="0" applyFont="1" applyBorder="1" applyAlignment="1">
      <alignment horizontal="center"/>
    </xf>
    <xf numFmtId="165" fontId="15" fillId="31" borderId="0" xfId="0" applyNumberFormat="1" applyFont="1" applyFill="1" applyAlignment="1">
      <alignment horizontal="center"/>
    </xf>
    <xf numFmtId="0" fontId="34" fillId="31" borderId="44" xfId="0" applyFont="1" applyFill="1" applyBorder="1" applyAlignment="1">
      <alignment horizontal="center" vertical="center"/>
    </xf>
    <xf numFmtId="0" fontId="34" fillId="31" borderId="39" xfId="0" applyFont="1" applyFill="1" applyBorder="1" applyAlignment="1">
      <alignment horizontal="center" vertical="center"/>
    </xf>
    <xf numFmtId="0" fontId="34" fillId="31" borderId="45" xfId="0" applyFont="1" applyFill="1" applyBorder="1" applyAlignment="1">
      <alignment horizontal="center" vertical="center"/>
    </xf>
    <xf numFmtId="0" fontId="0" fillId="30" borderId="0" xfId="0" applyFill="1"/>
    <xf numFmtId="0" fontId="136" fillId="23" borderId="67" xfId="0" applyFont="1" applyFill="1" applyBorder="1" applyAlignment="1">
      <alignment horizontal="center" vertical="center" wrapText="1"/>
    </xf>
    <xf numFmtId="0" fontId="136" fillId="23" borderId="23" xfId="0" applyFont="1" applyFill="1" applyBorder="1" applyAlignment="1">
      <alignment horizontal="center" vertical="center" wrapText="1"/>
    </xf>
    <xf numFmtId="0" fontId="146" fillId="23" borderId="69" xfId="0" applyFont="1" applyFill="1" applyBorder="1" applyAlignment="1">
      <alignment horizontal="center" vertical="center" wrapText="1"/>
    </xf>
    <xf numFmtId="3" fontId="38" fillId="23" borderId="29" xfId="0" applyNumberFormat="1" applyFont="1" applyFill="1" applyBorder="1" applyAlignment="1">
      <alignment horizontal="center" vertical="center"/>
    </xf>
    <xf numFmtId="3" fontId="38" fillId="23" borderId="27" xfId="0" applyNumberFormat="1" applyFont="1" applyFill="1" applyBorder="1" applyAlignment="1">
      <alignment horizontal="center" vertical="center"/>
    </xf>
    <xf numFmtId="0" fontId="15" fillId="9" borderId="0" xfId="0" applyFont="1" applyFill="1"/>
    <xf numFmtId="0" fontId="34" fillId="2" borderId="78" xfId="0" applyFont="1" applyFill="1" applyBorder="1" applyAlignment="1" applyProtection="1">
      <alignment horizontal="center" vertical="center"/>
      <protection locked="0"/>
    </xf>
    <xf numFmtId="4" fontId="38" fillId="23" borderId="29" xfId="0" applyNumberFormat="1" applyFont="1" applyFill="1" applyBorder="1" applyAlignment="1">
      <alignment horizontal="center" vertical="center"/>
    </xf>
    <xf numFmtId="0" fontId="34" fillId="7" borderId="49" xfId="0" applyFont="1" applyFill="1" applyBorder="1" applyAlignment="1" applyProtection="1">
      <alignment horizontal="center"/>
      <protection locked="0"/>
    </xf>
    <xf numFmtId="0" fontId="34" fillId="7" borderId="14" xfId="0" applyFont="1" applyFill="1" applyBorder="1" applyAlignment="1" applyProtection="1">
      <alignment horizontal="center"/>
      <protection locked="0"/>
    </xf>
    <xf numFmtId="0" fontId="34" fillId="7" borderId="14" xfId="0" applyFont="1" applyFill="1" applyBorder="1" applyAlignment="1">
      <alignment horizontal="center"/>
    </xf>
    <xf numFmtId="0" fontId="34" fillId="7" borderId="38" xfId="0" applyFont="1" applyFill="1" applyBorder="1" applyAlignment="1" applyProtection="1">
      <alignment horizontal="center" vertical="center"/>
      <protection locked="0"/>
    </xf>
    <xf numFmtId="1" fontId="38" fillId="7" borderId="14" xfId="0" applyNumberFormat="1" applyFont="1" applyFill="1" applyBorder="1" applyAlignment="1">
      <alignment horizontal="center" vertical="center"/>
    </xf>
    <xf numFmtId="3" fontId="38" fillId="7" borderId="16" xfId="0" applyNumberFormat="1" applyFont="1" applyFill="1" applyBorder="1" applyAlignment="1">
      <alignment horizontal="center" vertical="center"/>
    </xf>
    <xf numFmtId="4" fontId="38" fillId="7" borderId="17" xfId="0" applyNumberFormat="1" applyFont="1" applyFill="1" applyBorder="1" applyAlignment="1">
      <alignment horizontal="center" vertical="center"/>
    </xf>
    <xf numFmtId="3" fontId="38" fillId="7" borderId="18" xfId="0" applyNumberFormat="1" applyFont="1" applyFill="1" applyBorder="1" applyAlignment="1">
      <alignment horizontal="center" vertical="center"/>
    </xf>
    <xf numFmtId="0" fontId="0" fillId="7" borderId="36" xfId="0" applyFill="1" applyBorder="1"/>
    <xf numFmtId="165" fontId="15" fillId="7" borderId="43" xfId="0" applyNumberFormat="1" applyFont="1" applyFill="1" applyBorder="1" applyAlignment="1">
      <alignment horizontal="center"/>
    </xf>
    <xf numFmtId="165" fontId="15" fillId="7" borderId="38" xfId="0" applyNumberFormat="1" applyFont="1" applyFill="1" applyBorder="1" applyAlignment="1">
      <alignment horizontal="center"/>
    </xf>
    <xf numFmtId="165" fontId="15" fillId="7" borderId="14" xfId="0" applyNumberFormat="1" applyFont="1" applyFill="1" applyBorder="1" applyAlignment="1">
      <alignment horizontal="center"/>
    </xf>
    <xf numFmtId="0" fontId="34" fillId="7" borderId="13" xfId="0" applyFont="1" applyFill="1" applyBorder="1" applyAlignment="1" applyProtection="1">
      <alignment horizontal="center"/>
      <protection locked="0"/>
    </xf>
    <xf numFmtId="0" fontId="34" fillId="7" borderId="17" xfId="0" applyFont="1" applyFill="1" applyBorder="1" applyAlignment="1" applyProtection="1">
      <alignment horizontal="center"/>
      <protection locked="0"/>
    </xf>
    <xf numFmtId="3" fontId="38" fillId="7" borderId="17" xfId="0" applyNumberFormat="1" applyFont="1" applyFill="1" applyBorder="1" applyAlignment="1">
      <alignment horizontal="center" vertical="center"/>
    </xf>
    <xf numFmtId="165" fontId="15" fillId="9" borderId="36" xfId="0" applyNumberFormat="1" applyFont="1" applyFill="1" applyBorder="1" applyAlignment="1">
      <alignment horizontal="center"/>
    </xf>
    <xf numFmtId="0" fontId="34" fillId="32" borderId="13" xfId="0" applyFont="1" applyFill="1" applyBorder="1" applyAlignment="1" applyProtection="1">
      <alignment horizontal="center"/>
      <protection locked="0"/>
    </xf>
    <xf numFmtId="0" fontId="34" fillId="32" borderId="17" xfId="0" applyFont="1" applyFill="1" applyBorder="1" applyAlignment="1" applyProtection="1">
      <alignment horizontal="center"/>
      <protection locked="0"/>
    </xf>
    <xf numFmtId="0" fontId="34" fillId="32" borderId="14" xfId="0" applyFont="1" applyFill="1" applyBorder="1" applyAlignment="1">
      <alignment horizontal="center"/>
    </xf>
    <xf numFmtId="1" fontId="38" fillId="32" borderId="14" xfId="0" applyNumberFormat="1" applyFont="1" applyFill="1" applyBorder="1" applyAlignment="1">
      <alignment horizontal="center" vertical="center"/>
    </xf>
    <xf numFmtId="3" fontId="38" fillId="32" borderId="16" xfId="0" applyNumberFormat="1" applyFont="1" applyFill="1" applyBorder="1" applyAlignment="1">
      <alignment horizontal="center" vertical="center"/>
    </xf>
    <xf numFmtId="4" fontId="38" fillId="32" borderId="17" xfId="0" applyNumberFormat="1" applyFont="1" applyFill="1" applyBorder="1" applyAlignment="1">
      <alignment horizontal="center" vertical="center"/>
    </xf>
    <xf numFmtId="3" fontId="38" fillId="32" borderId="17" xfId="0" applyNumberFormat="1" applyFont="1" applyFill="1" applyBorder="1" applyAlignment="1">
      <alignment horizontal="center" vertical="center"/>
    </xf>
    <xf numFmtId="0" fontId="0" fillId="32" borderId="36" xfId="0" applyFill="1" applyBorder="1"/>
    <xf numFmtId="165" fontId="15" fillId="32" borderId="43" xfId="0" applyNumberFormat="1" applyFont="1" applyFill="1" applyBorder="1" applyAlignment="1">
      <alignment horizontal="center"/>
    </xf>
    <xf numFmtId="165" fontId="15" fillId="32" borderId="38" xfId="0" applyNumberFormat="1" applyFont="1" applyFill="1" applyBorder="1" applyAlignment="1">
      <alignment horizontal="center"/>
    </xf>
    <xf numFmtId="165" fontId="15" fillId="32" borderId="14" xfId="0" applyNumberFormat="1" applyFont="1" applyFill="1" applyBorder="1" applyAlignment="1">
      <alignment horizontal="center"/>
    </xf>
    <xf numFmtId="165" fontId="0" fillId="17" borderId="30" xfId="0" applyNumberFormat="1" applyFill="1" applyBorder="1"/>
    <xf numFmtId="0" fontId="18" fillId="30" borderId="30" xfId="0" applyFont="1" applyFill="1" applyBorder="1" applyAlignment="1">
      <alignment horizontal="center" vertical="top"/>
    </xf>
    <xf numFmtId="0" fontId="34" fillId="30" borderId="19" xfId="0" applyFont="1" applyFill="1" applyBorder="1" applyAlignment="1">
      <alignment horizontal="center" vertical="center"/>
    </xf>
    <xf numFmtId="0" fontId="34" fillId="30" borderId="0" xfId="0" applyFont="1" applyFill="1" applyAlignment="1">
      <alignment horizontal="center" vertical="center"/>
    </xf>
    <xf numFmtId="0" fontId="34" fillId="30" borderId="20" xfId="0" applyFont="1" applyFill="1" applyBorder="1" applyAlignment="1">
      <alignment horizontal="center" vertical="center"/>
    </xf>
    <xf numFmtId="165" fontId="121" fillId="9" borderId="30" xfId="0" applyNumberFormat="1" applyFont="1" applyFill="1" applyBorder="1" applyAlignment="1">
      <alignment horizontal="right" vertical="top"/>
    </xf>
    <xf numFmtId="0" fontId="0" fillId="31" borderId="35" xfId="0" applyFill="1" applyBorder="1"/>
    <xf numFmtId="0" fontId="34" fillId="2" borderId="66" xfId="0" applyFont="1" applyFill="1" applyBorder="1" applyAlignment="1" applyProtection="1">
      <alignment horizontal="center" vertical="center"/>
      <protection locked="0"/>
    </xf>
    <xf numFmtId="0" fontId="34" fillId="2" borderId="82" xfId="0" applyFont="1" applyFill="1" applyBorder="1" applyAlignment="1" applyProtection="1">
      <alignment horizontal="center" vertical="center"/>
      <protection locked="0"/>
    </xf>
    <xf numFmtId="0" fontId="34" fillId="2" borderId="79" xfId="0" applyFont="1" applyFill="1" applyBorder="1" applyAlignment="1" applyProtection="1">
      <alignment horizontal="center"/>
      <protection locked="0"/>
    </xf>
    <xf numFmtId="0" fontId="34" fillId="2" borderId="78" xfId="0" applyFont="1" applyFill="1" applyBorder="1" applyAlignment="1" applyProtection="1">
      <alignment horizontal="center"/>
      <protection locked="0"/>
    </xf>
    <xf numFmtId="0" fontId="34" fillId="2" borderId="32" xfId="0" applyFont="1" applyFill="1" applyBorder="1" applyAlignment="1" applyProtection="1">
      <alignment horizontal="center" vertical="center"/>
      <protection locked="0"/>
    </xf>
    <xf numFmtId="0" fontId="34" fillId="2" borderId="59" xfId="0" applyFont="1" applyFill="1" applyBorder="1"/>
    <xf numFmtId="0" fontId="34" fillId="2" borderId="80" xfId="0" applyFont="1" applyFill="1" applyBorder="1" applyAlignment="1" applyProtection="1">
      <alignment horizontal="center"/>
      <protection locked="0"/>
    </xf>
    <xf numFmtId="0" fontId="121" fillId="7" borderId="43" xfId="0" applyFont="1" applyFill="1" applyBorder="1" applyAlignment="1">
      <alignment horizontal="center" vertical="center"/>
    </xf>
    <xf numFmtId="165" fontId="15" fillId="20" borderId="44" xfId="0" applyNumberFormat="1" applyFont="1" applyFill="1" applyBorder="1" applyAlignment="1">
      <alignment horizontal="center"/>
    </xf>
    <xf numFmtId="165" fontId="15" fillId="20" borderId="19" xfId="0" applyNumberFormat="1" applyFont="1" applyFill="1" applyBorder="1" applyAlignment="1">
      <alignment horizontal="center"/>
    </xf>
    <xf numFmtId="165" fontId="15" fillId="20" borderId="43" xfId="0" applyNumberFormat="1" applyFont="1" applyFill="1" applyBorder="1" applyAlignment="1">
      <alignment horizontal="center"/>
    </xf>
    <xf numFmtId="165" fontId="17" fillId="22" borderId="55" xfId="0" applyNumberFormat="1" applyFont="1" applyFill="1" applyBorder="1" applyAlignment="1">
      <alignment horizontal="center" vertical="center"/>
    </xf>
    <xf numFmtId="165" fontId="17" fillId="22" borderId="61" xfId="0" applyNumberFormat="1" applyFont="1" applyFill="1" applyBorder="1" applyAlignment="1">
      <alignment horizontal="center" vertical="center"/>
    </xf>
    <xf numFmtId="165" fontId="17" fillId="22" borderId="58" xfId="0" applyNumberFormat="1" applyFont="1" applyFill="1" applyBorder="1" applyAlignment="1">
      <alignment horizontal="center" vertical="center"/>
    </xf>
    <xf numFmtId="165" fontId="17" fillId="22" borderId="41" xfId="0" applyNumberFormat="1" applyFont="1" applyFill="1" applyBorder="1" applyAlignment="1">
      <alignment horizontal="center" vertical="center"/>
    </xf>
    <xf numFmtId="165" fontId="17" fillId="22" borderId="42" xfId="0" applyNumberFormat="1" applyFont="1" applyFill="1" applyBorder="1" applyAlignment="1">
      <alignment horizontal="center" vertical="center"/>
    </xf>
    <xf numFmtId="165" fontId="17" fillId="22" borderId="51" xfId="0" applyNumberFormat="1" applyFont="1" applyFill="1" applyBorder="1" applyAlignment="1">
      <alignment horizontal="center" vertical="center"/>
    </xf>
    <xf numFmtId="0" fontId="116" fillId="7" borderId="19" xfId="0" applyFont="1" applyFill="1" applyBorder="1" applyAlignment="1">
      <alignment horizontal="center" vertical="center"/>
    </xf>
    <xf numFmtId="1" fontId="121" fillId="0" borderId="43" xfId="0" quotePrefix="1" applyNumberFormat="1" applyFont="1" applyBorder="1" applyAlignment="1">
      <alignment horizontal="center" vertical="center"/>
    </xf>
    <xf numFmtId="0" fontId="15" fillId="9" borderId="0" xfId="0" applyFont="1" applyFill="1" applyAlignment="1">
      <alignment horizontal="right"/>
    </xf>
    <xf numFmtId="0" fontId="34" fillId="9" borderId="0" xfId="0" applyFont="1" applyFill="1" applyAlignment="1" applyProtection="1">
      <alignment horizontal="center" vertical="center"/>
      <protection locked="0"/>
    </xf>
    <xf numFmtId="0" fontId="34" fillId="0" borderId="0" xfId="0" applyFont="1" applyAlignment="1">
      <alignment wrapText="1"/>
    </xf>
    <xf numFmtId="0" fontId="0" fillId="23" borderId="0" xfId="0" applyFill="1"/>
    <xf numFmtId="0" fontId="20" fillId="23" borderId="69" xfId="0" applyFont="1" applyFill="1" applyBorder="1" applyAlignment="1">
      <alignment horizontal="center" vertical="center"/>
    </xf>
    <xf numFmtId="0" fontId="20" fillId="23" borderId="40" xfId="0" applyFont="1" applyFill="1" applyBorder="1" applyAlignment="1">
      <alignment horizontal="center" vertical="center"/>
    </xf>
    <xf numFmtId="0" fontId="20" fillId="23" borderId="72" xfId="0" applyFont="1" applyFill="1" applyBorder="1" applyAlignment="1">
      <alignment horizontal="right" vertical="center" wrapText="1"/>
    </xf>
    <xf numFmtId="0" fontId="12" fillId="23" borderId="36" xfId="0" applyFont="1" applyFill="1" applyBorder="1"/>
    <xf numFmtId="0" fontId="90" fillId="23" borderId="43" xfId="0" applyFont="1" applyFill="1" applyBorder="1" applyAlignment="1">
      <alignment horizontal="center"/>
    </xf>
    <xf numFmtId="0" fontId="90" fillId="23" borderId="36" xfId="0" applyFont="1" applyFill="1" applyBorder="1" applyAlignment="1">
      <alignment horizontal="center"/>
    </xf>
    <xf numFmtId="0" fontId="20" fillId="23" borderId="40" xfId="0" applyFont="1" applyFill="1" applyBorder="1" applyAlignment="1" applyProtection="1">
      <alignment horizontal="center" vertical="center"/>
      <protection locked="0"/>
    </xf>
    <xf numFmtId="172" fontId="20" fillId="23" borderId="67" xfId="0" quotePrefix="1" applyNumberFormat="1" applyFont="1" applyFill="1" applyBorder="1" applyAlignment="1">
      <alignment horizontal="center" vertical="center"/>
    </xf>
    <xf numFmtId="172" fontId="20" fillId="23" borderId="26" xfId="0" applyNumberFormat="1" applyFont="1" applyFill="1" applyBorder="1" applyAlignment="1" applyProtection="1">
      <alignment horizontal="center" vertical="center"/>
      <protection locked="0"/>
    </xf>
    <xf numFmtId="0" fontId="20" fillId="23" borderId="67" xfId="0" applyFont="1" applyFill="1" applyBorder="1" applyAlignment="1">
      <alignment horizontal="center" vertical="center"/>
    </xf>
    <xf numFmtId="0" fontId="20" fillId="23" borderId="26" xfId="0" applyFont="1" applyFill="1" applyBorder="1" applyAlignment="1">
      <alignment horizontal="center" vertical="center"/>
    </xf>
    <xf numFmtId="0" fontId="27" fillId="23" borderId="0" xfId="0" applyFont="1" applyFill="1"/>
    <xf numFmtId="0" fontId="0" fillId="23" borderId="0" xfId="0" applyFill="1" applyAlignment="1">
      <alignment horizontal="center"/>
    </xf>
    <xf numFmtId="170" fontId="20" fillId="23" borderId="46" xfId="0" applyNumberFormat="1" applyFont="1" applyFill="1" applyBorder="1" applyAlignment="1" applyProtection="1">
      <alignment horizontal="center" vertical="center"/>
      <protection locked="0"/>
    </xf>
    <xf numFmtId="170" fontId="20" fillId="23" borderId="47" xfId="0" applyNumberFormat="1" applyFont="1" applyFill="1" applyBorder="1" applyAlignment="1" applyProtection="1">
      <alignment horizontal="center" vertical="center"/>
      <protection locked="0"/>
    </xf>
    <xf numFmtId="0" fontId="20" fillId="23" borderId="14" xfId="0" applyFont="1" applyFill="1" applyBorder="1" applyAlignment="1">
      <alignment horizontal="right"/>
    </xf>
    <xf numFmtId="0" fontId="0" fillId="23" borderId="38" xfId="0" applyFill="1" applyBorder="1"/>
    <xf numFmtId="0" fontId="39" fillId="23" borderId="40" xfId="0" applyFont="1" applyFill="1" applyBorder="1" applyAlignment="1">
      <alignment vertical="center"/>
    </xf>
    <xf numFmtId="0" fontId="20" fillId="23" borderId="36" xfId="0" applyFont="1" applyFill="1" applyBorder="1" applyAlignment="1">
      <alignment horizontal="center" vertical="center"/>
    </xf>
    <xf numFmtId="170" fontId="20" fillId="23" borderId="60" xfId="0" applyNumberFormat="1" applyFont="1" applyFill="1" applyBorder="1" applyAlignment="1" applyProtection="1">
      <alignment horizontal="center" vertical="center"/>
      <protection locked="0"/>
    </xf>
    <xf numFmtId="170" fontId="20" fillId="23" borderId="12" xfId="0" applyNumberFormat="1" applyFont="1" applyFill="1" applyBorder="1" applyAlignment="1" applyProtection="1">
      <alignment horizontal="center" vertical="center"/>
      <protection locked="0"/>
    </xf>
    <xf numFmtId="0" fontId="20" fillId="9" borderId="0" xfId="0" applyFont="1" applyFill="1" applyAlignment="1">
      <alignment vertical="center" wrapText="1"/>
    </xf>
    <xf numFmtId="0" fontId="20" fillId="9" borderId="0" xfId="0" applyFont="1" applyFill="1" applyAlignment="1">
      <alignment horizontal="left" vertical="top"/>
    </xf>
    <xf numFmtId="0" fontId="6" fillId="9" borderId="0" xfId="0" applyFont="1" applyFill="1"/>
    <xf numFmtId="0" fontId="38" fillId="9" borderId="0" xfId="0" applyFont="1" applyFill="1" applyAlignment="1">
      <alignment vertical="center"/>
    </xf>
    <xf numFmtId="0" fontId="0" fillId="9" borderId="0" xfId="0" applyFill="1" applyAlignment="1">
      <alignment horizontal="center" vertical="center" wrapText="1"/>
    </xf>
    <xf numFmtId="0" fontId="118" fillId="9" borderId="0" xfId="0" applyFont="1" applyFill="1" applyAlignment="1">
      <alignment vertical="center"/>
    </xf>
    <xf numFmtId="0" fontId="20" fillId="9" borderId="0" xfId="0" applyFont="1" applyFill="1" applyAlignment="1">
      <alignment horizontal="left" vertical="center"/>
    </xf>
    <xf numFmtId="14" fontId="34" fillId="9" borderId="0" xfId="0" applyNumberFormat="1" applyFont="1" applyFill="1" applyAlignment="1">
      <alignment vertical="center"/>
    </xf>
    <xf numFmtId="0" fontId="20" fillId="9" borderId="0" xfId="0" applyFont="1" applyFill="1" applyAlignment="1">
      <alignment horizontal="left"/>
    </xf>
    <xf numFmtId="0" fontId="34" fillId="9" borderId="0" xfId="0" applyFont="1" applyFill="1" applyAlignment="1">
      <alignment vertical="center" wrapText="1"/>
    </xf>
    <xf numFmtId="0" fontId="38" fillId="0" borderId="0" xfId="0" applyFont="1" applyAlignment="1" applyProtection="1">
      <alignment vertical="center"/>
      <protection locked="0"/>
    </xf>
    <xf numFmtId="0" fontId="15" fillId="0" borderId="0" xfId="0" applyFont="1" applyAlignment="1">
      <alignment wrapText="1"/>
    </xf>
    <xf numFmtId="0" fontId="102" fillId="0" borderId="0" xfId="0" quotePrefix="1" applyFont="1" applyAlignment="1">
      <alignment vertical="top" wrapText="1"/>
    </xf>
    <xf numFmtId="0" fontId="34" fillId="9" borderId="0" xfId="0" applyFont="1" applyFill="1" applyAlignment="1">
      <alignment horizontal="right"/>
    </xf>
    <xf numFmtId="170" fontId="34" fillId="0" borderId="0" xfId="0" applyNumberFormat="1" applyFont="1" applyAlignment="1">
      <alignment horizontal="center"/>
    </xf>
    <xf numFmtId="0" fontId="5" fillId="0" borderId="32" xfId="2" applyBorder="1" applyAlignment="1">
      <alignment horizontal="center"/>
    </xf>
    <xf numFmtId="0" fontId="5" fillId="0" borderId="62" xfId="2" applyBorder="1" applyAlignment="1">
      <alignment horizontal="center" wrapText="1"/>
    </xf>
    <xf numFmtId="0" fontId="5" fillId="13" borderId="9" xfId="2" applyFill="1" applyBorder="1" applyAlignment="1">
      <alignment horizontal="center" wrapText="1"/>
    </xf>
    <xf numFmtId="170" fontId="5" fillId="0" borderId="37" xfId="2" applyNumberFormat="1" applyBorder="1" applyAlignment="1">
      <alignment horizontal="center"/>
    </xf>
    <xf numFmtId="2" fontId="77" fillId="13" borderId="37" xfId="2" applyNumberFormat="1" applyFont="1" applyFill="1" applyBorder="1" applyAlignment="1">
      <alignment horizontal="center"/>
    </xf>
    <xf numFmtId="0" fontId="5" fillId="7" borderId="35" xfId="2" applyFill="1" applyBorder="1" applyAlignment="1">
      <alignment horizontal="center" wrapText="1"/>
    </xf>
    <xf numFmtId="0" fontId="5" fillId="0" borderId="31" xfId="2" applyBorder="1" applyAlignment="1">
      <alignment horizontal="center"/>
    </xf>
    <xf numFmtId="170" fontId="5" fillId="0" borderId="56" xfId="2" applyNumberFormat="1" applyBorder="1" applyAlignment="1">
      <alignment horizontal="center"/>
    </xf>
    <xf numFmtId="2" fontId="77" fillId="13" borderId="56" xfId="2" applyNumberFormat="1" applyFont="1" applyFill="1" applyBorder="1" applyAlignment="1">
      <alignment horizontal="center"/>
    </xf>
    <xf numFmtId="2" fontId="77" fillId="15" borderId="57" xfId="2" applyNumberFormat="1" applyFont="1" applyFill="1" applyBorder="1" applyAlignment="1">
      <alignment horizontal="center"/>
    </xf>
    <xf numFmtId="2" fontId="77" fillId="15" borderId="59" xfId="2" applyNumberFormat="1" applyFont="1" applyFill="1" applyBorder="1" applyAlignment="1">
      <alignment horizontal="center"/>
    </xf>
    <xf numFmtId="0" fontId="5" fillId="0" borderId="60" xfId="2" applyBorder="1" applyAlignment="1">
      <alignment horizontal="center"/>
    </xf>
    <xf numFmtId="170" fontId="5" fillId="0" borderId="15" xfId="2" applyNumberFormat="1" applyBorder="1" applyAlignment="1">
      <alignment horizontal="center"/>
    </xf>
    <xf numFmtId="2" fontId="77" fillId="13" borderId="15" xfId="2" applyNumberFormat="1" applyFont="1" applyFill="1" applyBorder="1" applyAlignment="1">
      <alignment horizontal="center"/>
    </xf>
    <xf numFmtId="2" fontId="77" fillId="15" borderId="12" xfId="2" applyNumberFormat="1" applyFont="1" applyFill="1" applyBorder="1" applyAlignment="1">
      <alignment horizontal="center"/>
    </xf>
    <xf numFmtId="2" fontId="77" fillId="7" borderId="31" xfId="2" applyNumberFormat="1" applyFont="1" applyFill="1" applyBorder="1" applyAlignment="1">
      <alignment horizontal="center"/>
    </xf>
    <xf numFmtId="2" fontId="77" fillId="7" borderId="33" xfId="2" applyNumberFormat="1" applyFont="1" applyFill="1" applyBorder="1" applyAlignment="1">
      <alignment horizontal="center"/>
    </xf>
    <xf numFmtId="2" fontId="77" fillId="7" borderId="60" xfId="2" applyNumberFormat="1" applyFont="1" applyFill="1" applyBorder="1" applyAlignment="1">
      <alignment horizontal="center"/>
    </xf>
    <xf numFmtId="0" fontId="5" fillId="0" borderId="72" xfId="2" applyBorder="1" applyAlignment="1">
      <alignment horizontal="center"/>
    </xf>
    <xf numFmtId="170" fontId="5" fillId="0" borderId="50" xfId="2" applyNumberFormat="1" applyBorder="1" applyAlignment="1">
      <alignment horizontal="center"/>
    </xf>
    <xf numFmtId="0" fontId="15" fillId="9" borderId="0" xfId="0" quotePrefix="1" applyFont="1" applyFill="1" applyAlignment="1">
      <alignment horizontal="center" vertical="center"/>
    </xf>
    <xf numFmtId="1" fontId="121" fillId="15" borderId="19" xfId="0" quotePrefix="1" applyNumberFormat="1" applyFont="1" applyFill="1" applyBorder="1" applyAlignment="1">
      <alignment horizontal="center" vertical="center"/>
    </xf>
    <xf numFmtId="166" fontId="6" fillId="0" borderId="0" xfId="0" applyNumberFormat="1" applyFont="1" applyAlignment="1">
      <alignment horizontal="center"/>
    </xf>
    <xf numFmtId="0" fontId="153" fillId="0" borderId="0" xfId="2" applyFont="1" applyAlignment="1">
      <alignment horizontal="center" vertical="center" wrapText="1"/>
    </xf>
    <xf numFmtId="3" fontId="153" fillId="0" borderId="0" xfId="2" applyNumberFormat="1" applyFont="1" applyAlignment="1">
      <alignment horizontal="center" vertical="center" wrapText="1"/>
    </xf>
    <xf numFmtId="165" fontId="121" fillId="9" borderId="20" xfId="0" applyNumberFormat="1" applyFont="1" applyFill="1" applyBorder="1" applyAlignment="1">
      <alignment horizontal="center" vertical="center"/>
    </xf>
    <xf numFmtId="165" fontId="121" fillId="9" borderId="34" xfId="0" applyNumberFormat="1" applyFont="1" applyFill="1" applyBorder="1" applyAlignment="1">
      <alignment horizontal="center" vertical="center"/>
    </xf>
    <xf numFmtId="165" fontId="121" fillId="9" borderId="38" xfId="0" applyNumberFormat="1" applyFont="1" applyFill="1" applyBorder="1" applyAlignment="1">
      <alignment horizontal="center" vertical="center"/>
    </xf>
    <xf numFmtId="0" fontId="121" fillId="27" borderId="19" xfId="0" applyFont="1" applyFill="1" applyBorder="1" applyAlignment="1">
      <alignment horizontal="center" vertical="center"/>
    </xf>
    <xf numFmtId="0" fontId="121" fillId="27" borderId="30" xfId="0" applyFont="1" applyFill="1" applyBorder="1" applyAlignment="1">
      <alignment horizontal="center" vertical="center"/>
    </xf>
    <xf numFmtId="0" fontId="121" fillId="27" borderId="20" xfId="0" applyFont="1" applyFill="1" applyBorder="1" applyAlignment="1">
      <alignment horizontal="center" vertical="center"/>
    </xf>
    <xf numFmtId="0" fontId="121" fillId="14" borderId="20" xfId="0" applyFont="1" applyFill="1" applyBorder="1" applyAlignment="1">
      <alignment horizontal="center"/>
    </xf>
    <xf numFmtId="0" fontId="142" fillId="9" borderId="0" xfId="0" applyFont="1" applyFill="1"/>
    <xf numFmtId="0" fontId="121" fillId="9" borderId="0" xfId="0" applyFont="1" applyFill="1"/>
    <xf numFmtId="0" fontId="121" fillId="14" borderId="38" xfId="0" applyFont="1" applyFill="1" applyBorder="1" applyAlignment="1">
      <alignment horizontal="center"/>
    </xf>
    <xf numFmtId="0" fontId="124" fillId="0" borderId="4" xfId="0" applyFont="1" applyBorder="1" applyAlignment="1">
      <alignment horizontal="left"/>
    </xf>
    <xf numFmtId="0" fontId="34" fillId="0" borderId="4" xfId="0" applyFont="1" applyBorder="1" applyAlignment="1">
      <alignment horizontal="center" wrapText="1"/>
    </xf>
    <xf numFmtId="0" fontId="45" fillId="0" borderId="4" xfId="0" applyFont="1" applyBorder="1" applyAlignment="1">
      <alignment vertical="center" textRotation="90" wrapText="1"/>
    </xf>
    <xf numFmtId="0" fontId="0" fillId="9" borderId="0" xfId="0" applyFill="1" applyAlignment="1">
      <alignment vertical="center" wrapText="1"/>
    </xf>
    <xf numFmtId="165" fontId="121" fillId="0" borderId="1" xfId="0" applyNumberFormat="1" applyFont="1" applyBorder="1" applyAlignment="1">
      <alignment horizontal="center" vertical="center"/>
    </xf>
    <xf numFmtId="165" fontId="121" fillId="9" borderId="0" xfId="0" applyNumberFormat="1" applyFont="1" applyFill="1" applyAlignment="1">
      <alignment horizontal="center" vertical="center"/>
    </xf>
    <xf numFmtId="0" fontId="123" fillId="0" borderId="0" xfId="0" quotePrefix="1" applyFont="1" applyAlignment="1">
      <alignment wrapText="1"/>
    </xf>
    <xf numFmtId="165" fontId="38" fillId="9" borderId="0" xfId="0" applyNumberFormat="1" applyFont="1" applyFill="1" applyAlignment="1">
      <alignment horizontal="right" vertical="center" wrapText="1"/>
    </xf>
    <xf numFmtId="0" fontId="77" fillId="0" borderId="0" xfId="0" applyFont="1"/>
    <xf numFmtId="0" fontId="18" fillId="0" borderId="4" xfId="0" applyFont="1" applyBorder="1"/>
    <xf numFmtId="165" fontId="15" fillId="10" borderId="39" xfId="0" applyNumberFormat="1" applyFont="1" applyFill="1" applyBorder="1" applyAlignment="1">
      <alignment horizontal="center"/>
    </xf>
    <xf numFmtId="165" fontId="15" fillId="10" borderId="0" xfId="0" applyNumberFormat="1" applyFont="1" applyFill="1" applyAlignment="1">
      <alignment horizontal="center"/>
    </xf>
    <xf numFmtId="165" fontId="15" fillId="10" borderId="14" xfId="0" applyNumberFormat="1" applyFont="1" applyFill="1" applyBorder="1" applyAlignment="1">
      <alignment horizontal="center"/>
    </xf>
    <xf numFmtId="165" fontId="121" fillId="9" borderId="20" xfId="0" applyNumberFormat="1" applyFont="1" applyFill="1" applyBorder="1" applyAlignment="1">
      <alignment horizontal="right" vertical="top"/>
    </xf>
    <xf numFmtId="165" fontId="18" fillId="28" borderId="20" xfId="0" applyNumberFormat="1" applyFont="1" applyFill="1" applyBorder="1" applyAlignment="1">
      <alignment horizontal="right" vertical="top"/>
    </xf>
    <xf numFmtId="0" fontId="15" fillId="23" borderId="20" xfId="0" applyFont="1" applyFill="1" applyBorder="1"/>
    <xf numFmtId="0" fontId="34" fillId="27" borderId="20" xfId="0" applyFont="1" applyFill="1" applyBorder="1" applyAlignment="1">
      <alignment horizontal="right" vertical="top"/>
    </xf>
    <xf numFmtId="165" fontId="15" fillId="8" borderId="38" xfId="0" applyNumberFormat="1" applyFont="1" applyFill="1" applyBorder="1" applyAlignment="1">
      <alignment horizontal="center"/>
    </xf>
    <xf numFmtId="0" fontId="89" fillId="5" borderId="37" xfId="0" applyFont="1" applyFill="1" applyBorder="1" applyAlignment="1" applyProtection="1">
      <alignment vertical="center"/>
      <protection locked="0"/>
    </xf>
    <xf numFmtId="0" fontId="39" fillId="23" borderId="0" xfId="0" applyFont="1" applyFill="1" applyAlignment="1">
      <alignment vertical="center"/>
    </xf>
    <xf numFmtId="0" fontId="20" fillId="7" borderId="37" xfId="0" applyFont="1" applyFill="1" applyBorder="1" applyAlignment="1">
      <alignment vertical="center"/>
    </xf>
    <xf numFmtId="0" fontId="23" fillId="9" borderId="0" xfId="0" applyFont="1" applyFill="1"/>
    <xf numFmtId="0" fontId="6" fillId="5" borderId="21" xfId="0" applyFont="1" applyFill="1" applyBorder="1"/>
    <xf numFmtId="0" fontId="38" fillId="7" borderId="21" xfId="0" applyFont="1" applyFill="1" applyBorder="1" applyAlignment="1">
      <alignment vertical="center" wrapText="1"/>
    </xf>
    <xf numFmtId="0" fontId="38" fillId="7" borderId="26" xfId="0" applyFont="1" applyFill="1" applyBorder="1" applyAlignment="1">
      <alignment horizontal="center"/>
    </xf>
    <xf numFmtId="0" fontId="6" fillId="5" borderId="26" xfId="0" applyFont="1" applyFill="1" applyBorder="1" applyAlignment="1">
      <alignment horizontal="center"/>
    </xf>
    <xf numFmtId="0" fontId="23" fillId="0" borderId="0" xfId="0" applyFont="1"/>
    <xf numFmtId="0" fontId="115" fillId="0" borderId="0" xfId="0" applyFont="1"/>
    <xf numFmtId="171" fontId="38" fillId="23" borderId="17" xfId="0" applyNumberFormat="1" applyFont="1" applyFill="1" applyBorder="1" applyAlignment="1">
      <alignment horizontal="center" vertical="center"/>
    </xf>
    <xf numFmtId="0" fontId="6" fillId="0" borderId="37" xfId="0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/>
    </xf>
    <xf numFmtId="0" fontId="0" fillId="0" borderId="37" xfId="0" applyBorder="1"/>
    <xf numFmtId="0" fontId="0" fillId="0" borderId="37" xfId="0" applyBorder="1" applyAlignment="1">
      <alignment horizontal="center"/>
    </xf>
    <xf numFmtId="0" fontId="6" fillId="0" borderId="37" xfId="0" applyFont="1" applyBorder="1" applyAlignment="1">
      <alignment horizontal="center"/>
    </xf>
    <xf numFmtId="0" fontId="3" fillId="0" borderId="37" xfId="2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1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4" xfId="0" applyBorder="1"/>
    <xf numFmtId="0" fontId="0" fillId="0" borderId="39" xfId="0" applyBorder="1"/>
    <xf numFmtId="0" fontId="0" fillId="0" borderId="67" xfId="0" applyBorder="1"/>
    <xf numFmtId="0" fontId="0" fillId="0" borderId="23" xfId="0" applyBorder="1"/>
    <xf numFmtId="0" fontId="0" fillId="0" borderId="69" xfId="0" applyBorder="1"/>
    <xf numFmtId="0" fontId="23" fillId="0" borderId="41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3" fillId="0" borderId="24" xfId="0" applyFont="1" applyBorder="1" applyAlignment="1">
      <alignment horizontal="center"/>
    </xf>
    <xf numFmtId="0" fontId="23" fillId="0" borderId="25" xfId="0" applyFont="1" applyBorder="1" applyAlignment="1">
      <alignment horizontal="center"/>
    </xf>
    <xf numFmtId="0" fontId="6" fillId="0" borderId="55" xfId="0" applyFont="1" applyBorder="1" applyAlignment="1">
      <alignment horizontal="center" vertical="center" wrapText="1"/>
    </xf>
    <xf numFmtId="0" fontId="6" fillId="0" borderId="70" xfId="0" applyFont="1" applyBorder="1" applyAlignment="1">
      <alignment horizontal="center" vertical="center" wrapText="1"/>
    </xf>
    <xf numFmtId="0" fontId="6" fillId="0" borderId="66" xfId="0" applyFont="1" applyBorder="1" applyAlignment="1">
      <alignment horizontal="center" vertical="center" wrapText="1"/>
    </xf>
    <xf numFmtId="0" fontId="0" fillId="0" borderId="58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81" xfId="0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6" fillId="0" borderId="0" xfId="0" applyFont="1" applyAlignment="1">
      <alignment horizontal="right"/>
    </xf>
    <xf numFmtId="0" fontId="155" fillId="0" borderId="0" xfId="0" applyFont="1" applyAlignment="1">
      <alignment vertical="center"/>
    </xf>
    <xf numFmtId="0" fontId="45" fillId="9" borderId="0" xfId="0" applyFont="1" applyFill="1" applyAlignment="1">
      <alignment vertical="center" wrapText="1"/>
    </xf>
    <xf numFmtId="0" fontId="38" fillId="9" borderId="0" xfId="0" applyFont="1" applyFill="1" applyAlignment="1" applyProtection="1">
      <alignment horizontal="center"/>
      <protection hidden="1"/>
    </xf>
    <xf numFmtId="0" fontId="34" fillId="9" borderId="0" xfId="0" applyFont="1" applyFill="1" applyAlignment="1">
      <alignment horizontal="center"/>
    </xf>
    <xf numFmtId="173" fontId="34" fillId="9" borderId="0" xfId="0" applyNumberFormat="1" applyFont="1" applyFill="1" applyAlignment="1">
      <alignment horizontal="center"/>
    </xf>
    <xf numFmtId="0" fontId="38" fillId="9" borderId="0" xfId="0" applyFont="1" applyFill="1" applyAlignment="1">
      <alignment horizontal="center"/>
    </xf>
    <xf numFmtId="0" fontId="34" fillId="9" borderId="0" xfId="0" applyFont="1" applyFill="1" applyAlignment="1" applyProtection="1">
      <alignment horizontal="center"/>
      <protection hidden="1"/>
    </xf>
    <xf numFmtId="2" fontId="34" fillId="9" borderId="0" xfId="0" applyNumberFormat="1" applyFont="1" applyFill="1" applyAlignment="1">
      <alignment horizontal="right"/>
    </xf>
    <xf numFmtId="0" fontId="5" fillId="0" borderId="0" xfId="2" applyAlignment="1">
      <alignment vertical="center"/>
    </xf>
    <xf numFmtId="0" fontId="20" fillId="23" borderId="0" xfId="0" applyFont="1" applyFill="1" applyAlignment="1">
      <alignment horizontal="right"/>
    </xf>
    <xf numFmtId="0" fontId="2" fillId="15" borderId="26" xfId="2" applyFont="1" applyFill="1" applyBorder="1" applyAlignment="1">
      <alignment horizontal="center" wrapText="1"/>
    </xf>
    <xf numFmtId="0" fontId="20" fillId="0" borderId="29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0" fillId="33" borderId="37" xfId="0" applyFill="1" applyBorder="1"/>
    <xf numFmtId="2" fontId="34" fillId="9" borderId="19" xfId="0" applyNumberFormat="1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18" fillId="0" borderId="0" xfId="0" applyFont="1" applyAlignment="1">
      <alignment vertical="center"/>
    </xf>
    <xf numFmtId="0" fontId="20" fillId="0" borderId="0" xfId="0" quotePrefix="1" applyFont="1" applyAlignment="1">
      <alignment horizontal="center" vertical="center"/>
    </xf>
    <xf numFmtId="0" fontId="20" fillId="9" borderId="0" xfId="0" quotePrefix="1" applyFont="1" applyFill="1" applyAlignment="1">
      <alignment horizontal="center" vertical="center"/>
    </xf>
    <xf numFmtId="167" fontId="20" fillId="9" borderId="0" xfId="0" applyNumberFormat="1" applyFont="1" applyFill="1" applyAlignment="1">
      <alignment vertical="center"/>
    </xf>
    <xf numFmtId="0" fontId="156" fillId="0" borderId="14" xfId="0" applyFont="1" applyBorder="1" applyAlignment="1">
      <alignment vertical="center"/>
    </xf>
    <xf numFmtId="0" fontId="23" fillId="0" borderId="62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3" fillId="0" borderId="11" xfId="0" applyFont="1" applyBorder="1" applyAlignment="1">
      <alignment horizontal="center"/>
    </xf>
    <xf numFmtId="0" fontId="0" fillId="0" borderId="59" xfId="0" applyBorder="1" applyAlignment="1">
      <alignment horizontal="center"/>
    </xf>
    <xf numFmtId="0" fontId="6" fillId="0" borderId="56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2" xfId="0" applyBorder="1" applyAlignment="1">
      <alignment horizontal="center"/>
    </xf>
    <xf numFmtId="0" fontId="23" fillId="7" borderId="19" xfId="0" applyFont="1" applyFill="1" applyBorder="1" applyAlignment="1">
      <alignment horizontal="right"/>
    </xf>
    <xf numFmtId="0" fontId="23" fillId="7" borderId="43" xfId="0" applyFont="1" applyFill="1" applyBorder="1" applyAlignment="1">
      <alignment horizontal="right"/>
    </xf>
    <xf numFmtId="165" fontId="157" fillId="0" borderId="0" xfId="0" applyNumberFormat="1" applyFont="1" applyAlignment="1">
      <alignment horizontal="right" vertical="center"/>
    </xf>
    <xf numFmtId="0" fontId="18" fillId="3" borderId="0" xfId="0" applyFont="1" applyFill="1" applyAlignment="1">
      <alignment vertical="top"/>
    </xf>
    <xf numFmtId="0" fontId="118" fillId="0" borderId="0" xfId="0" applyFont="1"/>
    <xf numFmtId="0" fontId="34" fillId="2" borderId="53" xfId="0" applyFont="1" applyFill="1" applyBorder="1" applyAlignment="1" applyProtection="1">
      <alignment horizontal="center" vertical="center"/>
      <protection locked="0"/>
    </xf>
    <xf numFmtId="0" fontId="34" fillId="20" borderId="36" xfId="0" applyFont="1" applyFill="1" applyBorder="1"/>
    <xf numFmtId="0" fontId="158" fillId="0" borderId="30" xfId="0" applyFont="1" applyBorder="1" applyAlignment="1">
      <alignment horizontal="center"/>
    </xf>
    <xf numFmtId="0" fontId="34" fillId="20" borderId="19" xfId="0" applyFont="1" applyFill="1" applyBorder="1" applyAlignment="1">
      <alignment horizontal="center" vertical="center"/>
    </xf>
    <xf numFmtId="0" fontId="34" fillId="20" borderId="0" xfId="0" applyFont="1" applyFill="1" applyAlignment="1">
      <alignment horizontal="center" vertical="center"/>
    </xf>
    <xf numFmtId="0" fontId="34" fillId="20" borderId="0" xfId="0" applyFont="1" applyFill="1" applyAlignment="1">
      <alignment horizontal="center" vertical="center" wrapText="1"/>
    </xf>
    <xf numFmtId="3" fontId="34" fillId="20" borderId="0" xfId="0" applyNumberFormat="1" applyFont="1" applyFill="1" applyAlignment="1">
      <alignment horizontal="center" vertical="center"/>
    </xf>
    <xf numFmtId="0" fontId="34" fillId="20" borderId="20" xfId="0" applyFont="1" applyFill="1" applyBorder="1" applyAlignment="1">
      <alignment horizontal="center" vertical="center"/>
    </xf>
    <xf numFmtId="0" fontId="34" fillId="32" borderId="38" xfId="0" applyFont="1" applyFill="1" applyBorder="1" applyAlignment="1" applyProtection="1">
      <alignment horizontal="center" vertical="center"/>
      <protection locked="0"/>
    </xf>
    <xf numFmtId="0" fontId="34" fillId="0" borderId="0" xfId="0" applyFont="1" applyAlignment="1">
      <alignment vertical="top"/>
    </xf>
    <xf numFmtId="0" fontId="34" fillId="3" borderId="19" xfId="0" applyFont="1" applyFill="1" applyBorder="1" applyAlignment="1">
      <alignment horizontal="center" vertical="center"/>
    </xf>
    <xf numFmtId="0" fontId="6" fillId="0" borderId="14" xfId="0" applyFont="1" applyBorder="1"/>
    <xf numFmtId="0" fontId="6" fillId="0" borderId="43" xfId="0" applyFont="1" applyBorder="1" applyAlignment="1">
      <alignment horizontal="left"/>
    </xf>
    <xf numFmtId="0" fontId="40" fillId="5" borderId="43" xfId="0" applyFont="1" applyFill="1" applyBorder="1" applyAlignment="1">
      <alignment vertical="center" wrapText="1"/>
    </xf>
    <xf numFmtId="0" fontId="40" fillId="5" borderId="38" xfId="0" applyFont="1" applyFill="1" applyBorder="1" applyAlignment="1">
      <alignment vertical="center" wrapText="1"/>
    </xf>
    <xf numFmtId="0" fontId="18" fillId="7" borderId="44" xfId="0" applyFont="1" applyFill="1" applyBorder="1" applyAlignment="1">
      <alignment horizontal="center"/>
    </xf>
    <xf numFmtId="0" fontId="18" fillId="7" borderId="39" xfId="0" applyFont="1" applyFill="1" applyBorder="1" applyAlignment="1">
      <alignment horizontal="center"/>
    </xf>
    <xf numFmtId="0" fontId="18" fillId="7" borderId="45" xfId="0" applyFont="1" applyFill="1" applyBorder="1" applyAlignment="1">
      <alignment horizontal="center"/>
    </xf>
    <xf numFmtId="0" fontId="6" fillId="5" borderId="0" xfId="0" applyFont="1" applyFill="1" applyAlignment="1">
      <alignment horizontal="left"/>
    </xf>
    <xf numFmtId="0" fontId="0" fillId="5" borderId="0" xfId="0" applyFill="1" applyAlignment="1">
      <alignment horizontal="left"/>
    </xf>
    <xf numFmtId="0" fontId="0" fillId="5" borderId="20" xfId="0" applyFill="1" applyBorder="1" applyAlignment="1">
      <alignment horizontal="left"/>
    </xf>
    <xf numFmtId="0" fontId="20" fillId="0" borderId="0" xfId="0" applyFont="1" applyAlignment="1">
      <alignment horizontal="center" vertical="center"/>
    </xf>
    <xf numFmtId="10" fontId="20" fillId="9" borderId="0" xfId="0" quotePrefix="1" applyNumberFormat="1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6" fillId="0" borderId="0" xfId="0" applyFont="1" applyAlignment="1">
      <alignment horizontal="right"/>
    </xf>
    <xf numFmtId="0" fontId="20" fillId="0" borderId="0" xfId="0" quotePrefix="1" applyFont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23" fillId="0" borderId="0" xfId="0" applyFont="1" applyAlignment="1">
      <alignment horizontal="center"/>
    </xf>
    <xf numFmtId="0" fontId="0" fillId="0" borderId="27" xfId="0" applyBorder="1" applyAlignment="1">
      <alignment horizontal="center"/>
    </xf>
    <xf numFmtId="0" fontId="0" fillId="0" borderId="0" xfId="0" applyAlignment="1">
      <alignment horizontal="center"/>
    </xf>
    <xf numFmtId="0" fontId="20" fillId="0" borderId="14" xfId="0" applyFont="1" applyBorder="1" applyAlignment="1">
      <alignment horizontal="center" vertical="center"/>
    </xf>
    <xf numFmtId="0" fontId="20" fillId="9" borderId="0" xfId="0" quotePrefix="1" applyFont="1" applyFill="1" applyAlignment="1">
      <alignment horizontal="center" vertical="center"/>
    </xf>
    <xf numFmtId="0" fontId="20" fillId="15" borderId="0" xfId="0" applyFont="1" applyFill="1" applyAlignment="1">
      <alignment horizontal="center" vertical="center" wrapText="1"/>
    </xf>
    <xf numFmtId="0" fontId="20" fillId="15" borderId="20" xfId="0" applyFont="1" applyFill="1" applyBorder="1" applyAlignment="1">
      <alignment horizontal="center" vertical="center" wrapText="1"/>
    </xf>
    <xf numFmtId="165" fontId="74" fillId="29" borderId="0" xfId="0" quotePrefix="1" applyNumberFormat="1" applyFont="1" applyFill="1" applyAlignment="1">
      <alignment horizontal="center" vertical="center"/>
    </xf>
    <xf numFmtId="165" fontId="74" fillId="29" borderId="20" xfId="0" quotePrefix="1" applyNumberFormat="1" applyFont="1" applyFill="1" applyBorder="1" applyAlignment="1">
      <alignment horizontal="center" vertical="center"/>
    </xf>
    <xf numFmtId="0" fontId="39" fillId="17" borderId="35" xfId="0" applyFont="1" applyFill="1" applyBorder="1" applyAlignment="1">
      <alignment horizontal="center" vertical="top" textRotation="255"/>
    </xf>
    <xf numFmtId="0" fontId="39" fillId="17" borderId="30" xfId="0" applyFont="1" applyFill="1" applyBorder="1" applyAlignment="1">
      <alignment horizontal="center" vertical="top" textRotation="255"/>
    </xf>
    <xf numFmtId="0" fontId="39" fillId="17" borderId="36" xfId="0" applyFont="1" applyFill="1" applyBorder="1" applyAlignment="1">
      <alignment horizontal="center" vertical="top" textRotation="255"/>
    </xf>
    <xf numFmtId="0" fontId="89" fillId="0" borderId="0" xfId="0" applyFont="1" applyAlignment="1">
      <alignment horizontal="center" vertical="center"/>
    </xf>
    <xf numFmtId="0" fontId="0" fillId="7" borderId="19" xfId="0" applyFill="1" applyBorder="1" applyAlignment="1">
      <alignment horizontal="left" vertical="center" wrapText="1"/>
    </xf>
    <xf numFmtId="0" fontId="0" fillId="7" borderId="20" xfId="0" applyFill="1" applyBorder="1" applyAlignment="1">
      <alignment horizontal="left" vertical="center" wrapText="1"/>
    </xf>
    <xf numFmtId="0" fontId="39" fillId="20" borderId="44" xfId="0" applyFont="1" applyFill="1" applyBorder="1" applyAlignment="1">
      <alignment horizontal="center" vertical="center"/>
    </xf>
    <xf numFmtId="0" fontId="39" fillId="20" borderId="39" xfId="0" applyFont="1" applyFill="1" applyBorder="1" applyAlignment="1">
      <alignment horizontal="center" vertical="center"/>
    </xf>
    <xf numFmtId="0" fontId="39" fillId="20" borderId="19" xfId="0" applyFont="1" applyFill="1" applyBorder="1" applyAlignment="1">
      <alignment horizontal="center" vertical="center"/>
    </xf>
    <xf numFmtId="0" fontId="39" fillId="20" borderId="43" xfId="0" applyFont="1" applyFill="1" applyBorder="1" applyAlignment="1">
      <alignment horizontal="center" vertical="center"/>
    </xf>
    <xf numFmtId="0" fontId="20" fillId="23" borderId="10" xfId="0" applyFont="1" applyFill="1" applyBorder="1" applyAlignment="1">
      <alignment horizontal="center"/>
    </xf>
    <xf numFmtId="0" fontId="20" fillId="23" borderId="39" xfId="0" applyFont="1" applyFill="1" applyBorder="1" applyAlignment="1">
      <alignment horizontal="center"/>
    </xf>
    <xf numFmtId="0" fontId="20" fillId="23" borderId="45" xfId="0" applyFont="1" applyFill="1" applyBorder="1" applyAlignment="1">
      <alignment horizontal="center"/>
    </xf>
    <xf numFmtId="0" fontId="18" fillId="3" borderId="33" xfId="0" quotePrefix="1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8" fillId="3" borderId="34" xfId="0" applyFont="1" applyFill="1" applyBorder="1" applyAlignment="1">
      <alignment horizontal="center"/>
    </xf>
    <xf numFmtId="0" fontId="20" fillId="3" borderId="77" xfId="0" applyFont="1" applyFill="1" applyBorder="1" applyAlignment="1">
      <alignment horizontal="right" wrapText="1"/>
    </xf>
    <xf numFmtId="0" fontId="20" fillId="3" borderId="4" xfId="0" applyFont="1" applyFill="1" applyBorder="1" applyAlignment="1">
      <alignment horizontal="right" wrapText="1"/>
    </xf>
    <xf numFmtId="0" fontId="20" fillId="3" borderId="43" xfId="0" applyFont="1" applyFill="1" applyBorder="1" applyAlignment="1">
      <alignment horizontal="right" wrapText="1"/>
    </xf>
    <xf numFmtId="0" fontId="20" fillId="3" borderId="14" xfId="0" applyFont="1" applyFill="1" applyBorder="1" applyAlignment="1">
      <alignment horizontal="right" wrapText="1"/>
    </xf>
    <xf numFmtId="0" fontId="0" fillId="7" borderId="44" xfId="0" applyFill="1" applyBorder="1" applyAlignment="1">
      <alignment horizontal="left" vertical="center" wrapText="1"/>
    </xf>
    <xf numFmtId="0" fontId="0" fillId="7" borderId="45" xfId="0" applyFill="1" applyBorder="1" applyAlignment="1">
      <alignment horizontal="left" vertical="center" wrapText="1"/>
    </xf>
    <xf numFmtId="0" fontId="12" fillId="7" borderId="67" xfId="0" applyFont="1" applyFill="1" applyBorder="1" applyAlignment="1">
      <alignment horizontal="left" vertical="center"/>
    </xf>
    <xf numFmtId="0" fontId="12" fillId="7" borderId="23" xfId="0" applyFont="1" applyFill="1" applyBorder="1" applyAlignment="1">
      <alignment horizontal="left" vertical="center"/>
    </xf>
    <xf numFmtId="0" fontId="12" fillId="7" borderId="69" xfId="0" applyFont="1" applyFill="1" applyBorder="1" applyAlignment="1">
      <alignment horizontal="left" vertical="center"/>
    </xf>
    <xf numFmtId="0" fontId="38" fillId="3" borderId="23" xfId="0" applyFont="1" applyFill="1" applyBorder="1" applyAlignment="1">
      <alignment horizontal="left"/>
    </xf>
    <xf numFmtId="0" fontId="38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center" vertical="center" wrapText="1"/>
    </xf>
    <xf numFmtId="0" fontId="38" fillId="3" borderId="0" xfId="0" applyFont="1" applyFill="1" applyAlignment="1">
      <alignment horizontal="center" vertical="center"/>
    </xf>
    <xf numFmtId="0" fontId="116" fillId="17" borderId="67" xfId="0" applyFont="1" applyFill="1" applyBorder="1" applyAlignment="1">
      <alignment horizontal="center" vertical="center"/>
    </xf>
    <xf numFmtId="0" fontId="116" fillId="17" borderId="23" xfId="0" applyFont="1" applyFill="1" applyBorder="1" applyAlignment="1">
      <alignment horizontal="center" vertical="center"/>
    </xf>
    <xf numFmtId="0" fontId="116" fillId="17" borderId="69" xfId="0" applyFont="1" applyFill="1" applyBorder="1" applyAlignment="1">
      <alignment horizontal="center" vertical="center"/>
    </xf>
    <xf numFmtId="0" fontId="18" fillId="2" borderId="46" xfId="0" applyFont="1" applyFill="1" applyBorder="1" applyAlignment="1" applyProtection="1">
      <alignment horizontal="left" vertical="center"/>
      <protection locked="0"/>
    </xf>
    <xf numFmtId="0" fontId="18" fillId="2" borderId="6" xfId="0" applyFont="1" applyFill="1" applyBorder="1" applyAlignment="1" applyProtection="1">
      <alignment horizontal="left" vertical="center"/>
      <protection locked="0"/>
    </xf>
    <xf numFmtId="0" fontId="18" fillId="2" borderId="47" xfId="0" applyFont="1" applyFill="1" applyBorder="1" applyAlignment="1" applyProtection="1">
      <alignment horizontal="left" vertical="center"/>
      <protection locked="0"/>
    </xf>
    <xf numFmtId="0" fontId="20" fillId="0" borderId="44" xfId="0" applyFont="1" applyBorder="1" applyAlignment="1">
      <alignment horizontal="left"/>
    </xf>
    <xf numFmtId="0" fontId="20" fillId="0" borderId="39" xfId="0" applyFont="1" applyBorder="1" applyAlignment="1">
      <alignment horizontal="left"/>
    </xf>
    <xf numFmtId="0" fontId="18" fillId="2" borderId="49" xfId="0" applyFont="1" applyFill="1" applyBorder="1" applyAlignment="1" applyProtection="1">
      <alignment horizontal="left" vertical="center" wrapText="1"/>
      <protection locked="0"/>
    </xf>
    <xf numFmtId="0" fontId="18" fillId="2" borderId="16" xfId="0" applyFont="1" applyFill="1" applyBorder="1" applyAlignment="1" applyProtection="1">
      <alignment horizontal="left" vertical="center" wrapText="1"/>
      <protection locked="0"/>
    </xf>
    <xf numFmtId="0" fontId="18" fillId="2" borderId="18" xfId="0" applyFont="1" applyFill="1" applyBorder="1" applyAlignment="1" applyProtection="1">
      <alignment horizontal="left" vertical="center" wrapText="1"/>
      <protection locked="0"/>
    </xf>
    <xf numFmtId="0" fontId="18" fillId="2" borderId="43" xfId="0" applyFont="1" applyFill="1" applyBorder="1" applyAlignment="1" applyProtection="1">
      <alignment horizontal="left" vertical="center" wrapText="1"/>
      <protection locked="0"/>
    </xf>
    <xf numFmtId="0" fontId="18" fillId="2" borderId="14" xfId="0" applyFont="1" applyFill="1" applyBorder="1" applyAlignment="1" applyProtection="1">
      <alignment horizontal="left" vertical="center" wrapText="1"/>
      <protection locked="0"/>
    </xf>
    <xf numFmtId="0" fontId="18" fillId="2" borderId="38" xfId="0" applyFont="1" applyFill="1" applyBorder="1" applyAlignment="1" applyProtection="1">
      <alignment horizontal="left" vertical="center" wrapText="1"/>
      <protection locked="0"/>
    </xf>
    <xf numFmtId="0" fontId="9" fillId="3" borderId="44" xfId="0" applyFont="1" applyFill="1" applyBorder="1" applyAlignment="1">
      <alignment horizontal="center" vertical="center" wrapText="1"/>
    </xf>
    <xf numFmtId="0" fontId="9" fillId="3" borderId="45" xfId="0" applyFont="1" applyFill="1" applyBorder="1" applyAlignment="1">
      <alignment horizontal="center" vertical="center" wrapText="1"/>
    </xf>
    <xf numFmtId="0" fontId="76" fillId="0" borderId="9" xfId="2" applyFont="1" applyBorder="1" applyAlignment="1">
      <alignment horizontal="center"/>
    </xf>
    <xf numFmtId="0" fontId="76" fillId="0" borderId="29" xfId="2" applyFont="1" applyBorder="1" applyAlignment="1">
      <alignment horizontal="center"/>
    </xf>
    <xf numFmtId="0" fontId="76" fillId="0" borderId="83" xfId="2" applyFont="1" applyBorder="1" applyAlignment="1">
      <alignment horizontal="center"/>
    </xf>
    <xf numFmtId="0" fontId="104" fillId="7" borderId="0" xfId="0" applyFont="1" applyFill="1" applyAlignment="1">
      <alignment horizontal="center" vertical="center"/>
    </xf>
    <xf numFmtId="0" fontId="20" fillId="3" borderId="2" xfId="0" quotePrefix="1" applyFont="1" applyFill="1" applyBorder="1" applyAlignment="1">
      <alignment horizontal="center"/>
    </xf>
    <xf numFmtId="0" fontId="20" fillId="3" borderId="4" xfId="0" applyFont="1" applyFill="1" applyBorder="1" applyAlignment="1">
      <alignment horizontal="center"/>
    </xf>
    <xf numFmtId="0" fontId="20" fillId="3" borderId="5" xfId="0" applyFont="1" applyFill="1" applyBorder="1" applyAlignment="1">
      <alignment horizontal="center"/>
    </xf>
    <xf numFmtId="165" fontId="0" fillId="20" borderId="43" xfId="0" applyNumberFormat="1" applyFill="1" applyBorder="1" applyAlignment="1">
      <alignment horizontal="right"/>
    </xf>
    <xf numFmtId="165" fontId="0" fillId="20" borderId="14" xfId="0" applyNumberFormat="1" applyFill="1" applyBorder="1" applyAlignment="1">
      <alignment horizontal="right"/>
    </xf>
    <xf numFmtId="165" fontId="0" fillId="20" borderId="38" xfId="0" applyNumberFormat="1" applyFill="1" applyBorder="1" applyAlignment="1">
      <alignment horizontal="right"/>
    </xf>
    <xf numFmtId="0" fontId="20" fillId="8" borderId="67" xfId="0" applyFont="1" applyFill="1" applyBorder="1" applyAlignment="1">
      <alignment horizontal="center"/>
    </xf>
    <xf numFmtId="0" fontId="20" fillId="8" borderId="69" xfId="0" applyFont="1" applyFill="1" applyBorder="1" applyAlignment="1">
      <alignment horizontal="center"/>
    </xf>
    <xf numFmtId="0" fontId="107" fillId="0" borderId="19" xfId="0" applyFont="1" applyBorder="1" applyAlignment="1">
      <alignment horizontal="center"/>
    </xf>
    <xf numFmtId="0" fontId="107" fillId="0" borderId="20" xfId="0" applyFont="1" applyBorder="1" applyAlignment="1">
      <alignment horizontal="center"/>
    </xf>
    <xf numFmtId="0" fontId="108" fillId="9" borderId="44" xfId="0" applyFont="1" applyFill="1" applyBorder="1" applyAlignment="1">
      <alignment horizontal="center" vertical="center"/>
    </xf>
    <xf numFmtId="0" fontId="108" fillId="9" borderId="39" xfId="0" applyFont="1" applyFill="1" applyBorder="1" applyAlignment="1">
      <alignment horizontal="center" vertical="center"/>
    </xf>
    <xf numFmtId="0" fontId="108" fillId="9" borderId="45" xfId="0" applyFont="1" applyFill="1" applyBorder="1" applyAlignment="1">
      <alignment horizontal="center" vertical="center"/>
    </xf>
    <xf numFmtId="0" fontId="20" fillId="3" borderId="2" xfId="0" applyFont="1" applyFill="1" applyBorder="1" applyAlignment="1">
      <alignment horizontal="center"/>
    </xf>
    <xf numFmtId="0" fontId="20" fillId="3" borderId="7" xfId="0" quotePrefix="1" applyFont="1" applyFill="1" applyBorder="1" applyAlignment="1">
      <alignment horizontal="right"/>
    </xf>
    <xf numFmtId="0" fontId="20" fillId="3" borderId="1" xfId="0" quotePrefix="1" applyFont="1" applyFill="1" applyBorder="1" applyAlignment="1">
      <alignment horizontal="right"/>
    </xf>
    <xf numFmtId="0" fontId="102" fillId="0" borderId="0" xfId="0" quotePrefix="1" applyFont="1" applyAlignment="1">
      <alignment horizontal="center" vertical="top" wrapText="1"/>
    </xf>
    <xf numFmtId="0" fontId="5" fillId="0" borderId="0" xfId="2" applyAlignment="1">
      <alignment horizontal="center"/>
    </xf>
    <xf numFmtId="0" fontId="38" fillId="6" borderId="35" xfId="0" applyFont="1" applyFill="1" applyBorder="1" applyAlignment="1">
      <alignment horizontal="center" vertical="center" wrapText="1"/>
    </xf>
    <xf numFmtId="0" fontId="38" fillId="6" borderId="30" xfId="0" applyFont="1" applyFill="1" applyBorder="1" applyAlignment="1">
      <alignment horizontal="center" vertical="center" wrapText="1"/>
    </xf>
    <xf numFmtId="0" fontId="38" fillId="6" borderId="36" xfId="0" applyFont="1" applyFill="1" applyBorder="1" applyAlignment="1">
      <alignment horizontal="center" vertical="center" wrapText="1"/>
    </xf>
    <xf numFmtId="165" fontId="20" fillId="3" borderId="44" xfId="0" applyNumberFormat="1" applyFont="1" applyFill="1" applyBorder="1" applyAlignment="1">
      <alignment horizontal="right" vertical="center"/>
    </xf>
    <xf numFmtId="165" fontId="20" fillId="3" borderId="39" xfId="0" applyNumberFormat="1" applyFont="1" applyFill="1" applyBorder="1" applyAlignment="1">
      <alignment horizontal="right" vertical="center"/>
    </xf>
    <xf numFmtId="165" fontId="20" fillId="3" borderId="43" xfId="0" applyNumberFormat="1" applyFont="1" applyFill="1" applyBorder="1" applyAlignment="1">
      <alignment horizontal="right" vertical="center"/>
    </xf>
    <xf numFmtId="165" fontId="20" fillId="3" borderId="14" xfId="0" applyNumberFormat="1" applyFont="1" applyFill="1" applyBorder="1" applyAlignment="1">
      <alignment horizontal="right" vertical="center"/>
    </xf>
    <xf numFmtId="0" fontId="114" fillId="12" borderId="30" xfId="0" applyFont="1" applyFill="1" applyBorder="1" applyAlignment="1">
      <alignment horizontal="center" vertical="center"/>
    </xf>
    <xf numFmtId="0" fontId="12" fillId="12" borderId="36" xfId="0" applyFont="1" applyFill="1" applyBorder="1" applyAlignment="1">
      <alignment horizontal="center" vertical="center"/>
    </xf>
    <xf numFmtId="0" fontId="76" fillId="0" borderId="11" xfId="2" applyFont="1" applyBorder="1" applyAlignment="1">
      <alignment horizontal="center"/>
    </xf>
    <xf numFmtId="0" fontId="20" fillId="9" borderId="0" xfId="0" applyFont="1" applyFill="1" applyAlignment="1">
      <alignment horizontal="center"/>
    </xf>
    <xf numFmtId="0" fontId="19" fillId="3" borderId="19" xfId="0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9" fillId="3" borderId="20" xfId="0" applyFont="1" applyFill="1" applyBorder="1" applyAlignment="1">
      <alignment horizontal="center" vertical="center"/>
    </xf>
    <xf numFmtId="0" fontId="76" fillId="0" borderId="62" xfId="2" applyFont="1" applyBorder="1" applyAlignment="1">
      <alignment horizontal="center"/>
    </xf>
    <xf numFmtId="165" fontId="20" fillId="17" borderId="67" xfId="0" applyNumberFormat="1" applyFont="1" applyFill="1" applyBorder="1" applyAlignment="1">
      <alignment horizontal="center" vertical="center"/>
    </xf>
    <xf numFmtId="165" fontId="20" fillId="17" borderId="23" xfId="0" applyNumberFormat="1" applyFont="1" applyFill="1" applyBorder="1" applyAlignment="1">
      <alignment horizontal="center" vertical="center"/>
    </xf>
    <xf numFmtId="165" fontId="20" fillId="26" borderId="67" xfId="0" applyNumberFormat="1" applyFont="1" applyFill="1" applyBorder="1" applyAlignment="1">
      <alignment horizontal="center" vertical="center"/>
    </xf>
    <xf numFmtId="165" fontId="20" fillId="26" borderId="69" xfId="0" applyNumberFormat="1" applyFont="1" applyFill="1" applyBorder="1" applyAlignment="1">
      <alignment horizontal="center" vertical="center"/>
    </xf>
    <xf numFmtId="0" fontId="5" fillId="0" borderId="0" xfId="2" applyAlignment="1">
      <alignment horizontal="center" vertical="center"/>
    </xf>
    <xf numFmtId="0" fontId="23" fillId="3" borderId="44" xfId="0" applyFont="1" applyFill="1" applyBorder="1" applyAlignment="1">
      <alignment horizontal="center" vertical="center"/>
    </xf>
    <xf numFmtId="0" fontId="23" fillId="3" borderId="39" xfId="0" applyFont="1" applyFill="1" applyBorder="1" applyAlignment="1">
      <alignment horizontal="center" vertical="center"/>
    </xf>
    <xf numFmtId="0" fontId="23" fillId="3" borderId="45" xfId="0" applyFont="1" applyFill="1" applyBorder="1" applyAlignment="1">
      <alignment horizontal="center" vertical="center"/>
    </xf>
    <xf numFmtId="49" fontId="18" fillId="2" borderId="58" xfId="0" quotePrefix="1" applyNumberFormat="1" applyFont="1" applyFill="1" applyBorder="1" applyAlignment="1" applyProtection="1">
      <alignment vertical="center"/>
      <protection locked="0"/>
    </xf>
    <xf numFmtId="49" fontId="18" fillId="2" borderId="37" xfId="0" applyNumberFormat="1" applyFont="1" applyFill="1" applyBorder="1" applyAlignment="1" applyProtection="1">
      <alignment vertical="center"/>
      <protection locked="0"/>
    </xf>
    <xf numFmtId="49" fontId="18" fillId="2" borderId="59" xfId="0" applyNumberFormat="1" applyFont="1" applyFill="1" applyBorder="1" applyAlignment="1" applyProtection="1">
      <alignment vertical="center"/>
      <protection locked="0"/>
    </xf>
    <xf numFmtId="49" fontId="18" fillId="2" borderId="58" xfId="0" applyNumberFormat="1" applyFont="1" applyFill="1" applyBorder="1" applyAlignment="1" applyProtection="1">
      <alignment vertical="center"/>
      <protection locked="0"/>
    </xf>
    <xf numFmtId="49" fontId="18" fillId="2" borderId="42" xfId="0" quotePrefix="1" applyNumberFormat="1" applyFont="1" applyFill="1" applyBorder="1" applyAlignment="1" applyProtection="1">
      <alignment vertical="center"/>
      <protection locked="0"/>
    </xf>
    <xf numFmtId="49" fontId="18" fillId="2" borderId="15" xfId="0" applyNumberFormat="1" applyFont="1" applyFill="1" applyBorder="1" applyAlignment="1" applyProtection="1">
      <alignment vertical="center"/>
      <protection locked="0"/>
    </xf>
    <xf numFmtId="49" fontId="18" fillId="2" borderId="12" xfId="0" applyNumberFormat="1" applyFont="1" applyFill="1" applyBorder="1" applyAlignment="1" applyProtection="1">
      <alignment vertical="center"/>
      <protection locked="0"/>
    </xf>
    <xf numFmtId="0" fontId="38" fillId="3" borderId="41" xfId="0" applyFont="1" applyFill="1" applyBorder="1" applyAlignment="1">
      <alignment horizontal="center" vertical="center"/>
    </xf>
    <xf numFmtId="0" fontId="38" fillId="3" borderId="54" xfId="0" applyFont="1" applyFill="1" applyBorder="1" applyAlignment="1">
      <alignment horizontal="center" vertical="center"/>
    </xf>
    <xf numFmtId="0" fontId="20" fillId="0" borderId="19" xfId="0" applyFont="1" applyBorder="1" applyAlignment="1">
      <alignment horizontal="center"/>
    </xf>
    <xf numFmtId="0" fontId="20" fillId="0" borderId="20" xfId="0" applyFont="1" applyBorder="1" applyAlignment="1">
      <alignment horizontal="center"/>
    </xf>
    <xf numFmtId="0" fontId="20" fillId="7" borderId="67" xfId="0" applyFont="1" applyFill="1" applyBorder="1" applyAlignment="1">
      <alignment horizontal="center"/>
    </xf>
    <xf numFmtId="0" fontId="20" fillId="7" borderId="69" xfId="0" applyFont="1" applyFill="1" applyBorder="1" applyAlignment="1">
      <alignment horizontal="center"/>
    </xf>
    <xf numFmtId="0" fontId="20" fillId="21" borderId="67" xfId="0" applyFont="1" applyFill="1" applyBorder="1" applyAlignment="1">
      <alignment horizontal="center"/>
    </xf>
    <xf numFmtId="0" fontId="20" fillId="21" borderId="23" xfId="0" applyFont="1" applyFill="1" applyBorder="1" applyAlignment="1">
      <alignment horizontal="center"/>
    </xf>
    <xf numFmtId="0" fontId="20" fillId="12" borderId="44" xfId="0" applyFont="1" applyFill="1" applyBorder="1" applyAlignment="1">
      <alignment horizontal="center" vertical="center" wrapText="1"/>
    </xf>
    <xf numFmtId="0" fontId="20" fillId="12" borderId="39" xfId="0" applyFont="1" applyFill="1" applyBorder="1" applyAlignment="1">
      <alignment horizontal="center" vertical="center" wrapText="1"/>
    </xf>
    <xf numFmtId="0" fontId="20" fillId="12" borderId="19" xfId="0" applyFont="1" applyFill="1" applyBorder="1" applyAlignment="1">
      <alignment horizontal="center" vertical="center" wrapText="1"/>
    </xf>
    <xf numFmtId="0" fontId="20" fillId="12" borderId="0" xfId="0" applyFont="1" applyFill="1" applyAlignment="1">
      <alignment horizontal="center" vertical="center" wrapText="1"/>
    </xf>
    <xf numFmtId="0" fontId="20" fillId="12" borderId="38" xfId="0" applyFont="1" applyFill="1" applyBorder="1" applyAlignment="1">
      <alignment horizontal="center" vertical="center" wrapText="1"/>
    </xf>
    <xf numFmtId="0" fontId="18" fillId="11" borderId="14" xfId="0" applyFont="1" applyFill="1" applyBorder="1" applyAlignment="1">
      <alignment horizontal="left"/>
    </xf>
    <xf numFmtId="0" fontId="18" fillId="11" borderId="38" xfId="0" applyFont="1" applyFill="1" applyBorder="1" applyAlignment="1">
      <alignment horizontal="left"/>
    </xf>
    <xf numFmtId="0" fontId="39" fillId="25" borderId="35" xfId="0" applyFont="1" applyFill="1" applyBorder="1" applyAlignment="1">
      <alignment horizontal="center" vertical="center"/>
    </xf>
    <xf numFmtId="0" fontId="39" fillId="25" borderId="43" xfId="0" applyFont="1" applyFill="1" applyBorder="1" applyAlignment="1">
      <alignment horizontal="center" vertical="center"/>
    </xf>
    <xf numFmtId="0" fontId="38" fillId="24" borderId="14" xfId="0" applyFont="1" applyFill="1" applyBorder="1" applyAlignment="1">
      <alignment horizontal="right" vertical="center"/>
    </xf>
    <xf numFmtId="167" fontId="20" fillId="7" borderId="14" xfId="0" applyNumberFormat="1" applyFont="1" applyFill="1" applyBorder="1" applyAlignment="1">
      <alignment horizontal="center" vertical="center"/>
    </xf>
    <xf numFmtId="167" fontId="20" fillId="7" borderId="38" xfId="0" applyNumberFormat="1" applyFont="1" applyFill="1" applyBorder="1" applyAlignment="1">
      <alignment horizontal="center" vertical="center"/>
    </xf>
    <xf numFmtId="0" fontId="20" fillId="7" borderId="22" xfId="0" applyFont="1" applyFill="1" applyBorder="1" applyAlignment="1">
      <alignment horizontal="center" vertical="center"/>
    </xf>
    <xf numFmtId="0" fontId="20" fillId="7" borderId="25" xfId="0" applyFont="1" applyFill="1" applyBorder="1" applyAlignment="1">
      <alignment horizontal="center" vertical="center"/>
    </xf>
    <xf numFmtId="49" fontId="18" fillId="2" borderId="46" xfId="0" applyNumberFormat="1" applyFont="1" applyFill="1" applyBorder="1" applyAlignment="1" applyProtection="1">
      <alignment vertical="center"/>
      <protection locked="0"/>
    </xf>
    <xf numFmtId="49" fontId="18" fillId="2" borderId="6" xfId="0" applyNumberFormat="1" applyFont="1" applyFill="1" applyBorder="1" applyAlignment="1" applyProtection="1">
      <alignment vertical="center"/>
      <protection locked="0"/>
    </xf>
    <xf numFmtId="49" fontId="18" fillId="2" borderId="47" xfId="0" applyNumberFormat="1" applyFont="1" applyFill="1" applyBorder="1" applyAlignment="1" applyProtection="1">
      <alignment vertical="center"/>
      <protection locked="0"/>
    </xf>
    <xf numFmtId="0" fontId="23" fillId="7" borderId="35" xfId="0" applyFont="1" applyFill="1" applyBorder="1" applyAlignment="1">
      <alignment horizontal="center" vertical="center" wrapText="1"/>
    </xf>
    <xf numFmtId="0" fontId="23" fillId="7" borderId="36" xfId="0" applyFont="1" applyFill="1" applyBorder="1" applyAlignment="1">
      <alignment horizontal="center" vertical="center" wrapText="1"/>
    </xf>
    <xf numFmtId="0" fontId="39" fillId="17" borderId="31" xfId="0" applyFont="1" applyFill="1" applyBorder="1" applyAlignment="1">
      <alignment horizontal="center" vertical="top" textRotation="255"/>
    </xf>
    <xf numFmtId="0" fontId="39" fillId="17" borderId="32" xfId="0" applyFont="1" applyFill="1" applyBorder="1" applyAlignment="1">
      <alignment horizontal="center" vertical="top" textRotation="255"/>
    </xf>
    <xf numFmtId="0" fontId="39" fillId="17" borderId="60" xfId="0" applyFont="1" applyFill="1" applyBorder="1" applyAlignment="1">
      <alignment horizontal="center" vertical="top" textRotation="255"/>
    </xf>
    <xf numFmtId="0" fontId="20" fillId="0" borderId="61" xfId="0" applyFont="1" applyBorder="1" applyAlignment="1">
      <alignment horizontal="center" vertical="center"/>
    </xf>
    <xf numFmtId="0" fontId="20" fillId="0" borderId="65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34" fillId="7" borderId="44" xfId="0" applyFont="1" applyFill="1" applyBorder="1" applyAlignment="1">
      <alignment horizontal="center" vertical="center"/>
    </xf>
    <xf numFmtId="0" fontId="34" fillId="7" borderId="73" xfId="0" applyFont="1" applyFill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66" xfId="0" applyFont="1" applyBorder="1" applyAlignment="1">
      <alignment horizontal="center" vertical="center"/>
    </xf>
    <xf numFmtId="0" fontId="20" fillId="0" borderId="60" xfId="0" applyFont="1" applyBorder="1" applyAlignment="1">
      <alignment horizontal="center" vertical="center" wrapText="1"/>
    </xf>
    <xf numFmtId="0" fontId="20" fillId="0" borderId="50" xfId="0" applyFont="1" applyBorder="1" applyAlignment="1">
      <alignment horizontal="center" vertical="center" wrapText="1"/>
    </xf>
    <xf numFmtId="0" fontId="39" fillId="17" borderId="52" xfId="0" applyFont="1" applyFill="1" applyBorder="1" applyAlignment="1">
      <alignment horizontal="center" vertical="top" textRotation="255"/>
    </xf>
    <xf numFmtId="0" fontId="39" fillId="17" borderId="74" xfId="0" applyFont="1" applyFill="1" applyBorder="1" applyAlignment="1">
      <alignment horizontal="center" vertical="top" textRotation="255"/>
    </xf>
    <xf numFmtId="0" fontId="38" fillId="0" borderId="19" xfId="0" applyFont="1" applyBorder="1" applyAlignment="1">
      <alignment horizontal="center"/>
    </xf>
    <xf numFmtId="0" fontId="38" fillId="0" borderId="0" xfId="0" applyFont="1" applyAlignment="1">
      <alignment horizontal="center"/>
    </xf>
    <xf numFmtId="0" fontId="89" fillId="23" borderId="19" xfId="0" applyFont="1" applyFill="1" applyBorder="1" applyAlignment="1">
      <alignment horizontal="left" vertical="center"/>
    </xf>
    <xf numFmtId="0" fontId="89" fillId="23" borderId="0" xfId="0" applyFont="1" applyFill="1" applyAlignment="1">
      <alignment horizontal="left" vertical="center"/>
    </xf>
    <xf numFmtId="0" fontId="20" fillId="7" borderId="49" xfId="0" applyFont="1" applyFill="1" applyBorder="1" applyAlignment="1">
      <alignment horizontal="right" vertical="center"/>
    </xf>
    <xf numFmtId="0" fontId="20" fillId="7" borderId="17" xfId="0" applyFont="1" applyFill="1" applyBorder="1" applyAlignment="1">
      <alignment horizontal="right" vertical="center"/>
    </xf>
    <xf numFmtId="0" fontId="18" fillId="2" borderId="44" xfId="0" applyFont="1" applyFill="1" applyBorder="1" applyAlignment="1" applyProtection="1">
      <alignment horizontal="left" vertical="center" wrapText="1"/>
      <protection locked="0"/>
    </xf>
    <xf numFmtId="0" fontId="18" fillId="2" borderId="39" xfId="0" applyFont="1" applyFill="1" applyBorder="1" applyAlignment="1" applyProtection="1">
      <alignment horizontal="left" vertical="center" wrapText="1"/>
      <protection locked="0"/>
    </xf>
    <xf numFmtId="0" fontId="18" fillId="2" borderId="45" xfId="0" applyFont="1" applyFill="1" applyBorder="1" applyAlignment="1" applyProtection="1">
      <alignment horizontal="left" vertical="center" wrapText="1"/>
      <protection locked="0"/>
    </xf>
    <xf numFmtId="0" fontId="6" fillId="5" borderId="14" xfId="0" applyFont="1" applyFill="1" applyBorder="1" applyAlignment="1">
      <alignment horizontal="left"/>
    </xf>
    <xf numFmtId="0" fontId="0" fillId="5" borderId="14" xfId="0" applyFill="1" applyBorder="1" applyAlignment="1">
      <alignment horizontal="left"/>
    </xf>
    <xf numFmtId="0" fontId="0" fillId="5" borderId="38" xfId="0" applyFill="1" applyBorder="1" applyAlignment="1">
      <alignment horizontal="left"/>
    </xf>
    <xf numFmtId="0" fontId="20" fillId="3" borderId="67" xfId="0" applyFont="1" applyFill="1" applyBorder="1" applyAlignment="1">
      <alignment wrapText="1"/>
    </xf>
    <xf numFmtId="0" fontId="20" fillId="3" borderId="23" xfId="0" applyFont="1" applyFill="1" applyBorder="1" applyAlignment="1">
      <alignment wrapText="1"/>
    </xf>
    <xf numFmtId="0" fontId="20" fillId="3" borderId="69" xfId="0" applyFont="1" applyFill="1" applyBorder="1" applyAlignment="1">
      <alignment wrapText="1"/>
    </xf>
    <xf numFmtId="14" fontId="0" fillId="2" borderId="0" xfId="0" applyNumberFormat="1" applyFill="1" applyAlignment="1" applyProtection="1">
      <alignment horizontal="center"/>
      <protection locked="0"/>
    </xf>
    <xf numFmtId="0" fontId="20" fillId="18" borderId="19" xfId="0" applyFont="1" applyFill="1" applyBorder="1" applyAlignment="1">
      <alignment horizontal="right" vertical="center"/>
    </xf>
    <xf numFmtId="0" fontId="20" fillId="18" borderId="0" xfId="0" applyFont="1" applyFill="1" applyAlignment="1">
      <alignment horizontal="right" vertical="center"/>
    </xf>
    <xf numFmtId="0" fontId="20" fillId="18" borderId="19" xfId="0" applyFont="1" applyFill="1" applyBorder="1" applyAlignment="1">
      <alignment horizontal="right"/>
    </xf>
    <xf numFmtId="0" fontId="20" fillId="18" borderId="0" xfId="0" applyFont="1" applyFill="1" applyAlignment="1">
      <alignment horizontal="right"/>
    </xf>
    <xf numFmtId="0" fontId="20" fillId="7" borderId="19" xfId="0" applyFont="1" applyFill="1" applyBorder="1" applyAlignment="1">
      <alignment horizontal="right"/>
    </xf>
    <xf numFmtId="0" fontId="20" fillId="7" borderId="0" xfId="0" applyFont="1" applyFill="1" applyAlignment="1">
      <alignment horizontal="right"/>
    </xf>
    <xf numFmtId="0" fontId="39" fillId="22" borderId="45" xfId="0" applyFont="1" applyFill="1" applyBorder="1" applyAlignment="1">
      <alignment horizontal="center" vertical="center"/>
    </xf>
    <xf numFmtId="0" fontId="39" fillId="22" borderId="38" xfId="0" applyFont="1" applyFill="1" applyBorder="1" applyAlignment="1">
      <alignment horizontal="center" vertical="center"/>
    </xf>
    <xf numFmtId="0" fontId="93" fillId="18" borderId="23" xfId="0" applyFont="1" applyFill="1" applyBorder="1" applyAlignment="1" applyProtection="1">
      <alignment horizontal="left"/>
      <protection locked="0"/>
    </xf>
    <xf numFmtId="0" fontId="93" fillId="18" borderId="69" xfId="0" applyFont="1" applyFill="1" applyBorder="1" applyAlignment="1" applyProtection="1">
      <alignment horizontal="left"/>
      <protection locked="0"/>
    </xf>
    <xf numFmtId="0" fontId="20" fillId="7" borderId="48" xfId="0" applyFont="1" applyFill="1" applyBorder="1" applyAlignment="1">
      <alignment horizontal="right" vertical="center"/>
    </xf>
    <xf numFmtId="0" fontId="20" fillId="7" borderId="27" xfId="0" applyFont="1" applyFill="1" applyBorder="1" applyAlignment="1">
      <alignment horizontal="right" vertical="center"/>
    </xf>
    <xf numFmtId="0" fontId="20" fillId="18" borderId="43" xfId="0" applyFont="1" applyFill="1" applyBorder="1" applyAlignment="1">
      <alignment horizontal="left" vertical="center"/>
    </xf>
    <xf numFmtId="0" fontId="20" fillId="18" borderId="14" xfId="0" applyFont="1" applyFill="1" applyBorder="1" applyAlignment="1">
      <alignment horizontal="left" vertical="center"/>
    </xf>
    <xf numFmtId="0" fontId="18" fillId="2" borderId="79" xfId="0" applyFont="1" applyFill="1" applyBorder="1" applyAlignment="1" applyProtection="1">
      <alignment horizontal="left" vertical="center" wrapText="1"/>
      <protection locked="0"/>
    </xf>
    <xf numFmtId="0" fontId="18" fillId="2" borderId="3" xfId="0" applyFont="1" applyFill="1" applyBorder="1" applyAlignment="1" applyProtection="1">
      <alignment horizontal="left" vertical="center" wrapText="1"/>
      <protection locked="0"/>
    </xf>
    <xf numFmtId="0" fontId="18" fillId="2" borderId="80" xfId="0" applyFont="1" applyFill="1" applyBorder="1" applyAlignment="1" applyProtection="1">
      <alignment horizontal="left" vertical="center" wrapText="1"/>
      <protection locked="0"/>
    </xf>
    <xf numFmtId="0" fontId="12" fillId="18" borderId="19" xfId="0" applyFont="1" applyFill="1" applyBorder="1" applyAlignment="1">
      <alignment horizontal="right" vertical="center"/>
    </xf>
    <xf numFmtId="0" fontId="12" fillId="18" borderId="0" xfId="0" applyFont="1" applyFill="1" applyAlignment="1">
      <alignment horizontal="right" vertical="center"/>
    </xf>
    <xf numFmtId="0" fontId="12" fillId="18" borderId="43" xfId="0" applyFont="1" applyFill="1" applyBorder="1" applyAlignment="1">
      <alignment horizontal="right" vertical="center"/>
    </xf>
    <xf numFmtId="0" fontId="12" fillId="18" borderId="14" xfId="0" applyFont="1" applyFill="1" applyBorder="1" applyAlignment="1">
      <alignment horizontal="right" vertical="center"/>
    </xf>
    <xf numFmtId="0" fontId="20" fillId="7" borderId="44" xfId="0" applyFont="1" applyFill="1" applyBorder="1" applyAlignment="1">
      <alignment horizontal="center"/>
    </xf>
    <xf numFmtId="0" fontId="20" fillId="7" borderId="39" xfId="0" applyFont="1" applyFill="1" applyBorder="1" applyAlignment="1">
      <alignment horizontal="center"/>
    </xf>
    <xf numFmtId="0" fontId="20" fillId="7" borderId="73" xfId="0" applyFont="1" applyFill="1" applyBorder="1" applyAlignment="1">
      <alignment horizontal="center"/>
    </xf>
    <xf numFmtId="0" fontId="20" fillId="18" borderId="44" xfId="0" quotePrefix="1" applyFont="1" applyFill="1" applyBorder="1" applyAlignment="1">
      <alignment horizontal="right" vertical="center"/>
    </xf>
    <xf numFmtId="0" fontId="20" fillId="18" borderId="45" xfId="0" quotePrefix="1" applyFont="1" applyFill="1" applyBorder="1" applyAlignment="1">
      <alignment horizontal="right" vertical="center"/>
    </xf>
    <xf numFmtId="0" fontId="20" fillId="18" borderId="43" xfId="0" applyFont="1" applyFill="1" applyBorder="1" applyAlignment="1">
      <alignment horizontal="right" vertical="center"/>
    </xf>
    <xf numFmtId="0" fontId="20" fillId="18" borderId="38" xfId="0" applyFont="1" applyFill="1" applyBorder="1" applyAlignment="1">
      <alignment horizontal="right" vertical="center"/>
    </xf>
    <xf numFmtId="0" fontId="40" fillId="12" borderId="44" xfId="0" applyFont="1" applyFill="1" applyBorder="1" applyAlignment="1">
      <alignment horizontal="center" vertical="center" wrapText="1"/>
    </xf>
    <xf numFmtId="0" fontId="40" fillId="12" borderId="39" xfId="0" applyFont="1" applyFill="1" applyBorder="1" applyAlignment="1">
      <alignment horizontal="center" vertical="center" wrapText="1"/>
    </xf>
    <xf numFmtId="0" fontId="40" fillId="12" borderId="43" xfId="0" applyFont="1" applyFill="1" applyBorder="1" applyAlignment="1">
      <alignment horizontal="center" vertical="center" wrapText="1"/>
    </xf>
    <xf numFmtId="0" fontId="40" fillId="12" borderId="14" xfId="0" applyFont="1" applyFill="1" applyBorder="1" applyAlignment="1">
      <alignment horizontal="center" vertical="center" wrapText="1"/>
    </xf>
    <xf numFmtId="167" fontId="20" fillId="7" borderId="1" xfId="0" applyNumberFormat="1" applyFont="1" applyFill="1" applyBorder="1" applyAlignment="1">
      <alignment horizontal="center" vertical="center"/>
    </xf>
    <xf numFmtId="167" fontId="20" fillId="7" borderId="34" xfId="0" applyNumberFormat="1" applyFont="1" applyFill="1" applyBorder="1" applyAlignment="1">
      <alignment horizontal="center" vertical="center"/>
    </xf>
    <xf numFmtId="0" fontId="20" fillId="5" borderId="0" xfId="0" applyFont="1" applyFill="1" applyAlignment="1">
      <alignment horizontal="right" vertical="center"/>
    </xf>
    <xf numFmtId="0" fontId="20" fillId="5" borderId="14" xfId="0" applyFont="1" applyFill="1" applyBorder="1" applyAlignment="1">
      <alignment horizontal="right" vertical="center"/>
    </xf>
    <xf numFmtId="0" fontId="122" fillId="23" borderId="67" xfId="0" applyFont="1" applyFill="1" applyBorder="1" applyAlignment="1">
      <alignment horizontal="center" vertical="center"/>
    </xf>
    <xf numFmtId="0" fontId="122" fillId="23" borderId="23" xfId="0" applyFont="1" applyFill="1" applyBorder="1" applyAlignment="1">
      <alignment horizontal="center" vertical="center"/>
    </xf>
    <xf numFmtId="0" fontId="122" fillId="23" borderId="69" xfId="0" applyFont="1" applyFill="1" applyBorder="1" applyAlignment="1">
      <alignment horizontal="center" vertical="center"/>
    </xf>
    <xf numFmtId="0" fontId="38" fillId="3" borderId="19" xfId="0" applyFont="1" applyFill="1" applyBorder="1" applyAlignment="1">
      <alignment horizontal="center" vertical="center"/>
    </xf>
    <xf numFmtId="0" fontId="38" fillId="3" borderId="20" xfId="0" applyFont="1" applyFill="1" applyBorder="1" applyAlignment="1">
      <alignment horizontal="center" vertical="center"/>
    </xf>
    <xf numFmtId="165" fontId="6" fillId="20" borderId="43" xfId="0" applyNumberFormat="1" applyFont="1" applyFill="1" applyBorder="1" applyAlignment="1">
      <alignment horizontal="right"/>
    </xf>
    <xf numFmtId="165" fontId="6" fillId="20" borderId="14" xfId="0" applyNumberFormat="1" applyFont="1" applyFill="1" applyBorder="1" applyAlignment="1">
      <alignment horizontal="right"/>
    </xf>
    <xf numFmtId="165" fontId="6" fillId="20" borderId="38" xfId="0" applyNumberFormat="1" applyFont="1" applyFill="1" applyBorder="1" applyAlignment="1">
      <alignment horizontal="right"/>
    </xf>
    <xf numFmtId="0" fontId="20" fillId="3" borderId="44" xfId="0" applyFont="1" applyFill="1" applyBorder="1" applyAlignment="1">
      <alignment horizontal="center" vertical="center"/>
    </xf>
    <xf numFmtId="0" fontId="20" fillId="3" borderId="39" xfId="0" applyFont="1" applyFill="1" applyBorder="1" applyAlignment="1">
      <alignment horizontal="center" vertical="center"/>
    </xf>
    <xf numFmtId="0" fontId="20" fillId="3" borderId="45" xfId="0" applyFont="1" applyFill="1" applyBorder="1" applyAlignment="1">
      <alignment horizontal="center" vertical="center"/>
    </xf>
    <xf numFmtId="0" fontId="20" fillId="7" borderId="67" xfId="0" applyFont="1" applyFill="1" applyBorder="1" applyAlignment="1">
      <alignment horizontal="center" vertical="center"/>
    </xf>
    <xf numFmtId="0" fontId="20" fillId="7" borderId="69" xfId="0" applyFont="1" applyFill="1" applyBorder="1" applyAlignment="1">
      <alignment horizontal="center" vertical="center"/>
    </xf>
    <xf numFmtId="0" fontId="39" fillId="18" borderId="0" xfId="0" applyFont="1" applyFill="1" applyAlignment="1">
      <alignment horizontal="center"/>
    </xf>
    <xf numFmtId="0" fontId="20" fillId="7" borderId="62" xfId="0" applyFont="1" applyFill="1" applyBorder="1" applyAlignment="1">
      <alignment horizontal="right" vertical="center"/>
    </xf>
    <xf numFmtId="0" fontId="20" fillId="7" borderId="10" xfId="0" applyFont="1" applyFill="1" applyBorder="1" applyAlignment="1">
      <alignment horizontal="right" vertical="center"/>
    </xf>
    <xf numFmtId="49" fontId="20" fillId="2" borderId="55" xfId="0" applyNumberFormat="1" applyFont="1" applyFill="1" applyBorder="1" applyAlignment="1" applyProtection="1">
      <alignment horizontal="center" vertical="center"/>
      <protection locked="0"/>
    </xf>
    <xf numFmtId="49" fontId="20" fillId="2" borderId="56" xfId="0" applyNumberFormat="1" applyFont="1" applyFill="1" applyBorder="1" applyAlignment="1" applyProtection="1">
      <alignment horizontal="center" vertical="center"/>
      <protection locked="0"/>
    </xf>
    <xf numFmtId="49" fontId="20" fillId="2" borderId="57" xfId="0" applyNumberFormat="1" applyFont="1" applyFill="1" applyBorder="1" applyAlignment="1" applyProtection="1">
      <alignment horizontal="center" vertical="center"/>
      <protection locked="0"/>
    </xf>
    <xf numFmtId="14" fontId="20" fillId="2" borderId="42" xfId="0" applyNumberFormat="1" applyFont="1" applyFill="1" applyBorder="1" applyAlignment="1" applyProtection="1">
      <alignment horizontal="center" vertical="center"/>
      <protection locked="0"/>
    </xf>
    <xf numFmtId="14" fontId="20" fillId="2" borderId="15" xfId="0" applyNumberFormat="1" applyFont="1" applyFill="1" applyBorder="1" applyAlignment="1" applyProtection="1">
      <alignment horizontal="center" vertical="center"/>
      <protection locked="0"/>
    </xf>
    <xf numFmtId="14" fontId="20" fillId="2" borderId="12" xfId="0" applyNumberFormat="1" applyFont="1" applyFill="1" applyBorder="1" applyAlignment="1" applyProtection="1">
      <alignment horizontal="center" vertical="center"/>
      <protection locked="0"/>
    </xf>
    <xf numFmtId="0" fontId="20" fillId="7" borderId="0" xfId="0" applyFont="1" applyFill="1" applyAlignment="1">
      <alignment horizontal="right" vertical="center" wrapText="1"/>
    </xf>
    <xf numFmtId="0" fontId="20" fillId="7" borderId="0" xfId="0" applyFont="1" applyFill="1" applyAlignment="1">
      <alignment horizontal="right" vertical="center"/>
    </xf>
    <xf numFmtId="0" fontId="39" fillId="18" borderId="0" xfId="0" applyFont="1" applyFill="1" applyAlignment="1">
      <alignment horizontal="center" vertical="center"/>
    </xf>
    <xf numFmtId="14" fontId="20" fillId="3" borderId="78" xfId="0" applyNumberFormat="1" applyFont="1" applyFill="1" applyBorder="1" applyAlignment="1">
      <alignment horizontal="center"/>
    </xf>
    <xf numFmtId="14" fontId="20" fillId="3" borderId="38" xfId="0" applyNumberFormat="1" applyFont="1" applyFill="1" applyBorder="1" applyAlignment="1">
      <alignment horizontal="center"/>
    </xf>
    <xf numFmtId="0" fontId="20" fillId="7" borderId="44" xfId="0" applyFont="1" applyFill="1" applyBorder="1" applyAlignment="1">
      <alignment horizontal="center" vertical="center" wrapText="1"/>
    </xf>
    <xf numFmtId="0" fontId="20" fillId="7" borderId="45" xfId="0" applyFont="1" applyFill="1" applyBorder="1" applyAlignment="1">
      <alignment horizontal="center" vertical="center" wrapText="1"/>
    </xf>
    <xf numFmtId="0" fontId="20" fillId="7" borderId="19" xfId="0" applyFont="1" applyFill="1" applyBorder="1" applyAlignment="1">
      <alignment horizontal="center" vertical="center" wrapText="1"/>
    </xf>
    <xf numFmtId="0" fontId="20" fillId="7" borderId="20" xfId="0" applyFont="1" applyFill="1" applyBorder="1" applyAlignment="1">
      <alignment horizontal="center" vertical="center" wrapText="1"/>
    </xf>
    <xf numFmtId="0" fontId="20" fillId="0" borderId="43" xfId="0" applyFont="1" applyBorder="1" applyAlignment="1">
      <alignment horizontal="center"/>
    </xf>
    <xf numFmtId="0" fontId="20" fillId="0" borderId="38" xfId="0" applyFont="1" applyBorder="1" applyAlignment="1">
      <alignment horizontal="center"/>
    </xf>
    <xf numFmtId="0" fontId="20" fillId="0" borderId="70" xfId="0" applyFont="1" applyBorder="1" applyAlignment="1">
      <alignment horizontal="center" vertical="center"/>
    </xf>
    <xf numFmtId="0" fontId="114" fillId="12" borderId="35" xfId="0" applyFont="1" applyFill="1" applyBorder="1" applyAlignment="1">
      <alignment horizontal="center" vertical="center"/>
    </xf>
    <xf numFmtId="0" fontId="20" fillId="23" borderId="19" xfId="0" applyFont="1" applyFill="1" applyBorder="1" applyAlignment="1">
      <alignment horizontal="right" vertical="center"/>
    </xf>
    <xf numFmtId="0" fontId="20" fillId="23" borderId="0" xfId="0" applyFont="1" applyFill="1" applyAlignment="1">
      <alignment horizontal="right" vertical="center"/>
    </xf>
    <xf numFmtId="49" fontId="18" fillId="23" borderId="58" xfId="0" applyNumberFormat="1" applyFont="1" applyFill="1" applyBorder="1" applyAlignment="1" applyProtection="1">
      <alignment vertical="center"/>
      <protection locked="0"/>
    </xf>
    <xf numFmtId="49" fontId="18" fillId="23" borderId="37" xfId="0" applyNumberFormat="1" applyFont="1" applyFill="1" applyBorder="1" applyAlignment="1" applyProtection="1">
      <alignment vertical="center"/>
      <protection locked="0"/>
    </xf>
    <xf numFmtId="49" fontId="18" fillId="23" borderId="59" xfId="0" applyNumberFormat="1" applyFont="1" applyFill="1" applyBorder="1" applyAlignment="1" applyProtection="1">
      <alignment vertical="center"/>
      <protection locked="0"/>
    </xf>
    <xf numFmtId="0" fontId="18" fillId="23" borderId="14" xfId="0" applyFont="1" applyFill="1" applyBorder="1" applyAlignment="1">
      <alignment horizontal="left"/>
    </xf>
    <xf numFmtId="0" fontId="18" fillId="23" borderId="38" xfId="0" applyFont="1" applyFill="1" applyBorder="1" applyAlignment="1">
      <alignment horizontal="left"/>
    </xf>
    <xf numFmtId="0" fontId="12" fillId="23" borderId="43" xfId="0" applyFont="1" applyFill="1" applyBorder="1" applyAlignment="1">
      <alignment horizontal="right" vertical="center"/>
    </xf>
    <xf numFmtId="0" fontId="12" fillId="23" borderId="14" xfId="0" applyFont="1" applyFill="1" applyBorder="1" applyAlignment="1">
      <alignment horizontal="right" vertical="center"/>
    </xf>
    <xf numFmtId="0" fontId="20" fillId="23" borderId="43" xfId="0" applyFont="1" applyFill="1" applyBorder="1" applyAlignment="1">
      <alignment horizontal="right" vertical="center"/>
    </xf>
    <xf numFmtId="0" fontId="20" fillId="23" borderId="38" xfId="0" applyFont="1" applyFill="1" applyBorder="1" applyAlignment="1">
      <alignment horizontal="right" vertical="center"/>
    </xf>
    <xf numFmtId="0" fontId="20" fillId="3" borderId="77" xfId="0" applyFont="1" applyFill="1" applyBorder="1" applyAlignment="1">
      <alignment horizontal="right"/>
    </xf>
    <xf numFmtId="0" fontId="20" fillId="3" borderId="4" xfId="0" applyFont="1" applyFill="1" applyBorder="1" applyAlignment="1">
      <alignment horizontal="right"/>
    </xf>
    <xf numFmtId="0" fontId="20" fillId="3" borderId="43" xfId="0" applyFont="1" applyFill="1" applyBorder="1" applyAlignment="1">
      <alignment horizontal="right"/>
    </xf>
    <xf numFmtId="0" fontId="20" fillId="3" borderId="14" xfId="0" applyFont="1" applyFill="1" applyBorder="1" applyAlignment="1">
      <alignment horizontal="right"/>
    </xf>
    <xf numFmtId="0" fontId="20" fillId="23" borderId="43" xfId="0" applyFont="1" applyFill="1" applyBorder="1" applyAlignment="1">
      <alignment horizontal="left" vertical="center"/>
    </xf>
    <xf numFmtId="0" fontId="20" fillId="23" borderId="14" xfId="0" applyFont="1" applyFill="1" applyBorder="1" applyAlignment="1">
      <alignment horizontal="left" vertical="center"/>
    </xf>
    <xf numFmtId="0" fontId="12" fillId="23" borderId="19" xfId="0" applyFont="1" applyFill="1" applyBorder="1" applyAlignment="1">
      <alignment horizontal="right" vertical="center"/>
    </xf>
    <xf numFmtId="0" fontId="12" fillId="23" borderId="0" xfId="0" applyFont="1" applyFill="1" applyAlignment="1">
      <alignment horizontal="right" vertical="center"/>
    </xf>
    <xf numFmtId="0" fontId="20" fillId="23" borderId="44" xfId="0" quotePrefix="1" applyFont="1" applyFill="1" applyBorder="1" applyAlignment="1">
      <alignment horizontal="right" vertical="center"/>
    </xf>
    <xf numFmtId="0" fontId="20" fillId="23" borderId="45" xfId="0" quotePrefix="1" applyFont="1" applyFill="1" applyBorder="1" applyAlignment="1">
      <alignment horizontal="right" vertical="center"/>
    </xf>
    <xf numFmtId="0" fontId="20" fillId="23" borderId="19" xfId="0" applyFont="1" applyFill="1" applyBorder="1" applyAlignment="1">
      <alignment horizontal="right"/>
    </xf>
    <xf numFmtId="0" fontId="20" fillId="23" borderId="0" xfId="0" applyFont="1" applyFill="1" applyAlignment="1">
      <alignment horizontal="right"/>
    </xf>
    <xf numFmtId="49" fontId="18" fillId="23" borderId="42" xfId="0" applyNumberFormat="1" applyFont="1" applyFill="1" applyBorder="1" applyAlignment="1" applyProtection="1">
      <alignment vertical="center"/>
      <protection locked="0"/>
    </xf>
    <xf numFmtId="49" fontId="18" fillId="23" borderId="15" xfId="0" applyNumberFormat="1" applyFont="1" applyFill="1" applyBorder="1" applyAlignment="1" applyProtection="1">
      <alignment vertical="center"/>
      <protection locked="0"/>
    </xf>
    <xf numFmtId="49" fontId="18" fillId="23" borderId="12" xfId="0" applyNumberFormat="1" applyFont="1" applyFill="1" applyBorder="1" applyAlignment="1" applyProtection="1">
      <alignment vertical="center"/>
      <protection locked="0"/>
    </xf>
    <xf numFmtId="0" fontId="93" fillId="23" borderId="23" xfId="0" applyFont="1" applyFill="1" applyBorder="1" applyAlignment="1" applyProtection="1">
      <alignment horizontal="left"/>
      <protection locked="0"/>
    </xf>
    <xf numFmtId="0" fontId="93" fillId="23" borderId="69" xfId="0" applyFont="1" applyFill="1" applyBorder="1" applyAlignment="1" applyProtection="1">
      <alignment horizontal="left"/>
      <protection locked="0"/>
    </xf>
    <xf numFmtId="0" fontId="20" fillId="23" borderId="44" xfId="0" applyFont="1" applyFill="1" applyBorder="1" applyAlignment="1">
      <alignment horizontal="center"/>
    </xf>
    <xf numFmtId="0" fontId="20" fillId="23" borderId="73" xfId="0" applyFont="1" applyFill="1" applyBorder="1" applyAlignment="1">
      <alignment horizontal="center"/>
    </xf>
    <xf numFmtId="0" fontId="20" fillId="23" borderId="44" xfId="0" applyFont="1" applyFill="1" applyBorder="1" applyAlignment="1">
      <alignment horizontal="center" vertical="center" wrapText="1"/>
    </xf>
    <xf numFmtId="0" fontId="20" fillId="23" borderId="45" xfId="0" applyFont="1" applyFill="1" applyBorder="1" applyAlignment="1">
      <alignment horizontal="center" vertical="center" wrapText="1"/>
    </xf>
    <xf numFmtId="0" fontId="20" fillId="23" borderId="19" xfId="0" applyFont="1" applyFill="1" applyBorder="1" applyAlignment="1">
      <alignment horizontal="center" vertical="center" wrapText="1"/>
    </xf>
    <xf numFmtId="0" fontId="20" fillId="23" borderId="20" xfId="0" applyFont="1" applyFill="1" applyBorder="1" applyAlignment="1">
      <alignment horizontal="center" vertical="center" wrapText="1"/>
    </xf>
    <xf numFmtId="0" fontId="20" fillId="23" borderId="67" xfId="0" applyFont="1" applyFill="1" applyBorder="1" applyAlignment="1">
      <alignment horizontal="center"/>
    </xf>
    <xf numFmtId="0" fontId="20" fillId="23" borderId="69" xfId="0" applyFont="1" applyFill="1" applyBorder="1" applyAlignment="1">
      <alignment horizontal="center"/>
    </xf>
    <xf numFmtId="49" fontId="18" fillId="23" borderId="46" xfId="0" applyNumberFormat="1" applyFont="1" applyFill="1" applyBorder="1" applyAlignment="1" applyProtection="1">
      <alignment vertical="center"/>
      <protection locked="0"/>
    </xf>
    <xf numFmtId="49" fontId="18" fillId="23" borderId="6" xfId="0" applyNumberFormat="1" applyFont="1" applyFill="1" applyBorder="1" applyAlignment="1" applyProtection="1">
      <alignment vertical="center"/>
      <protection locked="0"/>
    </xf>
    <xf numFmtId="49" fontId="18" fillId="23" borderId="47" xfId="0" applyNumberFormat="1" applyFont="1" applyFill="1" applyBorder="1" applyAlignment="1" applyProtection="1">
      <alignment vertical="center"/>
      <protection locked="0"/>
    </xf>
    <xf numFmtId="0" fontId="20" fillId="23" borderId="39" xfId="0" applyFont="1" applyFill="1" applyBorder="1" applyAlignment="1">
      <alignment horizontal="center" vertical="center" wrapText="1"/>
    </xf>
    <xf numFmtId="0" fontId="20" fillId="23" borderId="0" xfId="0" applyFont="1" applyFill="1" applyAlignment="1">
      <alignment horizontal="center" vertical="center" wrapText="1"/>
    </xf>
    <xf numFmtId="0" fontId="20" fillId="23" borderId="38" xfId="0" applyFont="1" applyFill="1" applyBorder="1" applyAlignment="1">
      <alignment horizontal="center" vertical="center" wrapText="1"/>
    </xf>
    <xf numFmtId="0" fontId="39" fillId="23" borderId="45" xfId="0" applyFont="1" applyFill="1" applyBorder="1" applyAlignment="1">
      <alignment horizontal="center" vertical="center"/>
    </xf>
    <xf numFmtId="0" fontId="39" fillId="23" borderId="38" xfId="0" applyFont="1" applyFill="1" applyBorder="1" applyAlignment="1">
      <alignment horizontal="center" vertical="center"/>
    </xf>
    <xf numFmtId="0" fontId="40" fillId="23" borderId="44" xfId="0" applyFont="1" applyFill="1" applyBorder="1" applyAlignment="1">
      <alignment horizontal="center" vertical="center" wrapText="1"/>
    </xf>
    <xf numFmtId="0" fontId="40" fillId="23" borderId="39" xfId="0" applyFont="1" applyFill="1" applyBorder="1" applyAlignment="1">
      <alignment horizontal="center" vertical="center" wrapText="1"/>
    </xf>
    <xf numFmtId="0" fontId="40" fillId="23" borderId="19" xfId="0" applyFont="1" applyFill="1" applyBorder="1" applyAlignment="1">
      <alignment horizontal="center" vertical="center" wrapText="1"/>
    </xf>
    <xf numFmtId="0" fontId="40" fillId="23" borderId="0" xfId="0" applyFont="1" applyFill="1" applyAlignment="1">
      <alignment horizontal="center" vertical="center" wrapText="1"/>
    </xf>
    <xf numFmtId="0" fontId="40" fillId="23" borderId="43" xfId="0" applyFont="1" applyFill="1" applyBorder="1" applyAlignment="1">
      <alignment horizontal="center" vertical="center" wrapText="1"/>
    </xf>
    <xf numFmtId="0" fontId="40" fillId="23" borderId="38" xfId="0" applyFont="1" applyFill="1" applyBorder="1" applyAlignment="1">
      <alignment horizontal="center" vertical="center" wrapText="1"/>
    </xf>
    <xf numFmtId="0" fontId="20" fillId="23" borderId="49" xfId="0" applyFont="1" applyFill="1" applyBorder="1" applyAlignment="1">
      <alignment horizontal="right" vertical="center"/>
    </xf>
    <xf numFmtId="0" fontId="20" fillId="23" borderId="17" xfId="0" applyFont="1" applyFill="1" applyBorder="1" applyAlignment="1">
      <alignment horizontal="right" vertical="center"/>
    </xf>
    <xf numFmtId="0" fontId="18" fillId="23" borderId="49" xfId="0" applyFont="1" applyFill="1" applyBorder="1" applyAlignment="1" applyProtection="1">
      <alignment horizontal="left" vertical="center" wrapText="1"/>
      <protection locked="0"/>
    </xf>
    <xf numFmtId="0" fontId="18" fillId="23" borderId="16" xfId="0" applyFont="1" applyFill="1" applyBorder="1" applyAlignment="1" applyProtection="1">
      <alignment horizontal="left" vertical="center" wrapText="1"/>
      <protection locked="0"/>
    </xf>
    <xf numFmtId="0" fontId="18" fillId="23" borderId="18" xfId="0" applyFont="1" applyFill="1" applyBorder="1" applyAlignment="1" applyProtection="1">
      <alignment horizontal="left" vertical="center" wrapText="1"/>
      <protection locked="0"/>
    </xf>
    <xf numFmtId="0" fontId="18" fillId="23" borderId="43" xfId="0" applyFont="1" applyFill="1" applyBorder="1" applyAlignment="1" applyProtection="1">
      <alignment horizontal="left" vertical="center" wrapText="1"/>
      <protection locked="0"/>
    </xf>
    <xf numFmtId="0" fontId="18" fillId="23" borderId="14" xfId="0" applyFont="1" applyFill="1" applyBorder="1" applyAlignment="1" applyProtection="1">
      <alignment horizontal="left" vertical="center" wrapText="1"/>
      <protection locked="0"/>
    </xf>
    <xf numFmtId="0" fontId="18" fillId="23" borderId="38" xfId="0" applyFont="1" applyFill="1" applyBorder="1" applyAlignment="1" applyProtection="1">
      <alignment horizontal="left" vertical="center" wrapText="1"/>
      <protection locked="0"/>
    </xf>
    <xf numFmtId="0" fontId="20" fillId="23" borderId="0" xfId="0" applyFont="1" applyFill="1" applyAlignment="1">
      <alignment horizontal="right" vertical="center" wrapText="1"/>
    </xf>
    <xf numFmtId="49" fontId="20" fillId="23" borderId="55" xfId="0" applyNumberFormat="1" applyFont="1" applyFill="1" applyBorder="1" applyAlignment="1" applyProtection="1">
      <alignment horizontal="center" vertical="center"/>
      <protection locked="0"/>
    </xf>
    <xf numFmtId="49" fontId="20" fillId="23" borderId="56" xfId="0" applyNumberFormat="1" applyFont="1" applyFill="1" applyBorder="1" applyAlignment="1" applyProtection="1">
      <alignment horizontal="center" vertical="center"/>
      <protection locked="0"/>
    </xf>
    <xf numFmtId="49" fontId="20" fillId="23" borderId="57" xfId="0" applyNumberFormat="1" applyFont="1" applyFill="1" applyBorder="1" applyAlignment="1" applyProtection="1">
      <alignment horizontal="center" vertical="center"/>
      <protection locked="0"/>
    </xf>
    <xf numFmtId="0" fontId="39" fillId="23" borderId="0" xfId="0" applyFont="1" applyFill="1" applyAlignment="1">
      <alignment horizontal="center" vertical="center"/>
    </xf>
    <xf numFmtId="0" fontId="20" fillId="23" borderId="14" xfId="0" applyFont="1" applyFill="1" applyBorder="1" applyAlignment="1">
      <alignment horizontal="right" vertical="center"/>
    </xf>
    <xf numFmtId="0" fontId="20" fillId="23" borderId="48" xfId="0" applyFont="1" applyFill="1" applyBorder="1" applyAlignment="1">
      <alignment horizontal="right" vertical="center"/>
    </xf>
    <xf numFmtId="0" fontId="20" fillId="23" borderId="27" xfId="0" applyFont="1" applyFill="1" applyBorder="1" applyAlignment="1">
      <alignment horizontal="right" vertical="center"/>
    </xf>
    <xf numFmtId="0" fontId="18" fillId="23" borderId="79" xfId="0" applyFont="1" applyFill="1" applyBorder="1" applyAlignment="1" applyProtection="1">
      <alignment horizontal="left" vertical="center" wrapText="1"/>
      <protection locked="0"/>
    </xf>
    <xf numFmtId="0" fontId="18" fillId="23" borderId="3" xfId="0" applyFont="1" applyFill="1" applyBorder="1" applyAlignment="1" applyProtection="1">
      <alignment horizontal="left" vertical="center" wrapText="1"/>
      <protection locked="0"/>
    </xf>
    <xf numFmtId="0" fontId="18" fillId="23" borderId="80" xfId="0" applyFont="1" applyFill="1" applyBorder="1" applyAlignment="1" applyProtection="1">
      <alignment horizontal="left" vertical="center" wrapText="1"/>
      <protection locked="0"/>
    </xf>
    <xf numFmtId="0" fontId="18" fillId="23" borderId="44" xfId="0" applyFont="1" applyFill="1" applyBorder="1" applyAlignment="1" applyProtection="1">
      <alignment horizontal="left" vertical="center" wrapText="1"/>
      <protection locked="0"/>
    </xf>
    <xf numFmtId="0" fontId="18" fillId="23" borderId="39" xfId="0" applyFont="1" applyFill="1" applyBorder="1" applyAlignment="1" applyProtection="1">
      <alignment horizontal="left" vertical="center" wrapText="1"/>
      <protection locked="0"/>
    </xf>
    <xf numFmtId="0" fontId="18" fillId="23" borderId="45" xfId="0" applyFont="1" applyFill="1" applyBorder="1" applyAlignment="1" applyProtection="1">
      <alignment horizontal="left" vertical="center" wrapText="1"/>
      <protection locked="0"/>
    </xf>
    <xf numFmtId="14" fontId="20" fillId="23" borderId="42" xfId="0" applyNumberFormat="1" applyFont="1" applyFill="1" applyBorder="1" applyAlignment="1" applyProtection="1">
      <alignment horizontal="center" vertical="center"/>
      <protection locked="0"/>
    </xf>
    <xf numFmtId="14" fontId="20" fillId="23" borderId="15" xfId="0" applyNumberFormat="1" applyFont="1" applyFill="1" applyBorder="1" applyAlignment="1" applyProtection="1">
      <alignment horizontal="center" vertical="center"/>
      <protection locked="0"/>
    </xf>
    <xf numFmtId="14" fontId="20" fillId="23" borderId="12" xfId="0" applyNumberFormat="1" applyFont="1" applyFill="1" applyBorder="1" applyAlignment="1" applyProtection="1">
      <alignment horizontal="center" vertical="center"/>
      <protection locked="0"/>
    </xf>
    <xf numFmtId="0" fontId="39" fillId="23" borderId="0" xfId="0" applyFont="1" applyFill="1" applyAlignment="1">
      <alignment horizontal="center"/>
    </xf>
    <xf numFmtId="0" fontId="20" fillId="23" borderId="62" xfId="0" applyFont="1" applyFill="1" applyBorder="1" applyAlignment="1">
      <alignment horizontal="right" vertical="center"/>
    </xf>
    <xf numFmtId="0" fontId="20" fillId="23" borderId="10" xfId="0" applyFont="1" applyFill="1" applyBorder="1" applyAlignment="1">
      <alignment horizontal="right" vertical="center"/>
    </xf>
    <xf numFmtId="0" fontId="18" fillId="23" borderId="46" xfId="0" applyFont="1" applyFill="1" applyBorder="1" applyAlignment="1" applyProtection="1">
      <alignment horizontal="left" vertical="center"/>
      <protection locked="0"/>
    </xf>
    <xf numFmtId="0" fontId="18" fillId="23" borderId="6" xfId="0" applyFont="1" applyFill="1" applyBorder="1" applyAlignment="1" applyProtection="1">
      <alignment horizontal="left" vertical="center"/>
      <protection locked="0"/>
    </xf>
    <xf numFmtId="0" fontId="18" fillId="23" borderId="47" xfId="0" applyFont="1" applyFill="1" applyBorder="1" applyAlignment="1" applyProtection="1">
      <alignment horizontal="left" vertical="center"/>
      <protection locked="0"/>
    </xf>
    <xf numFmtId="0" fontId="12" fillId="23" borderId="67" xfId="0" applyFont="1" applyFill="1" applyBorder="1" applyAlignment="1">
      <alignment horizontal="left" vertical="center"/>
    </xf>
    <xf numFmtId="0" fontId="12" fillId="23" borderId="23" xfId="0" applyFont="1" applyFill="1" applyBorder="1" applyAlignment="1">
      <alignment horizontal="left" vertical="center"/>
    </xf>
    <xf numFmtId="0" fontId="12" fillId="23" borderId="69" xfId="0" applyFont="1" applyFill="1" applyBorder="1" applyAlignment="1">
      <alignment horizontal="left" vertical="center"/>
    </xf>
    <xf numFmtId="0" fontId="34" fillId="0" borderId="0" xfId="0" applyFont="1" applyAlignment="1">
      <alignment horizontal="left" vertical="center"/>
    </xf>
    <xf numFmtId="0" fontId="34" fillId="0" borderId="0" xfId="0" applyFont="1" applyAlignment="1">
      <alignment horizontal="left" vertical="center" wrapText="1"/>
    </xf>
    <xf numFmtId="0" fontId="0" fillId="5" borderId="0" xfId="0" applyFill="1" applyAlignment="1">
      <alignment horizontal="center"/>
    </xf>
    <xf numFmtId="0" fontId="34" fillId="0" borderId="1" xfId="0" applyFont="1" applyBorder="1" applyAlignment="1">
      <alignment horizontal="left" vertical="center" wrapText="1"/>
    </xf>
    <xf numFmtId="0" fontId="47" fillId="0" borderId="0" xfId="0" quotePrefix="1" applyFont="1" applyAlignment="1">
      <alignment horizontal="left"/>
    </xf>
    <xf numFmtId="0" fontId="47" fillId="0" borderId="0" xfId="0" applyFont="1" applyAlignment="1">
      <alignment horizontal="center"/>
    </xf>
    <xf numFmtId="0" fontId="47" fillId="0" borderId="0" xfId="0" applyFont="1" applyAlignment="1">
      <alignment horizontal="left" vertical="top" wrapText="1"/>
    </xf>
    <xf numFmtId="0" fontId="34" fillId="0" borderId="0" xfId="0" applyFont="1" applyAlignment="1">
      <alignment horizontal="left"/>
    </xf>
    <xf numFmtId="0" fontId="38" fillId="9" borderId="0" xfId="0" applyFont="1" applyFill="1" applyAlignment="1">
      <alignment horizontal="center"/>
    </xf>
    <xf numFmtId="0" fontId="49" fillId="0" borderId="0" xfId="0" applyFont="1" applyAlignment="1">
      <alignment horizontal="justify" vertical="center" wrapText="1"/>
    </xf>
    <xf numFmtId="0" fontId="20" fillId="0" borderId="0" xfId="0" applyFont="1" applyAlignment="1">
      <alignment horizontal="left" vertical="center" wrapText="1"/>
    </xf>
    <xf numFmtId="0" fontId="20" fillId="9" borderId="0" xfId="0" applyFont="1" applyFill="1" applyAlignment="1">
      <alignment horizontal="center" vertical="center" wrapText="1"/>
    </xf>
    <xf numFmtId="0" fontId="77" fillId="0" borderId="0" xfId="0" applyFont="1" applyAlignment="1">
      <alignment horizontal="center"/>
    </xf>
    <xf numFmtId="0" fontId="134" fillId="0" borderId="0" xfId="0" applyFont="1" applyAlignment="1">
      <alignment horizontal="right" vertical="center"/>
    </xf>
    <xf numFmtId="0" fontId="133" fillId="0" borderId="0" xfId="0" applyFont="1" applyAlignment="1">
      <alignment horizontal="left" vertical="center"/>
    </xf>
    <xf numFmtId="0" fontId="23" fillId="17" borderId="0" xfId="0" applyFont="1" applyFill="1" applyAlignment="1">
      <alignment horizontal="left"/>
    </xf>
    <xf numFmtId="1" fontId="133" fillId="0" borderId="0" xfId="0" applyNumberFormat="1" applyFont="1" applyAlignment="1">
      <alignment horizontal="right"/>
    </xf>
    <xf numFmtId="0" fontId="34" fillId="9" borderId="0" xfId="0" applyFont="1" applyFill="1" applyAlignment="1">
      <alignment horizontal="left" vertical="top" wrapText="1"/>
    </xf>
    <xf numFmtId="0" fontId="116" fillId="0" borderId="0" xfId="0" quotePrefix="1" applyFont="1" applyAlignment="1">
      <alignment horizontal="left" wrapText="1"/>
    </xf>
    <xf numFmtId="0" fontId="124" fillId="0" borderId="0" xfId="0" quotePrefix="1" applyFont="1" applyAlignment="1">
      <alignment horizontal="left" vertical="top" wrapText="1"/>
    </xf>
    <xf numFmtId="0" fontId="154" fillId="9" borderId="0" xfId="2" applyFont="1" applyFill="1" applyAlignment="1">
      <alignment horizontal="right" vertical="top" wrapText="1"/>
    </xf>
    <xf numFmtId="0" fontId="6" fillId="0" borderId="0" xfId="2" applyFont="1" applyAlignment="1">
      <alignment horizontal="right" vertical="top"/>
    </xf>
    <xf numFmtId="0" fontId="25" fillId="0" borderId="1" xfId="0" applyFont="1" applyBorder="1" applyAlignment="1">
      <alignment horizontal="center" vertical="top" wrapText="1"/>
    </xf>
    <xf numFmtId="0" fontId="24" fillId="0" borderId="4" xfId="0" applyFont="1" applyBorder="1" applyAlignment="1">
      <alignment horizontal="center" vertical="top"/>
    </xf>
    <xf numFmtId="0" fontId="25" fillId="0" borderId="1" xfId="0" applyFont="1" applyBorder="1" applyAlignment="1">
      <alignment horizontal="center"/>
    </xf>
    <xf numFmtId="0" fontId="38" fillId="17" borderId="0" xfId="0" applyFont="1" applyFill="1" applyAlignment="1">
      <alignment horizontal="right"/>
    </xf>
    <xf numFmtId="0" fontId="118" fillId="0" borderId="0" xfId="0" applyFont="1" applyAlignment="1">
      <alignment horizontal="left" vertical="top"/>
    </xf>
    <xf numFmtId="2" fontId="34" fillId="0" borderId="0" xfId="0" applyNumberFormat="1" applyFont="1" applyAlignment="1">
      <alignment horizontal="center"/>
    </xf>
    <xf numFmtId="2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8" fillId="17" borderId="0" xfId="0" applyFont="1" applyFill="1" applyAlignment="1">
      <alignment horizontal="center"/>
    </xf>
    <xf numFmtId="0" fontId="34" fillId="0" borderId="0" xfId="0" applyFont="1" applyAlignment="1">
      <alignment horizontal="center"/>
    </xf>
    <xf numFmtId="1" fontId="34" fillId="0" borderId="0" xfId="0" applyNumberFormat="1" applyFont="1" applyAlignment="1">
      <alignment horizontal="center" vertical="center"/>
    </xf>
    <xf numFmtId="3" fontId="34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left"/>
    </xf>
    <xf numFmtId="0" fontId="118" fillId="0" borderId="0" xfId="0" applyFont="1" applyAlignment="1">
      <alignment horizontal="center" vertical="top"/>
    </xf>
    <xf numFmtId="0" fontId="124" fillId="0" borderId="0" xfId="0" applyFont="1" applyAlignment="1">
      <alignment horizontal="left" vertical="top"/>
    </xf>
    <xf numFmtId="0" fontId="77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20" fillId="7" borderId="0" xfId="0" applyFont="1" applyFill="1" applyAlignment="1">
      <alignment horizontal="center" vertical="center"/>
    </xf>
    <xf numFmtId="0" fontId="34" fillId="0" borderId="67" xfId="0" applyFont="1" applyBorder="1" applyAlignment="1">
      <alignment horizontal="center"/>
    </xf>
    <xf numFmtId="0" fontId="34" fillId="0" borderId="23" xfId="0" applyFont="1" applyBorder="1" applyAlignment="1">
      <alignment horizontal="center"/>
    </xf>
    <xf numFmtId="0" fontId="34" fillId="0" borderId="69" xfId="0" applyFont="1" applyBorder="1" applyAlignment="1">
      <alignment horizontal="center"/>
    </xf>
    <xf numFmtId="0" fontId="154" fillId="9" borderId="0" xfId="2" applyFont="1" applyFill="1" applyAlignment="1">
      <alignment horizontal="right" wrapText="1"/>
    </xf>
    <xf numFmtId="0" fontId="123" fillId="0" borderId="0" xfId="0" quotePrefix="1" applyFont="1" applyAlignment="1">
      <alignment horizontal="left" wrapText="1"/>
    </xf>
    <xf numFmtId="0" fontId="38" fillId="0" borderId="0" xfId="0" applyFont="1" applyAlignment="1">
      <alignment horizontal="left" wrapText="1"/>
    </xf>
    <xf numFmtId="0" fontId="38" fillId="0" borderId="0" xfId="0" applyFont="1" applyAlignment="1">
      <alignment horizontal="right" vertical="center"/>
    </xf>
    <xf numFmtId="0" fontId="6" fillId="0" borderId="0" xfId="2" applyFont="1" applyAlignment="1">
      <alignment horizontal="center" vertical="top"/>
    </xf>
    <xf numFmtId="0" fontId="34" fillId="0" borderId="0" xfId="0" applyFont="1" applyAlignment="1">
      <alignment horizontal="left" vertical="top" wrapText="1"/>
    </xf>
    <xf numFmtId="0" fontId="39" fillId="9" borderId="4" xfId="0" applyFont="1" applyFill="1" applyBorder="1" applyAlignment="1">
      <alignment horizontal="left"/>
    </xf>
    <xf numFmtId="14" fontId="34" fillId="0" borderId="0" xfId="0" applyNumberFormat="1" applyFont="1" applyAlignment="1">
      <alignment horizontal="left" vertical="center"/>
    </xf>
    <xf numFmtId="49" fontId="34" fillId="9" borderId="0" xfId="0" applyNumberFormat="1" applyFont="1" applyFill="1" applyAlignment="1">
      <alignment horizontal="justify" vertical="top"/>
    </xf>
    <xf numFmtId="0" fontId="20" fillId="5" borderId="0" xfId="0" applyFont="1" applyFill="1" applyAlignment="1">
      <alignment horizontal="center" vertical="center"/>
    </xf>
    <xf numFmtId="0" fontId="73" fillId="17" borderId="0" xfId="0" applyFont="1" applyFill="1" applyAlignment="1">
      <alignment horizontal="right" vertical="center"/>
    </xf>
    <xf numFmtId="0" fontId="88" fillId="17" borderId="0" xfId="0" applyFont="1" applyFill="1" applyAlignment="1">
      <alignment horizontal="right" vertical="center"/>
    </xf>
    <xf numFmtId="0" fontId="127" fillId="0" borderId="0" xfId="0" applyFont="1" applyAlignment="1">
      <alignment horizontal="center"/>
    </xf>
    <xf numFmtId="0" fontId="130" fillId="9" borderId="0" xfId="0" applyFont="1" applyFill="1" applyAlignment="1">
      <alignment horizontal="justify" vertical="top" wrapText="1"/>
    </xf>
    <xf numFmtId="0" fontId="128" fillId="0" borderId="0" xfId="0" applyFont="1" applyAlignment="1">
      <alignment horizontal="justify" vertical="top" wrapText="1"/>
    </xf>
    <xf numFmtId="0" fontId="20" fillId="0" borderId="0" xfId="0" applyFont="1" applyAlignment="1">
      <alignment horizontal="left" wrapText="1"/>
    </xf>
    <xf numFmtId="0" fontId="77" fillId="0" borderId="1" xfId="0" applyFont="1" applyBorder="1" applyAlignment="1">
      <alignment horizontal="left"/>
    </xf>
    <xf numFmtId="14" fontId="38" fillId="9" borderId="1" xfId="0" applyNumberFormat="1" applyFont="1" applyFill="1" applyBorder="1" applyAlignment="1">
      <alignment horizontal="left"/>
    </xf>
    <xf numFmtId="0" fontId="38" fillId="9" borderId="1" xfId="0" applyFont="1" applyFill="1" applyBorder="1" applyAlignment="1">
      <alignment horizontal="right"/>
    </xf>
    <xf numFmtId="0" fontId="34" fillId="0" borderId="0" xfId="0" quotePrefix="1" applyFont="1" applyAlignment="1">
      <alignment horizontal="center"/>
    </xf>
    <xf numFmtId="0" fontId="23" fillId="17" borderId="0" xfId="0" applyFont="1" applyFill="1" applyAlignment="1">
      <alignment horizontal="center"/>
    </xf>
    <xf numFmtId="0" fontId="23" fillId="17" borderId="0" xfId="0" applyFont="1" applyFill="1" applyAlignment="1">
      <alignment horizontal="center" vertical="center"/>
    </xf>
    <xf numFmtId="0" fontId="88" fillId="17" borderId="0" xfId="0" applyFont="1" applyFill="1" applyAlignment="1">
      <alignment horizontal="center" vertical="center"/>
    </xf>
    <xf numFmtId="0" fontId="38" fillId="17" borderId="0" xfId="0" applyFont="1" applyFill="1" applyAlignment="1">
      <alignment horizontal="center" vertical="center"/>
    </xf>
    <xf numFmtId="0" fontId="34" fillId="0" borderId="4" xfId="0" applyFont="1" applyBorder="1" applyAlignment="1">
      <alignment horizontal="left" wrapText="1"/>
    </xf>
    <xf numFmtId="2" fontId="77" fillId="0" borderId="0" xfId="0" applyNumberFormat="1" applyFont="1" applyAlignment="1">
      <alignment horizontal="center"/>
    </xf>
    <xf numFmtId="0" fontId="34" fillId="9" borderId="0" xfId="0" applyFont="1" applyFill="1" applyAlignment="1">
      <alignment horizontal="left" vertical="center" wrapText="1"/>
    </xf>
    <xf numFmtId="0" fontId="23" fillId="17" borderId="0" xfId="0" applyFont="1" applyFill="1" applyAlignment="1">
      <alignment horizontal="left" vertical="center"/>
    </xf>
    <xf numFmtId="0" fontId="34" fillId="9" borderId="0" xfId="0" applyFont="1" applyFill="1" applyAlignment="1">
      <alignment horizontal="center"/>
    </xf>
    <xf numFmtId="0" fontId="38" fillId="9" borderId="0" xfId="0" applyFont="1" applyFill="1" applyAlignment="1">
      <alignment horizontal="left" vertical="center" wrapText="1"/>
    </xf>
    <xf numFmtId="14" fontId="38" fillId="9" borderId="0" xfId="0" applyNumberFormat="1" applyFont="1" applyFill="1" applyAlignment="1">
      <alignment horizontal="left" vertical="top"/>
    </xf>
    <xf numFmtId="0" fontId="38" fillId="9" borderId="1" xfId="0" applyFont="1" applyFill="1" applyBorder="1" applyAlignment="1">
      <alignment horizontal="left" vertical="top" wrapText="1"/>
    </xf>
    <xf numFmtId="0" fontId="34" fillId="9" borderId="0" xfId="0" applyFont="1" applyFill="1" applyAlignment="1">
      <alignment horizontal="center" vertical="center" wrapText="1"/>
    </xf>
    <xf numFmtId="0" fontId="38" fillId="9" borderId="0" xfId="0" applyFont="1" applyFill="1" applyAlignment="1">
      <alignment horizontal="center" vertical="center"/>
    </xf>
    <xf numFmtId="0" fontId="73" fillId="9" borderId="0" xfId="0" applyFont="1" applyFill="1" applyAlignment="1">
      <alignment horizontal="right" vertical="center"/>
    </xf>
    <xf numFmtId="0" fontId="88" fillId="9" borderId="0" xfId="0" applyFont="1" applyFill="1" applyAlignment="1">
      <alignment horizontal="right" vertical="center"/>
    </xf>
    <xf numFmtId="0" fontId="23" fillId="9" borderId="0" xfId="0" applyFont="1" applyFill="1" applyAlignment="1">
      <alignment horizontal="left" vertical="center"/>
    </xf>
    <xf numFmtId="0" fontId="38" fillId="9" borderId="0" xfId="0" applyFont="1" applyFill="1" applyAlignment="1">
      <alignment horizontal="left"/>
    </xf>
    <xf numFmtId="0" fontId="38" fillId="9" borderId="0" xfId="0" applyFont="1" applyFill="1" applyAlignment="1" applyProtection="1">
      <alignment horizontal="center" vertical="center"/>
      <protection hidden="1"/>
    </xf>
    <xf numFmtId="2" fontId="34" fillId="9" borderId="0" xfId="0" applyNumberFormat="1" applyFont="1" applyFill="1" applyAlignment="1">
      <alignment horizontal="center"/>
    </xf>
    <xf numFmtId="0" fontId="127" fillId="0" borderId="0" xfId="0" applyFont="1" applyAlignment="1">
      <alignment horizontal="center" vertical="center"/>
    </xf>
    <xf numFmtId="2" fontId="37" fillId="0" borderId="0" xfId="0" applyNumberFormat="1" applyFont="1" applyAlignment="1">
      <alignment horizontal="center"/>
    </xf>
    <xf numFmtId="0" fontId="37" fillId="0" borderId="0" xfId="0" applyFont="1" applyAlignment="1">
      <alignment horizontal="center"/>
    </xf>
    <xf numFmtId="0" fontId="134" fillId="9" borderId="0" xfId="0" applyFont="1" applyFill="1" applyAlignment="1">
      <alignment horizontal="right" vertical="center"/>
    </xf>
    <xf numFmtId="1" fontId="133" fillId="9" borderId="0" xfId="0" applyNumberFormat="1" applyFont="1" applyFill="1" applyAlignment="1">
      <alignment horizontal="right"/>
    </xf>
    <xf numFmtId="0" fontId="20" fillId="9" borderId="1" xfId="0" applyFont="1" applyFill="1" applyBorder="1" applyAlignment="1">
      <alignment horizontal="right"/>
    </xf>
    <xf numFmtId="14" fontId="20" fillId="9" borderId="1" xfId="0" applyNumberFormat="1" applyFont="1" applyFill="1" applyBorder="1" applyAlignment="1">
      <alignment horizontal="left"/>
    </xf>
    <xf numFmtId="0" fontId="34" fillId="0" borderId="0" xfId="0" applyFont="1" applyAlignment="1">
      <alignment horizontal="left" wrapText="1"/>
    </xf>
    <xf numFmtId="0" fontId="34" fillId="0" borderId="67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4" fillId="0" borderId="69" xfId="0" applyFont="1" applyBorder="1" applyAlignment="1">
      <alignment horizontal="center" vertical="center"/>
    </xf>
    <xf numFmtId="0" fontId="130" fillId="9" borderId="0" xfId="0" applyFont="1" applyFill="1" applyAlignment="1">
      <alignment horizontal="justify" vertical="center" wrapText="1"/>
    </xf>
    <xf numFmtId="0" fontId="128" fillId="0" borderId="0" xfId="0" applyFont="1" applyAlignment="1">
      <alignment horizontal="justify" vertical="center" wrapText="1"/>
    </xf>
    <xf numFmtId="0" fontId="125" fillId="0" borderId="0" xfId="0" quotePrefix="1" applyFont="1" applyAlignment="1">
      <alignment horizontal="left" wrapText="1"/>
    </xf>
    <xf numFmtId="0" fontId="20" fillId="9" borderId="0" xfId="0" applyFont="1" applyFill="1" applyAlignment="1">
      <alignment horizontal="right"/>
    </xf>
    <xf numFmtId="14" fontId="20" fillId="9" borderId="0" xfId="0" applyNumberFormat="1" applyFont="1" applyFill="1" applyAlignment="1">
      <alignment horizontal="left"/>
    </xf>
    <xf numFmtId="167" fontId="34" fillId="0" borderId="0" xfId="0" applyNumberFormat="1" applyFont="1" applyAlignment="1">
      <alignment horizontal="center"/>
    </xf>
    <xf numFmtId="49" fontId="134" fillId="9" borderId="0" xfId="0" applyNumberFormat="1" applyFont="1" applyFill="1" applyAlignment="1">
      <alignment horizontal="right" vertical="center"/>
    </xf>
    <xf numFmtId="170" fontId="34" fillId="0" borderId="0" xfId="0" applyNumberFormat="1" applyFont="1" applyAlignment="1">
      <alignment horizontal="center"/>
    </xf>
    <xf numFmtId="0" fontId="39" fillId="9" borderId="4" xfId="0" applyFont="1" applyFill="1" applyBorder="1" applyAlignment="1">
      <alignment horizontal="left" vertical="center"/>
    </xf>
    <xf numFmtId="0" fontId="49" fillId="0" borderId="0" xfId="0" applyFont="1" applyAlignment="1">
      <alignment horizontal="justify" vertical="top" wrapText="1"/>
    </xf>
    <xf numFmtId="0" fontId="38" fillId="0" borderId="0" xfId="0" applyFont="1" applyAlignment="1">
      <alignment horizontal="center" vertical="center"/>
    </xf>
    <xf numFmtId="0" fontId="38" fillId="0" borderId="0" xfId="0" applyFont="1" applyAlignment="1" applyProtection="1">
      <alignment horizontal="center" vertical="center"/>
      <protection locked="0"/>
    </xf>
  </cellXfs>
  <cellStyles count="3">
    <cellStyle name="Normal" xfId="0" builtinId="0"/>
    <cellStyle name="Normal 2" xfId="2" xr:uid="{00000000-0005-0000-0000-000002000000}"/>
    <cellStyle name="Vírgula" xfId="1" builtinId="3"/>
  </cellStyles>
  <dxfs count="6">
    <dxf>
      <font>
        <condense val="0"/>
        <extend val="0"/>
        <u val="none"/>
        <color indexed="8"/>
      </font>
      <fill>
        <patternFill patternType="lightVertical">
          <fgColor indexed="10"/>
          <bgColor indexed="10"/>
        </patternFill>
      </fill>
      <border>
        <left style="thin">
          <color indexed="39"/>
        </left>
        <right style="thin">
          <color indexed="39"/>
        </right>
        <top style="thin">
          <color indexed="39"/>
        </top>
        <bottom style="thin">
          <color indexed="39"/>
        </bottom>
      </border>
    </dxf>
    <dxf>
      <font>
        <color rgb="FF9C0006"/>
      </font>
    </dxf>
    <dxf>
      <font>
        <condense val="0"/>
        <extend val="0"/>
        <u val="none"/>
        <color indexed="8"/>
      </font>
      <fill>
        <patternFill patternType="lightVertical">
          <fgColor indexed="10"/>
          <bgColor indexed="10"/>
        </patternFill>
      </fill>
      <border>
        <left style="thin">
          <color indexed="39"/>
        </left>
        <right style="thin">
          <color indexed="39"/>
        </right>
        <top style="thin">
          <color indexed="39"/>
        </top>
        <bottom style="thin">
          <color indexed="39"/>
        </bottom>
      </border>
    </dxf>
    <dxf>
      <font>
        <color rgb="FF9C0006"/>
      </font>
    </dxf>
    <dxf>
      <font>
        <condense val="0"/>
        <extend val="0"/>
        <u val="none"/>
        <color indexed="8"/>
      </font>
      <fill>
        <patternFill patternType="lightVertical">
          <fgColor indexed="10"/>
          <bgColor indexed="10"/>
        </patternFill>
      </fill>
      <border>
        <left style="thin">
          <color indexed="39"/>
        </left>
        <right style="thin">
          <color indexed="39"/>
        </right>
        <top style="thin">
          <color indexed="39"/>
        </top>
        <bottom style="thin">
          <color indexed="39"/>
        </bottom>
      </border>
    </dxf>
    <dxf>
      <font>
        <color rgb="FF9C0006"/>
      </font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5" dropStyle="combo" dx="22" fmlaLink="$AV$76" fmlaRange="$AU$61:$AV$75" noThreeD="1" sel="2" val="0"/>
</file>

<file path=xl/ctrlProps/ctrlProp2.xml><?xml version="1.0" encoding="utf-8"?>
<formControlPr xmlns="http://schemas.microsoft.com/office/spreadsheetml/2009/9/main" objectType="CheckBox" fmlaLink="$AI$19" lockText="1"/>
</file>

<file path=xl/ctrlProps/ctrlProp3.xml><?xml version="1.0" encoding="utf-8"?>
<formControlPr xmlns="http://schemas.microsoft.com/office/spreadsheetml/2009/9/main" objectType="Drop" dropLines="3" dropStyle="combo" dx="22" fmlaLink="$AV$98" fmlaRange="$AU$95:$AU$97" sel="1" val="0"/>
</file>

<file path=xl/ctrlProps/ctrlProp4.xml><?xml version="1.0" encoding="utf-8"?>
<formControlPr xmlns="http://schemas.microsoft.com/office/spreadsheetml/2009/9/main" objectType="Drop" dropLines="10" dropStyle="combo" dx="22" fmlaLink="$AV$112" fmlaRange="$AU$102:$AU$111" noThreeD="1" sel="8" val="0"/>
</file>

<file path=xl/ctrlProps/ctrlProp5.xml><?xml version="1.0" encoding="utf-8"?>
<formControlPr xmlns="http://schemas.microsoft.com/office/spreadsheetml/2009/9/main" objectType="CheckBox" fmlaLink="$AI$7" lockText="1"/>
</file>

<file path=xl/ctrlProps/ctrlProp6.xml><?xml version="1.0" encoding="utf-8"?>
<formControlPr xmlns="http://schemas.microsoft.com/office/spreadsheetml/2009/9/main" objectType="CheckBox" fmlaLink="$AI$3" lockText="1"/>
</file>

<file path=xl/ctrlProps/ctrlProp7.xml><?xml version="1.0" encoding="utf-8"?>
<formControlPr xmlns="http://schemas.microsoft.com/office/spreadsheetml/2009/9/main" objectType="CheckBox" fmlaLink="$AD$3" lockText="1"/>
</file>

<file path=xl/ctrlProps/ctrlProp8.xml><?xml version="1.0" encoding="utf-8"?>
<formControlPr xmlns="http://schemas.microsoft.com/office/spreadsheetml/2009/9/main" objectType="Drop" dropLines="4" dropStyle="combo" dx="22" fmlaLink="$AV$118" fmlaRange="$AU$115:$AU$117" noThreeD="1" sel="3" val="0"/>
</file>

<file path=xl/ctrlProps/ctrlProp9.xml><?xml version="1.0" encoding="utf-8"?>
<formControlPr xmlns="http://schemas.microsoft.com/office/spreadsheetml/2009/9/main" objectType="Drop" dropLines="5" dropStyle="combo" dx="22" fmlaLink="$AV$76" fmlaRange="$AU$61:$AV$75" noThreeD="1" sel="2" val="0"/>
</file>

<file path=xl/ctrlProps/ctrlProp10.xml><?xml version="1.0" encoding="utf-8"?>
<formControlPr xmlns="http://schemas.microsoft.com/office/spreadsheetml/2009/9/main" objectType="Drop" dropLines="3" dropStyle="combo" dx="22" fmlaLink="$AV$98" fmlaRange="$AU$95:$AU$97" sel="1" val="0"/>
</file>

<file path=xl/ctrlProps/ctrlProp11.xml><?xml version="1.0" encoding="utf-8"?>
<formControlPr xmlns="http://schemas.microsoft.com/office/spreadsheetml/2009/9/main" objectType="Drop" dropLines="10" dropStyle="combo" dx="22" fmlaLink="$AV$112" fmlaRange="$AU$102:$AU$111" noThreeD="1" sel="8" val="0"/>
</file>

<file path=xl/ctrlProps/ctrlProp12.xml><?xml version="1.0" encoding="utf-8"?>
<formControlPr xmlns="http://schemas.microsoft.com/office/spreadsheetml/2009/9/main" objectType="CheckBox" fmlaLink="$AI$7" lockText="1"/>
</file>

<file path=xl/ctrlProps/ctrlProp13.xml><?xml version="1.0" encoding="utf-8"?>
<formControlPr xmlns="http://schemas.microsoft.com/office/spreadsheetml/2009/9/main" objectType="CheckBox" fmlaLink="$AI$3" lockText="1"/>
</file>

<file path=xl/ctrlProps/ctrlProp14.xml><?xml version="1.0" encoding="utf-8"?>
<formControlPr xmlns="http://schemas.microsoft.com/office/spreadsheetml/2009/9/main" objectType="CheckBox" fmlaLink="$AD$3" lockText="1"/>
</file>

<file path=xl/ctrlProps/ctrlProp15.xml><?xml version="1.0" encoding="utf-8"?>
<formControlPr xmlns="http://schemas.microsoft.com/office/spreadsheetml/2009/9/main" objectType="CheckBox" fmlaLink="$AI$19" lockText="1"/>
</file>

<file path=xl/ctrlProps/ctrlProp16.xml><?xml version="1.0" encoding="utf-8"?>
<formControlPr xmlns="http://schemas.microsoft.com/office/spreadsheetml/2009/9/main" objectType="Drop" dropLines="4" dropStyle="combo" dx="22" fmlaLink="$AV$118" fmlaRange="$AU$115:$AU$117" noThreeD="1" sel="3" val="0"/>
</file>

<file path=xl/ctrlProps/ctrlProp17.xml><?xml version="1.0" encoding="utf-8"?>
<formControlPr xmlns="http://schemas.microsoft.com/office/spreadsheetml/2009/9/main" objectType="Drop" dropLines="5" dropStyle="combo" dx="22" fmlaLink="$AV$76" fmlaRange="$AU$61:$AV$75" noThreeD="1" sel="1" val="0"/>
</file>

<file path=xl/ctrlProps/ctrlProp18.xml><?xml version="1.0" encoding="utf-8"?>
<formControlPr xmlns="http://schemas.microsoft.com/office/spreadsheetml/2009/9/main" objectType="Drop" dropLines="3" dropStyle="combo" dx="22" fmlaLink="$AV$98" fmlaRange="$AU$95:$AU$97" sel="1" val="0"/>
</file>

<file path=xl/ctrlProps/ctrlProp19.xml><?xml version="1.0" encoding="utf-8"?>
<formControlPr xmlns="http://schemas.microsoft.com/office/spreadsheetml/2009/9/main" objectType="Drop" dropLines="10" dropStyle="combo" dx="22" fmlaLink="$AV$112" fmlaRange="$AU$102:$AU$111" noThreeD="1" sel="8" val="0"/>
</file>

<file path=xl/ctrlProps/ctrlProp20.xml><?xml version="1.0" encoding="utf-8"?>
<formControlPr xmlns="http://schemas.microsoft.com/office/spreadsheetml/2009/9/main" objectType="CheckBox" fmlaLink="$AI$7" lockText="1"/>
</file>

<file path=xl/ctrlProps/ctrlProp21.xml><?xml version="1.0" encoding="utf-8"?>
<formControlPr xmlns="http://schemas.microsoft.com/office/spreadsheetml/2009/9/main" objectType="CheckBox" fmlaLink="$AI$3" lockText="1"/>
</file>

<file path=xl/ctrlProps/ctrlProp22.xml><?xml version="1.0" encoding="utf-8"?>
<formControlPr xmlns="http://schemas.microsoft.com/office/spreadsheetml/2009/9/main" objectType="CheckBox" fmlaLink="$AD$3" lockText="1"/>
</file>

<file path=xl/ctrlProps/ctrlProp23.xml><?xml version="1.0" encoding="utf-8"?>
<formControlPr xmlns="http://schemas.microsoft.com/office/spreadsheetml/2009/9/main" objectType="CheckBox" fmlaLink="$AI$19" lockText="1"/>
</file>

<file path=xl/ctrlProps/ctrlProp24.xml><?xml version="1.0" encoding="utf-8"?>
<formControlPr xmlns="http://schemas.microsoft.com/office/spreadsheetml/2009/9/main" objectType="Drop" dropLines="4" dropStyle="combo" dx="22" fmlaLink="$AV$118" fmlaRange="$AU$115:$AU$117" noThreeD="1" sel="3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png"/><Relationship Id="rId3" Type="http://schemas.openxmlformats.org/officeDocument/2006/relationships/image" Target="../media/image25.png"/><Relationship Id="rId7" Type="http://schemas.openxmlformats.org/officeDocument/2006/relationships/image" Target="../media/image29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6" Type="http://schemas.openxmlformats.org/officeDocument/2006/relationships/image" Target="../media/image28.png"/><Relationship Id="rId5" Type="http://schemas.openxmlformats.org/officeDocument/2006/relationships/image" Target="../media/image27.png"/><Relationship Id="rId4" Type="http://schemas.openxmlformats.org/officeDocument/2006/relationships/image" Target="../media/image26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png"/><Relationship Id="rId3" Type="http://schemas.openxmlformats.org/officeDocument/2006/relationships/image" Target="../media/image25.png"/><Relationship Id="rId7" Type="http://schemas.openxmlformats.org/officeDocument/2006/relationships/image" Target="../media/image29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6" Type="http://schemas.openxmlformats.org/officeDocument/2006/relationships/image" Target="../media/image28.png"/><Relationship Id="rId5" Type="http://schemas.openxmlformats.org/officeDocument/2006/relationships/image" Target="../media/image27.png"/><Relationship Id="rId4" Type="http://schemas.openxmlformats.org/officeDocument/2006/relationships/image" Target="../media/image2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png"/><Relationship Id="rId3" Type="http://schemas.openxmlformats.org/officeDocument/2006/relationships/image" Target="../media/image25.png"/><Relationship Id="rId7" Type="http://schemas.openxmlformats.org/officeDocument/2006/relationships/image" Target="../media/image29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6" Type="http://schemas.openxmlformats.org/officeDocument/2006/relationships/image" Target="../media/image28.png"/><Relationship Id="rId5" Type="http://schemas.openxmlformats.org/officeDocument/2006/relationships/image" Target="../media/image27.png"/><Relationship Id="rId4" Type="http://schemas.openxmlformats.org/officeDocument/2006/relationships/image" Target="../media/image2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7.png"/><Relationship Id="rId3" Type="http://schemas.openxmlformats.org/officeDocument/2006/relationships/image" Target="../media/image33.png"/><Relationship Id="rId7" Type="http://schemas.openxmlformats.org/officeDocument/2006/relationships/image" Target="../media/image30.png"/><Relationship Id="rId12" Type="http://schemas.openxmlformats.org/officeDocument/2006/relationships/image" Target="../media/image41.png"/><Relationship Id="rId2" Type="http://schemas.openxmlformats.org/officeDocument/2006/relationships/image" Target="../media/image32.png"/><Relationship Id="rId1" Type="http://schemas.openxmlformats.org/officeDocument/2006/relationships/image" Target="../media/image31.emf"/><Relationship Id="rId6" Type="http://schemas.openxmlformats.org/officeDocument/2006/relationships/image" Target="../media/image36.png"/><Relationship Id="rId11" Type="http://schemas.openxmlformats.org/officeDocument/2006/relationships/image" Target="../media/image40.emf"/><Relationship Id="rId5" Type="http://schemas.openxmlformats.org/officeDocument/2006/relationships/image" Target="../media/image35.png"/><Relationship Id="rId10" Type="http://schemas.openxmlformats.org/officeDocument/2006/relationships/image" Target="../media/image39.tiff"/><Relationship Id="rId4" Type="http://schemas.openxmlformats.org/officeDocument/2006/relationships/image" Target="../media/image34.png"/><Relationship Id="rId9" Type="http://schemas.openxmlformats.org/officeDocument/2006/relationships/image" Target="../media/image3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png"/><Relationship Id="rId13" Type="http://schemas.openxmlformats.org/officeDocument/2006/relationships/image" Target="../media/image45.png"/><Relationship Id="rId3" Type="http://schemas.openxmlformats.org/officeDocument/2006/relationships/image" Target="../media/image31.emf"/><Relationship Id="rId7" Type="http://schemas.openxmlformats.org/officeDocument/2006/relationships/image" Target="../media/image35.png"/><Relationship Id="rId12" Type="http://schemas.openxmlformats.org/officeDocument/2006/relationships/image" Target="../media/image40.emf"/><Relationship Id="rId2" Type="http://schemas.openxmlformats.org/officeDocument/2006/relationships/image" Target="file:///E:\imagens\Marca.gif" TargetMode="External"/><Relationship Id="rId1" Type="http://schemas.openxmlformats.org/officeDocument/2006/relationships/image" Target="../media/image42.png"/><Relationship Id="rId6" Type="http://schemas.openxmlformats.org/officeDocument/2006/relationships/image" Target="../media/image34.png"/><Relationship Id="rId11" Type="http://schemas.openxmlformats.org/officeDocument/2006/relationships/image" Target="../media/image44.png"/><Relationship Id="rId5" Type="http://schemas.openxmlformats.org/officeDocument/2006/relationships/image" Target="../media/image33.png"/><Relationship Id="rId10" Type="http://schemas.openxmlformats.org/officeDocument/2006/relationships/image" Target="../media/image38.png"/><Relationship Id="rId4" Type="http://schemas.openxmlformats.org/officeDocument/2006/relationships/image" Target="../media/image32.png"/><Relationship Id="rId9" Type="http://schemas.openxmlformats.org/officeDocument/2006/relationships/image" Target="../media/image43.tiff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5.png"/><Relationship Id="rId13" Type="http://schemas.openxmlformats.org/officeDocument/2006/relationships/image" Target="../media/image45.png"/><Relationship Id="rId3" Type="http://schemas.openxmlformats.org/officeDocument/2006/relationships/image" Target="file:///E:\imagens\Marca.gif" TargetMode="External"/><Relationship Id="rId7" Type="http://schemas.openxmlformats.org/officeDocument/2006/relationships/image" Target="../media/image34.png"/><Relationship Id="rId12" Type="http://schemas.openxmlformats.org/officeDocument/2006/relationships/image" Target="../media/image44.png"/><Relationship Id="rId2" Type="http://schemas.openxmlformats.org/officeDocument/2006/relationships/image" Target="../media/image42.png"/><Relationship Id="rId1" Type="http://schemas.openxmlformats.org/officeDocument/2006/relationships/image" Target="../media/image40.emf"/><Relationship Id="rId6" Type="http://schemas.openxmlformats.org/officeDocument/2006/relationships/image" Target="../media/image33.png"/><Relationship Id="rId11" Type="http://schemas.openxmlformats.org/officeDocument/2006/relationships/image" Target="../media/image36.png"/><Relationship Id="rId5" Type="http://schemas.openxmlformats.org/officeDocument/2006/relationships/image" Target="../media/image32.png"/><Relationship Id="rId10" Type="http://schemas.openxmlformats.org/officeDocument/2006/relationships/image" Target="../media/image38.png"/><Relationship Id="rId4" Type="http://schemas.openxmlformats.org/officeDocument/2006/relationships/image" Target="../media/image31.emf"/><Relationship Id="rId9" Type="http://schemas.openxmlformats.org/officeDocument/2006/relationships/image" Target="../media/image43.tif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png"/><Relationship Id="rId2" Type="http://schemas.openxmlformats.org/officeDocument/2006/relationships/image" Target="../media/image47.png"/><Relationship Id="rId1" Type="http://schemas.openxmlformats.org/officeDocument/2006/relationships/image" Target="../media/image46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9.png"/><Relationship Id="rId1" Type="http://schemas.openxmlformats.org/officeDocument/2006/relationships/image" Target="../media/image4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wmf"/><Relationship Id="rId13" Type="http://schemas.openxmlformats.org/officeDocument/2006/relationships/image" Target="../media/image13.wmf"/><Relationship Id="rId18" Type="http://schemas.openxmlformats.org/officeDocument/2006/relationships/image" Target="../media/image18.wmf"/><Relationship Id="rId3" Type="http://schemas.openxmlformats.org/officeDocument/2006/relationships/image" Target="../media/image3.wmf"/><Relationship Id="rId21" Type="http://schemas.openxmlformats.org/officeDocument/2006/relationships/image" Target="../media/image21.wmf"/><Relationship Id="rId7" Type="http://schemas.openxmlformats.org/officeDocument/2006/relationships/image" Target="../media/image7.emf"/><Relationship Id="rId12" Type="http://schemas.openxmlformats.org/officeDocument/2006/relationships/image" Target="../media/image12.wmf"/><Relationship Id="rId17" Type="http://schemas.openxmlformats.org/officeDocument/2006/relationships/image" Target="../media/image17.wmf"/><Relationship Id="rId2" Type="http://schemas.openxmlformats.org/officeDocument/2006/relationships/image" Target="../media/image2.wmf"/><Relationship Id="rId16" Type="http://schemas.openxmlformats.org/officeDocument/2006/relationships/image" Target="../media/image16.wmf"/><Relationship Id="rId20" Type="http://schemas.openxmlformats.org/officeDocument/2006/relationships/image" Target="../media/image20.wmf"/><Relationship Id="rId1" Type="http://schemas.openxmlformats.org/officeDocument/2006/relationships/image" Target="../media/image1.emf"/><Relationship Id="rId6" Type="http://schemas.openxmlformats.org/officeDocument/2006/relationships/image" Target="../media/image6.wmf"/><Relationship Id="rId11" Type="http://schemas.openxmlformats.org/officeDocument/2006/relationships/image" Target="../media/image11.wmf"/><Relationship Id="rId5" Type="http://schemas.openxmlformats.org/officeDocument/2006/relationships/image" Target="../media/image5.wmf"/><Relationship Id="rId15" Type="http://schemas.openxmlformats.org/officeDocument/2006/relationships/image" Target="../media/image15.emf"/><Relationship Id="rId10" Type="http://schemas.openxmlformats.org/officeDocument/2006/relationships/image" Target="../media/image10.wmf"/><Relationship Id="rId19" Type="http://schemas.openxmlformats.org/officeDocument/2006/relationships/image" Target="../media/image19.wmf"/><Relationship Id="rId4" Type="http://schemas.openxmlformats.org/officeDocument/2006/relationships/image" Target="../media/image4.wmf"/><Relationship Id="rId9" Type="http://schemas.openxmlformats.org/officeDocument/2006/relationships/image" Target="../media/image9.wmf"/><Relationship Id="rId14" Type="http://schemas.openxmlformats.org/officeDocument/2006/relationships/image" Target="../media/image14.wmf"/><Relationship Id="rId22" Type="http://schemas.openxmlformats.org/officeDocument/2006/relationships/image" Target="../media/image22.w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wmf"/><Relationship Id="rId13" Type="http://schemas.openxmlformats.org/officeDocument/2006/relationships/image" Target="../media/image13.wmf"/><Relationship Id="rId18" Type="http://schemas.openxmlformats.org/officeDocument/2006/relationships/image" Target="../media/image18.wmf"/><Relationship Id="rId3" Type="http://schemas.openxmlformats.org/officeDocument/2006/relationships/image" Target="../media/image3.wmf"/><Relationship Id="rId21" Type="http://schemas.openxmlformats.org/officeDocument/2006/relationships/image" Target="../media/image21.wmf"/><Relationship Id="rId7" Type="http://schemas.openxmlformats.org/officeDocument/2006/relationships/image" Target="../media/image7.emf"/><Relationship Id="rId12" Type="http://schemas.openxmlformats.org/officeDocument/2006/relationships/image" Target="../media/image12.wmf"/><Relationship Id="rId17" Type="http://schemas.openxmlformats.org/officeDocument/2006/relationships/image" Target="../media/image17.wmf"/><Relationship Id="rId2" Type="http://schemas.openxmlformats.org/officeDocument/2006/relationships/image" Target="../media/image2.wmf"/><Relationship Id="rId16" Type="http://schemas.openxmlformats.org/officeDocument/2006/relationships/image" Target="../media/image16.wmf"/><Relationship Id="rId20" Type="http://schemas.openxmlformats.org/officeDocument/2006/relationships/image" Target="../media/image20.wmf"/><Relationship Id="rId1" Type="http://schemas.openxmlformats.org/officeDocument/2006/relationships/image" Target="../media/image1.emf"/><Relationship Id="rId6" Type="http://schemas.openxmlformats.org/officeDocument/2006/relationships/image" Target="../media/image6.wmf"/><Relationship Id="rId11" Type="http://schemas.openxmlformats.org/officeDocument/2006/relationships/image" Target="../media/image11.wmf"/><Relationship Id="rId5" Type="http://schemas.openxmlformats.org/officeDocument/2006/relationships/image" Target="../media/image5.wmf"/><Relationship Id="rId15" Type="http://schemas.openxmlformats.org/officeDocument/2006/relationships/image" Target="../media/image15.emf"/><Relationship Id="rId10" Type="http://schemas.openxmlformats.org/officeDocument/2006/relationships/image" Target="../media/image10.wmf"/><Relationship Id="rId19" Type="http://schemas.openxmlformats.org/officeDocument/2006/relationships/image" Target="../media/image19.wmf"/><Relationship Id="rId4" Type="http://schemas.openxmlformats.org/officeDocument/2006/relationships/image" Target="../media/image4.wmf"/><Relationship Id="rId9" Type="http://schemas.openxmlformats.org/officeDocument/2006/relationships/image" Target="../media/image9.wmf"/><Relationship Id="rId14" Type="http://schemas.openxmlformats.org/officeDocument/2006/relationships/image" Target="../media/image14.wmf"/><Relationship Id="rId22" Type="http://schemas.openxmlformats.org/officeDocument/2006/relationships/image" Target="../media/image22.w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wmf"/><Relationship Id="rId13" Type="http://schemas.openxmlformats.org/officeDocument/2006/relationships/image" Target="../media/image13.wmf"/><Relationship Id="rId18" Type="http://schemas.openxmlformats.org/officeDocument/2006/relationships/image" Target="../media/image18.wmf"/><Relationship Id="rId3" Type="http://schemas.openxmlformats.org/officeDocument/2006/relationships/image" Target="../media/image3.wmf"/><Relationship Id="rId21" Type="http://schemas.openxmlformats.org/officeDocument/2006/relationships/image" Target="../media/image21.wmf"/><Relationship Id="rId7" Type="http://schemas.openxmlformats.org/officeDocument/2006/relationships/image" Target="../media/image7.emf"/><Relationship Id="rId12" Type="http://schemas.openxmlformats.org/officeDocument/2006/relationships/image" Target="../media/image12.wmf"/><Relationship Id="rId17" Type="http://schemas.openxmlformats.org/officeDocument/2006/relationships/image" Target="../media/image17.wmf"/><Relationship Id="rId2" Type="http://schemas.openxmlformats.org/officeDocument/2006/relationships/image" Target="../media/image2.wmf"/><Relationship Id="rId16" Type="http://schemas.openxmlformats.org/officeDocument/2006/relationships/image" Target="../media/image16.wmf"/><Relationship Id="rId20" Type="http://schemas.openxmlformats.org/officeDocument/2006/relationships/image" Target="../media/image20.wmf"/><Relationship Id="rId1" Type="http://schemas.openxmlformats.org/officeDocument/2006/relationships/image" Target="../media/image1.emf"/><Relationship Id="rId6" Type="http://schemas.openxmlformats.org/officeDocument/2006/relationships/image" Target="../media/image6.wmf"/><Relationship Id="rId11" Type="http://schemas.openxmlformats.org/officeDocument/2006/relationships/image" Target="../media/image11.wmf"/><Relationship Id="rId5" Type="http://schemas.openxmlformats.org/officeDocument/2006/relationships/image" Target="../media/image5.wmf"/><Relationship Id="rId15" Type="http://schemas.openxmlformats.org/officeDocument/2006/relationships/image" Target="../media/image15.emf"/><Relationship Id="rId10" Type="http://schemas.openxmlformats.org/officeDocument/2006/relationships/image" Target="../media/image10.wmf"/><Relationship Id="rId19" Type="http://schemas.openxmlformats.org/officeDocument/2006/relationships/image" Target="../media/image19.wmf"/><Relationship Id="rId4" Type="http://schemas.openxmlformats.org/officeDocument/2006/relationships/image" Target="../media/image4.wmf"/><Relationship Id="rId9" Type="http://schemas.openxmlformats.org/officeDocument/2006/relationships/image" Target="../media/image9.wmf"/><Relationship Id="rId14" Type="http://schemas.openxmlformats.org/officeDocument/2006/relationships/image" Target="../media/image14.wmf"/><Relationship Id="rId22" Type="http://schemas.openxmlformats.org/officeDocument/2006/relationships/image" Target="../media/image22.w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207869</xdr:colOff>
      <xdr:row>29</xdr:row>
      <xdr:rowOff>133350</xdr:rowOff>
    </xdr:from>
    <xdr:ext cx="1666875" cy="314325"/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01104" y="10196232"/>
          <a:ext cx="1666875" cy="314325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12</xdr:row>
          <xdr:rowOff>66675</xdr:rowOff>
        </xdr:from>
        <xdr:to>
          <xdr:col>4</xdr:col>
          <xdr:colOff>1000125</xdr:colOff>
          <xdr:row>12</xdr:row>
          <xdr:rowOff>333375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18</xdr:row>
          <xdr:rowOff>57150</xdr:rowOff>
        </xdr:from>
        <xdr:to>
          <xdr:col>8</xdr:col>
          <xdr:colOff>485775</xdr:colOff>
          <xdr:row>18</xdr:row>
          <xdr:rowOff>295275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323850</xdr:colOff>
          <xdr:row>3</xdr:row>
          <xdr:rowOff>238125</xdr:rowOff>
        </xdr:from>
        <xdr:to>
          <xdr:col>16</xdr:col>
          <xdr:colOff>828675</xdr:colOff>
          <xdr:row>4</xdr:row>
          <xdr:rowOff>123825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</xdr:row>
          <xdr:rowOff>200025</xdr:rowOff>
        </xdr:from>
        <xdr:to>
          <xdr:col>11</xdr:col>
          <xdr:colOff>676275</xdr:colOff>
          <xdr:row>2</xdr:row>
          <xdr:rowOff>47625</xdr:rowOff>
        </xdr:to>
        <xdr:sp macro="" textlink="">
          <xdr:nvSpPr>
            <xdr:cNvPr id="29698" name="Drop Down 1026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0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28</xdr:row>
          <xdr:rowOff>76200</xdr:rowOff>
        </xdr:from>
        <xdr:to>
          <xdr:col>29</xdr:col>
          <xdr:colOff>28575</xdr:colOff>
          <xdr:row>29</xdr:row>
          <xdr:rowOff>333375</xdr:rowOff>
        </xdr:to>
        <xdr:sp macro="" textlink="">
          <xdr:nvSpPr>
            <xdr:cNvPr id="29699" name="Object 1027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0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219075</xdr:colOff>
          <xdr:row>28</xdr:row>
          <xdr:rowOff>76200</xdr:rowOff>
        </xdr:from>
        <xdr:to>
          <xdr:col>29</xdr:col>
          <xdr:colOff>1304925</xdr:colOff>
          <xdr:row>30</xdr:row>
          <xdr:rowOff>114300</xdr:rowOff>
        </xdr:to>
        <xdr:sp macro="" textlink="">
          <xdr:nvSpPr>
            <xdr:cNvPr id="29701" name="Object 1029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0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6</xdr:row>
          <xdr:rowOff>57150</xdr:rowOff>
        </xdr:from>
        <xdr:to>
          <xdr:col>11</xdr:col>
          <xdr:colOff>428625</xdr:colOff>
          <xdr:row>7</xdr:row>
          <xdr:rowOff>47625</xdr:rowOff>
        </xdr:to>
        <xdr:sp macro="" textlink="">
          <xdr:nvSpPr>
            <xdr:cNvPr id="30016" name="Check Box 1344" hidden="1">
              <a:extLst>
                <a:ext uri="{63B3BB69-23CF-44E3-9099-C40C66FF867C}">
                  <a14:compatExt spid="_x0000_s30016"/>
                </a:ext>
                <a:ext uri="{FF2B5EF4-FFF2-40B4-BE49-F238E27FC236}">
                  <a16:creationId xmlns:a16="http://schemas.microsoft.com/office/drawing/2014/main" id="{00000000-0008-0000-0000-000040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6</xdr:row>
          <xdr:rowOff>57150</xdr:rowOff>
        </xdr:from>
        <xdr:to>
          <xdr:col>8</xdr:col>
          <xdr:colOff>428625</xdr:colOff>
          <xdr:row>7</xdr:row>
          <xdr:rowOff>47625</xdr:rowOff>
        </xdr:to>
        <xdr:sp macro="" textlink="">
          <xdr:nvSpPr>
            <xdr:cNvPr id="30153" name="Check Box 1481" hidden="1">
              <a:extLst>
                <a:ext uri="{63B3BB69-23CF-44E3-9099-C40C66FF867C}">
                  <a14:compatExt spid="_x0000_s30153"/>
                </a:ext>
                <a:ext uri="{FF2B5EF4-FFF2-40B4-BE49-F238E27FC236}">
                  <a16:creationId xmlns:a16="http://schemas.microsoft.com/office/drawing/2014/main" id="{00000000-0008-0000-0000-0000C9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55</xdr:col>
      <xdr:colOff>519545</xdr:colOff>
      <xdr:row>98</xdr:row>
      <xdr:rowOff>33213</xdr:rowOff>
    </xdr:from>
    <xdr:to>
      <xdr:col>63</xdr:col>
      <xdr:colOff>297652</xdr:colOff>
      <xdr:row>118</xdr:row>
      <xdr:rowOff>147539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72866" y="25764320"/>
          <a:ext cx="6568072" cy="40876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59</xdr:col>
      <xdr:colOff>537482</xdr:colOff>
      <xdr:row>94</xdr:row>
      <xdr:rowOff>285749</xdr:rowOff>
    </xdr:from>
    <xdr:ext cx="3107531" cy="428625"/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87607" y="19526249"/>
          <a:ext cx="3107531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59</xdr:col>
      <xdr:colOff>579664</xdr:colOff>
      <xdr:row>93</xdr:row>
      <xdr:rowOff>14427</xdr:rowOff>
    </xdr:from>
    <xdr:ext cx="2190750" cy="426444"/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463089" y="18064302"/>
          <a:ext cx="2190750" cy="4264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57</xdr:col>
      <xdr:colOff>133350</xdr:colOff>
      <xdr:row>94</xdr:row>
      <xdr:rowOff>28575</xdr:rowOff>
    </xdr:from>
    <xdr:ext cx="1666875" cy="295275"/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0" y="18268950"/>
          <a:ext cx="1666875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55</xdr:col>
      <xdr:colOff>25931</xdr:colOff>
      <xdr:row>133</xdr:row>
      <xdr:rowOff>114540</xdr:rowOff>
    </xdr:from>
    <xdr:ext cx="685801" cy="382361"/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462431" y="32785290"/>
          <a:ext cx="685801" cy="382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54</xdr:col>
      <xdr:colOff>165288</xdr:colOff>
      <xdr:row>58</xdr:row>
      <xdr:rowOff>53226</xdr:rowOff>
    </xdr:from>
    <xdr:to>
      <xdr:col>62</xdr:col>
      <xdr:colOff>732745</xdr:colOff>
      <xdr:row>79</xdr:row>
      <xdr:rowOff>86564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91406" y="12021108"/>
          <a:ext cx="7556407" cy="40338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122462</xdr:colOff>
      <xdr:row>121</xdr:row>
      <xdr:rowOff>112569</xdr:rowOff>
    </xdr:from>
    <xdr:to>
      <xdr:col>48</xdr:col>
      <xdr:colOff>4095666</xdr:colOff>
      <xdr:row>155</xdr:row>
      <xdr:rowOff>193201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03819" y="27435712"/>
          <a:ext cx="7361383" cy="83421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13</xdr:row>
          <xdr:rowOff>57150</xdr:rowOff>
        </xdr:from>
        <xdr:to>
          <xdr:col>6</xdr:col>
          <xdr:colOff>428625</xdr:colOff>
          <xdr:row>13</xdr:row>
          <xdr:rowOff>295275</xdr:rowOff>
        </xdr:to>
        <xdr:sp macro="" textlink="">
          <xdr:nvSpPr>
            <xdr:cNvPr id="30181" name="Check Box 1481" hidden="1">
              <a:extLst>
                <a:ext uri="{63B3BB69-23CF-44E3-9099-C40C66FF867C}">
                  <a14:compatExt spid="_x0000_s30181"/>
                </a:ext>
                <a:ext uri="{FF2B5EF4-FFF2-40B4-BE49-F238E27FC236}">
                  <a16:creationId xmlns:a16="http://schemas.microsoft.com/office/drawing/2014/main" id="{00000000-0008-0000-0000-0000E5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723900</xdr:colOff>
          <xdr:row>33</xdr:row>
          <xdr:rowOff>28575</xdr:rowOff>
        </xdr:from>
        <xdr:to>
          <xdr:col>20</xdr:col>
          <xdr:colOff>2295525</xdr:colOff>
          <xdr:row>33</xdr:row>
          <xdr:rowOff>600075</xdr:rowOff>
        </xdr:to>
        <xdr:sp macro="" textlink="">
          <xdr:nvSpPr>
            <xdr:cNvPr id="30185" name="Object 1513" hidden="1">
              <a:extLst>
                <a:ext uri="{63B3BB69-23CF-44E3-9099-C40C66FF867C}">
                  <a14:compatExt spid="_x0000_s30185"/>
                </a:ext>
                <a:ext uri="{FF2B5EF4-FFF2-40B4-BE49-F238E27FC236}">
                  <a16:creationId xmlns:a16="http://schemas.microsoft.com/office/drawing/2014/main" id="{00000000-0008-0000-0000-0000E9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609600</xdr:colOff>
          <xdr:row>35</xdr:row>
          <xdr:rowOff>47625</xdr:rowOff>
        </xdr:from>
        <xdr:to>
          <xdr:col>20</xdr:col>
          <xdr:colOff>2724150</xdr:colOff>
          <xdr:row>35</xdr:row>
          <xdr:rowOff>428625</xdr:rowOff>
        </xdr:to>
        <xdr:sp macro="" textlink="">
          <xdr:nvSpPr>
            <xdr:cNvPr id="30188" name="Object 1516" hidden="1">
              <a:extLst>
                <a:ext uri="{63B3BB69-23CF-44E3-9099-C40C66FF867C}">
                  <a14:compatExt spid="_x0000_s30188"/>
                </a:ext>
                <a:ext uri="{FF2B5EF4-FFF2-40B4-BE49-F238E27FC236}">
                  <a16:creationId xmlns:a16="http://schemas.microsoft.com/office/drawing/2014/main" id="{00000000-0008-0000-0000-0000EC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933450</xdr:colOff>
          <xdr:row>24</xdr:row>
          <xdr:rowOff>76200</xdr:rowOff>
        </xdr:from>
        <xdr:to>
          <xdr:col>31</xdr:col>
          <xdr:colOff>361950</xdr:colOff>
          <xdr:row>25</xdr:row>
          <xdr:rowOff>219075</xdr:rowOff>
        </xdr:to>
        <xdr:sp macro="" textlink="">
          <xdr:nvSpPr>
            <xdr:cNvPr id="30189" name="Object 1517" hidden="1">
              <a:extLst>
                <a:ext uri="{63B3BB69-23CF-44E3-9099-C40C66FF867C}">
                  <a14:compatExt spid="_x0000_s30189"/>
                </a:ext>
                <a:ext uri="{FF2B5EF4-FFF2-40B4-BE49-F238E27FC236}">
                  <a16:creationId xmlns:a16="http://schemas.microsoft.com/office/drawing/2014/main" id="{00000000-0008-0000-0000-0000ED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600075</xdr:colOff>
          <xdr:row>31</xdr:row>
          <xdr:rowOff>28575</xdr:rowOff>
        </xdr:from>
        <xdr:to>
          <xdr:col>20</xdr:col>
          <xdr:colOff>2133600</xdr:colOff>
          <xdr:row>31</xdr:row>
          <xdr:rowOff>342900</xdr:rowOff>
        </xdr:to>
        <xdr:sp macro="" textlink="">
          <xdr:nvSpPr>
            <xdr:cNvPr id="30190" name="Object 1518" hidden="1">
              <a:extLst>
                <a:ext uri="{63B3BB69-23CF-44E3-9099-C40C66FF867C}">
                  <a14:compatExt spid="_x0000_s30190"/>
                </a:ext>
                <a:ext uri="{FF2B5EF4-FFF2-40B4-BE49-F238E27FC236}">
                  <a16:creationId xmlns:a16="http://schemas.microsoft.com/office/drawing/2014/main" id="{00000000-0008-0000-0000-0000EE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152400</xdr:colOff>
          <xdr:row>30</xdr:row>
          <xdr:rowOff>47625</xdr:rowOff>
        </xdr:from>
        <xdr:to>
          <xdr:col>20</xdr:col>
          <xdr:colOff>2752725</xdr:colOff>
          <xdr:row>31</xdr:row>
          <xdr:rowOff>28575</xdr:rowOff>
        </xdr:to>
        <xdr:sp macro="" textlink="">
          <xdr:nvSpPr>
            <xdr:cNvPr id="30191" name="Object 1519" hidden="1">
              <a:extLst>
                <a:ext uri="{63B3BB69-23CF-44E3-9099-C40C66FF867C}">
                  <a14:compatExt spid="_x0000_s30191"/>
                </a:ext>
                <a:ext uri="{FF2B5EF4-FFF2-40B4-BE49-F238E27FC236}">
                  <a16:creationId xmlns:a16="http://schemas.microsoft.com/office/drawing/2014/main" id="{00000000-0008-0000-0000-0000EF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22</xdr:row>
          <xdr:rowOff>295275</xdr:rowOff>
        </xdr:from>
        <xdr:to>
          <xdr:col>20</xdr:col>
          <xdr:colOff>1905000</xdr:colOff>
          <xdr:row>23</xdr:row>
          <xdr:rowOff>228600</xdr:rowOff>
        </xdr:to>
        <xdr:sp macro="" textlink="">
          <xdr:nvSpPr>
            <xdr:cNvPr id="30192" name="Object 1520" hidden="1">
              <a:extLst>
                <a:ext uri="{63B3BB69-23CF-44E3-9099-C40C66FF867C}">
                  <a14:compatExt spid="_x0000_s30192"/>
                </a:ext>
                <a:ext uri="{FF2B5EF4-FFF2-40B4-BE49-F238E27FC236}">
                  <a16:creationId xmlns:a16="http://schemas.microsoft.com/office/drawing/2014/main" id="{00000000-0008-0000-0000-0000F0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1781175</xdr:colOff>
          <xdr:row>22</xdr:row>
          <xdr:rowOff>38100</xdr:rowOff>
        </xdr:from>
        <xdr:to>
          <xdr:col>20</xdr:col>
          <xdr:colOff>3028950</xdr:colOff>
          <xdr:row>22</xdr:row>
          <xdr:rowOff>295275</xdr:rowOff>
        </xdr:to>
        <xdr:sp macro="" textlink="">
          <xdr:nvSpPr>
            <xdr:cNvPr id="30193" name="Object 1521" hidden="1">
              <a:extLst>
                <a:ext uri="{63B3BB69-23CF-44E3-9099-C40C66FF867C}">
                  <a14:compatExt spid="_x0000_s30193"/>
                </a:ext>
                <a:ext uri="{FF2B5EF4-FFF2-40B4-BE49-F238E27FC236}">
                  <a16:creationId xmlns:a16="http://schemas.microsoft.com/office/drawing/2014/main" id="{00000000-0008-0000-0000-0000F1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21</xdr:row>
          <xdr:rowOff>371475</xdr:rowOff>
        </xdr:from>
        <xdr:to>
          <xdr:col>20</xdr:col>
          <xdr:colOff>1609725</xdr:colOff>
          <xdr:row>22</xdr:row>
          <xdr:rowOff>314325</xdr:rowOff>
        </xdr:to>
        <xdr:sp macro="" textlink="">
          <xdr:nvSpPr>
            <xdr:cNvPr id="30194" name="Object 1522" hidden="1">
              <a:extLst>
                <a:ext uri="{63B3BB69-23CF-44E3-9099-C40C66FF867C}">
                  <a14:compatExt spid="_x0000_s30194"/>
                </a:ext>
                <a:ext uri="{FF2B5EF4-FFF2-40B4-BE49-F238E27FC236}">
                  <a16:creationId xmlns:a16="http://schemas.microsoft.com/office/drawing/2014/main" id="{00000000-0008-0000-0000-0000F2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28575</xdr:colOff>
          <xdr:row>32</xdr:row>
          <xdr:rowOff>209550</xdr:rowOff>
        </xdr:from>
        <xdr:to>
          <xdr:col>20</xdr:col>
          <xdr:colOff>2971800</xdr:colOff>
          <xdr:row>33</xdr:row>
          <xdr:rowOff>0</xdr:rowOff>
        </xdr:to>
        <xdr:sp macro="" textlink="">
          <xdr:nvSpPr>
            <xdr:cNvPr id="30195" name="Object 1523" hidden="1">
              <a:extLst>
                <a:ext uri="{63B3BB69-23CF-44E3-9099-C40C66FF867C}">
                  <a14:compatExt spid="_x0000_s30195"/>
                </a:ext>
                <a:ext uri="{FF2B5EF4-FFF2-40B4-BE49-F238E27FC236}">
                  <a16:creationId xmlns:a16="http://schemas.microsoft.com/office/drawing/2014/main" id="{00000000-0008-0000-0000-0000F3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457200</xdr:colOff>
          <xdr:row>31</xdr:row>
          <xdr:rowOff>485775</xdr:rowOff>
        </xdr:from>
        <xdr:to>
          <xdr:col>20</xdr:col>
          <xdr:colOff>2552700</xdr:colOff>
          <xdr:row>32</xdr:row>
          <xdr:rowOff>285750</xdr:rowOff>
        </xdr:to>
        <xdr:sp macro="" textlink="">
          <xdr:nvSpPr>
            <xdr:cNvPr id="30196" name="Object 1524" hidden="1">
              <a:extLst>
                <a:ext uri="{63B3BB69-23CF-44E3-9099-C40C66FF867C}">
                  <a14:compatExt spid="_x0000_s30196"/>
                </a:ext>
                <a:ext uri="{FF2B5EF4-FFF2-40B4-BE49-F238E27FC236}">
                  <a16:creationId xmlns:a16="http://schemas.microsoft.com/office/drawing/2014/main" id="{00000000-0008-0000-0000-0000F4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485775</xdr:colOff>
          <xdr:row>33</xdr:row>
          <xdr:rowOff>542925</xdr:rowOff>
        </xdr:from>
        <xdr:to>
          <xdr:col>20</xdr:col>
          <xdr:colOff>2476500</xdr:colOff>
          <xdr:row>34</xdr:row>
          <xdr:rowOff>361950</xdr:rowOff>
        </xdr:to>
        <xdr:sp macro="" textlink="">
          <xdr:nvSpPr>
            <xdr:cNvPr id="30197" name="Object 1525" hidden="1">
              <a:extLst>
                <a:ext uri="{63B3BB69-23CF-44E3-9099-C40C66FF867C}">
                  <a14:compatExt spid="_x0000_s30197"/>
                </a:ext>
                <a:ext uri="{FF2B5EF4-FFF2-40B4-BE49-F238E27FC236}">
                  <a16:creationId xmlns:a16="http://schemas.microsoft.com/office/drawing/2014/main" id="{00000000-0008-0000-0000-0000F5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123825</xdr:colOff>
          <xdr:row>34</xdr:row>
          <xdr:rowOff>314325</xdr:rowOff>
        </xdr:from>
        <xdr:to>
          <xdr:col>20</xdr:col>
          <xdr:colOff>2752725</xdr:colOff>
          <xdr:row>35</xdr:row>
          <xdr:rowOff>0</xdr:rowOff>
        </xdr:to>
        <xdr:sp macro="" textlink="">
          <xdr:nvSpPr>
            <xdr:cNvPr id="30198" name="Object 1526" hidden="1">
              <a:extLst>
                <a:ext uri="{63B3BB69-23CF-44E3-9099-C40C66FF867C}">
                  <a14:compatExt spid="_x0000_s30198"/>
                </a:ext>
                <a:ext uri="{FF2B5EF4-FFF2-40B4-BE49-F238E27FC236}">
                  <a16:creationId xmlns:a16="http://schemas.microsoft.com/office/drawing/2014/main" id="{00000000-0008-0000-0000-0000F6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504825</xdr:colOff>
          <xdr:row>29</xdr:row>
          <xdr:rowOff>180975</xdr:rowOff>
        </xdr:from>
        <xdr:to>
          <xdr:col>15</xdr:col>
          <xdr:colOff>447675</xdr:colOff>
          <xdr:row>30</xdr:row>
          <xdr:rowOff>9525</xdr:rowOff>
        </xdr:to>
        <xdr:sp macro="" textlink="">
          <xdr:nvSpPr>
            <xdr:cNvPr id="30199" name="Object 1527" hidden="1">
              <a:extLst>
                <a:ext uri="{63B3BB69-23CF-44E3-9099-C40C66FF867C}">
                  <a14:compatExt spid="_x0000_s30199"/>
                </a:ext>
                <a:ext uri="{FF2B5EF4-FFF2-40B4-BE49-F238E27FC236}">
                  <a16:creationId xmlns:a16="http://schemas.microsoft.com/office/drawing/2014/main" id="{00000000-0008-0000-0000-0000F7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257175</xdr:colOff>
          <xdr:row>22</xdr:row>
          <xdr:rowOff>76200</xdr:rowOff>
        </xdr:from>
        <xdr:to>
          <xdr:col>24</xdr:col>
          <xdr:colOff>514350</xdr:colOff>
          <xdr:row>23</xdr:row>
          <xdr:rowOff>66675</xdr:rowOff>
        </xdr:to>
        <xdr:sp macro="" textlink="">
          <xdr:nvSpPr>
            <xdr:cNvPr id="30200" name="Object 1528" hidden="1">
              <a:extLst>
                <a:ext uri="{63B3BB69-23CF-44E3-9099-C40C66FF867C}">
                  <a14:compatExt spid="_x0000_s30200"/>
                </a:ext>
                <a:ext uri="{FF2B5EF4-FFF2-40B4-BE49-F238E27FC236}">
                  <a16:creationId xmlns:a16="http://schemas.microsoft.com/office/drawing/2014/main" id="{00000000-0008-0000-0000-0000F8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990600</xdr:colOff>
          <xdr:row>22</xdr:row>
          <xdr:rowOff>66675</xdr:rowOff>
        </xdr:from>
        <xdr:to>
          <xdr:col>31</xdr:col>
          <xdr:colOff>371475</xdr:colOff>
          <xdr:row>23</xdr:row>
          <xdr:rowOff>57150</xdr:rowOff>
        </xdr:to>
        <xdr:sp macro="" textlink="">
          <xdr:nvSpPr>
            <xdr:cNvPr id="30201" name="Object 1529" hidden="1">
              <a:extLst>
                <a:ext uri="{63B3BB69-23CF-44E3-9099-C40C66FF867C}">
                  <a14:compatExt spid="_x0000_s30201"/>
                </a:ext>
                <a:ext uri="{FF2B5EF4-FFF2-40B4-BE49-F238E27FC236}">
                  <a16:creationId xmlns:a16="http://schemas.microsoft.com/office/drawing/2014/main" id="{00000000-0008-0000-0000-0000F9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23</xdr:row>
          <xdr:rowOff>152400</xdr:rowOff>
        </xdr:from>
        <xdr:to>
          <xdr:col>20</xdr:col>
          <xdr:colOff>2009775</xdr:colOff>
          <xdr:row>24</xdr:row>
          <xdr:rowOff>228600</xdr:rowOff>
        </xdr:to>
        <xdr:sp macro="" textlink="">
          <xdr:nvSpPr>
            <xdr:cNvPr id="30202" name="Object 1530" hidden="1">
              <a:extLst>
                <a:ext uri="{63B3BB69-23CF-44E3-9099-C40C66FF867C}">
                  <a14:compatExt spid="_x0000_s30202"/>
                </a:ext>
                <a:ext uri="{FF2B5EF4-FFF2-40B4-BE49-F238E27FC236}">
                  <a16:creationId xmlns:a16="http://schemas.microsoft.com/office/drawing/2014/main" id="{00000000-0008-0000-0000-0000FA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24</xdr:row>
          <xdr:rowOff>190500</xdr:rowOff>
        </xdr:from>
        <xdr:to>
          <xdr:col>20</xdr:col>
          <xdr:colOff>1695450</xdr:colOff>
          <xdr:row>25</xdr:row>
          <xdr:rowOff>219075</xdr:rowOff>
        </xdr:to>
        <xdr:sp macro="" textlink="">
          <xdr:nvSpPr>
            <xdr:cNvPr id="30203" name="Object 1531" hidden="1">
              <a:extLst>
                <a:ext uri="{63B3BB69-23CF-44E3-9099-C40C66FF867C}">
                  <a14:compatExt spid="_x0000_s30203"/>
                </a:ext>
                <a:ext uri="{FF2B5EF4-FFF2-40B4-BE49-F238E27FC236}">
                  <a16:creationId xmlns:a16="http://schemas.microsoft.com/office/drawing/2014/main" id="{00000000-0008-0000-0000-0000FB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1543050</xdr:colOff>
          <xdr:row>255</xdr:row>
          <xdr:rowOff>114300</xdr:rowOff>
        </xdr:from>
        <xdr:to>
          <xdr:col>40</xdr:col>
          <xdr:colOff>1028700</xdr:colOff>
          <xdr:row>257</xdr:row>
          <xdr:rowOff>171450</xdr:rowOff>
        </xdr:to>
        <xdr:sp macro="" textlink="">
          <xdr:nvSpPr>
            <xdr:cNvPr id="30363" name="Object 1691" hidden="1">
              <a:extLst>
                <a:ext uri="{63B3BB69-23CF-44E3-9099-C40C66FF867C}">
                  <a14:compatExt spid="_x0000_s30363"/>
                </a:ext>
                <a:ext uri="{FF2B5EF4-FFF2-40B4-BE49-F238E27FC236}">
                  <a16:creationId xmlns:a16="http://schemas.microsoft.com/office/drawing/2014/main" id="{00000000-0008-0000-0000-00009B7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16</xdr:row>
          <xdr:rowOff>95250</xdr:rowOff>
        </xdr:from>
        <xdr:to>
          <xdr:col>11</xdr:col>
          <xdr:colOff>533400</xdr:colOff>
          <xdr:row>16</xdr:row>
          <xdr:rowOff>381000</xdr:rowOff>
        </xdr:to>
        <xdr:sp macro="" textlink="">
          <xdr:nvSpPr>
            <xdr:cNvPr id="30373" name="Drop Down 1026" hidden="1">
              <a:extLst>
                <a:ext uri="{63B3BB69-23CF-44E3-9099-C40C66FF867C}">
                  <a14:compatExt spid="_x0000_s30373"/>
                </a:ext>
                <a:ext uri="{FF2B5EF4-FFF2-40B4-BE49-F238E27FC236}">
                  <a16:creationId xmlns:a16="http://schemas.microsoft.com/office/drawing/2014/main" id="{00000000-0008-0000-0000-0000A57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628650</xdr:colOff>
          <xdr:row>82</xdr:row>
          <xdr:rowOff>180975</xdr:rowOff>
        </xdr:from>
        <xdr:to>
          <xdr:col>20</xdr:col>
          <xdr:colOff>2762250</xdr:colOff>
          <xdr:row>84</xdr:row>
          <xdr:rowOff>104775</xdr:rowOff>
        </xdr:to>
        <xdr:sp macro="" textlink="">
          <xdr:nvSpPr>
            <xdr:cNvPr id="30374" name="Object 1702" hidden="1">
              <a:extLst>
                <a:ext uri="{63B3BB69-23CF-44E3-9099-C40C66FF867C}">
                  <a14:compatExt spid="_x0000_s30374"/>
                </a:ext>
                <a:ext uri="{FF2B5EF4-FFF2-40B4-BE49-F238E27FC236}">
                  <a16:creationId xmlns:a16="http://schemas.microsoft.com/office/drawing/2014/main" id="{00000000-0008-0000-0000-0000A67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91</xdr:row>
          <xdr:rowOff>152400</xdr:rowOff>
        </xdr:from>
        <xdr:to>
          <xdr:col>20</xdr:col>
          <xdr:colOff>2295525</xdr:colOff>
          <xdr:row>92</xdr:row>
          <xdr:rowOff>123825</xdr:rowOff>
        </xdr:to>
        <xdr:sp macro="" textlink="">
          <xdr:nvSpPr>
            <xdr:cNvPr id="30381" name="Object 1709" hidden="1">
              <a:extLst>
                <a:ext uri="{63B3BB69-23CF-44E3-9099-C40C66FF867C}">
                  <a14:compatExt spid="_x0000_s30381"/>
                </a:ext>
                <a:ext uri="{FF2B5EF4-FFF2-40B4-BE49-F238E27FC236}">
                  <a16:creationId xmlns:a16="http://schemas.microsoft.com/office/drawing/2014/main" id="{00000000-0008-0000-0000-0000AD7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66675</xdr:colOff>
      <xdr:row>0</xdr:row>
      <xdr:rowOff>28575</xdr:rowOff>
    </xdr:from>
    <xdr:to>
      <xdr:col>2</xdr:col>
      <xdr:colOff>604254</xdr:colOff>
      <xdr:row>0</xdr:row>
      <xdr:rowOff>528448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8575"/>
          <a:ext cx="2280654" cy="4998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219075</xdr:colOff>
      <xdr:row>29</xdr:row>
      <xdr:rowOff>133350</xdr:rowOff>
    </xdr:from>
    <xdr:ext cx="1666875" cy="314325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0182225"/>
          <a:ext cx="1666875" cy="314325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12</xdr:row>
          <xdr:rowOff>66675</xdr:rowOff>
        </xdr:from>
        <xdr:to>
          <xdr:col>4</xdr:col>
          <xdr:colOff>990600</xdr:colOff>
          <xdr:row>12</xdr:row>
          <xdr:rowOff>342900</xdr:rowOff>
        </xdr:to>
        <xdr:sp macro="" textlink="">
          <xdr:nvSpPr>
            <xdr:cNvPr id="68609" name="Drop Down 9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1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323850</xdr:colOff>
          <xdr:row>3</xdr:row>
          <xdr:rowOff>238125</xdr:rowOff>
        </xdr:from>
        <xdr:to>
          <xdr:col>16</xdr:col>
          <xdr:colOff>828675</xdr:colOff>
          <xdr:row>4</xdr:row>
          <xdr:rowOff>104775</xdr:rowOff>
        </xdr:to>
        <xdr:sp macro="" textlink="">
          <xdr:nvSpPr>
            <xdr:cNvPr id="68611" name="Drop Down 16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01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</xdr:row>
          <xdr:rowOff>200025</xdr:rowOff>
        </xdr:from>
        <xdr:to>
          <xdr:col>11</xdr:col>
          <xdr:colOff>676275</xdr:colOff>
          <xdr:row>2</xdr:row>
          <xdr:rowOff>38100</xdr:rowOff>
        </xdr:to>
        <xdr:sp macro="" textlink="">
          <xdr:nvSpPr>
            <xdr:cNvPr id="68612" name="Drop Down 1026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01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28</xdr:row>
          <xdr:rowOff>76200</xdr:rowOff>
        </xdr:from>
        <xdr:to>
          <xdr:col>29</xdr:col>
          <xdr:colOff>28575</xdr:colOff>
          <xdr:row>29</xdr:row>
          <xdr:rowOff>333375</xdr:rowOff>
        </xdr:to>
        <xdr:sp macro="" textlink="">
          <xdr:nvSpPr>
            <xdr:cNvPr id="68613" name="Object 1027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01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219075</xdr:colOff>
          <xdr:row>28</xdr:row>
          <xdr:rowOff>76200</xdr:rowOff>
        </xdr:from>
        <xdr:to>
          <xdr:col>29</xdr:col>
          <xdr:colOff>1304925</xdr:colOff>
          <xdr:row>30</xdr:row>
          <xdr:rowOff>114300</xdr:rowOff>
        </xdr:to>
        <xdr:sp macro="" textlink="">
          <xdr:nvSpPr>
            <xdr:cNvPr id="68614" name="Object 1029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01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6</xdr:row>
          <xdr:rowOff>57150</xdr:rowOff>
        </xdr:from>
        <xdr:to>
          <xdr:col>11</xdr:col>
          <xdr:colOff>419100</xdr:colOff>
          <xdr:row>7</xdr:row>
          <xdr:rowOff>57150</xdr:rowOff>
        </xdr:to>
        <xdr:sp macro="" textlink="">
          <xdr:nvSpPr>
            <xdr:cNvPr id="68615" name="Check Box 1344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01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6</xdr:row>
          <xdr:rowOff>57150</xdr:rowOff>
        </xdr:from>
        <xdr:to>
          <xdr:col>8</xdr:col>
          <xdr:colOff>419100</xdr:colOff>
          <xdr:row>7</xdr:row>
          <xdr:rowOff>57150</xdr:rowOff>
        </xdr:to>
        <xdr:sp macro="" textlink="">
          <xdr:nvSpPr>
            <xdr:cNvPr id="68616" name="Check Box 1481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01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55</xdr:col>
      <xdr:colOff>538595</xdr:colOff>
      <xdr:row>98</xdr:row>
      <xdr:rowOff>147514</xdr:rowOff>
    </xdr:from>
    <xdr:to>
      <xdr:col>63</xdr:col>
      <xdr:colOff>327590</xdr:colOff>
      <xdr:row>119</xdr:row>
      <xdr:rowOff>82226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03470" y="25855489"/>
          <a:ext cx="6551744" cy="40971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59</xdr:col>
      <xdr:colOff>537482</xdr:colOff>
      <xdr:row>94</xdr:row>
      <xdr:rowOff>285749</xdr:rowOff>
    </xdr:from>
    <xdr:ext cx="3107531" cy="428625"/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50382" y="25136474"/>
          <a:ext cx="3107531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59</xdr:col>
      <xdr:colOff>579664</xdr:colOff>
      <xdr:row>93</xdr:row>
      <xdr:rowOff>14427</xdr:rowOff>
    </xdr:from>
    <xdr:ext cx="2190750" cy="426444"/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2564" y="24769902"/>
          <a:ext cx="2190750" cy="4264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57</xdr:col>
      <xdr:colOff>133350</xdr:colOff>
      <xdr:row>94</xdr:row>
      <xdr:rowOff>28575</xdr:rowOff>
    </xdr:from>
    <xdr:ext cx="1666875" cy="295275"/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607950" y="24974550"/>
          <a:ext cx="1666875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55</xdr:col>
      <xdr:colOff>726301</xdr:colOff>
      <xdr:row>133</xdr:row>
      <xdr:rowOff>84924</xdr:rowOff>
    </xdr:from>
    <xdr:ext cx="685801" cy="382361"/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679622" y="32646817"/>
          <a:ext cx="685801" cy="382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54</xdr:col>
      <xdr:colOff>165288</xdr:colOff>
      <xdr:row>58</xdr:row>
      <xdr:rowOff>53226</xdr:rowOff>
    </xdr:from>
    <xdr:to>
      <xdr:col>63</xdr:col>
      <xdr:colOff>294595</xdr:colOff>
      <xdr:row>79</xdr:row>
      <xdr:rowOff>86564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72938" y="17855451"/>
          <a:ext cx="7549282" cy="40338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122462</xdr:colOff>
      <xdr:row>121</xdr:row>
      <xdr:rowOff>112569</xdr:rowOff>
    </xdr:from>
    <xdr:to>
      <xdr:col>48</xdr:col>
      <xdr:colOff>4095666</xdr:colOff>
      <xdr:row>165</xdr:row>
      <xdr:rowOff>72737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14162" y="29411469"/>
          <a:ext cx="7354579" cy="83421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13</xdr:row>
          <xdr:rowOff>57150</xdr:rowOff>
        </xdr:from>
        <xdr:to>
          <xdr:col>6</xdr:col>
          <xdr:colOff>419100</xdr:colOff>
          <xdr:row>13</xdr:row>
          <xdr:rowOff>295275</xdr:rowOff>
        </xdr:to>
        <xdr:sp macro="" textlink="">
          <xdr:nvSpPr>
            <xdr:cNvPr id="68617" name="Check Box 9" hidden="1">
              <a:extLst>
                <a:ext uri="{63B3BB69-23CF-44E3-9099-C40C66FF867C}">
                  <a14:compatExt spid="_x0000_s68617"/>
                </a:ext>
                <a:ext uri="{FF2B5EF4-FFF2-40B4-BE49-F238E27FC236}">
                  <a16:creationId xmlns:a16="http://schemas.microsoft.com/office/drawing/2014/main" id="{00000000-0008-0000-0100-00000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723900</xdr:colOff>
          <xdr:row>33</xdr:row>
          <xdr:rowOff>28575</xdr:rowOff>
        </xdr:from>
        <xdr:to>
          <xdr:col>20</xdr:col>
          <xdr:colOff>2295525</xdr:colOff>
          <xdr:row>33</xdr:row>
          <xdr:rowOff>600075</xdr:rowOff>
        </xdr:to>
        <xdr:sp macro="" textlink="">
          <xdr:nvSpPr>
            <xdr:cNvPr id="68618" name="Object 10" hidden="1">
              <a:extLst>
                <a:ext uri="{63B3BB69-23CF-44E3-9099-C40C66FF867C}">
                  <a14:compatExt spid="_x0000_s68618"/>
                </a:ext>
                <a:ext uri="{FF2B5EF4-FFF2-40B4-BE49-F238E27FC236}">
                  <a16:creationId xmlns:a16="http://schemas.microsoft.com/office/drawing/2014/main" id="{00000000-0008-0000-0100-00000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609600</xdr:colOff>
          <xdr:row>35</xdr:row>
          <xdr:rowOff>47625</xdr:rowOff>
        </xdr:from>
        <xdr:to>
          <xdr:col>20</xdr:col>
          <xdr:colOff>2724150</xdr:colOff>
          <xdr:row>35</xdr:row>
          <xdr:rowOff>428625</xdr:rowOff>
        </xdr:to>
        <xdr:sp macro="" textlink="">
          <xdr:nvSpPr>
            <xdr:cNvPr id="68619" name="Object 11" hidden="1">
              <a:extLst>
                <a:ext uri="{63B3BB69-23CF-44E3-9099-C40C66FF867C}">
                  <a14:compatExt spid="_x0000_s68619"/>
                </a:ext>
                <a:ext uri="{FF2B5EF4-FFF2-40B4-BE49-F238E27FC236}">
                  <a16:creationId xmlns:a16="http://schemas.microsoft.com/office/drawing/2014/main" id="{00000000-0008-0000-0100-00000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933450</xdr:colOff>
          <xdr:row>24</xdr:row>
          <xdr:rowOff>76200</xdr:rowOff>
        </xdr:from>
        <xdr:to>
          <xdr:col>31</xdr:col>
          <xdr:colOff>361950</xdr:colOff>
          <xdr:row>25</xdr:row>
          <xdr:rowOff>219075</xdr:rowOff>
        </xdr:to>
        <xdr:sp macro="" textlink="">
          <xdr:nvSpPr>
            <xdr:cNvPr id="68620" name="Object 12" hidden="1">
              <a:extLst>
                <a:ext uri="{63B3BB69-23CF-44E3-9099-C40C66FF867C}">
                  <a14:compatExt spid="_x0000_s68620"/>
                </a:ext>
                <a:ext uri="{FF2B5EF4-FFF2-40B4-BE49-F238E27FC236}">
                  <a16:creationId xmlns:a16="http://schemas.microsoft.com/office/drawing/2014/main" id="{00000000-0008-0000-0100-00000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600075</xdr:colOff>
          <xdr:row>31</xdr:row>
          <xdr:rowOff>28575</xdr:rowOff>
        </xdr:from>
        <xdr:to>
          <xdr:col>20</xdr:col>
          <xdr:colOff>2133600</xdr:colOff>
          <xdr:row>31</xdr:row>
          <xdr:rowOff>342900</xdr:rowOff>
        </xdr:to>
        <xdr:sp macro="" textlink="">
          <xdr:nvSpPr>
            <xdr:cNvPr id="68621" name="Object 13" hidden="1">
              <a:extLst>
                <a:ext uri="{63B3BB69-23CF-44E3-9099-C40C66FF867C}">
                  <a14:compatExt spid="_x0000_s68621"/>
                </a:ext>
                <a:ext uri="{FF2B5EF4-FFF2-40B4-BE49-F238E27FC236}">
                  <a16:creationId xmlns:a16="http://schemas.microsoft.com/office/drawing/2014/main" id="{00000000-0008-0000-0100-00000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152400</xdr:colOff>
          <xdr:row>30</xdr:row>
          <xdr:rowOff>47625</xdr:rowOff>
        </xdr:from>
        <xdr:to>
          <xdr:col>20</xdr:col>
          <xdr:colOff>2752725</xdr:colOff>
          <xdr:row>31</xdr:row>
          <xdr:rowOff>28575</xdr:rowOff>
        </xdr:to>
        <xdr:sp macro="" textlink="">
          <xdr:nvSpPr>
            <xdr:cNvPr id="68622" name="Object 14" hidden="1">
              <a:extLst>
                <a:ext uri="{63B3BB69-23CF-44E3-9099-C40C66FF867C}">
                  <a14:compatExt spid="_x0000_s68622"/>
                </a:ext>
                <a:ext uri="{FF2B5EF4-FFF2-40B4-BE49-F238E27FC236}">
                  <a16:creationId xmlns:a16="http://schemas.microsoft.com/office/drawing/2014/main" id="{00000000-0008-0000-0100-00000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22</xdr:row>
          <xdr:rowOff>295275</xdr:rowOff>
        </xdr:from>
        <xdr:to>
          <xdr:col>20</xdr:col>
          <xdr:colOff>1905000</xdr:colOff>
          <xdr:row>23</xdr:row>
          <xdr:rowOff>228600</xdr:rowOff>
        </xdr:to>
        <xdr:sp macro="" textlink="">
          <xdr:nvSpPr>
            <xdr:cNvPr id="68623" name="Object 15" hidden="1">
              <a:extLst>
                <a:ext uri="{63B3BB69-23CF-44E3-9099-C40C66FF867C}">
                  <a14:compatExt spid="_x0000_s68623"/>
                </a:ext>
                <a:ext uri="{FF2B5EF4-FFF2-40B4-BE49-F238E27FC236}">
                  <a16:creationId xmlns:a16="http://schemas.microsoft.com/office/drawing/2014/main" id="{00000000-0008-0000-0100-00000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1781175</xdr:colOff>
          <xdr:row>22</xdr:row>
          <xdr:rowOff>38100</xdr:rowOff>
        </xdr:from>
        <xdr:to>
          <xdr:col>20</xdr:col>
          <xdr:colOff>3028950</xdr:colOff>
          <xdr:row>22</xdr:row>
          <xdr:rowOff>295275</xdr:rowOff>
        </xdr:to>
        <xdr:sp macro="" textlink="">
          <xdr:nvSpPr>
            <xdr:cNvPr id="68624" name="Object 16" hidden="1">
              <a:extLst>
                <a:ext uri="{63B3BB69-23CF-44E3-9099-C40C66FF867C}">
                  <a14:compatExt spid="_x0000_s68624"/>
                </a:ext>
                <a:ext uri="{FF2B5EF4-FFF2-40B4-BE49-F238E27FC236}">
                  <a16:creationId xmlns:a16="http://schemas.microsoft.com/office/drawing/2014/main" id="{00000000-0008-0000-0100-00001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21</xdr:row>
          <xdr:rowOff>371475</xdr:rowOff>
        </xdr:from>
        <xdr:to>
          <xdr:col>20</xdr:col>
          <xdr:colOff>1609725</xdr:colOff>
          <xdr:row>22</xdr:row>
          <xdr:rowOff>314325</xdr:rowOff>
        </xdr:to>
        <xdr:sp macro="" textlink="">
          <xdr:nvSpPr>
            <xdr:cNvPr id="68625" name="Object 17" hidden="1">
              <a:extLst>
                <a:ext uri="{63B3BB69-23CF-44E3-9099-C40C66FF867C}">
                  <a14:compatExt spid="_x0000_s68625"/>
                </a:ext>
                <a:ext uri="{FF2B5EF4-FFF2-40B4-BE49-F238E27FC236}">
                  <a16:creationId xmlns:a16="http://schemas.microsoft.com/office/drawing/2014/main" id="{00000000-0008-0000-0100-00001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981075</xdr:colOff>
          <xdr:row>32</xdr:row>
          <xdr:rowOff>238125</xdr:rowOff>
        </xdr:from>
        <xdr:to>
          <xdr:col>21</xdr:col>
          <xdr:colOff>323850</xdr:colOff>
          <xdr:row>33</xdr:row>
          <xdr:rowOff>9525</xdr:rowOff>
        </xdr:to>
        <xdr:sp macro="" textlink="">
          <xdr:nvSpPr>
            <xdr:cNvPr id="68626" name="Object 18" hidden="1">
              <a:extLst>
                <a:ext uri="{63B3BB69-23CF-44E3-9099-C40C66FF867C}">
                  <a14:compatExt spid="_x0000_s68626"/>
                </a:ext>
                <a:ext uri="{FF2B5EF4-FFF2-40B4-BE49-F238E27FC236}">
                  <a16:creationId xmlns:a16="http://schemas.microsoft.com/office/drawing/2014/main" id="{00000000-0008-0000-0100-00001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457200</xdr:colOff>
          <xdr:row>31</xdr:row>
          <xdr:rowOff>485775</xdr:rowOff>
        </xdr:from>
        <xdr:to>
          <xdr:col>20</xdr:col>
          <xdr:colOff>2552700</xdr:colOff>
          <xdr:row>32</xdr:row>
          <xdr:rowOff>285750</xdr:rowOff>
        </xdr:to>
        <xdr:sp macro="" textlink="">
          <xdr:nvSpPr>
            <xdr:cNvPr id="68627" name="Object 19" hidden="1">
              <a:extLst>
                <a:ext uri="{63B3BB69-23CF-44E3-9099-C40C66FF867C}">
                  <a14:compatExt spid="_x0000_s68627"/>
                </a:ext>
                <a:ext uri="{FF2B5EF4-FFF2-40B4-BE49-F238E27FC236}">
                  <a16:creationId xmlns:a16="http://schemas.microsoft.com/office/drawing/2014/main" id="{00000000-0008-0000-0100-00001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485775</xdr:colOff>
          <xdr:row>33</xdr:row>
          <xdr:rowOff>542925</xdr:rowOff>
        </xdr:from>
        <xdr:to>
          <xdr:col>20</xdr:col>
          <xdr:colOff>2476500</xdr:colOff>
          <xdr:row>34</xdr:row>
          <xdr:rowOff>361950</xdr:rowOff>
        </xdr:to>
        <xdr:sp macro="" textlink="">
          <xdr:nvSpPr>
            <xdr:cNvPr id="68628" name="Object 20" hidden="1">
              <a:extLst>
                <a:ext uri="{63B3BB69-23CF-44E3-9099-C40C66FF867C}">
                  <a14:compatExt spid="_x0000_s68628"/>
                </a:ext>
                <a:ext uri="{FF2B5EF4-FFF2-40B4-BE49-F238E27FC236}">
                  <a16:creationId xmlns:a16="http://schemas.microsoft.com/office/drawing/2014/main" id="{00000000-0008-0000-0100-00001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123825</xdr:colOff>
          <xdr:row>34</xdr:row>
          <xdr:rowOff>314325</xdr:rowOff>
        </xdr:from>
        <xdr:to>
          <xdr:col>20</xdr:col>
          <xdr:colOff>2752725</xdr:colOff>
          <xdr:row>35</xdr:row>
          <xdr:rowOff>0</xdr:rowOff>
        </xdr:to>
        <xdr:sp macro="" textlink="">
          <xdr:nvSpPr>
            <xdr:cNvPr id="68629" name="Object 21" hidden="1">
              <a:extLst>
                <a:ext uri="{63B3BB69-23CF-44E3-9099-C40C66FF867C}">
                  <a14:compatExt spid="_x0000_s68629"/>
                </a:ext>
                <a:ext uri="{FF2B5EF4-FFF2-40B4-BE49-F238E27FC236}">
                  <a16:creationId xmlns:a16="http://schemas.microsoft.com/office/drawing/2014/main" id="{00000000-0008-0000-0100-00001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504825</xdr:colOff>
          <xdr:row>29</xdr:row>
          <xdr:rowOff>180975</xdr:rowOff>
        </xdr:from>
        <xdr:to>
          <xdr:col>15</xdr:col>
          <xdr:colOff>447675</xdr:colOff>
          <xdr:row>30</xdr:row>
          <xdr:rowOff>9525</xdr:rowOff>
        </xdr:to>
        <xdr:sp macro="" textlink="">
          <xdr:nvSpPr>
            <xdr:cNvPr id="68630" name="Object 22" hidden="1">
              <a:extLst>
                <a:ext uri="{63B3BB69-23CF-44E3-9099-C40C66FF867C}">
                  <a14:compatExt spid="_x0000_s68630"/>
                </a:ext>
                <a:ext uri="{FF2B5EF4-FFF2-40B4-BE49-F238E27FC236}">
                  <a16:creationId xmlns:a16="http://schemas.microsoft.com/office/drawing/2014/main" id="{00000000-0008-0000-0100-00001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257175</xdr:colOff>
          <xdr:row>22</xdr:row>
          <xdr:rowOff>76200</xdr:rowOff>
        </xdr:from>
        <xdr:to>
          <xdr:col>24</xdr:col>
          <xdr:colOff>514350</xdr:colOff>
          <xdr:row>23</xdr:row>
          <xdr:rowOff>66675</xdr:rowOff>
        </xdr:to>
        <xdr:sp macro="" textlink="">
          <xdr:nvSpPr>
            <xdr:cNvPr id="68631" name="Object 23" hidden="1">
              <a:extLst>
                <a:ext uri="{63B3BB69-23CF-44E3-9099-C40C66FF867C}">
                  <a14:compatExt spid="_x0000_s68631"/>
                </a:ext>
                <a:ext uri="{FF2B5EF4-FFF2-40B4-BE49-F238E27FC236}">
                  <a16:creationId xmlns:a16="http://schemas.microsoft.com/office/drawing/2014/main" id="{00000000-0008-0000-0100-00001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990600</xdr:colOff>
          <xdr:row>22</xdr:row>
          <xdr:rowOff>66675</xdr:rowOff>
        </xdr:from>
        <xdr:to>
          <xdr:col>31</xdr:col>
          <xdr:colOff>371475</xdr:colOff>
          <xdr:row>23</xdr:row>
          <xdr:rowOff>57150</xdr:rowOff>
        </xdr:to>
        <xdr:sp macro="" textlink="">
          <xdr:nvSpPr>
            <xdr:cNvPr id="68632" name="Object 24" hidden="1">
              <a:extLst>
                <a:ext uri="{63B3BB69-23CF-44E3-9099-C40C66FF867C}">
                  <a14:compatExt spid="_x0000_s68632"/>
                </a:ext>
                <a:ext uri="{FF2B5EF4-FFF2-40B4-BE49-F238E27FC236}">
                  <a16:creationId xmlns:a16="http://schemas.microsoft.com/office/drawing/2014/main" id="{00000000-0008-0000-0100-00001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23</xdr:row>
          <xdr:rowOff>200025</xdr:rowOff>
        </xdr:from>
        <xdr:to>
          <xdr:col>20</xdr:col>
          <xdr:colOff>1943100</xdr:colOff>
          <xdr:row>24</xdr:row>
          <xdr:rowOff>161925</xdr:rowOff>
        </xdr:to>
        <xdr:sp macro="" textlink="">
          <xdr:nvSpPr>
            <xdr:cNvPr id="68633" name="Object 25" hidden="1">
              <a:extLst>
                <a:ext uri="{63B3BB69-23CF-44E3-9099-C40C66FF867C}">
                  <a14:compatExt spid="_x0000_s68633"/>
                </a:ext>
                <a:ext uri="{FF2B5EF4-FFF2-40B4-BE49-F238E27FC236}">
                  <a16:creationId xmlns:a16="http://schemas.microsoft.com/office/drawing/2014/main" id="{00000000-0008-0000-0100-00001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24</xdr:row>
          <xdr:rowOff>190500</xdr:rowOff>
        </xdr:from>
        <xdr:to>
          <xdr:col>20</xdr:col>
          <xdr:colOff>1695450</xdr:colOff>
          <xdr:row>25</xdr:row>
          <xdr:rowOff>219075</xdr:rowOff>
        </xdr:to>
        <xdr:sp macro="" textlink="">
          <xdr:nvSpPr>
            <xdr:cNvPr id="68634" name="Object 26" hidden="1">
              <a:extLst>
                <a:ext uri="{63B3BB69-23CF-44E3-9099-C40C66FF867C}">
                  <a14:compatExt spid="_x0000_s68634"/>
                </a:ext>
                <a:ext uri="{FF2B5EF4-FFF2-40B4-BE49-F238E27FC236}">
                  <a16:creationId xmlns:a16="http://schemas.microsoft.com/office/drawing/2014/main" id="{00000000-0008-0000-0100-00001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904875</xdr:colOff>
          <xdr:row>255</xdr:row>
          <xdr:rowOff>142875</xdr:rowOff>
        </xdr:from>
        <xdr:to>
          <xdr:col>40</xdr:col>
          <xdr:colOff>419100</xdr:colOff>
          <xdr:row>258</xdr:row>
          <xdr:rowOff>9525</xdr:rowOff>
        </xdr:to>
        <xdr:sp macro="" textlink="">
          <xdr:nvSpPr>
            <xdr:cNvPr id="68635" name="Object 27" hidden="1">
              <a:extLst>
                <a:ext uri="{63B3BB69-23CF-44E3-9099-C40C66FF867C}">
                  <a14:compatExt spid="_x0000_s68635"/>
                </a:ext>
                <a:ext uri="{FF2B5EF4-FFF2-40B4-BE49-F238E27FC236}">
                  <a16:creationId xmlns:a16="http://schemas.microsoft.com/office/drawing/2014/main" id="{00000000-0008-0000-0100-00001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628650</xdr:colOff>
          <xdr:row>82</xdr:row>
          <xdr:rowOff>180975</xdr:rowOff>
        </xdr:from>
        <xdr:to>
          <xdr:col>20</xdr:col>
          <xdr:colOff>2762250</xdr:colOff>
          <xdr:row>84</xdr:row>
          <xdr:rowOff>104775</xdr:rowOff>
        </xdr:to>
        <xdr:sp macro="" textlink="">
          <xdr:nvSpPr>
            <xdr:cNvPr id="68672" name="Object 64" hidden="1">
              <a:extLst>
                <a:ext uri="{63B3BB69-23CF-44E3-9099-C40C66FF867C}">
                  <a14:compatExt spid="_x0000_s68672"/>
                </a:ext>
                <a:ext uri="{FF2B5EF4-FFF2-40B4-BE49-F238E27FC236}">
                  <a16:creationId xmlns:a16="http://schemas.microsoft.com/office/drawing/2014/main" id="{00000000-0008-0000-0100-00004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18</xdr:row>
          <xdr:rowOff>57150</xdr:rowOff>
        </xdr:from>
        <xdr:to>
          <xdr:col>8</xdr:col>
          <xdr:colOff>485775</xdr:colOff>
          <xdr:row>18</xdr:row>
          <xdr:rowOff>295275</xdr:rowOff>
        </xdr:to>
        <xdr:sp macro="" textlink="">
          <xdr:nvSpPr>
            <xdr:cNvPr id="68675" name="Check Box 10" hidden="1">
              <a:extLst>
                <a:ext uri="{63B3BB69-23CF-44E3-9099-C40C66FF867C}">
                  <a14:compatExt spid="_x0000_s68675"/>
                </a:ext>
                <a:ext uri="{FF2B5EF4-FFF2-40B4-BE49-F238E27FC236}">
                  <a16:creationId xmlns:a16="http://schemas.microsoft.com/office/drawing/2014/main" id="{00000000-0008-0000-0100-00004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16</xdr:row>
          <xdr:rowOff>95250</xdr:rowOff>
        </xdr:from>
        <xdr:to>
          <xdr:col>11</xdr:col>
          <xdr:colOff>542925</xdr:colOff>
          <xdr:row>16</xdr:row>
          <xdr:rowOff>381000</xdr:rowOff>
        </xdr:to>
        <xdr:sp macro="" textlink="">
          <xdr:nvSpPr>
            <xdr:cNvPr id="68676" name="Drop Down 68" hidden="1">
              <a:extLst>
                <a:ext uri="{63B3BB69-23CF-44E3-9099-C40C66FF867C}">
                  <a14:compatExt spid="_x0000_s68676"/>
                </a:ext>
                <a:ext uri="{FF2B5EF4-FFF2-40B4-BE49-F238E27FC236}">
                  <a16:creationId xmlns:a16="http://schemas.microsoft.com/office/drawing/2014/main" id="{00000000-0008-0000-0100-00004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91</xdr:row>
          <xdr:rowOff>266700</xdr:rowOff>
        </xdr:from>
        <xdr:to>
          <xdr:col>20</xdr:col>
          <xdr:colOff>2295525</xdr:colOff>
          <xdr:row>92</xdr:row>
          <xdr:rowOff>238125</xdr:rowOff>
        </xdr:to>
        <xdr:sp macro="" textlink="">
          <xdr:nvSpPr>
            <xdr:cNvPr id="68677" name="Object 69" hidden="1">
              <a:extLst>
                <a:ext uri="{63B3BB69-23CF-44E3-9099-C40C66FF867C}">
                  <a14:compatExt spid="_x0000_s68677"/>
                </a:ext>
                <a:ext uri="{FF2B5EF4-FFF2-40B4-BE49-F238E27FC236}">
                  <a16:creationId xmlns:a16="http://schemas.microsoft.com/office/drawing/2014/main" id="{00000000-0008-0000-0100-00004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66675</xdr:colOff>
      <xdr:row>0</xdr:row>
      <xdr:rowOff>28575</xdr:rowOff>
    </xdr:from>
    <xdr:to>
      <xdr:col>2</xdr:col>
      <xdr:colOff>509004</xdr:colOff>
      <xdr:row>0</xdr:row>
      <xdr:rowOff>528448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8575"/>
          <a:ext cx="2280654" cy="49987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219075</xdr:colOff>
      <xdr:row>29</xdr:row>
      <xdr:rowOff>133350</xdr:rowOff>
    </xdr:from>
    <xdr:ext cx="1666875" cy="314325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0182225"/>
          <a:ext cx="1666875" cy="314325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12</xdr:row>
          <xdr:rowOff>66675</xdr:rowOff>
        </xdr:from>
        <xdr:to>
          <xdr:col>4</xdr:col>
          <xdr:colOff>990600</xdr:colOff>
          <xdr:row>12</xdr:row>
          <xdr:rowOff>342900</xdr:rowOff>
        </xdr:to>
        <xdr:sp macro="" textlink="">
          <xdr:nvSpPr>
            <xdr:cNvPr id="78849" name="Drop Down 9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2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323850</xdr:colOff>
          <xdr:row>3</xdr:row>
          <xdr:rowOff>238125</xdr:rowOff>
        </xdr:from>
        <xdr:to>
          <xdr:col>16</xdr:col>
          <xdr:colOff>828675</xdr:colOff>
          <xdr:row>4</xdr:row>
          <xdr:rowOff>104775</xdr:rowOff>
        </xdr:to>
        <xdr:sp macro="" textlink="">
          <xdr:nvSpPr>
            <xdr:cNvPr id="78851" name="Drop Down 16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02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</xdr:row>
          <xdr:rowOff>200025</xdr:rowOff>
        </xdr:from>
        <xdr:to>
          <xdr:col>11</xdr:col>
          <xdr:colOff>676275</xdr:colOff>
          <xdr:row>2</xdr:row>
          <xdr:rowOff>38100</xdr:rowOff>
        </xdr:to>
        <xdr:sp macro="" textlink="">
          <xdr:nvSpPr>
            <xdr:cNvPr id="78852" name="Drop Down 1026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02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28</xdr:row>
          <xdr:rowOff>76200</xdr:rowOff>
        </xdr:from>
        <xdr:to>
          <xdr:col>29</xdr:col>
          <xdr:colOff>28575</xdr:colOff>
          <xdr:row>29</xdr:row>
          <xdr:rowOff>333375</xdr:rowOff>
        </xdr:to>
        <xdr:sp macro="" textlink="">
          <xdr:nvSpPr>
            <xdr:cNvPr id="78853" name="Object 1027" hidden="1">
              <a:extLst>
                <a:ext uri="{63B3BB69-23CF-44E3-9099-C40C66FF867C}">
                  <a14:compatExt spid="_x0000_s78853"/>
                </a:ext>
                <a:ext uri="{FF2B5EF4-FFF2-40B4-BE49-F238E27FC236}">
                  <a16:creationId xmlns:a16="http://schemas.microsoft.com/office/drawing/2014/main" id="{00000000-0008-0000-0200-00000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219075</xdr:colOff>
          <xdr:row>28</xdr:row>
          <xdr:rowOff>76200</xdr:rowOff>
        </xdr:from>
        <xdr:to>
          <xdr:col>29</xdr:col>
          <xdr:colOff>1304925</xdr:colOff>
          <xdr:row>30</xdr:row>
          <xdr:rowOff>114300</xdr:rowOff>
        </xdr:to>
        <xdr:sp macro="" textlink="">
          <xdr:nvSpPr>
            <xdr:cNvPr id="78854" name="Object 1029" hidden="1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0200-00000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6</xdr:row>
          <xdr:rowOff>57150</xdr:rowOff>
        </xdr:from>
        <xdr:to>
          <xdr:col>11</xdr:col>
          <xdr:colOff>419100</xdr:colOff>
          <xdr:row>7</xdr:row>
          <xdr:rowOff>57150</xdr:rowOff>
        </xdr:to>
        <xdr:sp macro="" textlink="">
          <xdr:nvSpPr>
            <xdr:cNvPr id="78855" name="Check Box 1344" hidden="1">
              <a:extLst>
                <a:ext uri="{63B3BB69-23CF-44E3-9099-C40C66FF867C}">
                  <a14:compatExt spid="_x0000_s78855"/>
                </a:ext>
                <a:ext uri="{FF2B5EF4-FFF2-40B4-BE49-F238E27FC236}">
                  <a16:creationId xmlns:a16="http://schemas.microsoft.com/office/drawing/2014/main" id="{00000000-0008-0000-0200-00000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6</xdr:row>
          <xdr:rowOff>57150</xdr:rowOff>
        </xdr:from>
        <xdr:to>
          <xdr:col>8</xdr:col>
          <xdr:colOff>419100</xdr:colOff>
          <xdr:row>7</xdr:row>
          <xdr:rowOff>57150</xdr:rowOff>
        </xdr:to>
        <xdr:sp macro="" textlink="">
          <xdr:nvSpPr>
            <xdr:cNvPr id="78856" name="Check Box 1481" hidden="1">
              <a:extLst>
                <a:ext uri="{63B3BB69-23CF-44E3-9099-C40C66FF867C}">
                  <a14:compatExt spid="_x0000_s78856"/>
                </a:ext>
                <a:ext uri="{FF2B5EF4-FFF2-40B4-BE49-F238E27FC236}">
                  <a16:creationId xmlns:a16="http://schemas.microsoft.com/office/drawing/2014/main" id="{00000000-0008-0000-0200-00000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55</xdr:col>
      <xdr:colOff>538595</xdr:colOff>
      <xdr:row>98</xdr:row>
      <xdr:rowOff>147514</xdr:rowOff>
    </xdr:from>
    <xdr:to>
      <xdr:col>63</xdr:col>
      <xdr:colOff>327590</xdr:colOff>
      <xdr:row>119</xdr:row>
      <xdr:rowOff>82226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03470" y="25855489"/>
          <a:ext cx="6551744" cy="40971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59</xdr:col>
      <xdr:colOff>537482</xdr:colOff>
      <xdr:row>94</xdr:row>
      <xdr:rowOff>285749</xdr:rowOff>
    </xdr:from>
    <xdr:ext cx="3107531" cy="428625"/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50382" y="25136474"/>
          <a:ext cx="3107531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59</xdr:col>
      <xdr:colOff>579664</xdr:colOff>
      <xdr:row>93</xdr:row>
      <xdr:rowOff>14427</xdr:rowOff>
    </xdr:from>
    <xdr:ext cx="2190750" cy="426444"/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2564" y="24769902"/>
          <a:ext cx="2190750" cy="4264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57</xdr:col>
      <xdr:colOff>133350</xdr:colOff>
      <xdr:row>94</xdr:row>
      <xdr:rowOff>28575</xdr:rowOff>
    </xdr:from>
    <xdr:ext cx="1666875" cy="295275"/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607950" y="24974550"/>
          <a:ext cx="1666875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55</xdr:col>
      <xdr:colOff>588626</xdr:colOff>
      <xdr:row>133</xdr:row>
      <xdr:rowOff>82523</xdr:rowOff>
    </xdr:from>
    <xdr:ext cx="685801" cy="382361"/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45097" y="32635611"/>
          <a:ext cx="685801" cy="382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54</xdr:col>
      <xdr:colOff>165288</xdr:colOff>
      <xdr:row>58</xdr:row>
      <xdr:rowOff>53226</xdr:rowOff>
    </xdr:from>
    <xdr:to>
      <xdr:col>63</xdr:col>
      <xdr:colOff>294595</xdr:colOff>
      <xdr:row>79</xdr:row>
      <xdr:rowOff>86564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72938" y="17855451"/>
          <a:ext cx="7549282" cy="40338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122462</xdr:colOff>
      <xdr:row>121</xdr:row>
      <xdr:rowOff>112569</xdr:rowOff>
    </xdr:from>
    <xdr:to>
      <xdr:col>48</xdr:col>
      <xdr:colOff>4095665</xdr:colOff>
      <xdr:row>165</xdr:row>
      <xdr:rowOff>72737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14162" y="29411469"/>
          <a:ext cx="7354579" cy="83421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13</xdr:row>
          <xdr:rowOff>57150</xdr:rowOff>
        </xdr:from>
        <xdr:to>
          <xdr:col>6</xdr:col>
          <xdr:colOff>419100</xdr:colOff>
          <xdr:row>13</xdr:row>
          <xdr:rowOff>295275</xdr:rowOff>
        </xdr:to>
        <xdr:sp macro="" textlink="">
          <xdr:nvSpPr>
            <xdr:cNvPr id="78857" name="Check Box 9" hidden="1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0200-00000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723900</xdr:colOff>
          <xdr:row>33</xdr:row>
          <xdr:rowOff>28575</xdr:rowOff>
        </xdr:from>
        <xdr:to>
          <xdr:col>20</xdr:col>
          <xdr:colOff>2295525</xdr:colOff>
          <xdr:row>33</xdr:row>
          <xdr:rowOff>600075</xdr:rowOff>
        </xdr:to>
        <xdr:sp macro="" textlink="">
          <xdr:nvSpPr>
            <xdr:cNvPr id="78858" name="Object 10" hidden="1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0200-00000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609600</xdr:colOff>
          <xdr:row>35</xdr:row>
          <xdr:rowOff>47625</xdr:rowOff>
        </xdr:from>
        <xdr:to>
          <xdr:col>20</xdr:col>
          <xdr:colOff>2724150</xdr:colOff>
          <xdr:row>35</xdr:row>
          <xdr:rowOff>428625</xdr:rowOff>
        </xdr:to>
        <xdr:sp macro="" textlink="">
          <xdr:nvSpPr>
            <xdr:cNvPr id="78859" name="Object 11" hidden="1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0200-00000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933450</xdr:colOff>
          <xdr:row>24</xdr:row>
          <xdr:rowOff>76200</xdr:rowOff>
        </xdr:from>
        <xdr:to>
          <xdr:col>31</xdr:col>
          <xdr:colOff>361950</xdr:colOff>
          <xdr:row>25</xdr:row>
          <xdr:rowOff>219075</xdr:rowOff>
        </xdr:to>
        <xdr:sp macro="" textlink="">
          <xdr:nvSpPr>
            <xdr:cNvPr id="78860" name="Object 12" hidden="1">
              <a:extLst>
                <a:ext uri="{63B3BB69-23CF-44E3-9099-C40C66FF867C}">
                  <a14:compatExt spid="_x0000_s78860"/>
                </a:ext>
                <a:ext uri="{FF2B5EF4-FFF2-40B4-BE49-F238E27FC236}">
                  <a16:creationId xmlns:a16="http://schemas.microsoft.com/office/drawing/2014/main" id="{00000000-0008-0000-0200-00000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600075</xdr:colOff>
          <xdr:row>31</xdr:row>
          <xdr:rowOff>28575</xdr:rowOff>
        </xdr:from>
        <xdr:to>
          <xdr:col>20</xdr:col>
          <xdr:colOff>2133600</xdr:colOff>
          <xdr:row>31</xdr:row>
          <xdr:rowOff>342900</xdr:rowOff>
        </xdr:to>
        <xdr:sp macro="" textlink="">
          <xdr:nvSpPr>
            <xdr:cNvPr id="78861" name="Object 13" hidden="1">
              <a:extLst>
                <a:ext uri="{63B3BB69-23CF-44E3-9099-C40C66FF867C}">
                  <a14:compatExt spid="_x0000_s78861"/>
                </a:ext>
                <a:ext uri="{FF2B5EF4-FFF2-40B4-BE49-F238E27FC236}">
                  <a16:creationId xmlns:a16="http://schemas.microsoft.com/office/drawing/2014/main" id="{00000000-0008-0000-0200-00000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152400</xdr:colOff>
          <xdr:row>30</xdr:row>
          <xdr:rowOff>47625</xdr:rowOff>
        </xdr:from>
        <xdr:to>
          <xdr:col>20</xdr:col>
          <xdr:colOff>2752725</xdr:colOff>
          <xdr:row>31</xdr:row>
          <xdr:rowOff>28575</xdr:rowOff>
        </xdr:to>
        <xdr:sp macro="" textlink="">
          <xdr:nvSpPr>
            <xdr:cNvPr id="78862" name="Object 14" hidden="1">
              <a:extLst>
                <a:ext uri="{63B3BB69-23CF-44E3-9099-C40C66FF867C}">
                  <a14:compatExt spid="_x0000_s78862"/>
                </a:ext>
                <a:ext uri="{FF2B5EF4-FFF2-40B4-BE49-F238E27FC236}">
                  <a16:creationId xmlns:a16="http://schemas.microsoft.com/office/drawing/2014/main" id="{00000000-0008-0000-0200-00000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22</xdr:row>
          <xdr:rowOff>295275</xdr:rowOff>
        </xdr:from>
        <xdr:to>
          <xdr:col>20</xdr:col>
          <xdr:colOff>1905000</xdr:colOff>
          <xdr:row>23</xdr:row>
          <xdr:rowOff>228600</xdr:rowOff>
        </xdr:to>
        <xdr:sp macro="" textlink="">
          <xdr:nvSpPr>
            <xdr:cNvPr id="78863" name="Object 15" hidden="1">
              <a:extLst>
                <a:ext uri="{63B3BB69-23CF-44E3-9099-C40C66FF867C}">
                  <a14:compatExt spid="_x0000_s78863"/>
                </a:ext>
                <a:ext uri="{FF2B5EF4-FFF2-40B4-BE49-F238E27FC236}">
                  <a16:creationId xmlns:a16="http://schemas.microsoft.com/office/drawing/2014/main" id="{00000000-0008-0000-0200-00000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1781175</xdr:colOff>
          <xdr:row>22</xdr:row>
          <xdr:rowOff>38100</xdr:rowOff>
        </xdr:from>
        <xdr:to>
          <xdr:col>20</xdr:col>
          <xdr:colOff>3028950</xdr:colOff>
          <xdr:row>22</xdr:row>
          <xdr:rowOff>295275</xdr:rowOff>
        </xdr:to>
        <xdr:sp macro="" textlink="">
          <xdr:nvSpPr>
            <xdr:cNvPr id="78864" name="Object 16" hidden="1">
              <a:extLst>
                <a:ext uri="{63B3BB69-23CF-44E3-9099-C40C66FF867C}">
                  <a14:compatExt spid="_x0000_s78864"/>
                </a:ext>
                <a:ext uri="{FF2B5EF4-FFF2-40B4-BE49-F238E27FC236}">
                  <a16:creationId xmlns:a16="http://schemas.microsoft.com/office/drawing/2014/main" id="{00000000-0008-0000-0200-00001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21</xdr:row>
          <xdr:rowOff>371475</xdr:rowOff>
        </xdr:from>
        <xdr:to>
          <xdr:col>20</xdr:col>
          <xdr:colOff>1609725</xdr:colOff>
          <xdr:row>22</xdr:row>
          <xdr:rowOff>314325</xdr:rowOff>
        </xdr:to>
        <xdr:sp macro="" textlink="">
          <xdr:nvSpPr>
            <xdr:cNvPr id="78865" name="Object 17" hidden="1">
              <a:extLst>
                <a:ext uri="{63B3BB69-23CF-44E3-9099-C40C66FF867C}">
                  <a14:compatExt spid="_x0000_s78865"/>
                </a:ext>
                <a:ext uri="{FF2B5EF4-FFF2-40B4-BE49-F238E27FC236}">
                  <a16:creationId xmlns:a16="http://schemas.microsoft.com/office/drawing/2014/main" id="{00000000-0008-0000-0200-00001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152400</xdr:colOff>
          <xdr:row>32</xdr:row>
          <xdr:rowOff>228600</xdr:rowOff>
        </xdr:from>
        <xdr:to>
          <xdr:col>20</xdr:col>
          <xdr:colOff>2952750</xdr:colOff>
          <xdr:row>33</xdr:row>
          <xdr:rowOff>9525</xdr:rowOff>
        </xdr:to>
        <xdr:sp macro="" textlink="">
          <xdr:nvSpPr>
            <xdr:cNvPr id="78866" name="Object 18" hidden="1">
              <a:extLst>
                <a:ext uri="{63B3BB69-23CF-44E3-9099-C40C66FF867C}">
                  <a14:compatExt spid="_x0000_s78866"/>
                </a:ext>
                <a:ext uri="{FF2B5EF4-FFF2-40B4-BE49-F238E27FC236}">
                  <a16:creationId xmlns:a16="http://schemas.microsoft.com/office/drawing/2014/main" id="{00000000-0008-0000-0200-00001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457200</xdr:colOff>
          <xdr:row>31</xdr:row>
          <xdr:rowOff>485775</xdr:rowOff>
        </xdr:from>
        <xdr:to>
          <xdr:col>20</xdr:col>
          <xdr:colOff>2552700</xdr:colOff>
          <xdr:row>32</xdr:row>
          <xdr:rowOff>285750</xdr:rowOff>
        </xdr:to>
        <xdr:sp macro="" textlink="">
          <xdr:nvSpPr>
            <xdr:cNvPr id="78867" name="Object 19" hidden="1">
              <a:extLst>
                <a:ext uri="{63B3BB69-23CF-44E3-9099-C40C66FF867C}">
                  <a14:compatExt spid="_x0000_s78867"/>
                </a:ext>
                <a:ext uri="{FF2B5EF4-FFF2-40B4-BE49-F238E27FC236}">
                  <a16:creationId xmlns:a16="http://schemas.microsoft.com/office/drawing/2014/main" id="{00000000-0008-0000-0200-00001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485775</xdr:colOff>
          <xdr:row>33</xdr:row>
          <xdr:rowOff>542925</xdr:rowOff>
        </xdr:from>
        <xdr:to>
          <xdr:col>20</xdr:col>
          <xdr:colOff>2476500</xdr:colOff>
          <xdr:row>34</xdr:row>
          <xdr:rowOff>361950</xdr:rowOff>
        </xdr:to>
        <xdr:sp macro="" textlink="">
          <xdr:nvSpPr>
            <xdr:cNvPr id="78868" name="Object 20" hidden="1">
              <a:extLst>
                <a:ext uri="{63B3BB69-23CF-44E3-9099-C40C66FF867C}">
                  <a14:compatExt spid="_x0000_s78868"/>
                </a:ext>
                <a:ext uri="{FF2B5EF4-FFF2-40B4-BE49-F238E27FC236}">
                  <a16:creationId xmlns:a16="http://schemas.microsoft.com/office/drawing/2014/main" id="{00000000-0008-0000-0200-00001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123825</xdr:colOff>
          <xdr:row>34</xdr:row>
          <xdr:rowOff>314325</xdr:rowOff>
        </xdr:from>
        <xdr:to>
          <xdr:col>20</xdr:col>
          <xdr:colOff>2752725</xdr:colOff>
          <xdr:row>35</xdr:row>
          <xdr:rowOff>0</xdr:rowOff>
        </xdr:to>
        <xdr:sp macro="" textlink="">
          <xdr:nvSpPr>
            <xdr:cNvPr id="78869" name="Object 21" hidden="1">
              <a:extLst>
                <a:ext uri="{63B3BB69-23CF-44E3-9099-C40C66FF867C}">
                  <a14:compatExt spid="_x0000_s78869"/>
                </a:ext>
                <a:ext uri="{FF2B5EF4-FFF2-40B4-BE49-F238E27FC236}">
                  <a16:creationId xmlns:a16="http://schemas.microsoft.com/office/drawing/2014/main" id="{00000000-0008-0000-0200-00001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504825</xdr:colOff>
          <xdr:row>29</xdr:row>
          <xdr:rowOff>180975</xdr:rowOff>
        </xdr:from>
        <xdr:to>
          <xdr:col>15</xdr:col>
          <xdr:colOff>447675</xdr:colOff>
          <xdr:row>30</xdr:row>
          <xdr:rowOff>9525</xdr:rowOff>
        </xdr:to>
        <xdr:sp macro="" textlink="">
          <xdr:nvSpPr>
            <xdr:cNvPr id="78870" name="Object 22" hidden="1">
              <a:extLst>
                <a:ext uri="{63B3BB69-23CF-44E3-9099-C40C66FF867C}">
                  <a14:compatExt spid="_x0000_s78870"/>
                </a:ext>
                <a:ext uri="{FF2B5EF4-FFF2-40B4-BE49-F238E27FC236}">
                  <a16:creationId xmlns:a16="http://schemas.microsoft.com/office/drawing/2014/main" id="{00000000-0008-0000-0200-00001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257175</xdr:colOff>
          <xdr:row>22</xdr:row>
          <xdr:rowOff>76200</xdr:rowOff>
        </xdr:from>
        <xdr:to>
          <xdr:col>24</xdr:col>
          <xdr:colOff>514350</xdr:colOff>
          <xdr:row>23</xdr:row>
          <xdr:rowOff>66675</xdr:rowOff>
        </xdr:to>
        <xdr:sp macro="" textlink="">
          <xdr:nvSpPr>
            <xdr:cNvPr id="78871" name="Object 23" hidden="1">
              <a:extLst>
                <a:ext uri="{63B3BB69-23CF-44E3-9099-C40C66FF867C}">
                  <a14:compatExt spid="_x0000_s78871"/>
                </a:ext>
                <a:ext uri="{FF2B5EF4-FFF2-40B4-BE49-F238E27FC236}">
                  <a16:creationId xmlns:a16="http://schemas.microsoft.com/office/drawing/2014/main" id="{00000000-0008-0000-0200-00001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990600</xdr:colOff>
          <xdr:row>22</xdr:row>
          <xdr:rowOff>66675</xdr:rowOff>
        </xdr:from>
        <xdr:to>
          <xdr:col>31</xdr:col>
          <xdr:colOff>371475</xdr:colOff>
          <xdr:row>23</xdr:row>
          <xdr:rowOff>57150</xdr:rowOff>
        </xdr:to>
        <xdr:sp macro="" textlink="">
          <xdr:nvSpPr>
            <xdr:cNvPr id="78872" name="Object 24" hidden="1">
              <a:extLst>
                <a:ext uri="{63B3BB69-23CF-44E3-9099-C40C66FF867C}">
                  <a14:compatExt spid="_x0000_s78872"/>
                </a:ext>
                <a:ext uri="{FF2B5EF4-FFF2-40B4-BE49-F238E27FC236}">
                  <a16:creationId xmlns:a16="http://schemas.microsoft.com/office/drawing/2014/main" id="{00000000-0008-0000-0200-00001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23</xdr:row>
          <xdr:rowOff>200025</xdr:rowOff>
        </xdr:from>
        <xdr:to>
          <xdr:col>20</xdr:col>
          <xdr:colOff>1943100</xdr:colOff>
          <xdr:row>24</xdr:row>
          <xdr:rowOff>161925</xdr:rowOff>
        </xdr:to>
        <xdr:sp macro="" textlink="">
          <xdr:nvSpPr>
            <xdr:cNvPr id="78873" name="Object 25" hidden="1">
              <a:extLst>
                <a:ext uri="{63B3BB69-23CF-44E3-9099-C40C66FF867C}">
                  <a14:compatExt spid="_x0000_s78873"/>
                </a:ext>
                <a:ext uri="{FF2B5EF4-FFF2-40B4-BE49-F238E27FC236}">
                  <a16:creationId xmlns:a16="http://schemas.microsoft.com/office/drawing/2014/main" id="{00000000-0008-0000-0200-00001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24</xdr:row>
          <xdr:rowOff>190500</xdr:rowOff>
        </xdr:from>
        <xdr:to>
          <xdr:col>20</xdr:col>
          <xdr:colOff>1695450</xdr:colOff>
          <xdr:row>25</xdr:row>
          <xdr:rowOff>219075</xdr:rowOff>
        </xdr:to>
        <xdr:sp macro="" textlink="">
          <xdr:nvSpPr>
            <xdr:cNvPr id="78874" name="Object 26" hidden="1">
              <a:extLst>
                <a:ext uri="{63B3BB69-23CF-44E3-9099-C40C66FF867C}">
                  <a14:compatExt spid="_x0000_s78874"/>
                </a:ext>
                <a:ext uri="{FF2B5EF4-FFF2-40B4-BE49-F238E27FC236}">
                  <a16:creationId xmlns:a16="http://schemas.microsoft.com/office/drawing/2014/main" id="{00000000-0008-0000-0200-00001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704850</xdr:colOff>
          <xdr:row>255</xdr:row>
          <xdr:rowOff>152400</xdr:rowOff>
        </xdr:from>
        <xdr:to>
          <xdr:col>40</xdr:col>
          <xdr:colOff>247650</xdr:colOff>
          <xdr:row>258</xdr:row>
          <xdr:rowOff>19050</xdr:rowOff>
        </xdr:to>
        <xdr:sp macro="" textlink="">
          <xdr:nvSpPr>
            <xdr:cNvPr id="78875" name="Object 27" hidden="1">
              <a:extLst>
                <a:ext uri="{63B3BB69-23CF-44E3-9099-C40C66FF867C}">
                  <a14:compatExt spid="_x0000_s78875"/>
                </a:ext>
                <a:ext uri="{FF2B5EF4-FFF2-40B4-BE49-F238E27FC236}">
                  <a16:creationId xmlns:a16="http://schemas.microsoft.com/office/drawing/2014/main" id="{00000000-0008-0000-0200-00001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628650</xdr:colOff>
          <xdr:row>82</xdr:row>
          <xdr:rowOff>180975</xdr:rowOff>
        </xdr:from>
        <xdr:to>
          <xdr:col>20</xdr:col>
          <xdr:colOff>2762250</xdr:colOff>
          <xdr:row>84</xdr:row>
          <xdr:rowOff>104775</xdr:rowOff>
        </xdr:to>
        <xdr:sp macro="" textlink="">
          <xdr:nvSpPr>
            <xdr:cNvPr id="78914" name="Object 66" hidden="1">
              <a:extLst>
                <a:ext uri="{63B3BB69-23CF-44E3-9099-C40C66FF867C}">
                  <a14:compatExt spid="_x0000_s78914"/>
                </a:ext>
                <a:ext uri="{FF2B5EF4-FFF2-40B4-BE49-F238E27FC236}">
                  <a16:creationId xmlns:a16="http://schemas.microsoft.com/office/drawing/2014/main" id="{00000000-0008-0000-0200-00004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18</xdr:row>
          <xdr:rowOff>57150</xdr:rowOff>
        </xdr:from>
        <xdr:to>
          <xdr:col>8</xdr:col>
          <xdr:colOff>485775</xdr:colOff>
          <xdr:row>18</xdr:row>
          <xdr:rowOff>295275</xdr:rowOff>
        </xdr:to>
        <xdr:sp macro="" textlink="">
          <xdr:nvSpPr>
            <xdr:cNvPr id="78915" name="Check Box 67" hidden="1">
              <a:extLst>
                <a:ext uri="{63B3BB69-23CF-44E3-9099-C40C66FF867C}">
                  <a14:compatExt spid="_x0000_s78915"/>
                </a:ext>
                <a:ext uri="{FF2B5EF4-FFF2-40B4-BE49-F238E27FC236}">
                  <a16:creationId xmlns:a16="http://schemas.microsoft.com/office/drawing/2014/main" id="{00000000-0008-0000-0200-00004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16</xdr:row>
          <xdr:rowOff>95250</xdr:rowOff>
        </xdr:from>
        <xdr:to>
          <xdr:col>11</xdr:col>
          <xdr:colOff>533400</xdr:colOff>
          <xdr:row>16</xdr:row>
          <xdr:rowOff>381000</xdr:rowOff>
        </xdr:to>
        <xdr:sp macro="" textlink="">
          <xdr:nvSpPr>
            <xdr:cNvPr id="78916" name="Drop Down 68" hidden="1">
              <a:extLst>
                <a:ext uri="{63B3BB69-23CF-44E3-9099-C40C66FF867C}">
                  <a14:compatExt spid="_x0000_s78916"/>
                </a:ext>
                <a:ext uri="{FF2B5EF4-FFF2-40B4-BE49-F238E27FC236}">
                  <a16:creationId xmlns:a16="http://schemas.microsoft.com/office/drawing/2014/main" id="{00000000-0008-0000-0200-00004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91</xdr:row>
          <xdr:rowOff>266700</xdr:rowOff>
        </xdr:from>
        <xdr:to>
          <xdr:col>20</xdr:col>
          <xdr:colOff>2295525</xdr:colOff>
          <xdr:row>92</xdr:row>
          <xdr:rowOff>238125</xdr:rowOff>
        </xdr:to>
        <xdr:sp macro="" textlink="">
          <xdr:nvSpPr>
            <xdr:cNvPr id="78917" name="Object 69" hidden="1">
              <a:extLst>
                <a:ext uri="{63B3BB69-23CF-44E3-9099-C40C66FF867C}">
                  <a14:compatExt spid="_x0000_s78917"/>
                </a:ext>
                <a:ext uri="{FF2B5EF4-FFF2-40B4-BE49-F238E27FC236}">
                  <a16:creationId xmlns:a16="http://schemas.microsoft.com/office/drawing/2014/main" id="{00000000-0008-0000-0200-00004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76200</xdr:colOff>
      <xdr:row>0</xdr:row>
      <xdr:rowOff>28575</xdr:rowOff>
    </xdr:from>
    <xdr:to>
      <xdr:col>2</xdr:col>
      <xdr:colOff>518529</xdr:colOff>
      <xdr:row>0</xdr:row>
      <xdr:rowOff>528448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28575"/>
          <a:ext cx="2280654" cy="49987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55</xdr:col>
      <xdr:colOff>43899</xdr:colOff>
      <xdr:row>85</xdr:row>
      <xdr:rowOff>25260</xdr:rowOff>
    </xdr:from>
    <xdr:to>
      <xdr:col>60</xdr:col>
      <xdr:colOff>187861</xdr:colOff>
      <xdr:row>90</xdr:row>
      <xdr:rowOff>66632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8144290" y="16623608"/>
          <a:ext cx="806571" cy="7536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447675</xdr:colOff>
      <xdr:row>82</xdr:row>
      <xdr:rowOff>95250</xdr:rowOff>
    </xdr:from>
    <xdr:to>
      <xdr:col>62</xdr:col>
      <xdr:colOff>1143000</xdr:colOff>
      <xdr:row>88</xdr:row>
      <xdr:rowOff>16564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9725" y="15554325"/>
          <a:ext cx="1476375" cy="1190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63</xdr:col>
      <xdr:colOff>176007</xdr:colOff>
      <xdr:row>83</xdr:row>
      <xdr:rowOff>57150</xdr:rowOff>
    </xdr:from>
    <xdr:to>
      <xdr:col>65</xdr:col>
      <xdr:colOff>179629</xdr:colOff>
      <xdr:row>88</xdr:row>
      <xdr:rowOff>16565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1067637" y="14410911"/>
          <a:ext cx="1941753" cy="895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65</xdr:col>
      <xdr:colOff>247650</xdr:colOff>
      <xdr:row>91</xdr:row>
      <xdr:rowOff>142875</xdr:rowOff>
    </xdr:from>
    <xdr:to>
      <xdr:col>66</xdr:col>
      <xdr:colOff>1476375</xdr:colOff>
      <xdr:row>105</xdr:row>
      <xdr:rowOff>2070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82525" y="16887825"/>
          <a:ext cx="1962150" cy="125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62</xdr:col>
      <xdr:colOff>495300</xdr:colOff>
      <xdr:row>91</xdr:row>
      <xdr:rowOff>114299</xdr:rowOff>
    </xdr:from>
    <xdr:to>
      <xdr:col>63</xdr:col>
      <xdr:colOff>1104900</xdr:colOff>
      <xdr:row>105</xdr:row>
      <xdr:rowOff>11595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8400" y="16859249"/>
          <a:ext cx="1952625" cy="1266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18</xdr:col>
      <xdr:colOff>60826</xdr:colOff>
      <xdr:row>58</xdr:row>
      <xdr:rowOff>51351</xdr:rowOff>
    </xdr:from>
    <xdr:ext cx="4276987" cy="590551"/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1261" y="11464786"/>
          <a:ext cx="4276987" cy="590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18</xdr:col>
      <xdr:colOff>86336</xdr:colOff>
      <xdr:row>124</xdr:row>
      <xdr:rowOff>67710</xdr:rowOff>
    </xdr:from>
    <xdr:ext cx="4276987" cy="590551"/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6771" y="21536232"/>
          <a:ext cx="4276987" cy="590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0</xdr:col>
      <xdr:colOff>85725</xdr:colOff>
      <xdr:row>58</xdr:row>
      <xdr:rowOff>47625</xdr:rowOff>
    </xdr:from>
    <xdr:to>
      <xdr:col>16</xdr:col>
      <xdr:colOff>47249</xdr:colOff>
      <xdr:row>58</xdr:row>
      <xdr:rowOff>547498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1134725"/>
          <a:ext cx="2438024" cy="49987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124</xdr:row>
      <xdr:rowOff>66675</xdr:rowOff>
    </xdr:from>
    <xdr:to>
      <xdr:col>16</xdr:col>
      <xdr:colOff>104399</xdr:colOff>
      <xdr:row>124</xdr:row>
      <xdr:rowOff>566548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21974175"/>
          <a:ext cx="2438024" cy="499873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66675</xdr:rowOff>
    </xdr:from>
    <xdr:to>
      <xdr:col>36</xdr:col>
      <xdr:colOff>26060</xdr:colOff>
      <xdr:row>4</xdr:row>
      <xdr:rowOff>95250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28950" y="276225"/>
          <a:ext cx="2359685" cy="685800"/>
        </a:xfrm>
        <a:prstGeom prst="rect">
          <a:avLst/>
        </a:prstGeom>
      </xdr:spPr>
    </xdr:pic>
    <xdr:clientData/>
  </xdr:twoCellAnchor>
  <xdr:twoCellAnchor editAs="oneCell">
    <xdr:from>
      <xdr:col>19</xdr:col>
      <xdr:colOff>24851</xdr:colOff>
      <xdr:row>59</xdr:row>
      <xdr:rowOff>190497</xdr:rowOff>
    </xdr:from>
    <xdr:to>
      <xdr:col>35</xdr:col>
      <xdr:colOff>34328</xdr:colOff>
      <xdr:row>62</xdr:row>
      <xdr:rowOff>231911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5481" y="12473606"/>
          <a:ext cx="2336890" cy="679175"/>
        </a:xfrm>
        <a:prstGeom prst="rect">
          <a:avLst/>
        </a:prstGeom>
      </xdr:spPr>
    </xdr:pic>
    <xdr:clientData/>
  </xdr:twoCellAnchor>
  <xdr:twoCellAnchor editAs="oneCell">
    <xdr:from>
      <xdr:col>39</xdr:col>
      <xdr:colOff>57978</xdr:colOff>
      <xdr:row>0</xdr:row>
      <xdr:rowOff>182217</xdr:rowOff>
    </xdr:from>
    <xdr:to>
      <xdr:col>46</xdr:col>
      <xdr:colOff>111727</xdr:colOff>
      <xdr:row>5</xdr:row>
      <xdr:rowOff>185517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826" y="182217"/>
          <a:ext cx="981401" cy="1046909"/>
        </a:xfrm>
        <a:prstGeom prst="rect">
          <a:avLst/>
        </a:prstGeom>
      </xdr:spPr>
    </xdr:pic>
    <xdr:clientData/>
  </xdr:twoCellAnchor>
  <xdr:twoCellAnchor editAs="oneCell">
    <xdr:from>
      <xdr:col>39</xdr:col>
      <xdr:colOff>61291</xdr:colOff>
      <xdr:row>59</xdr:row>
      <xdr:rowOff>53008</xdr:rowOff>
    </xdr:from>
    <xdr:to>
      <xdr:col>46</xdr:col>
      <xdr:colOff>115040</xdr:colOff>
      <xdr:row>63</xdr:row>
      <xdr:rowOff>155700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1139" y="12336117"/>
          <a:ext cx="981401" cy="1046909"/>
        </a:xfrm>
        <a:prstGeom prst="rect">
          <a:avLst/>
        </a:prstGeom>
      </xdr:spPr>
    </xdr:pic>
    <xdr:clientData/>
  </xdr:twoCellAnchor>
  <xdr:twoCellAnchor editAs="oneCell">
    <xdr:from>
      <xdr:col>3</xdr:col>
      <xdr:colOff>91108</xdr:colOff>
      <xdr:row>92</xdr:row>
      <xdr:rowOff>66261</xdr:rowOff>
    </xdr:from>
    <xdr:to>
      <xdr:col>13</xdr:col>
      <xdr:colOff>33128</xdr:colOff>
      <xdr:row>101</xdr:row>
      <xdr:rowOff>703573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571499" y="17865587"/>
          <a:ext cx="1374912" cy="7035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59</xdr:col>
      <xdr:colOff>82828</xdr:colOff>
      <xdr:row>92</xdr:row>
      <xdr:rowOff>30732</xdr:rowOff>
    </xdr:from>
    <xdr:to>
      <xdr:col>61</xdr:col>
      <xdr:colOff>91109</xdr:colOff>
      <xdr:row>101</xdr:row>
      <xdr:rowOff>648443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13306" y="17565015"/>
          <a:ext cx="637760" cy="6484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0</xdr:colOff>
      <xdr:row>125</xdr:row>
      <xdr:rowOff>0</xdr:rowOff>
    </xdr:from>
    <xdr:to>
      <xdr:col>47</xdr:col>
      <xdr:colOff>0</xdr:colOff>
      <xdr:row>125</xdr:row>
      <xdr:rowOff>0</xdr:rowOff>
    </xdr:to>
    <xdr:pic>
      <xdr:nvPicPr>
        <xdr:cNvPr id="9" name="Picture 6" descr="E:\imagens\Marca.gif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8800" y="22621875"/>
          <a:ext cx="942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40</xdr:col>
      <xdr:colOff>0</xdr:colOff>
      <xdr:row>125</xdr:row>
      <xdr:rowOff>0</xdr:rowOff>
    </xdr:from>
    <xdr:to>
      <xdr:col>47</xdr:col>
      <xdr:colOff>0</xdr:colOff>
      <xdr:row>125</xdr:row>
      <xdr:rowOff>0</xdr:rowOff>
    </xdr:to>
    <xdr:pic>
      <xdr:nvPicPr>
        <xdr:cNvPr id="10" name="Picture 8" descr="E:\imagens\Marca.gif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8800" y="22621875"/>
          <a:ext cx="942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40</xdr:col>
      <xdr:colOff>0</xdr:colOff>
      <xdr:row>125</xdr:row>
      <xdr:rowOff>0</xdr:rowOff>
    </xdr:from>
    <xdr:to>
      <xdr:col>47</xdr:col>
      <xdr:colOff>0</xdr:colOff>
      <xdr:row>125</xdr:row>
      <xdr:rowOff>0</xdr:rowOff>
    </xdr:to>
    <xdr:pic>
      <xdr:nvPicPr>
        <xdr:cNvPr id="11" name="Picture 10" descr="E:\imagens\Marca.gif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8800" y="22621875"/>
          <a:ext cx="942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52</xdr:col>
      <xdr:colOff>114300</xdr:colOff>
      <xdr:row>81</xdr:row>
      <xdr:rowOff>28576</xdr:rowOff>
    </xdr:from>
    <xdr:to>
      <xdr:col>63</xdr:col>
      <xdr:colOff>21930</xdr:colOff>
      <xdr:row>87</xdr:row>
      <xdr:rowOff>209550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8096250" y="11344276"/>
          <a:ext cx="1479255" cy="11525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67</xdr:col>
      <xdr:colOff>114300</xdr:colOff>
      <xdr:row>79</xdr:row>
      <xdr:rowOff>66675</xdr:rowOff>
    </xdr:from>
    <xdr:to>
      <xdr:col>79</xdr:col>
      <xdr:colOff>75971</xdr:colOff>
      <xdr:row>88</xdr:row>
      <xdr:rowOff>95805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0239375" y="11172825"/>
          <a:ext cx="1676171" cy="14483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51</xdr:col>
      <xdr:colOff>76200</xdr:colOff>
      <xdr:row>102</xdr:row>
      <xdr:rowOff>9525</xdr:rowOff>
    </xdr:from>
    <xdr:to>
      <xdr:col>65</xdr:col>
      <xdr:colOff>9525</xdr:colOff>
      <xdr:row>108</xdr:row>
      <xdr:rowOff>76200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58050" y="18602325"/>
          <a:ext cx="1800225" cy="1066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67</xdr:col>
      <xdr:colOff>28575</xdr:colOff>
      <xdr:row>102</xdr:row>
      <xdr:rowOff>0</xdr:rowOff>
    </xdr:from>
    <xdr:to>
      <xdr:col>81</xdr:col>
      <xdr:colOff>123825</xdr:colOff>
      <xdr:row>108</xdr:row>
      <xdr:rowOff>66675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44025" y="18592800"/>
          <a:ext cx="1962150" cy="1066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83</xdr:col>
      <xdr:colOff>66675</xdr:colOff>
      <xdr:row>102</xdr:row>
      <xdr:rowOff>28574</xdr:rowOff>
    </xdr:from>
    <xdr:to>
      <xdr:col>97</xdr:col>
      <xdr:colOff>95250</xdr:colOff>
      <xdr:row>108</xdr:row>
      <xdr:rowOff>104774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5725" y="18621374"/>
          <a:ext cx="1952625" cy="1076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16</xdr:col>
      <xdr:colOff>115492</xdr:colOff>
      <xdr:row>57</xdr:row>
      <xdr:rowOff>28575</xdr:rowOff>
    </xdr:from>
    <xdr:ext cx="4276987" cy="590551"/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2442" y="7620000"/>
          <a:ext cx="4276987" cy="590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18</xdr:col>
      <xdr:colOff>1192</xdr:colOff>
      <xdr:row>123</xdr:row>
      <xdr:rowOff>47625</xdr:rowOff>
    </xdr:from>
    <xdr:ext cx="4276987" cy="590551"/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72992" y="17040225"/>
          <a:ext cx="4276987" cy="590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17</xdr:col>
      <xdr:colOff>29767</xdr:colOff>
      <xdr:row>189</xdr:row>
      <xdr:rowOff>38100</xdr:rowOff>
    </xdr:from>
    <xdr:ext cx="4276987" cy="590551"/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7242" y="25098375"/>
          <a:ext cx="4276987" cy="590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39</xdr:col>
      <xdr:colOff>72022</xdr:colOff>
      <xdr:row>1</xdr:row>
      <xdr:rowOff>95250</xdr:rowOff>
    </xdr:from>
    <xdr:to>
      <xdr:col>46</xdr:col>
      <xdr:colOff>93974</xdr:colOff>
      <xdr:row>6</xdr:row>
      <xdr:rowOff>66675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9397" y="304800"/>
          <a:ext cx="955402" cy="1019175"/>
        </a:xfrm>
        <a:prstGeom prst="rect">
          <a:avLst/>
        </a:prstGeom>
      </xdr:spPr>
    </xdr:pic>
    <xdr:clientData/>
  </xdr:twoCellAnchor>
  <xdr:twoCellAnchor editAs="oneCell">
    <xdr:from>
      <xdr:col>20</xdr:col>
      <xdr:colOff>114300</xdr:colOff>
      <xdr:row>1</xdr:row>
      <xdr:rowOff>114300</xdr:rowOff>
    </xdr:from>
    <xdr:to>
      <xdr:col>38</xdr:col>
      <xdr:colOff>50890</xdr:colOff>
      <xdr:row>4</xdr:row>
      <xdr:rowOff>136250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323850"/>
          <a:ext cx="2336890" cy="679175"/>
        </a:xfrm>
        <a:prstGeom prst="rect">
          <a:avLst/>
        </a:prstGeom>
      </xdr:spPr>
    </xdr:pic>
    <xdr:clientData/>
  </xdr:twoCellAnchor>
  <xdr:twoCellAnchor editAs="oneCell">
    <xdr:from>
      <xdr:col>39</xdr:col>
      <xdr:colOff>62497</xdr:colOff>
      <xdr:row>58</xdr:row>
      <xdr:rowOff>104775</xdr:rowOff>
    </xdr:from>
    <xdr:to>
      <xdr:col>46</xdr:col>
      <xdr:colOff>84449</xdr:colOff>
      <xdr:row>62</xdr:row>
      <xdr:rowOff>57150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9872" y="8296275"/>
          <a:ext cx="955402" cy="1019175"/>
        </a:xfrm>
        <a:prstGeom prst="rect">
          <a:avLst/>
        </a:prstGeom>
      </xdr:spPr>
    </xdr:pic>
    <xdr:clientData/>
  </xdr:twoCellAnchor>
  <xdr:twoCellAnchor editAs="oneCell">
    <xdr:from>
      <xdr:col>20</xdr:col>
      <xdr:colOff>104775</xdr:colOff>
      <xdr:row>58</xdr:row>
      <xdr:rowOff>123825</xdr:rowOff>
    </xdr:from>
    <xdr:to>
      <xdr:col>38</xdr:col>
      <xdr:colOff>41365</xdr:colOff>
      <xdr:row>61</xdr:row>
      <xdr:rowOff>212450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7075" y="8315325"/>
          <a:ext cx="2336890" cy="679175"/>
        </a:xfrm>
        <a:prstGeom prst="rect">
          <a:avLst/>
        </a:prstGeom>
      </xdr:spPr>
    </xdr:pic>
    <xdr:clientData/>
  </xdr:twoCellAnchor>
  <xdr:twoCellAnchor editAs="oneCell">
    <xdr:from>
      <xdr:col>39</xdr:col>
      <xdr:colOff>91072</xdr:colOff>
      <xdr:row>124</xdr:row>
      <xdr:rowOff>85725</xdr:rowOff>
    </xdr:from>
    <xdr:to>
      <xdr:col>46</xdr:col>
      <xdr:colOff>113024</xdr:colOff>
      <xdr:row>128</xdr:row>
      <xdr:rowOff>19050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8447" y="19030950"/>
          <a:ext cx="955402" cy="10191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124</xdr:row>
      <xdr:rowOff>104775</xdr:rowOff>
    </xdr:from>
    <xdr:to>
      <xdr:col>38</xdr:col>
      <xdr:colOff>69940</xdr:colOff>
      <xdr:row>127</xdr:row>
      <xdr:rowOff>193400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5650" y="19050000"/>
          <a:ext cx="2336890" cy="67917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57</xdr:row>
      <xdr:rowOff>47625</xdr:rowOff>
    </xdr:from>
    <xdr:to>
      <xdr:col>15</xdr:col>
      <xdr:colOff>132974</xdr:colOff>
      <xdr:row>57</xdr:row>
      <xdr:rowOff>547498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7562850"/>
          <a:ext cx="2295149" cy="499873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123</xdr:row>
      <xdr:rowOff>66675</xdr:rowOff>
    </xdr:from>
    <xdr:to>
      <xdr:col>16</xdr:col>
      <xdr:colOff>75824</xdr:colOff>
      <xdr:row>123</xdr:row>
      <xdr:rowOff>566548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8335625"/>
          <a:ext cx="2295149" cy="49987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189</xdr:row>
      <xdr:rowOff>47625</xdr:rowOff>
    </xdr:from>
    <xdr:to>
      <xdr:col>16</xdr:col>
      <xdr:colOff>47249</xdr:colOff>
      <xdr:row>189</xdr:row>
      <xdr:rowOff>547498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7574875"/>
          <a:ext cx="2295149" cy="499873"/>
        </a:xfrm>
        <a:prstGeom prst="rect">
          <a:avLst/>
        </a:prstGeom>
      </xdr:spPr>
    </xdr:pic>
    <xdr:clientData/>
  </xdr:twoCellAnchor>
  <xdr:twoCellAnchor editAs="oneCell">
    <xdr:from>
      <xdr:col>2</xdr:col>
      <xdr:colOff>28576</xdr:colOff>
      <xdr:row>91</xdr:row>
      <xdr:rowOff>17755</xdr:rowOff>
    </xdr:from>
    <xdr:to>
      <xdr:col>13</xdr:col>
      <xdr:colOff>133350</xdr:colOff>
      <xdr:row>100</xdr:row>
      <xdr:rowOff>18344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23851" y="17181805"/>
          <a:ext cx="1685924" cy="8578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56</xdr:col>
      <xdr:colOff>28575</xdr:colOff>
      <xdr:row>90</xdr:row>
      <xdr:rowOff>247650</xdr:rowOff>
    </xdr:from>
    <xdr:to>
      <xdr:col>60</xdr:col>
      <xdr:colOff>129214</xdr:colOff>
      <xdr:row>93</xdr:row>
      <xdr:rowOff>36632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067675" y="16792575"/>
          <a:ext cx="634039" cy="64623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78</xdr:col>
      <xdr:colOff>104774</xdr:colOff>
      <xdr:row>83</xdr:row>
      <xdr:rowOff>9525</xdr:rowOff>
    </xdr:from>
    <xdr:to>
      <xdr:col>90</xdr:col>
      <xdr:colOff>76200</xdr:colOff>
      <xdr:row>87</xdr:row>
      <xdr:rowOff>142455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0887074" y="16135350"/>
          <a:ext cx="1571626" cy="7996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40</xdr:col>
      <xdr:colOff>0</xdr:colOff>
      <xdr:row>125</xdr:row>
      <xdr:rowOff>0</xdr:rowOff>
    </xdr:from>
    <xdr:to>
      <xdr:col>47</xdr:col>
      <xdr:colOff>0</xdr:colOff>
      <xdr:row>125</xdr:row>
      <xdr:rowOff>0</xdr:rowOff>
    </xdr:to>
    <xdr:pic>
      <xdr:nvPicPr>
        <xdr:cNvPr id="9" name="Picture 6" descr="E:\imagens\Marca.gif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0225" y="22650450"/>
          <a:ext cx="9715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40</xdr:col>
      <xdr:colOff>0</xdr:colOff>
      <xdr:row>125</xdr:row>
      <xdr:rowOff>0</xdr:rowOff>
    </xdr:from>
    <xdr:to>
      <xdr:col>47</xdr:col>
      <xdr:colOff>0</xdr:colOff>
      <xdr:row>125</xdr:row>
      <xdr:rowOff>0</xdr:rowOff>
    </xdr:to>
    <xdr:pic>
      <xdr:nvPicPr>
        <xdr:cNvPr id="10" name="Picture 8" descr="E:\imagens\Marca.gif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0225" y="22650450"/>
          <a:ext cx="9715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40</xdr:col>
      <xdr:colOff>0</xdr:colOff>
      <xdr:row>125</xdr:row>
      <xdr:rowOff>0</xdr:rowOff>
    </xdr:from>
    <xdr:to>
      <xdr:col>47</xdr:col>
      <xdr:colOff>0</xdr:colOff>
      <xdr:row>125</xdr:row>
      <xdr:rowOff>0</xdr:rowOff>
    </xdr:to>
    <xdr:pic>
      <xdr:nvPicPr>
        <xdr:cNvPr id="11" name="Picture 10" descr="E:\imagens\Marca.gif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0225" y="22650450"/>
          <a:ext cx="9715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104775</xdr:colOff>
      <xdr:row>157</xdr:row>
      <xdr:rowOff>28575</xdr:rowOff>
    </xdr:from>
    <xdr:to>
      <xdr:col>14</xdr:col>
      <xdr:colOff>51897</xdr:colOff>
      <xdr:row>168</xdr:row>
      <xdr:rowOff>142875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533400" y="26565225"/>
          <a:ext cx="1518747" cy="771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52</xdr:col>
      <xdr:colOff>114300</xdr:colOff>
      <xdr:row>81</xdr:row>
      <xdr:rowOff>28575</xdr:rowOff>
    </xdr:from>
    <xdr:to>
      <xdr:col>62</xdr:col>
      <xdr:colOff>9525</xdr:colOff>
      <xdr:row>87</xdr:row>
      <xdr:rowOff>200025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9500" y="16049625"/>
          <a:ext cx="1228725" cy="1066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65</xdr:col>
      <xdr:colOff>9525</xdr:colOff>
      <xdr:row>80</xdr:row>
      <xdr:rowOff>57150</xdr:rowOff>
    </xdr:from>
    <xdr:to>
      <xdr:col>76</xdr:col>
      <xdr:colOff>19050</xdr:colOff>
      <xdr:row>89</xdr:row>
      <xdr:rowOff>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58275" y="16011525"/>
          <a:ext cx="1476375" cy="1181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51</xdr:col>
      <xdr:colOff>76200</xdr:colOff>
      <xdr:row>102</xdr:row>
      <xdr:rowOff>9525</xdr:rowOff>
    </xdr:from>
    <xdr:to>
      <xdr:col>65</xdr:col>
      <xdr:colOff>9525</xdr:colOff>
      <xdr:row>110</xdr:row>
      <xdr:rowOff>38100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58050" y="18602325"/>
          <a:ext cx="1800225" cy="1066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67</xdr:col>
      <xdr:colOff>28575</xdr:colOff>
      <xdr:row>102</xdr:row>
      <xdr:rowOff>0</xdr:rowOff>
    </xdr:from>
    <xdr:to>
      <xdr:col>81</xdr:col>
      <xdr:colOff>123825</xdr:colOff>
      <xdr:row>110</xdr:row>
      <xdr:rowOff>28575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44025" y="18592800"/>
          <a:ext cx="1962150" cy="1066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83</xdr:col>
      <xdr:colOff>66675</xdr:colOff>
      <xdr:row>102</xdr:row>
      <xdr:rowOff>28574</xdr:rowOff>
    </xdr:from>
    <xdr:to>
      <xdr:col>97</xdr:col>
      <xdr:colOff>95250</xdr:colOff>
      <xdr:row>110</xdr:row>
      <xdr:rowOff>66674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5725" y="18621374"/>
          <a:ext cx="1952625" cy="1076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40</xdr:col>
      <xdr:colOff>0</xdr:colOff>
      <xdr:row>191</xdr:row>
      <xdr:rowOff>0</xdr:rowOff>
    </xdr:from>
    <xdr:to>
      <xdr:col>47</xdr:col>
      <xdr:colOff>0</xdr:colOff>
      <xdr:row>191</xdr:row>
      <xdr:rowOff>0</xdr:rowOff>
    </xdr:to>
    <xdr:pic>
      <xdr:nvPicPr>
        <xdr:cNvPr id="21" name="Picture 6" descr="E:\imagens\Marca.gif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0225" y="22650450"/>
          <a:ext cx="9715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40</xdr:col>
      <xdr:colOff>0</xdr:colOff>
      <xdr:row>191</xdr:row>
      <xdr:rowOff>0</xdr:rowOff>
    </xdr:from>
    <xdr:to>
      <xdr:col>47</xdr:col>
      <xdr:colOff>0</xdr:colOff>
      <xdr:row>191</xdr:row>
      <xdr:rowOff>0</xdr:rowOff>
    </xdr:to>
    <xdr:pic>
      <xdr:nvPicPr>
        <xdr:cNvPr id="22" name="Picture 8" descr="E:\imagens\Marca.gif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0225" y="22650450"/>
          <a:ext cx="9715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40</xdr:col>
      <xdr:colOff>0</xdr:colOff>
      <xdr:row>191</xdr:row>
      <xdr:rowOff>0</xdr:rowOff>
    </xdr:from>
    <xdr:to>
      <xdr:col>47</xdr:col>
      <xdr:colOff>0</xdr:colOff>
      <xdr:row>191</xdr:row>
      <xdr:rowOff>0</xdr:rowOff>
    </xdr:to>
    <xdr:pic>
      <xdr:nvPicPr>
        <xdr:cNvPr id="23" name="Picture 10" descr="E:\imagens\Marca.gif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0225" y="22650450"/>
          <a:ext cx="9715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64</xdr:col>
      <xdr:colOff>57150</xdr:colOff>
      <xdr:row>219</xdr:row>
      <xdr:rowOff>9525</xdr:rowOff>
    </xdr:from>
    <xdr:to>
      <xdr:col>76</xdr:col>
      <xdr:colOff>106733</xdr:colOff>
      <xdr:row>232</xdr:row>
      <xdr:rowOff>572748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8972550" y="35890200"/>
          <a:ext cx="1649783" cy="8394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41</xdr:col>
      <xdr:colOff>33922</xdr:colOff>
      <xdr:row>1</xdr:row>
      <xdr:rowOff>28575</xdr:rowOff>
    </xdr:from>
    <xdr:to>
      <xdr:col>48</xdr:col>
      <xdr:colOff>8249</xdr:colOff>
      <xdr:row>6</xdr:row>
      <xdr:rowOff>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9872" y="238125"/>
          <a:ext cx="955402" cy="1019175"/>
        </a:xfrm>
        <a:prstGeom prst="rect">
          <a:avLst/>
        </a:prstGeom>
      </xdr:spPr>
    </xdr:pic>
    <xdr:clientData/>
  </xdr:twoCellAnchor>
  <xdr:twoCellAnchor editAs="oneCell">
    <xdr:from>
      <xdr:col>22</xdr:col>
      <xdr:colOff>28575</xdr:colOff>
      <xdr:row>1</xdr:row>
      <xdr:rowOff>47625</xdr:rowOff>
    </xdr:from>
    <xdr:to>
      <xdr:col>39</xdr:col>
      <xdr:colOff>127090</xdr:colOff>
      <xdr:row>4</xdr:row>
      <xdr:rowOff>69575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7075" y="257175"/>
          <a:ext cx="2336890" cy="679175"/>
        </a:xfrm>
        <a:prstGeom prst="rect">
          <a:avLst/>
        </a:prstGeom>
      </xdr:spPr>
    </xdr:pic>
    <xdr:clientData/>
  </xdr:twoCellAnchor>
  <xdr:twoCellAnchor editAs="oneCell">
    <xdr:from>
      <xdr:col>39</xdr:col>
      <xdr:colOff>62497</xdr:colOff>
      <xdr:row>58</xdr:row>
      <xdr:rowOff>114300</xdr:rowOff>
    </xdr:from>
    <xdr:to>
      <xdr:col>46</xdr:col>
      <xdr:colOff>84449</xdr:colOff>
      <xdr:row>62</xdr:row>
      <xdr:rowOff>180975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39372" y="11229975"/>
          <a:ext cx="955402" cy="1019175"/>
        </a:xfrm>
        <a:prstGeom prst="rect">
          <a:avLst/>
        </a:prstGeom>
      </xdr:spPr>
    </xdr:pic>
    <xdr:clientData/>
  </xdr:twoCellAnchor>
  <xdr:twoCellAnchor editAs="oneCell">
    <xdr:from>
      <xdr:col>20</xdr:col>
      <xdr:colOff>104775</xdr:colOff>
      <xdr:row>58</xdr:row>
      <xdr:rowOff>133350</xdr:rowOff>
    </xdr:from>
    <xdr:to>
      <xdr:col>38</xdr:col>
      <xdr:colOff>41365</xdr:colOff>
      <xdr:row>61</xdr:row>
      <xdr:rowOff>221975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75" y="11249025"/>
          <a:ext cx="2336890" cy="679175"/>
        </a:xfrm>
        <a:prstGeom prst="rect">
          <a:avLst/>
        </a:prstGeom>
      </xdr:spPr>
    </xdr:pic>
    <xdr:clientData/>
  </xdr:twoCellAnchor>
  <xdr:twoCellAnchor editAs="oneCell">
    <xdr:from>
      <xdr:col>39</xdr:col>
      <xdr:colOff>43447</xdr:colOff>
      <xdr:row>124</xdr:row>
      <xdr:rowOff>142875</xdr:rowOff>
    </xdr:from>
    <xdr:to>
      <xdr:col>46</xdr:col>
      <xdr:colOff>65399</xdr:colOff>
      <xdr:row>128</xdr:row>
      <xdr:rowOff>28575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0322" y="21793200"/>
          <a:ext cx="955402" cy="1019175"/>
        </a:xfrm>
        <a:prstGeom prst="rect">
          <a:avLst/>
        </a:prstGeom>
      </xdr:spPr>
    </xdr:pic>
    <xdr:clientData/>
  </xdr:twoCellAnchor>
  <xdr:twoCellAnchor editAs="oneCell">
    <xdr:from>
      <xdr:col>20</xdr:col>
      <xdr:colOff>85725</xdr:colOff>
      <xdr:row>124</xdr:row>
      <xdr:rowOff>161925</xdr:rowOff>
    </xdr:from>
    <xdr:to>
      <xdr:col>38</xdr:col>
      <xdr:colOff>22315</xdr:colOff>
      <xdr:row>127</xdr:row>
      <xdr:rowOff>250550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57525" y="21812250"/>
          <a:ext cx="2336890" cy="679175"/>
        </a:xfrm>
        <a:prstGeom prst="rect">
          <a:avLst/>
        </a:prstGeom>
      </xdr:spPr>
    </xdr:pic>
    <xdr:clientData/>
  </xdr:twoCellAnchor>
  <xdr:oneCellAnchor>
    <xdr:from>
      <xdr:col>17</xdr:col>
      <xdr:colOff>48817</xdr:colOff>
      <xdr:row>57</xdr:row>
      <xdr:rowOff>47625</xdr:rowOff>
    </xdr:from>
    <xdr:ext cx="4276987" cy="590551"/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5792" y="10487025"/>
          <a:ext cx="4276987" cy="590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0</xdr:col>
      <xdr:colOff>104775</xdr:colOff>
      <xdr:row>57</xdr:row>
      <xdr:rowOff>66675</xdr:rowOff>
    </xdr:from>
    <xdr:to>
      <xdr:col>16</xdr:col>
      <xdr:colOff>132974</xdr:colOff>
      <xdr:row>57</xdr:row>
      <xdr:rowOff>566548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0506075"/>
          <a:ext cx="2295149" cy="499873"/>
        </a:xfrm>
        <a:prstGeom prst="rect">
          <a:avLst/>
        </a:prstGeom>
      </xdr:spPr>
    </xdr:pic>
    <xdr:clientData/>
  </xdr:twoCellAnchor>
  <xdr:oneCellAnchor>
    <xdr:from>
      <xdr:col>17</xdr:col>
      <xdr:colOff>20242</xdr:colOff>
      <xdr:row>123</xdr:row>
      <xdr:rowOff>66675</xdr:rowOff>
    </xdr:from>
    <xdr:ext cx="4276987" cy="590551"/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7217" y="21040725"/>
          <a:ext cx="4276987" cy="590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0</xdr:col>
      <xdr:colOff>76200</xdr:colOff>
      <xdr:row>123</xdr:row>
      <xdr:rowOff>85725</xdr:rowOff>
    </xdr:from>
    <xdr:to>
      <xdr:col>16</xdr:col>
      <xdr:colOff>104399</xdr:colOff>
      <xdr:row>123</xdr:row>
      <xdr:rowOff>585598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21059775"/>
          <a:ext cx="2295149" cy="499873"/>
        </a:xfrm>
        <a:prstGeom prst="rect">
          <a:avLst/>
        </a:prstGeom>
      </xdr:spPr>
    </xdr:pic>
    <xdr:clientData/>
  </xdr:twoCellAnchor>
  <xdr:oneCellAnchor>
    <xdr:from>
      <xdr:col>17</xdr:col>
      <xdr:colOff>58342</xdr:colOff>
      <xdr:row>189</xdr:row>
      <xdr:rowOff>57150</xdr:rowOff>
    </xdr:from>
    <xdr:ext cx="4276987" cy="590551"/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317" y="29651325"/>
          <a:ext cx="4276987" cy="590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0</xdr:col>
      <xdr:colOff>114300</xdr:colOff>
      <xdr:row>189</xdr:row>
      <xdr:rowOff>76200</xdr:rowOff>
    </xdr:from>
    <xdr:to>
      <xdr:col>16</xdr:col>
      <xdr:colOff>142499</xdr:colOff>
      <xdr:row>189</xdr:row>
      <xdr:rowOff>576073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9670375"/>
          <a:ext cx="2295149" cy="499873"/>
        </a:xfrm>
        <a:prstGeom prst="rect">
          <a:avLst/>
        </a:prstGeom>
      </xdr:spPr>
    </xdr:pic>
    <xdr:clientData/>
  </xdr:twoCellAnchor>
  <xdr:oneCellAnchor>
    <xdr:from>
      <xdr:col>17</xdr:col>
      <xdr:colOff>77392</xdr:colOff>
      <xdr:row>255</xdr:row>
      <xdr:rowOff>57150</xdr:rowOff>
    </xdr:from>
    <xdr:ext cx="4276987" cy="590551"/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4367" y="37299900"/>
          <a:ext cx="4276987" cy="590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0</xdr:col>
      <xdr:colOff>133350</xdr:colOff>
      <xdr:row>255</xdr:row>
      <xdr:rowOff>76200</xdr:rowOff>
    </xdr:from>
    <xdr:to>
      <xdr:col>16</xdr:col>
      <xdr:colOff>161549</xdr:colOff>
      <xdr:row>255</xdr:row>
      <xdr:rowOff>576073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37318950"/>
          <a:ext cx="2295149" cy="499873"/>
        </a:xfrm>
        <a:prstGeom prst="rect">
          <a:avLst/>
        </a:prstGeom>
      </xdr:spPr>
    </xdr:pic>
    <xdr:clientData/>
  </xdr:twoCellAnchor>
  <xdr:twoCellAnchor editAs="oneCell">
    <xdr:from>
      <xdr:col>39</xdr:col>
      <xdr:colOff>62497</xdr:colOff>
      <xdr:row>190</xdr:row>
      <xdr:rowOff>180975</xdr:rowOff>
    </xdr:from>
    <xdr:to>
      <xdr:col>46</xdr:col>
      <xdr:colOff>84449</xdr:colOff>
      <xdr:row>193</xdr:row>
      <xdr:rowOff>609600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39372" y="30451425"/>
          <a:ext cx="955402" cy="1019175"/>
        </a:xfrm>
        <a:prstGeom prst="rect">
          <a:avLst/>
        </a:prstGeom>
      </xdr:spPr>
    </xdr:pic>
    <xdr:clientData/>
  </xdr:twoCellAnchor>
  <xdr:twoCellAnchor editAs="oneCell">
    <xdr:from>
      <xdr:col>20</xdr:col>
      <xdr:colOff>104775</xdr:colOff>
      <xdr:row>190</xdr:row>
      <xdr:rowOff>200025</xdr:rowOff>
    </xdr:from>
    <xdr:to>
      <xdr:col>38</xdr:col>
      <xdr:colOff>41365</xdr:colOff>
      <xdr:row>193</xdr:row>
      <xdr:rowOff>288650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75" y="30470475"/>
          <a:ext cx="2336890" cy="679175"/>
        </a:xfrm>
        <a:prstGeom prst="rect">
          <a:avLst/>
        </a:prstGeom>
      </xdr:spPr>
    </xdr:pic>
    <xdr:clientData/>
  </xdr:twoCellAnchor>
  <xdr:twoCellAnchor editAs="oneCell">
    <xdr:from>
      <xdr:col>58</xdr:col>
      <xdr:colOff>114300</xdr:colOff>
      <xdr:row>90</xdr:row>
      <xdr:rowOff>95250</xdr:rowOff>
    </xdr:from>
    <xdr:to>
      <xdr:col>63</xdr:col>
      <xdr:colOff>81589</xdr:colOff>
      <xdr:row>100</xdr:row>
      <xdr:rowOff>474782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229600" y="16687800"/>
          <a:ext cx="634039" cy="64623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47625</xdr:colOff>
      <xdr:row>30</xdr:row>
      <xdr:rowOff>85725</xdr:rowOff>
    </xdr:from>
    <xdr:to>
      <xdr:col>25</xdr:col>
      <xdr:colOff>85725</xdr:colOff>
      <xdr:row>38</xdr:row>
      <xdr:rowOff>66675</xdr:rowOff>
    </xdr:to>
    <xdr:grpSp>
      <xdr:nvGrpSpPr>
        <xdr:cNvPr id="14" name="Group 39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pSpPr>
          <a:grpSpLocks/>
        </xdr:cNvGrpSpPr>
      </xdr:nvGrpSpPr>
      <xdr:grpSpPr bwMode="auto">
        <a:xfrm>
          <a:off x="2181225" y="4857750"/>
          <a:ext cx="1543050" cy="1476375"/>
          <a:chOff x="199" y="366"/>
          <a:chExt cx="162" cy="155"/>
        </a:xfrm>
      </xdr:grpSpPr>
      <xdr:sp macro="" textlink="">
        <xdr:nvSpPr>
          <xdr:cNvPr id="15" name="Text Box 13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96" y="469"/>
            <a:ext cx="65" cy="52"/>
          </a:xfrm>
          <a:prstGeom prst="rect">
            <a:avLst/>
          </a:prstGeom>
          <a:solidFill>
            <a:srgbClr val="C0C0C0"/>
          </a:solidFill>
          <a:ln w="28575">
            <a:solidFill>
              <a:srgbClr val="C0C0C0"/>
            </a:solidFill>
            <a:miter lim="800000"/>
            <a:headEnd/>
            <a:tailEnd/>
          </a:ln>
        </xdr:spPr>
        <xdr:txBody>
          <a:bodyPr vertOverflow="clip" wrap="square" lIns="27432" tIns="36576" rIns="27432" bIns="36576" anchor="ctr" upright="1"/>
          <a:lstStyle/>
          <a:p>
            <a:pPr algn="ctr" rtl="0">
              <a:defRPr sz="1000"/>
            </a:pPr>
            <a:r>
              <a:rPr lang="pt-PT" sz="1100" b="1" i="0" strike="noStrike">
                <a:solidFill>
                  <a:srgbClr val="000000"/>
                </a:solidFill>
                <a:latin typeface="+mn-lt"/>
              </a:rPr>
              <a:t>Balança</a:t>
            </a:r>
          </a:p>
        </xdr:txBody>
      </xdr:sp>
      <xdr:sp macro="" textlink="">
        <xdr:nvSpPr>
          <xdr:cNvPr id="16" name="Line 14">
            <a:extLst>
              <a:ext uri="{FF2B5EF4-FFF2-40B4-BE49-F238E27FC236}">
                <a16:creationId xmlns:a16="http://schemas.microsoft.com/office/drawing/2014/main" id="{00000000-0008-0000-0600-000010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28" y="366"/>
            <a:ext cx="1" cy="9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6">
            <a:extLst>
              <a:ext uri="{FF2B5EF4-FFF2-40B4-BE49-F238E27FC236}">
                <a16:creationId xmlns:a16="http://schemas.microsoft.com/office/drawing/2014/main" id="{00000000-0008-0000-0600-000011000000}"/>
              </a:ext>
            </a:extLst>
          </xdr:cNvPr>
          <xdr:cNvSpPr>
            <a:spLocks noChangeShapeType="1"/>
          </xdr:cNvSpPr>
        </xdr:nvSpPr>
        <xdr:spPr bwMode="auto">
          <a:xfrm rot="-5309103">
            <a:off x="246" y="448"/>
            <a:ext cx="3" cy="9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Text Box 17"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18" y="402"/>
            <a:ext cx="22" cy="25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36576" rIns="36576" bIns="36576" anchor="ctr" upright="1"/>
          <a:lstStyle/>
          <a:p>
            <a:pPr algn="ctr" rtl="0">
              <a:defRPr sz="1000"/>
            </a:pPr>
            <a:r>
              <a:rPr lang="pt-PT" sz="1100" b="1" i="0" strike="noStrike">
                <a:solidFill>
                  <a:srgbClr val="000000"/>
                </a:solidFill>
                <a:latin typeface="+mn-lt"/>
              </a:rPr>
              <a:t>y</a:t>
            </a:r>
          </a:p>
        </xdr:txBody>
      </xdr:sp>
      <xdr:sp macro="" textlink="">
        <xdr:nvSpPr>
          <xdr:cNvPr id="19" name="Text Box 18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34" y="485"/>
            <a:ext cx="25" cy="35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36576" rIns="36576" bIns="0" anchor="t" upright="1"/>
          <a:lstStyle/>
          <a:p>
            <a:pPr algn="ctr" rtl="0">
              <a:defRPr sz="1000"/>
            </a:pPr>
            <a:r>
              <a:rPr lang="pt-PT" sz="1100" b="1" i="0" strike="noStrike">
                <a:solidFill>
                  <a:srgbClr val="000000"/>
                </a:solidFill>
                <a:latin typeface="+mn-lt"/>
              </a:rPr>
              <a:t>X</a:t>
            </a:r>
          </a:p>
        </xdr:txBody>
      </xdr:sp>
    </xdr:grpSp>
    <xdr:clientData/>
  </xdr:twoCellAnchor>
  <xdr:twoCellAnchor>
    <xdr:from>
      <xdr:col>7</xdr:col>
      <xdr:colOff>47625</xdr:colOff>
      <xdr:row>26</xdr:row>
      <xdr:rowOff>114300</xdr:rowOff>
    </xdr:from>
    <xdr:to>
      <xdr:col>39</xdr:col>
      <xdr:colOff>123825</xdr:colOff>
      <xdr:row>45</xdr:row>
      <xdr:rowOff>28575</xdr:rowOff>
    </xdr:to>
    <xdr:grpSp>
      <xdr:nvGrpSpPr>
        <xdr:cNvPr id="20" name="Group 3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>
          <a:grpSpLocks/>
        </xdr:cNvGrpSpPr>
      </xdr:nvGrpSpPr>
      <xdr:grpSpPr bwMode="auto">
        <a:xfrm>
          <a:off x="1028700" y="4191000"/>
          <a:ext cx="4572000" cy="3676650"/>
          <a:chOff x="89" y="336"/>
          <a:chExt cx="480" cy="386"/>
        </a:xfrm>
      </xdr:grpSpPr>
      <xdr:sp macro="" textlink="">
        <xdr:nvSpPr>
          <xdr:cNvPr id="35" name="Line 19">
            <a:extLst>
              <a:ext uri="{FF2B5EF4-FFF2-40B4-BE49-F238E27FC236}">
                <a16:creationId xmlns:a16="http://schemas.microsoft.com/office/drawing/2014/main" id="{00000000-0008-0000-0600-00002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0" y="337"/>
            <a:ext cx="479" cy="1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3" name="Line 24">
            <a:extLst>
              <a:ext uri="{FF2B5EF4-FFF2-40B4-BE49-F238E27FC236}">
                <a16:creationId xmlns:a16="http://schemas.microsoft.com/office/drawing/2014/main" id="{00000000-0008-0000-0600-000021000000}"/>
              </a:ext>
            </a:extLst>
          </xdr:cNvPr>
          <xdr:cNvSpPr>
            <a:spLocks noChangeShapeType="1"/>
          </xdr:cNvSpPr>
        </xdr:nvSpPr>
        <xdr:spPr bwMode="auto">
          <a:xfrm rot="10771362">
            <a:off x="89" y="716"/>
            <a:ext cx="480" cy="6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" name="Line 27"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376" y="528"/>
            <a:ext cx="385" cy="1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" name="Line 30"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SpPr>
            <a:spLocks noChangeShapeType="1"/>
          </xdr:cNvSpPr>
        </xdr:nvSpPr>
        <xdr:spPr bwMode="auto">
          <a:xfrm rot="16200000">
            <a:off x="-99" y="528"/>
            <a:ext cx="379" cy="1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19</xdr:col>
      <xdr:colOff>33129</xdr:colOff>
      <xdr:row>1</xdr:row>
      <xdr:rowOff>63934</xdr:rowOff>
    </xdr:from>
    <xdr:to>
      <xdr:col>22</xdr:col>
      <xdr:colOff>25833</xdr:colOff>
      <xdr:row>3</xdr:row>
      <xdr:rowOff>150054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8729" y="273484"/>
          <a:ext cx="392754" cy="543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53319</xdr:colOff>
      <xdr:row>57</xdr:row>
      <xdr:rowOff>55133</xdr:rowOff>
    </xdr:from>
    <xdr:to>
      <xdr:col>15</xdr:col>
      <xdr:colOff>89490</xdr:colOff>
      <xdr:row>57</xdr:row>
      <xdr:rowOff>542149</xdr:rowOff>
    </xdr:to>
    <xdr:pic>
      <xdr:nvPicPr>
        <xdr:cNvPr id="22" name="Imagem 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19" y="11142233"/>
          <a:ext cx="2074521" cy="487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16</xdr:col>
      <xdr:colOff>96442</xdr:colOff>
      <xdr:row>57</xdr:row>
      <xdr:rowOff>57150</xdr:rowOff>
    </xdr:from>
    <xdr:ext cx="4276987" cy="590551"/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0542" y="11144250"/>
          <a:ext cx="4276987" cy="590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133350</xdr:colOff>
      <xdr:row>10</xdr:row>
      <xdr:rowOff>123825</xdr:rowOff>
    </xdr:from>
    <xdr:to>
      <xdr:col>12</xdr:col>
      <xdr:colOff>533400</xdr:colOff>
      <xdr:row>21</xdr:row>
      <xdr:rowOff>57150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0" y="1743075"/>
          <a:ext cx="2228850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381000</xdr:colOff>
      <xdr:row>8</xdr:row>
      <xdr:rowOff>9525</xdr:rowOff>
    </xdr:from>
    <xdr:to>
      <xdr:col>20</xdr:col>
      <xdr:colOff>285750</xdr:colOff>
      <xdr:row>20</xdr:row>
      <xdr:rowOff>76200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29975" y="1304925"/>
          <a:ext cx="1733550" cy="2009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Nadir Baptista" id="{42B5E7DA-720A-4DD9-87D8-7B4CEEF2BD18}" userId="S::nadir.baptista@cachapuz.com::b53264fa-1cb7-4bfd-a58b-725af6bbdf8a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2" dT="2020-02-05T11:44:42.53" personId="{42B5E7DA-720A-4DD9-87D8-7B4CEEF2BD18}" id="{8AC5475D-CB2A-48D3-9F62-9F3C6FD57014}">
    <text>ddmmXXTT</text>
  </threadedComment>
  <threadedComment ref="J9" dT="2022-05-10T10:13:57.70" personId="{42B5E7DA-720A-4DD9-87D8-7B4CEEF2BD18}" id="{1C3A9672-F9F4-488D-B27E-F33FFB086A37}">
    <text>Inserir Latitude Destino</text>
  </threadedComment>
  <threadedComment ref="K9" dT="2022-05-10T10:14:37.95" personId="{42B5E7DA-720A-4DD9-87D8-7B4CEEF2BD18}" id="{AE16BFF0-912B-4AC6-9C1D-6219887C2B76}">
    <text>Inserir Altitude Destino</text>
  </threadedComment>
</ThreadedComments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wmf"/><Relationship Id="rId18" Type="http://schemas.openxmlformats.org/officeDocument/2006/relationships/oleObject" Target="../embeddings/oleObject8.bin"/><Relationship Id="rId26" Type="http://schemas.openxmlformats.org/officeDocument/2006/relationships/oleObject" Target="../embeddings/oleObject12.bin"/><Relationship Id="rId39" Type="http://schemas.openxmlformats.org/officeDocument/2006/relationships/image" Target="../media/image18.wmf"/><Relationship Id="rId21" Type="http://schemas.openxmlformats.org/officeDocument/2006/relationships/image" Target="../media/image9.wmf"/><Relationship Id="rId34" Type="http://schemas.openxmlformats.org/officeDocument/2006/relationships/oleObject" Target="../embeddings/oleObject16.bin"/><Relationship Id="rId42" Type="http://schemas.openxmlformats.org/officeDocument/2006/relationships/oleObject" Target="../embeddings/oleObject20.bin"/><Relationship Id="rId47" Type="http://schemas.openxmlformats.org/officeDocument/2006/relationships/image" Target="../media/image22.wmf"/><Relationship Id="rId50" Type="http://schemas.openxmlformats.org/officeDocument/2006/relationships/ctrlProp" Target="../ctrlProps/ctrlProp3.xml"/><Relationship Id="rId55" Type="http://schemas.openxmlformats.org/officeDocument/2006/relationships/ctrlProp" Target="../ctrlProps/ctrlProp8.xml"/><Relationship Id="rId7" Type="http://schemas.openxmlformats.org/officeDocument/2006/relationships/image" Target="../media/image2.wmf"/><Relationship Id="rId2" Type="http://schemas.openxmlformats.org/officeDocument/2006/relationships/drawing" Target="../drawings/drawing1.xml"/><Relationship Id="rId16" Type="http://schemas.openxmlformats.org/officeDocument/2006/relationships/oleObject" Target="../embeddings/oleObject7.bin"/><Relationship Id="rId29" Type="http://schemas.openxmlformats.org/officeDocument/2006/relationships/image" Target="../media/image13.wmf"/><Relationship Id="rId11" Type="http://schemas.openxmlformats.org/officeDocument/2006/relationships/image" Target="../media/image4.wmf"/><Relationship Id="rId24" Type="http://schemas.openxmlformats.org/officeDocument/2006/relationships/oleObject" Target="../embeddings/oleObject11.bin"/><Relationship Id="rId32" Type="http://schemas.openxmlformats.org/officeDocument/2006/relationships/oleObject" Target="../embeddings/oleObject15.bin"/><Relationship Id="rId37" Type="http://schemas.openxmlformats.org/officeDocument/2006/relationships/image" Target="../media/image17.wmf"/><Relationship Id="rId40" Type="http://schemas.openxmlformats.org/officeDocument/2006/relationships/oleObject" Target="../embeddings/oleObject19.bin"/><Relationship Id="rId45" Type="http://schemas.openxmlformats.org/officeDocument/2006/relationships/image" Target="../media/image21.wmf"/><Relationship Id="rId53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9" Type="http://schemas.openxmlformats.org/officeDocument/2006/relationships/image" Target="../media/image8.w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wmf"/><Relationship Id="rId14" Type="http://schemas.openxmlformats.org/officeDocument/2006/relationships/oleObject" Target="../embeddings/oleObject6.bin"/><Relationship Id="rId22" Type="http://schemas.openxmlformats.org/officeDocument/2006/relationships/oleObject" Target="../embeddings/oleObject10.bin"/><Relationship Id="rId27" Type="http://schemas.openxmlformats.org/officeDocument/2006/relationships/image" Target="../media/image12.wmf"/><Relationship Id="rId30" Type="http://schemas.openxmlformats.org/officeDocument/2006/relationships/oleObject" Target="../embeddings/oleObject14.bin"/><Relationship Id="rId35" Type="http://schemas.openxmlformats.org/officeDocument/2006/relationships/image" Target="../media/image16.wmf"/><Relationship Id="rId43" Type="http://schemas.openxmlformats.org/officeDocument/2006/relationships/image" Target="../media/image20.wmf"/><Relationship Id="rId48" Type="http://schemas.openxmlformats.org/officeDocument/2006/relationships/ctrlProp" Target="../ctrlProps/ctrlProp1.xml"/><Relationship Id="rId56" Type="http://schemas.openxmlformats.org/officeDocument/2006/relationships/comments" Target="../comments1.xml"/><Relationship Id="rId8" Type="http://schemas.openxmlformats.org/officeDocument/2006/relationships/oleObject" Target="../embeddings/oleObject3.bin"/><Relationship Id="rId51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12" Type="http://schemas.openxmlformats.org/officeDocument/2006/relationships/oleObject" Target="../embeddings/oleObject5.bin"/><Relationship Id="rId17" Type="http://schemas.openxmlformats.org/officeDocument/2006/relationships/image" Target="../media/image7.emf"/><Relationship Id="rId25" Type="http://schemas.openxmlformats.org/officeDocument/2006/relationships/image" Target="../media/image11.wmf"/><Relationship Id="rId33" Type="http://schemas.openxmlformats.org/officeDocument/2006/relationships/image" Target="../media/image15.emf"/><Relationship Id="rId38" Type="http://schemas.openxmlformats.org/officeDocument/2006/relationships/oleObject" Target="../embeddings/oleObject18.bin"/><Relationship Id="rId46" Type="http://schemas.openxmlformats.org/officeDocument/2006/relationships/oleObject" Target="../embeddings/oleObject22.bin"/><Relationship Id="rId20" Type="http://schemas.openxmlformats.org/officeDocument/2006/relationships/oleObject" Target="../embeddings/oleObject9.bin"/><Relationship Id="rId41" Type="http://schemas.openxmlformats.org/officeDocument/2006/relationships/image" Target="../media/image19.wmf"/><Relationship Id="rId54" Type="http://schemas.openxmlformats.org/officeDocument/2006/relationships/ctrlProp" Target="../ctrlProps/ctrlProp7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5" Type="http://schemas.openxmlformats.org/officeDocument/2006/relationships/image" Target="../media/image6.wmf"/><Relationship Id="rId23" Type="http://schemas.openxmlformats.org/officeDocument/2006/relationships/image" Target="../media/image10.wmf"/><Relationship Id="rId28" Type="http://schemas.openxmlformats.org/officeDocument/2006/relationships/oleObject" Target="../embeddings/oleObject13.bin"/><Relationship Id="rId36" Type="http://schemas.openxmlformats.org/officeDocument/2006/relationships/oleObject" Target="../embeddings/oleObject17.bin"/><Relationship Id="rId49" Type="http://schemas.openxmlformats.org/officeDocument/2006/relationships/ctrlProp" Target="../ctrlProps/ctrlProp2.xml"/><Relationship Id="rId57" Type="http://schemas.microsoft.com/office/2017/10/relationships/threadedComment" Target="../threadedComments/threadedComment1.xml"/><Relationship Id="rId10" Type="http://schemas.openxmlformats.org/officeDocument/2006/relationships/oleObject" Target="../embeddings/oleObject4.bin"/><Relationship Id="rId31" Type="http://schemas.openxmlformats.org/officeDocument/2006/relationships/image" Target="../media/image14.wmf"/><Relationship Id="rId44" Type="http://schemas.openxmlformats.org/officeDocument/2006/relationships/oleObject" Target="../embeddings/oleObject21.bin"/><Relationship Id="rId52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wmf"/><Relationship Id="rId18" Type="http://schemas.openxmlformats.org/officeDocument/2006/relationships/oleObject" Target="../embeddings/oleObject30.bin"/><Relationship Id="rId26" Type="http://schemas.openxmlformats.org/officeDocument/2006/relationships/oleObject" Target="../embeddings/oleObject34.bin"/><Relationship Id="rId39" Type="http://schemas.openxmlformats.org/officeDocument/2006/relationships/image" Target="../media/image18.wmf"/><Relationship Id="rId21" Type="http://schemas.openxmlformats.org/officeDocument/2006/relationships/image" Target="../media/image9.wmf"/><Relationship Id="rId34" Type="http://schemas.openxmlformats.org/officeDocument/2006/relationships/oleObject" Target="../embeddings/oleObject38.bin"/><Relationship Id="rId42" Type="http://schemas.openxmlformats.org/officeDocument/2006/relationships/oleObject" Target="../embeddings/oleObject42.bin"/><Relationship Id="rId47" Type="http://schemas.openxmlformats.org/officeDocument/2006/relationships/image" Target="../media/image22.wmf"/><Relationship Id="rId50" Type="http://schemas.openxmlformats.org/officeDocument/2006/relationships/ctrlProp" Target="../ctrlProps/ctrlProp11.xml"/><Relationship Id="rId55" Type="http://schemas.openxmlformats.org/officeDocument/2006/relationships/ctrlProp" Target="../ctrlProps/ctrlProp16.xml"/><Relationship Id="rId7" Type="http://schemas.openxmlformats.org/officeDocument/2006/relationships/image" Target="../media/image2.wmf"/><Relationship Id="rId2" Type="http://schemas.openxmlformats.org/officeDocument/2006/relationships/drawing" Target="../drawings/drawing2.xml"/><Relationship Id="rId16" Type="http://schemas.openxmlformats.org/officeDocument/2006/relationships/oleObject" Target="../embeddings/oleObject29.bin"/><Relationship Id="rId29" Type="http://schemas.openxmlformats.org/officeDocument/2006/relationships/image" Target="../media/image13.wmf"/><Relationship Id="rId11" Type="http://schemas.openxmlformats.org/officeDocument/2006/relationships/image" Target="../media/image4.wmf"/><Relationship Id="rId24" Type="http://schemas.openxmlformats.org/officeDocument/2006/relationships/oleObject" Target="../embeddings/oleObject33.bin"/><Relationship Id="rId32" Type="http://schemas.openxmlformats.org/officeDocument/2006/relationships/oleObject" Target="../embeddings/oleObject37.bin"/><Relationship Id="rId37" Type="http://schemas.openxmlformats.org/officeDocument/2006/relationships/image" Target="../media/image17.wmf"/><Relationship Id="rId40" Type="http://schemas.openxmlformats.org/officeDocument/2006/relationships/oleObject" Target="../embeddings/oleObject41.bin"/><Relationship Id="rId45" Type="http://schemas.openxmlformats.org/officeDocument/2006/relationships/image" Target="../media/image21.wmf"/><Relationship Id="rId53" Type="http://schemas.openxmlformats.org/officeDocument/2006/relationships/ctrlProp" Target="../ctrlProps/ctrlProp14.xml"/><Relationship Id="rId5" Type="http://schemas.openxmlformats.org/officeDocument/2006/relationships/image" Target="../media/image1.emf"/><Relationship Id="rId10" Type="http://schemas.openxmlformats.org/officeDocument/2006/relationships/oleObject" Target="../embeddings/oleObject26.bin"/><Relationship Id="rId19" Type="http://schemas.openxmlformats.org/officeDocument/2006/relationships/image" Target="../media/image8.wmf"/><Relationship Id="rId31" Type="http://schemas.openxmlformats.org/officeDocument/2006/relationships/image" Target="../media/image14.wmf"/><Relationship Id="rId44" Type="http://schemas.openxmlformats.org/officeDocument/2006/relationships/oleObject" Target="../embeddings/oleObject43.bin"/><Relationship Id="rId52" Type="http://schemas.openxmlformats.org/officeDocument/2006/relationships/ctrlProp" Target="../ctrlProps/ctrlProp13.xml"/><Relationship Id="rId4" Type="http://schemas.openxmlformats.org/officeDocument/2006/relationships/oleObject" Target="../embeddings/oleObject23.bin"/><Relationship Id="rId9" Type="http://schemas.openxmlformats.org/officeDocument/2006/relationships/image" Target="../media/image3.wmf"/><Relationship Id="rId14" Type="http://schemas.openxmlformats.org/officeDocument/2006/relationships/oleObject" Target="../embeddings/oleObject28.bin"/><Relationship Id="rId22" Type="http://schemas.openxmlformats.org/officeDocument/2006/relationships/oleObject" Target="../embeddings/oleObject32.bin"/><Relationship Id="rId27" Type="http://schemas.openxmlformats.org/officeDocument/2006/relationships/image" Target="../media/image12.wmf"/><Relationship Id="rId30" Type="http://schemas.openxmlformats.org/officeDocument/2006/relationships/oleObject" Target="../embeddings/oleObject36.bin"/><Relationship Id="rId35" Type="http://schemas.openxmlformats.org/officeDocument/2006/relationships/image" Target="../media/image16.wmf"/><Relationship Id="rId43" Type="http://schemas.openxmlformats.org/officeDocument/2006/relationships/image" Target="../media/image20.wmf"/><Relationship Id="rId48" Type="http://schemas.openxmlformats.org/officeDocument/2006/relationships/ctrlProp" Target="../ctrlProps/ctrlProp9.xml"/><Relationship Id="rId56" Type="http://schemas.openxmlformats.org/officeDocument/2006/relationships/comments" Target="../comments2.xml"/><Relationship Id="rId8" Type="http://schemas.openxmlformats.org/officeDocument/2006/relationships/oleObject" Target="../embeddings/oleObject25.bin"/><Relationship Id="rId51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12" Type="http://schemas.openxmlformats.org/officeDocument/2006/relationships/oleObject" Target="../embeddings/oleObject27.bin"/><Relationship Id="rId17" Type="http://schemas.openxmlformats.org/officeDocument/2006/relationships/image" Target="../media/image7.emf"/><Relationship Id="rId25" Type="http://schemas.openxmlformats.org/officeDocument/2006/relationships/image" Target="../media/image11.wmf"/><Relationship Id="rId33" Type="http://schemas.openxmlformats.org/officeDocument/2006/relationships/image" Target="../media/image15.emf"/><Relationship Id="rId38" Type="http://schemas.openxmlformats.org/officeDocument/2006/relationships/oleObject" Target="../embeddings/oleObject40.bin"/><Relationship Id="rId46" Type="http://schemas.openxmlformats.org/officeDocument/2006/relationships/oleObject" Target="../embeddings/oleObject44.bin"/><Relationship Id="rId20" Type="http://schemas.openxmlformats.org/officeDocument/2006/relationships/oleObject" Target="../embeddings/oleObject31.bin"/><Relationship Id="rId41" Type="http://schemas.openxmlformats.org/officeDocument/2006/relationships/image" Target="../media/image19.wmf"/><Relationship Id="rId54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4.bin"/><Relationship Id="rId15" Type="http://schemas.openxmlformats.org/officeDocument/2006/relationships/image" Target="../media/image6.wmf"/><Relationship Id="rId23" Type="http://schemas.openxmlformats.org/officeDocument/2006/relationships/image" Target="../media/image10.wmf"/><Relationship Id="rId28" Type="http://schemas.openxmlformats.org/officeDocument/2006/relationships/oleObject" Target="../embeddings/oleObject35.bin"/><Relationship Id="rId36" Type="http://schemas.openxmlformats.org/officeDocument/2006/relationships/oleObject" Target="../embeddings/oleObject39.bin"/><Relationship Id="rId4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wmf"/><Relationship Id="rId18" Type="http://schemas.openxmlformats.org/officeDocument/2006/relationships/oleObject" Target="../embeddings/oleObject52.bin"/><Relationship Id="rId26" Type="http://schemas.openxmlformats.org/officeDocument/2006/relationships/oleObject" Target="../embeddings/oleObject56.bin"/><Relationship Id="rId39" Type="http://schemas.openxmlformats.org/officeDocument/2006/relationships/image" Target="../media/image18.wmf"/><Relationship Id="rId21" Type="http://schemas.openxmlformats.org/officeDocument/2006/relationships/image" Target="../media/image9.wmf"/><Relationship Id="rId34" Type="http://schemas.openxmlformats.org/officeDocument/2006/relationships/oleObject" Target="../embeddings/oleObject60.bin"/><Relationship Id="rId42" Type="http://schemas.openxmlformats.org/officeDocument/2006/relationships/oleObject" Target="../embeddings/oleObject64.bin"/><Relationship Id="rId47" Type="http://schemas.openxmlformats.org/officeDocument/2006/relationships/image" Target="../media/image22.wmf"/><Relationship Id="rId50" Type="http://schemas.openxmlformats.org/officeDocument/2006/relationships/ctrlProp" Target="../ctrlProps/ctrlProp19.xml"/><Relationship Id="rId55" Type="http://schemas.openxmlformats.org/officeDocument/2006/relationships/ctrlProp" Target="../ctrlProps/ctrlProp24.xml"/><Relationship Id="rId7" Type="http://schemas.openxmlformats.org/officeDocument/2006/relationships/image" Target="../media/image2.wmf"/><Relationship Id="rId2" Type="http://schemas.openxmlformats.org/officeDocument/2006/relationships/drawing" Target="../drawings/drawing3.xml"/><Relationship Id="rId16" Type="http://schemas.openxmlformats.org/officeDocument/2006/relationships/oleObject" Target="../embeddings/oleObject51.bin"/><Relationship Id="rId29" Type="http://schemas.openxmlformats.org/officeDocument/2006/relationships/image" Target="../media/image13.wmf"/><Relationship Id="rId11" Type="http://schemas.openxmlformats.org/officeDocument/2006/relationships/image" Target="../media/image4.wmf"/><Relationship Id="rId24" Type="http://schemas.openxmlformats.org/officeDocument/2006/relationships/oleObject" Target="../embeddings/oleObject55.bin"/><Relationship Id="rId32" Type="http://schemas.openxmlformats.org/officeDocument/2006/relationships/oleObject" Target="../embeddings/oleObject59.bin"/><Relationship Id="rId37" Type="http://schemas.openxmlformats.org/officeDocument/2006/relationships/image" Target="../media/image17.wmf"/><Relationship Id="rId40" Type="http://schemas.openxmlformats.org/officeDocument/2006/relationships/oleObject" Target="../embeddings/oleObject63.bin"/><Relationship Id="rId45" Type="http://schemas.openxmlformats.org/officeDocument/2006/relationships/image" Target="../media/image21.wmf"/><Relationship Id="rId53" Type="http://schemas.openxmlformats.org/officeDocument/2006/relationships/ctrlProp" Target="../ctrlProps/ctrlProp22.xml"/><Relationship Id="rId5" Type="http://schemas.openxmlformats.org/officeDocument/2006/relationships/image" Target="../media/image1.emf"/><Relationship Id="rId10" Type="http://schemas.openxmlformats.org/officeDocument/2006/relationships/oleObject" Target="../embeddings/oleObject48.bin"/><Relationship Id="rId19" Type="http://schemas.openxmlformats.org/officeDocument/2006/relationships/image" Target="../media/image8.wmf"/><Relationship Id="rId31" Type="http://schemas.openxmlformats.org/officeDocument/2006/relationships/image" Target="../media/image14.wmf"/><Relationship Id="rId44" Type="http://schemas.openxmlformats.org/officeDocument/2006/relationships/oleObject" Target="../embeddings/oleObject65.bin"/><Relationship Id="rId52" Type="http://schemas.openxmlformats.org/officeDocument/2006/relationships/ctrlProp" Target="../ctrlProps/ctrlProp21.xml"/><Relationship Id="rId4" Type="http://schemas.openxmlformats.org/officeDocument/2006/relationships/oleObject" Target="../embeddings/oleObject45.bin"/><Relationship Id="rId9" Type="http://schemas.openxmlformats.org/officeDocument/2006/relationships/image" Target="../media/image3.wmf"/><Relationship Id="rId14" Type="http://schemas.openxmlformats.org/officeDocument/2006/relationships/oleObject" Target="../embeddings/oleObject50.bin"/><Relationship Id="rId22" Type="http://schemas.openxmlformats.org/officeDocument/2006/relationships/oleObject" Target="../embeddings/oleObject54.bin"/><Relationship Id="rId27" Type="http://schemas.openxmlformats.org/officeDocument/2006/relationships/image" Target="../media/image12.wmf"/><Relationship Id="rId30" Type="http://schemas.openxmlformats.org/officeDocument/2006/relationships/oleObject" Target="../embeddings/oleObject58.bin"/><Relationship Id="rId35" Type="http://schemas.openxmlformats.org/officeDocument/2006/relationships/image" Target="../media/image16.wmf"/><Relationship Id="rId43" Type="http://schemas.openxmlformats.org/officeDocument/2006/relationships/image" Target="../media/image20.wmf"/><Relationship Id="rId48" Type="http://schemas.openxmlformats.org/officeDocument/2006/relationships/ctrlProp" Target="../ctrlProps/ctrlProp17.xml"/><Relationship Id="rId56" Type="http://schemas.openxmlformats.org/officeDocument/2006/relationships/comments" Target="../comments3.xml"/><Relationship Id="rId8" Type="http://schemas.openxmlformats.org/officeDocument/2006/relationships/oleObject" Target="../embeddings/oleObject47.bin"/><Relationship Id="rId51" Type="http://schemas.openxmlformats.org/officeDocument/2006/relationships/ctrlProp" Target="../ctrlProps/ctrlProp20.xml"/><Relationship Id="rId3" Type="http://schemas.openxmlformats.org/officeDocument/2006/relationships/vmlDrawing" Target="../drawings/vmlDrawing3.vml"/><Relationship Id="rId12" Type="http://schemas.openxmlformats.org/officeDocument/2006/relationships/oleObject" Target="../embeddings/oleObject49.bin"/><Relationship Id="rId17" Type="http://schemas.openxmlformats.org/officeDocument/2006/relationships/image" Target="../media/image7.emf"/><Relationship Id="rId25" Type="http://schemas.openxmlformats.org/officeDocument/2006/relationships/image" Target="../media/image11.wmf"/><Relationship Id="rId33" Type="http://schemas.openxmlformats.org/officeDocument/2006/relationships/image" Target="../media/image15.emf"/><Relationship Id="rId38" Type="http://schemas.openxmlformats.org/officeDocument/2006/relationships/oleObject" Target="../embeddings/oleObject62.bin"/><Relationship Id="rId46" Type="http://schemas.openxmlformats.org/officeDocument/2006/relationships/oleObject" Target="../embeddings/oleObject66.bin"/><Relationship Id="rId20" Type="http://schemas.openxmlformats.org/officeDocument/2006/relationships/oleObject" Target="../embeddings/oleObject53.bin"/><Relationship Id="rId41" Type="http://schemas.openxmlformats.org/officeDocument/2006/relationships/image" Target="../media/image19.wmf"/><Relationship Id="rId54" Type="http://schemas.openxmlformats.org/officeDocument/2006/relationships/ctrlProp" Target="../ctrlProps/ctrlProp23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46.bin"/><Relationship Id="rId15" Type="http://schemas.openxmlformats.org/officeDocument/2006/relationships/image" Target="../media/image6.wmf"/><Relationship Id="rId23" Type="http://schemas.openxmlformats.org/officeDocument/2006/relationships/image" Target="../media/image10.wmf"/><Relationship Id="rId28" Type="http://schemas.openxmlformats.org/officeDocument/2006/relationships/oleObject" Target="../embeddings/oleObject57.bin"/><Relationship Id="rId36" Type="http://schemas.openxmlformats.org/officeDocument/2006/relationships/oleObject" Target="../embeddings/oleObject61.bin"/><Relationship Id="rId49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  <pageSetUpPr fitToPage="1"/>
  </sheetPr>
  <dimension ref="A1:CT304"/>
  <sheetViews>
    <sheetView showGridLines="0" tabSelected="1" topLeftCell="A10" zoomScale="85" zoomScaleNormal="85" workbookViewId="0">
      <selection activeCell="F25" sqref="F25"/>
    </sheetView>
  </sheetViews>
  <sheetFormatPr defaultRowHeight="15" customHeight="1"/>
  <cols>
    <col min="1" max="1" width="10.85546875" customWidth="1"/>
    <col min="2" max="2" width="15.28515625" customWidth="1"/>
    <col min="3" max="3" width="13" customWidth="1"/>
    <col min="4" max="4" width="16" style="33" bestFit="1" customWidth="1"/>
    <col min="5" max="5" width="16.42578125" style="6" bestFit="1" customWidth="1"/>
    <col min="6" max="6" width="16.140625" customWidth="1"/>
    <col min="7" max="7" width="14.42578125" customWidth="1"/>
    <col min="8" max="8" width="13.140625" customWidth="1"/>
    <col min="9" max="9" width="14.42578125" customWidth="1"/>
    <col min="10" max="10" width="15.28515625" customWidth="1"/>
    <col min="11" max="11" width="14.5703125" bestFit="1" customWidth="1"/>
    <col min="12" max="12" width="15.85546875" style="6" customWidth="1"/>
    <col min="13" max="13" width="15.85546875" style="89" customWidth="1"/>
    <col min="14" max="14" width="13.85546875" customWidth="1"/>
    <col min="15" max="15" width="13.5703125" customWidth="1"/>
    <col min="16" max="16" width="15.28515625" customWidth="1"/>
    <col min="17" max="17" width="15" customWidth="1"/>
    <col min="18" max="20" width="15" style="87" customWidth="1"/>
    <col min="21" max="21" width="45.5703125" style="87" customWidth="1"/>
    <col min="22" max="22" width="15.85546875" bestFit="1" customWidth="1"/>
    <col min="23" max="23" width="18.28515625" bestFit="1" customWidth="1"/>
    <col min="24" max="24" width="18.5703125" bestFit="1" customWidth="1"/>
    <col min="25" max="25" width="17.7109375" bestFit="1" customWidth="1"/>
    <col min="26" max="26" width="13.5703125" customWidth="1"/>
    <col min="27" max="28" width="15.85546875" bestFit="1" customWidth="1"/>
    <col min="29" max="29" width="11.5703125" customWidth="1"/>
    <col min="30" max="30" width="28.42578125" customWidth="1"/>
    <col min="31" max="31" width="12.28515625" customWidth="1"/>
    <col min="32" max="32" width="11.140625" customWidth="1"/>
    <col min="33" max="33" width="11.7109375" hidden="1" customWidth="1"/>
    <col min="34" max="34" width="7.85546875" customWidth="1"/>
    <col min="35" max="35" width="21.28515625" style="7" customWidth="1"/>
    <col min="36" max="36" width="15.85546875" style="7" customWidth="1"/>
    <col min="37" max="37" width="21" style="8" customWidth="1"/>
    <col min="38" max="38" width="16" style="8" customWidth="1"/>
    <col min="39" max="39" width="27.42578125" style="525" customWidth="1"/>
    <col min="40" max="40" width="49.28515625" style="525" customWidth="1"/>
    <col min="41" max="41" width="18.42578125" style="525" bestFit="1" customWidth="1"/>
    <col min="42" max="43" width="7.28515625" style="525" customWidth="1"/>
    <col min="44" max="44" width="17.7109375" customWidth="1"/>
    <col min="45" max="45" width="6.28515625" customWidth="1"/>
    <col min="46" max="46" width="12.140625" customWidth="1"/>
    <col min="47" max="47" width="20" customWidth="1"/>
    <col min="48" max="48" width="18.5703125" customWidth="1"/>
    <col min="49" max="49" width="72.85546875" customWidth="1"/>
    <col min="50" max="50" width="27.7109375" customWidth="1"/>
    <col min="51" max="51" width="9.85546875" customWidth="1"/>
    <col min="52" max="52" width="11.7109375" customWidth="1"/>
    <col min="53" max="53" width="14" customWidth="1"/>
    <col min="54" max="54" width="12.85546875" bestFit="1" customWidth="1"/>
    <col min="55" max="55" width="16" customWidth="1"/>
    <col min="56" max="56" width="12" customWidth="1"/>
    <col min="57" max="57" width="12.140625" customWidth="1"/>
    <col min="58" max="58" width="12.5703125" customWidth="1"/>
    <col min="59" max="59" width="12" customWidth="1"/>
    <col min="60" max="60" width="12.85546875" bestFit="1" customWidth="1"/>
    <col min="61" max="62" width="13.5703125" customWidth="1"/>
    <col min="63" max="63" width="12.7109375" customWidth="1"/>
    <col min="64" max="64" width="14.7109375" customWidth="1"/>
    <col min="66" max="66" width="24" customWidth="1"/>
    <col min="67" max="67" width="21.42578125" customWidth="1"/>
    <col min="68" max="68" width="15.85546875" customWidth="1"/>
    <col min="69" max="69" width="8.5703125" bestFit="1" customWidth="1"/>
    <col min="70" max="70" width="9.140625" customWidth="1"/>
    <col min="77" max="77" width="10.42578125" customWidth="1"/>
    <col min="78" max="78" width="11" customWidth="1"/>
    <col min="85" max="85" width="11" bestFit="1" customWidth="1"/>
  </cols>
  <sheetData>
    <row r="1" spans="1:83" ht="42.75" customHeight="1" thickBot="1">
      <c r="A1" s="885" t="s">
        <v>683</v>
      </c>
      <c r="B1" s="885"/>
      <c r="C1" s="885"/>
      <c r="D1" s="885"/>
      <c r="E1" s="885"/>
      <c r="F1" s="885"/>
      <c r="G1" s="885"/>
      <c r="H1" s="885"/>
      <c r="I1" s="885"/>
      <c r="J1" s="885"/>
      <c r="K1" s="885"/>
      <c r="L1" s="885"/>
      <c r="M1" s="885"/>
    </row>
    <row r="2" spans="1:83" ht="34.5" customHeight="1">
      <c r="A2" s="1094" t="s">
        <v>282</v>
      </c>
      <c r="B2" s="1094"/>
      <c r="C2" s="1088"/>
      <c r="D2" s="1089"/>
      <c r="E2" s="1089"/>
      <c r="F2" s="1090"/>
      <c r="G2" s="1096" t="str">
        <f>IF(C2="","",CONCATENATE(RIGHT(YEAR(C3),4),"-",C2))</f>
        <v/>
      </c>
      <c r="H2" s="1096"/>
      <c r="J2" s="1070" t="s">
        <v>328</v>
      </c>
      <c r="K2" s="269"/>
      <c r="L2" s="269"/>
      <c r="M2" s="87"/>
      <c r="AD2" s="969" t="s">
        <v>325</v>
      </c>
      <c r="AE2" s="970"/>
      <c r="AF2" s="971"/>
      <c r="AI2" s="969" t="s">
        <v>320</v>
      </c>
      <c r="AJ2" s="970"/>
      <c r="AK2" s="971"/>
    </row>
    <row r="3" spans="1:83" ht="18.75" customHeight="1" thickBot="1">
      <c r="A3" s="1095" t="s">
        <v>268</v>
      </c>
      <c r="B3" s="1095"/>
      <c r="C3" s="1091"/>
      <c r="D3" s="1092"/>
      <c r="E3" s="1092"/>
      <c r="F3" s="1093"/>
      <c r="G3" s="1085" t="str">
        <f ca="1">IF(C3="","",IF(NOW()-C3&gt;30,"-&gt; Verifique a Data",""))</f>
        <v/>
      </c>
      <c r="H3" s="1085"/>
      <c r="J3" s="1071"/>
      <c r="K3" s="269"/>
      <c r="L3" s="269"/>
      <c r="M3" s="87"/>
      <c r="AD3" s="398" t="b">
        <v>0</v>
      </c>
      <c r="AE3" s="399" t="s">
        <v>62</v>
      </c>
      <c r="AF3" s="400" t="str">
        <f>IF(AD3,"SiM","NÃO")</f>
        <v>NÃO</v>
      </c>
      <c r="AH3" s="3"/>
      <c r="AI3" s="48" t="b">
        <v>0</v>
      </c>
      <c r="AJ3" s="42" t="s">
        <v>62</v>
      </c>
      <c r="AK3" s="43" t="str">
        <f>IF(AI3,"SiM","NÃO")</f>
        <v>NÃO</v>
      </c>
      <c r="AL3" s="3"/>
      <c r="AP3" s="488"/>
      <c r="AQ3" s="488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</row>
    <row r="4" spans="1:83" ht="31.5" customHeight="1" thickBot="1">
      <c r="A4" s="1086" t="s">
        <v>65</v>
      </c>
      <c r="B4" s="1087"/>
      <c r="C4" s="914"/>
      <c r="D4" s="915"/>
      <c r="E4" s="915"/>
      <c r="F4" s="916"/>
      <c r="G4" s="904" t="s">
        <v>327</v>
      </c>
      <c r="H4" s="905"/>
      <c r="I4" s="905"/>
      <c r="J4" s="905"/>
      <c r="K4" s="905"/>
      <c r="L4" s="906"/>
      <c r="M4" s="569"/>
      <c r="N4" s="917" t="s">
        <v>329</v>
      </c>
      <c r="O4" s="918"/>
      <c r="P4" s="918"/>
      <c r="Q4" s="401"/>
      <c r="AH4" s="3"/>
      <c r="AI4" s="1075" t="s">
        <v>68</v>
      </c>
      <c r="AJ4" s="910"/>
      <c r="AK4" s="1076"/>
      <c r="AL4" s="3"/>
      <c r="AM4" s="911" t="s">
        <v>423</v>
      </c>
      <c r="AN4" s="912"/>
      <c r="AO4" s="913"/>
      <c r="AP4" s="488"/>
      <c r="AQ4" s="878" t="s">
        <v>316</v>
      </c>
      <c r="AR4" s="879"/>
      <c r="AS4" s="3"/>
      <c r="AT4" s="3"/>
      <c r="AU4" s="3"/>
      <c r="AV4" s="3"/>
      <c r="AW4" s="3"/>
      <c r="AX4" s="3"/>
      <c r="AY4" s="3"/>
      <c r="AZ4" s="3"/>
      <c r="BA4" s="3"/>
      <c r="BB4" s="3">
        <f>2/(2*SQRT(3))</f>
        <v>0.57735026918962584</v>
      </c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</row>
    <row r="5" spans="1:83" ht="34.5" customHeight="1" thickBot="1">
      <c r="A5" s="1046" t="s">
        <v>77</v>
      </c>
      <c r="B5" s="1047"/>
      <c r="C5" s="1050"/>
      <c r="D5" s="1051"/>
      <c r="E5" s="1051"/>
      <c r="F5" s="1052"/>
      <c r="G5" s="1026">
        <f>C5</f>
        <v>0</v>
      </c>
      <c r="H5" s="1027"/>
      <c r="I5" s="1027"/>
      <c r="J5" s="1027"/>
      <c r="K5" s="1027"/>
      <c r="L5" s="1028"/>
      <c r="M5" s="570"/>
      <c r="N5" s="402"/>
      <c r="Q5" s="403"/>
      <c r="AH5" s="3"/>
      <c r="AI5" s="1077" t="str">
        <f>IF(AK3="sim","Equipamento calibrado nas instalações fixas do laboratório.","")</f>
        <v/>
      </c>
      <c r="AJ5" s="1078"/>
      <c r="AK5" s="1079"/>
      <c r="AL5" s="3"/>
      <c r="AM5" s="526" t="s">
        <v>313</v>
      </c>
      <c r="AN5" s="527" t="s">
        <v>424</v>
      </c>
      <c r="AO5" s="528" t="s">
        <v>517</v>
      </c>
      <c r="AP5" s="488"/>
      <c r="AQ5" s="880" t="s">
        <v>315</v>
      </c>
      <c r="AR5" s="881"/>
      <c r="AS5" s="3"/>
      <c r="AT5" s="925" t="s">
        <v>382</v>
      </c>
      <c r="AU5" s="926"/>
      <c r="AV5" s="280" t="s">
        <v>375</v>
      </c>
      <c r="AW5" s="434" t="s">
        <v>379</v>
      </c>
      <c r="AX5" s="434" t="s">
        <v>376</v>
      </c>
      <c r="AY5" s="434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</row>
    <row r="6" spans="1:83" ht="21" customHeight="1" thickBot="1">
      <c r="A6" s="1024" t="s">
        <v>367</v>
      </c>
      <c r="B6" s="1025"/>
      <c r="C6" s="919"/>
      <c r="D6" s="920"/>
      <c r="E6" s="920"/>
      <c r="F6" s="921"/>
      <c r="G6" s="922">
        <f>C6</f>
        <v>0</v>
      </c>
      <c r="H6" s="923"/>
      <c r="I6" s="923"/>
      <c r="J6" s="923"/>
      <c r="K6" s="923"/>
      <c r="L6" s="924"/>
      <c r="M6" s="570"/>
      <c r="N6" s="1020" t="s">
        <v>350</v>
      </c>
      <c r="O6" s="1021"/>
      <c r="P6" s="1021"/>
      <c r="Q6" s="403"/>
      <c r="AI6" s="969" t="s">
        <v>162</v>
      </c>
      <c r="AJ6" s="970"/>
      <c r="AK6" s="971"/>
      <c r="AM6" s="543" t="s">
        <v>522</v>
      </c>
      <c r="AN6" s="529" t="s">
        <v>524</v>
      </c>
      <c r="AO6" s="530" t="str">
        <f>IF(AP6=0,"NÃO","SIM")</f>
        <v>NÃO</v>
      </c>
      <c r="AP6" s="531">
        <f>IF(ISERROR(SUM(AP7:AP31)+'2º MR-MI'!AP7:AP31+'3º MR-MI'!AP7:AP31),SUM(AP7:AP31),SUM(AP7:AP31)+'2º MR-MI'!AP7:AP31+'3º MR-MI'!AP7:AP31)</f>
        <v>0</v>
      </c>
      <c r="AQ6" s="746" t="s">
        <v>234</v>
      </c>
      <c r="AR6" s="361" t="s">
        <v>237</v>
      </c>
      <c r="AS6" t="str">
        <f t="shared" ref="AS6:AS13" si="0">IF(AT6="","",1)</f>
        <v/>
      </c>
      <c r="AT6" s="446" t="str">
        <f>IF(OR(AO189="sim",'2º MR-MI'!AO189="sim",'3º MR-MI'!AO189="sim"),AM189,"")</f>
        <v/>
      </c>
      <c r="AU6" s="59"/>
      <c r="AV6" s="226" t="str">
        <f>AM189</f>
        <v>713</v>
      </c>
      <c r="AW6" s="445" t="s">
        <v>560</v>
      </c>
      <c r="AX6" s="229" t="s">
        <v>561</v>
      </c>
      <c r="AY6" s="228">
        <v>1</v>
      </c>
      <c r="AZ6" s="45"/>
      <c r="BA6" s="241"/>
      <c r="BB6" s="907" t="s">
        <v>291</v>
      </c>
      <c r="BC6" s="907"/>
      <c r="BD6" s="907"/>
      <c r="BE6" s="240" t="s">
        <v>4</v>
      </c>
      <c r="BF6" s="235">
        <f>IF($E$14="",$C$14,$E$14)</f>
        <v>0</v>
      </c>
      <c r="BG6" s="242"/>
      <c r="BH6" s="907" t="s">
        <v>292</v>
      </c>
      <c r="BI6" s="907"/>
      <c r="BJ6" s="907"/>
      <c r="BK6" s="240" t="s">
        <v>4</v>
      </c>
      <c r="BL6" s="236" t="e">
        <f>#REF!</f>
        <v>#REF!</v>
      </c>
      <c r="BM6" s="3"/>
      <c r="BN6" s="45"/>
      <c r="BO6" s="45"/>
      <c r="BP6" s="45"/>
      <c r="BQ6" s="45"/>
      <c r="BR6" s="45"/>
      <c r="BS6" s="45"/>
      <c r="BT6" s="45"/>
      <c r="BU6" s="45"/>
      <c r="BV6" s="45"/>
    </row>
    <row r="7" spans="1:83" ht="19.5" customHeight="1">
      <c r="A7" s="1040" t="s">
        <v>358</v>
      </c>
      <c r="B7" s="1041"/>
      <c r="C7" s="1001"/>
      <c r="D7" s="1002"/>
      <c r="E7" s="1002"/>
      <c r="F7" s="1003"/>
      <c r="G7" s="987" t="s">
        <v>269</v>
      </c>
      <c r="H7" s="988"/>
      <c r="I7" s="1042" t="s">
        <v>80</v>
      </c>
      <c r="J7" s="1064" t="s">
        <v>279</v>
      </c>
      <c r="K7" s="1065"/>
      <c r="L7" s="1042" t="s">
        <v>80</v>
      </c>
      <c r="M7" s="571"/>
      <c r="N7" s="402"/>
      <c r="O7" s="1035"/>
      <c r="P7" s="1035"/>
      <c r="Q7" s="403"/>
      <c r="AI7" s="48" t="b">
        <v>0</v>
      </c>
      <c r="AJ7" s="42" t="s">
        <v>62</v>
      </c>
      <c r="AK7" s="43" t="str">
        <f>IF(AI7,"SiM","NÃO")</f>
        <v>NÃO</v>
      </c>
      <c r="AM7" s="489" t="s">
        <v>49</v>
      </c>
      <c r="AN7" s="506">
        <v>1.0009000000000001E-3</v>
      </c>
      <c r="AO7" s="743">
        <f>0.000006</f>
        <v>6.0000000000000002E-6</v>
      </c>
      <c r="AP7" s="489">
        <f t="shared" ref="AP7:AP31" si="1">IF(ISERROR(MATCH(AM7,$B$32:$B$77,0)),0,(MATCH(AM7,$B$32:$B$77,0)))+IF(ISERROR(MATCH(AM7,$C$32:$C$77,0)),0,(MATCH(AM7,$C$32:$C$77,0)))</f>
        <v>0</v>
      </c>
      <c r="AQ7" s="489"/>
      <c r="AR7" s="91"/>
      <c r="AS7" t="str">
        <f t="shared" si="0"/>
        <v/>
      </c>
      <c r="AT7" s="447" t="str">
        <f>IF(OR(AO218="sim",'2º MR-MI'!AO218="sim",'3º MR-MI'!AO218="sim"),AM218,"")</f>
        <v/>
      </c>
      <c r="AU7" s="38"/>
      <c r="AV7" s="226" t="str">
        <f>AM218</f>
        <v>714</v>
      </c>
      <c r="AW7" s="445" t="s">
        <v>560</v>
      </c>
      <c r="AX7" s="229" t="s">
        <v>561</v>
      </c>
      <c r="AY7" s="228">
        <v>2</v>
      </c>
      <c r="AZ7" s="45"/>
      <c r="BA7" s="908" t="s">
        <v>299</v>
      </c>
      <c r="BB7" s="909" t="s">
        <v>293</v>
      </c>
      <c r="BC7" s="909" t="s">
        <v>294</v>
      </c>
      <c r="BD7" s="909" t="s">
        <v>295</v>
      </c>
      <c r="BE7" s="909" t="s">
        <v>79</v>
      </c>
      <c r="BF7" s="909" t="s">
        <v>296</v>
      </c>
      <c r="BG7" s="910" t="s">
        <v>46</v>
      </c>
      <c r="BH7" s="909" t="s">
        <v>293</v>
      </c>
      <c r="BI7" s="909" t="s">
        <v>294</v>
      </c>
      <c r="BJ7" s="909" t="s">
        <v>295</v>
      </c>
      <c r="BK7" s="909" t="s">
        <v>79</v>
      </c>
      <c r="BL7" s="909" t="s">
        <v>296</v>
      </c>
      <c r="BM7" s="3"/>
      <c r="BN7" s="45"/>
      <c r="BO7" s="45"/>
      <c r="BP7" s="45"/>
      <c r="BQ7" s="45"/>
      <c r="BR7" s="45"/>
      <c r="BS7" s="45"/>
      <c r="BT7" s="45"/>
      <c r="BU7" s="45"/>
      <c r="BV7" s="45"/>
    </row>
    <row r="8" spans="1:83" ht="20.25" customHeight="1" thickBot="1">
      <c r="A8" s="1038" t="s">
        <v>359</v>
      </c>
      <c r="B8" s="1039"/>
      <c r="C8" s="975"/>
      <c r="D8" s="973"/>
      <c r="E8" s="973"/>
      <c r="F8" s="974"/>
      <c r="G8" s="989"/>
      <c r="H8" s="990"/>
      <c r="I8" s="1043"/>
      <c r="J8" s="1066"/>
      <c r="K8" s="1067"/>
      <c r="L8" s="1043"/>
      <c r="M8" s="571"/>
      <c r="N8" s="402"/>
      <c r="O8" s="404"/>
      <c r="P8" s="404"/>
      <c r="Q8" s="403"/>
      <c r="AI8" s="1075" t="s">
        <v>68</v>
      </c>
      <c r="AJ8" s="910"/>
      <c r="AK8" s="1076"/>
      <c r="AM8" s="489" t="s">
        <v>50</v>
      </c>
      <c r="AN8" s="506">
        <v>1.9997000000000001E-3</v>
      </c>
      <c r="AO8" s="743">
        <f>0.000006</f>
        <v>6.0000000000000002E-6</v>
      </c>
      <c r="AP8" s="507">
        <f t="shared" si="1"/>
        <v>0</v>
      </c>
      <c r="AQ8" s="507"/>
      <c r="AR8" s="92"/>
      <c r="AS8" t="str">
        <f t="shared" si="0"/>
        <v/>
      </c>
      <c r="AT8" s="447" t="str">
        <f>IF(OR(AO6="sim",'2º MR-MI'!AO6="sim",'3º MR-MI'!AO6="sim"),AM6,"")</f>
        <v/>
      </c>
      <c r="AU8" s="38"/>
      <c r="AV8" s="226" t="str">
        <f>AM6</f>
        <v>715</v>
      </c>
      <c r="AW8" s="445" t="s">
        <v>557</v>
      </c>
      <c r="AX8" s="229" t="s">
        <v>561</v>
      </c>
      <c r="AY8" s="228">
        <v>3</v>
      </c>
      <c r="AZ8" s="45"/>
      <c r="BA8" s="908"/>
      <c r="BB8" s="909"/>
      <c r="BC8" s="909"/>
      <c r="BD8" s="909"/>
      <c r="BE8" s="909"/>
      <c r="BF8" s="909"/>
      <c r="BG8" s="910"/>
      <c r="BH8" s="909"/>
      <c r="BI8" s="909"/>
      <c r="BJ8" s="909"/>
      <c r="BK8" s="909"/>
      <c r="BL8" s="909"/>
      <c r="BM8" s="3"/>
      <c r="BN8" s="45"/>
      <c r="BO8" s="45"/>
      <c r="BP8" s="45"/>
      <c r="BQ8" s="45"/>
      <c r="BR8" s="45"/>
      <c r="BS8" s="45"/>
      <c r="BT8" s="45"/>
      <c r="BU8" s="45"/>
      <c r="BV8" s="45"/>
    </row>
    <row r="9" spans="1:83" ht="21.75" customHeight="1" thickBot="1">
      <c r="A9" s="1036" t="s">
        <v>266</v>
      </c>
      <c r="B9" s="1037"/>
      <c r="C9" s="975"/>
      <c r="D9" s="973"/>
      <c r="E9" s="973"/>
      <c r="F9" s="974"/>
      <c r="G9" s="989"/>
      <c r="H9" s="991"/>
      <c r="I9" s="173" t="str">
        <f>AK3</f>
        <v>NÃO</v>
      </c>
      <c r="J9" s="859"/>
      <c r="K9" s="860"/>
      <c r="L9" s="172" t="str">
        <f>AK7</f>
        <v>NÃO</v>
      </c>
      <c r="M9" s="439"/>
      <c r="N9" s="895" t="s">
        <v>163</v>
      </c>
      <c r="O9" s="896"/>
      <c r="P9" s="896"/>
      <c r="Q9" s="897"/>
      <c r="AB9" s="9"/>
      <c r="AC9" s="10"/>
      <c r="AD9" s="10"/>
      <c r="AE9" s="11"/>
      <c r="AF9" s="12"/>
      <c r="AG9" s="13"/>
      <c r="AH9" s="13"/>
      <c r="AI9" s="1077" t="str">
        <f>IF(AK3="Não","",IF(AK7="SIM",CONCATENATE("Equipamento com compensação da gravidade e calibração válida para o local de utilização: ", G5," ", G6, "."),CONCATENATE("Efeito da gravidade incluído na avaliação da incerteza da medição. A calibração do equipamento é válida para o local de utilização: ",G5," ", G6,".")))</f>
        <v/>
      </c>
      <c r="AJ9" s="1078"/>
      <c r="AK9" s="1079"/>
      <c r="AL9" s="14"/>
      <c r="AM9" s="491" t="s">
        <v>51</v>
      </c>
      <c r="AN9" s="506">
        <v>1.9967000000000001E-3</v>
      </c>
      <c r="AO9" s="743">
        <f>0.000006</f>
        <v>6.0000000000000002E-6</v>
      </c>
      <c r="AP9" s="507">
        <f t="shared" si="1"/>
        <v>0</v>
      </c>
      <c r="AQ9" s="507"/>
      <c r="AR9" s="92"/>
      <c r="AS9" t="str">
        <f t="shared" si="0"/>
        <v/>
      </c>
      <c r="AT9" s="447" t="str">
        <f>IF(OR(AO32="sim",'2º MR-MI'!AO32="sim",'3º MR-MI'!AO32="sim"),AM32,"")</f>
        <v/>
      </c>
      <c r="AU9" s="38"/>
      <c r="AV9" s="226">
        <f>AM32</f>
        <v>716</v>
      </c>
      <c r="AW9" s="445" t="s">
        <v>558</v>
      </c>
      <c r="AX9" s="229" t="s">
        <v>561</v>
      </c>
      <c r="AY9" s="228">
        <v>4</v>
      </c>
      <c r="AZ9" s="45"/>
      <c r="BA9" s="237">
        <v>0</v>
      </c>
      <c r="BB9" s="234">
        <f>(BF6/(2*SQRT(3)))*2</f>
        <v>0</v>
      </c>
      <c r="BC9" s="234">
        <f t="shared" ref="BC9:BC17" si="2">IF(BB9&lt;0.00001,0.00000001,IF(BB9&lt;0.0001,0.0000001,IF(BB9&lt;0.001,0.000001,IF(BB9&lt;0.01,0.00001,IF(BB9&lt;0.1,0.0001,IF(BB9&lt;1,0.01,IF(BB9&lt;10,0.1,1)))))))</f>
        <v>1E-8</v>
      </c>
      <c r="BD9" s="234">
        <f t="shared" ref="BD9:BD17" si="3">CEILING(BB9,BC9)</f>
        <v>0</v>
      </c>
      <c r="BE9" s="234">
        <f t="shared" ref="BE9:BE17" si="4">IF(BD9&lt;0.00001,7,IF(BD9&lt;0.0001,6,IF(BD9&lt;0.001,5,IF(BD9&lt;0.01,4,IF(BD9&lt;0.1,3,IF(BD9&lt;1,2,IF(BD9&lt;10,1,0)))))))</f>
        <v>7</v>
      </c>
      <c r="BF9" s="238" t="str">
        <f>FIXED(BD9,BE9,TRUE)</f>
        <v>0,0000000</v>
      </c>
      <c r="BG9" s="238">
        <v>0</v>
      </c>
      <c r="BH9" s="234" t="e">
        <f>(BL6/(2*SQRT(3)))*2</f>
        <v>#REF!</v>
      </c>
      <c r="BI9" s="234" t="e">
        <f t="shared" ref="BI9:BI17" si="5">IF(BH9&lt;0.00001,0.00000001,IF(BH9&lt;0.0001,0.0000001,IF(BH9&lt;0.001,0.000001,IF(BH9&lt;0.01,0.00001,IF(BH9&lt;0.1,0.0001,IF(BH9&lt;1,0.01,IF(BH9&lt;10,0.1,1)))))))</f>
        <v>#REF!</v>
      </c>
      <c r="BJ9" s="234" t="e">
        <f t="shared" ref="BJ9:BJ17" si="6">CEILING(BH9,BI9)</f>
        <v>#REF!</v>
      </c>
      <c r="BK9" s="234" t="e">
        <f t="shared" ref="BK9:BK17" si="7">IF(BJ9&lt;0.00001,7,IF(BJ9&lt;0.0001,6,IF(BJ9&lt;0.001,5,IF(BJ9&lt;0.01,4,IF(BJ9&lt;0.1,3,IF(BJ9&lt;1,2,IF(BJ9&lt;10,1,0)))))))</f>
        <v>#REF!</v>
      </c>
      <c r="BL9" s="238" t="e">
        <f t="shared" ref="BL9:BL17" si="8">FIXED(BJ9,BK9)</f>
        <v>#REF!</v>
      </c>
      <c r="BM9" s="3"/>
      <c r="BN9" s="45"/>
      <c r="BO9" s="45"/>
      <c r="BP9" s="45"/>
      <c r="BQ9" s="45"/>
      <c r="BR9" s="45"/>
      <c r="BS9" s="45"/>
      <c r="BT9" s="45"/>
      <c r="BU9" s="45"/>
      <c r="BV9" s="45"/>
    </row>
    <row r="10" spans="1:83" ht="23.25" customHeight="1" thickBot="1">
      <c r="A10" s="1036" t="s">
        <v>153</v>
      </c>
      <c r="B10" s="1037"/>
      <c r="C10" s="972"/>
      <c r="D10" s="973"/>
      <c r="E10" s="973"/>
      <c r="F10" s="974"/>
      <c r="G10" s="170" t="s">
        <v>277</v>
      </c>
      <c r="H10" s="992">
        <f>9.780318*(1+0.0053024*(SIN(42*PI()/180))^2-0.0000058*(SIN(2*42*PI()/180))^2)-0.000003085*462</f>
        <v>9.8020558239805222</v>
      </c>
      <c r="I10" s="993"/>
      <c r="J10" s="161" t="s">
        <v>272</v>
      </c>
      <c r="K10" s="165" t="s">
        <v>270</v>
      </c>
      <c r="L10" s="166" t="s">
        <v>271</v>
      </c>
      <c r="M10" s="572"/>
      <c r="N10" s="898" t="str">
        <f>IF($AV$98=1,"",IF($AV$98=2,CONCATENATE("2.ª Via ao Certificado Nº ",G2," emitido em"),CONCATENATE("Este Certificado cancela e substitui o Cert. N.º ",G2,"  de: ")))</f>
        <v/>
      </c>
      <c r="O10" s="899"/>
      <c r="P10" s="899"/>
      <c r="Q10" s="1097" t="str">
        <f>IF(N10="","",O7)</f>
        <v/>
      </c>
      <c r="AB10" s="13"/>
      <c r="AC10" s="13"/>
      <c r="AD10" s="13"/>
      <c r="AE10" s="13"/>
      <c r="AF10" s="13"/>
      <c r="AG10" s="13"/>
      <c r="AH10" s="13"/>
      <c r="AL10" s="14"/>
      <c r="AM10" s="492" t="s">
        <v>52</v>
      </c>
      <c r="AN10" s="757">
        <v>4.9959999999999996E-3</v>
      </c>
      <c r="AO10" s="744">
        <f>0.000006</f>
        <v>6.0000000000000002E-6</v>
      </c>
      <c r="AP10" s="507">
        <f t="shared" si="1"/>
        <v>0</v>
      </c>
      <c r="AQ10" s="507"/>
      <c r="AR10" s="92"/>
      <c r="AS10" t="str">
        <f t="shared" si="0"/>
        <v/>
      </c>
      <c r="AT10" s="447" t="str">
        <f>IF(OR(AO61="sim",'2º MR-MI'!AO61="sim",'3º MR-MI'!AO61="sim"),AM61,"")</f>
        <v/>
      </c>
      <c r="AU10" s="38"/>
      <c r="AV10" s="226" t="str">
        <f>AM61</f>
        <v>717</v>
      </c>
      <c r="AW10" s="445" t="s">
        <v>559</v>
      </c>
      <c r="AX10" s="229" t="s">
        <v>561</v>
      </c>
      <c r="AY10" s="228">
        <v>5</v>
      </c>
      <c r="AZ10" s="45"/>
      <c r="BA10" s="237">
        <v>1</v>
      </c>
      <c r="BB10" s="234" t="e">
        <f>IF($I$9="Sim",BY$177*AV78,BY$157*AV78)</f>
        <v>#VALUE!</v>
      </c>
      <c r="BC10" s="234" t="e">
        <f t="shared" si="2"/>
        <v>#VALUE!</v>
      </c>
      <c r="BD10" s="234" t="e">
        <f t="shared" si="3"/>
        <v>#VALUE!</v>
      </c>
      <c r="BE10" s="234" t="e">
        <f t="shared" si="4"/>
        <v>#VALUE!</v>
      </c>
      <c r="BF10" s="238" t="e">
        <f t="shared" ref="BF10:BF16" si="9">FIXED(BD10,BE10,TRUE)</f>
        <v>#VALUE!</v>
      </c>
      <c r="BG10" s="238">
        <v>1</v>
      </c>
      <c r="BH10" s="234" t="e">
        <f>#REF!</f>
        <v>#REF!</v>
      </c>
      <c r="BI10" s="234" t="e">
        <f t="shared" si="5"/>
        <v>#REF!</v>
      </c>
      <c r="BJ10" s="234" t="e">
        <f t="shared" si="6"/>
        <v>#REF!</v>
      </c>
      <c r="BK10" s="234" t="e">
        <f t="shared" si="7"/>
        <v>#REF!</v>
      </c>
      <c r="BL10" s="238" t="e">
        <f t="shared" si="8"/>
        <v>#REF!</v>
      </c>
      <c r="BM10" s="3"/>
      <c r="BN10" s="45"/>
      <c r="BO10" s="45"/>
      <c r="BP10" s="45"/>
      <c r="BQ10" s="45"/>
      <c r="BR10" s="45"/>
      <c r="BS10" s="45"/>
      <c r="BT10" s="45"/>
      <c r="BU10" s="45"/>
      <c r="BV10" s="45"/>
    </row>
    <row r="11" spans="1:83" ht="22.5" customHeight="1" thickBot="1">
      <c r="A11" s="1048" t="s">
        <v>364</v>
      </c>
      <c r="B11" s="1049"/>
      <c r="C11" s="976"/>
      <c r="D11" s="977"/>
      <c r="E11" s="977"/>
      <c r="F11" s="978"/>
      <c r="G11" s="170" t="s">
        <v>278</v>
      </c>
      <c r="H11" s="1044" t="str">
        <f>IF(J9="","",9.780318*(1+0.0053024*(SIN(J9*PI()/180))^2-0.0000058*(SIN(2*J9*PI()/180))^2)-0.000003085*K9)</f>
        <v/>
      </c>
      <c r="I11" s="1045"/>
      <c r="J11" s="174">
        <f>2/3*C13</f>
        <v>0</v>
      </c>
      <c r="K11" s="171" t="e">
        <f>FIXED(ROUND(($J11*($H$11-$H$10)/$H$10),$AI$15+2),$AI$15+2)</f>
        <v>#VALUE!</v>
      </c>
      <c r="L11" s="175"/>
      <c r="M11" s="573"/>
      <c r="N11" s="900"/>
      <c r="O11" s="901"/>
      <c r="P11" s="901"/>
      <c r="Q11" s="1098"/>
      <c r="AB11" s="13"/>
      <c r="AC11" s="13"/>
      <c r="AD11" s="13"/>
      <c r="AE11" s="13"/>
      <c r="AF11" s="13"/>
      <c r="AG11" s="13"/>
      <c r="AH11" s="13"/>
      <c r="AL11" s="14"/>
      <c r="AM11" s="491" t="s">
        <v>53</v>
      </c>
      <c r="AN11" s="506">
        <v>9.9967000000000007E-3</v>
      </c>
      <c r="AO11" s="490">
        <f>0.000008</f>
        <v>7.9999999999999996E-6</v>
      </c>
      <c r="AP11" s="507">
        <f t="shared" si="1"/>
        <v>0</v>
      </c>
      <c r="AQ11" s="507"/>
      <c r="AR11" s="92"/>
      <c r="AS11" t="str">
        <f t="shared" si="0"/>
        <v/>
      </c>
      <c r="AT11" s="447" t="str">
        <f>IF(OR(AO64="sim",'2º MR-MI'!AO64="sim",'3º MR-MI'!AO64="sim"),AM64,"")</f>
        <v/>
      </c>
      <c r="AU11" s="38"/>
      <c r="AV11" s="226" t="str">
        <f>AM64</f>
        <v>534, 536, 542, 548 a 552, 663, 681, 682  e 708</v>
      </c>
      <c r="AW11" s="445" t="s">
        <v>385</v>
      </c>
      <c r="AX11" s="229" t="s">
        <v>561</v>
      </c>
      <c r="AY11" s="228">
        <v>6</v>
      </c>
      <c r="AZ11" s="45"/>
      <c r="BA11" s="237">
        <v>2</v>
      </c>
      <c r="BB11" s="234" t="e">
        <f>IF($I$9="Sim",BZ$177*AV78,BZ$157*AV78)</f>
        <v>#VALUE!</v>
      </c>
      <c r="BC11" s="234" t="e">
        <f t="shared" si="2"/>
        <v>#VALUE!</v>
      </c>
      <c r="BD11" s="234" t="e">
        <f t="shared" si="3"/>
        <v>#VALUE!</v>
      </c>
      <c r="BE11" s="234" t="e">
        <f t="shared" si="4"/>
        <v>#VALUE!</v>
      </c>
      <c r="BF11" s="238" t="e">
        <f t="shared" si="9"/>
        <v>#VALUE!</v>
      </c>
      <c r="BG11" s="238">
        <v>2</v>
      </c>
      <c r="BH11" s="234" t="e">
        <f>#REF!</f>
        <v>#REF!</v>
      </c>
      <c r="BI11" s="234" t="e">
        <f t="shared" si="5"/>
        <v>#REF!</v>
      </c>
      <c r="BJ11" s="234" t="e">
        <f t="shared" si="6"/>
        <v>#REF!</v>
      </c>
      <c r="BK11" s="234" t="e">
        <f t="shared" si="7"/>
        <v>#REF!</v>
      </c>
      <c r="BL11" s="238" t="e">
        <f t="shared" si="8"/>
        <v>#REF!</v>
      </c>
      <c r="BM11" s="3"/>
      <c r="BN11" s="45"/>
      <c r="BO11" s="45"/>
      <c r="BP11" s="45"/>
      <c r="BQ11" s="45"/>
      <c r="BR11" s="45"/>
      <c r="BS11" s="45"/>
      <c r="BT11" s="45"/>
      <c r="BU11" s="45"/>
      <c r="BV11" s="45"/>
    </row>
    <row r="12" spans="1:83" ht="26.25" customHeight="1" thickBot="1">
      <c r="A12" s="1057" t="s">
        <v>273</v>
      </c>
      <c r="B12" s="1058"/>
      <c r="C12" s="1059"/>
      <c r="D12" s="892" t="s">
        <v>63</v>
      </c>
      <c r="E12" s="893"/>
      <c r="F12" s="894"/>
      <c r="G12" s="1099" t="s">
        <v>323</v>
      </c>
      <c r="H12" s="1100"/>
      <c r="I12" s="983" t="s">
        <v>275</v>
      </c>
      <c r="J12" s="984"/>
      <c r="K12" s="167" t="s">
        <v>274</v>
      </c>
      <c r="L12" s="168" t="s">
        <v>165</v>
      </c>
      <c r="M12" s="439"/>
      <c r="N12" s="861" t="s">
        <v>662</v>
      </c>
      <c r="O12" s="862"/>
      <c r="P12" s="862"/>
      <c r="Q12" s="863"/>
      <c r="AB12" s="13"/>
      <c r="AC12" s="13"/>
      <c r="AD12" s="13"/>
      <c r="AE12" s="13"/>
      <c r="AF12" s="13"/>
      <c r="AG12" s="13"/>
      <c r="AH12" s="13"/>
      <c r="AI12" s="1080" t="s">
        <v>319</v>
      </c>
      <c r="AJ12" s="1081"/>
      <c r="AK12" s="1082"/>
      <c r="AL12" s="14"/>
      <c r="AM12" s="491" t="s">
        <v>54</v>
      </c>
      <c r="AN12" s="506">
        <v>2.00006E-2</v>
      </c>
      <c r="AO12" s="490">
        <f>0.00001</f>
        <v>1.0000000000000001E-5</v>
      </c>
      <c r="AP12" s="507">
        <f t="shared" si="1"/>
        <v>0</v>
      </c>
      <c r="AQ12" s="507"/>
      <c r="AR12" s="92"/>
      <c r="AS12" t="str">
        <f t="shared" si="0"/>
        <v/>
      </c>
      <c r="AT12" s="447" t="str">
        <f>IF(OR(AO120="sim",'2º MR-MI'!AO120="sim",'3º MR-MI'!AO120="sim"),AM120,"")</f>
        <v/>
      </c>
      <c r="AU12" s="38"/>
      <c r="AV12" s="226">
        <f>AM120</f>
        <v>529</v>
      </c>
      <c r="AW12" s="445" t="s">
        <v>386</v>
      </c>
      <c r="AX12" s="229" t="s">
        <v>562</v>
      </c>
      <c r="AY12" s="228">
        <v>7</v>
      </c>
      <c r="AZ12" s="45"/>
      <c r="BA12" s="237">
        <v>3</v>
      </c>
      <c r="BB12" s="234" t="e">
        <f>IF($I$9="Sim",CA$177*AV78,CA$157*AV78)</f>
        <v>#VALUE!</v>
      </c>
      <c r="BC12" s="234" t="e">
        <f t="shared" si="2"/>
        <v>#VALUE!</v>
      </c>
      <c r="BD12" s="234" t="e">
        <f t="shared" si="3"/>
        <v>#VALUE!</v>
      </c>
      <c r="BE12" s="234" t="e">
        <f t="shared" si="4"/>
        <v>#VALUE!</v>
      </c>
      <c r="BF12" s="238" t="e">
        <f t="shared" si="9"/>
        <v>#VALUE!</v>
      </c>
      <c r="BG12" s="238">
        <v>3</v>
      </c>
      <c r="BH12" s="234" t="e">
        <f>#REF!</f>
        <v>#REF!</v>
      </c>
      <c r="BI12" s="234" t="e">
        <f t="shared" si="5"/>
        <v>#REF!</v>
      </c>
      <c r="BJ12" s="234" t="e">
        <f t="shared" si="6"/>
        <v>#REF!</v>
      </c>
      <c r="BK12" s="234" t="e">
        <f t="shared" si="7"/>
        <v>#REF!</v>
      </c>
      <c r="BL12" s="238" t="e">
        <f t="shared" si="8"/>
        <v>#REF!</v>
      </c>
      <c r="BM12" s="3"/>
      <c r="BN12" s="45"/>
      <c r="BO12" s="45"/>
      <c r="BP12" s="45"/>
      <c r="BQ12" s="45"/>
      <c r="BR12" s="45"/>
      <c r="BS12" s="45"/>
      <c r="BT12" s="45"/>
      <c r="BU12" s="45"/>
      <c r="BV12" s="45"/>
    </row>
    <row r="13" spans="1:83" ht="31.5" customHeight="1" thickBot="1">
      <c r="A13" s="1053" t="s">
        <v>264</v>
      </c>
      <c r="B13" s="1054"/>
      <c r="C13" s="197"/>
      <c r="D13" s="291"/>
      <c r="G13" s="1101"/>
      <c r="H13" s="1102"/>
      <c r="I13" s="1060" t="s">
        <v>267</v>
      </c>
      <c r="J13" s="1061"/>
      <c r="K13" s="480"/>
      <c r="L13" s="481"/>
      <c r="M13" s="574"/>
      <c r="N13" s="841" t="s">
        <v>663</v>
      </c>
      <c r="O13" s="864" t="s">
        <v>666</v>
      </c>
      <c r="P13" s="865"/>
      <c r="Q13" s="866"/>
      <c r="S13" s="298"/>
      <c r="T13" s="298"/>
      <c r="U13"/>
      <c r="AC13" s="13"/>
      <c r="AF13" s="13"/>
      <c r="AG13" s="13"/>
      <c r="AH13" s="13"/>
      <c r="AI13" s="856" t="str">
        <f>IF(E$14="",IF(ISERROR(SEARCH(",",$C$14)),"N/A",SEARCH(",",$C$14)),IF(ISERROR(SEARCH(",",$E$14)),"N/A",SEARCH(",",$E$14)))</f>
        <v>N/A</v>
      </c>
      <c r="AJ13" s="274" t="s">
        <v>160</v>
      </c>
      <c r="AK13" s="275"/>
      <c r="AL13" s="14"/>
      <c r="AM13" s="491" t="s">
        <v>55</v>
      </c>
      <c r="AN13" s="506">
        <v>1.9998800000000001E-2</v>
      </c>
      <c r="AO13" s="490">
        <f>0.00001</f>
        <v>1.0000000000000001E-5</v>
      </c>
      <c r="AP13" s="507">
        <f t="shared" si="1"/>
        <v>0</v>
      </c>
      <c r="AQ13" s="507"/>
      <c r="AR13" s="92"/>
      <c r="AS13" t="str">
        <f t="shared" si="0"/>
        <v/>
      </c>
      <c r="AT13" s="447" t="str">
        <f>IF(OR(AO141="sim",'2º MR-MI'!AO141="sim",'3º MR-MI'!AO141="sim"),AM141,"")</f>
        <v/>
      </c>
      <c r="AU13" s="38"/>
      <c r="AV13" s="226">
        <f>AM141</f>
        <v>530</v>
      </c>
      <c r="AW13" s="445" t="s">
        <v>387</v>
      </c>
      <c r="AX13" s="229" t="s">
        <v>561</v>
      </c>
      <c r="AY13" s="228">
        <v>8</v>
      </c>
      <c r="AZ13" s="45"/>
      <c r="BA13" s="237">
        <v>4</v>
      </c>
      <c r="BB13" s="234" t="e">
        <f>IF($I$9="Sim",CB$177*AV78,CB$157*AV78)</f>
        <v>#VALUE!</v>
      </c>
      <c r="BC13" s="234" t="e">
        <f t="shared" si="2"/>
        <v>#VALUE!</v>
      </c>
      <c r="BD13" s="234" t="e">
        <f t="shared" si="3"/>
        <v>#VALUE!</v>
      </c>
      <c r="BE13" s="234" t="e">
        <f t="shared" si="4"/>
        <v>#VALUE!</v>
      </c>
      <c r="BF13" s="238" t="e">
        <f t="shared" si="9"/>
        <v>#VALUE!</v>
      </c>
      <c r="BG13" s="238">
        <v>4</v>
      </c>
      <c r="BH13" s="234" t="e">
        <f>#REF!</f>
        <v>#REF!</v>
      </c>
      <c r="BI13" s="234" t="e">
        <f t="shared" si="5"/>
        <v>#REF!</v>
      </c>
      <c r="BJ13" s="234" t="e">
        <f t="shared" si="6"/>
        <v>#REF!</v>
      </c>
      <c r="BK13" s="234" t="e">
        <f t="shared" si="7"/>
        <v>#REF!</v>
      </c>
      <c r="BL13" s="238" t="e">
        <f t="shared" si="8"/>
        <v>#REF!</v>
      </c>
      <c r="BM13" s="3"/>
      <c r="BN13" s="45"/>
      <c r="BO13" s="45"/>
      <c r="BP13" s="45"/>
      <c r="BQ13" s="45"/>
      <c r="BR13" s="45"/>
      <c r="BS13" s="45"/>
      <c r="BT13" s="45"/>
      <c r="BU13" s="45"/>
      <c r="BV13" s="45"/>
    </row>
    <row r="14" spans="1:83" s="13" customFormat="1" ht="27" customHeight="1" thickBot="1">
      <c r="A14" s="1055" t="s">
        <v>265</v>
      </c>
      <c r="B14" s="1056"/>
      <c r="C14" s="198"/>
      <c r="D14" s="292" t="s">
        <v>416</v>
      </c>
      <c r="E14" s="585"/>
      <c r="F14" s="586"/>
      <c r="G14" s="290" t="s">
        <v>324</v>
      </c>
      <c r="H14" s="287" t="str">
        <f>AF3</f>
        <v>NÃO</v>
      </c>
      <c r="I14" s="1062" t="s">
        <v>64</v>
      </c>
      <c r="J14" s="1063"/>
      <c r="K14" s="482"/>
      <c r="L14" s="483"/>
      <c r="M14" s="574"/>
      <c r="N14" s="842" t="s">
        <v>664</v>
      </c>
      <c r="O14" s="1029" t="s">
        <v>665</v>
      </c>
      <c r="P14" s="1030"/>
      <c r="Q14" s="1031"/>
      <c r="S14" s="298"/>
      <c r="T14" s="298"/>
      <c r="U14"/>
      <c r="V14"/>
      <c r="W14"/>
      <c r="AI14" s="856">
        <f>IF($E$14="",LEN($C$14),LEN($E$14))</f>
        <v>0</v>
      </c>
      <c r="AJ14" s="274" t="s">
        <v>161</v>
      </c>
      <c r="AK14" s="275"/>
      <c r="AL14" s="14"/>
      <c r="AM14" s="492" t="s">
        <v>56</v>
      </c>
      <c r="AN14" s="757">
        <v>5.0003899999999997E-2</v>
      </c>
      <c r="AO14" s="493">
        <f>0.000012</f>
        <v>1.2E-5</v>
      </c>
      <c r="AP14" s="507">
        <f t="shared" si="1"/>
        <v>0</v>
      </c>
      <c r="AQ14" s="507"/>
      <c r="AR14" s="92"/>
      <c r="AS14" t="str">
        <f t="shared" ref="AS14:AS19" si="10">IF(AT14="","",1)</f>
        <v/>
      </c>
      <c r="AT14" s="447" t="str">
        <f>IF(OR(AO152="sim",'2º MR-MI'!AO152="sim",'3º MR-MI'!AO152="sim"),AM152,"")</f>
        <v/>
      </c>
      <c r="AU14" s="38"/>
      <c r="AV14" s="230">
        <f>AM152</f>
        <v>531</v>
      </c>
      <c r="AW14" s="445" t="s">
        <v>388</v>
      </c>
      <c r="AX14" s="229" t="s">
        <v>561</v>
      </c>
      <c r="AY14" s="228">
        <v>9</v>
      </c>
      <c r="AZ14" s="45"/>
      <c r="BA14" s="237">
        <v>5</v>
      </c>
      <c r="BB14" s="234" t="e">
        <f>IF($I$9="Sim",CC$177*AV78,CC$157*AV78)</f>
        <v>#VALUE!</v>
      </c>
      <c r="BC14" s="234" t="e">
        <f t="shared" si="2"/>
        <v>#VALUE!</v>
      </c>
      <c r="BD14" s="234" t="e">
        <f t="shared" si="3"/>
        <v>#VALUE!</v>
      </c>
      <c r="BE14" s="234" t="e">
        <f t="shared" si="4"/>
        <v>#VALUE!</v>
      </c>
      <c r="BF14" s="238" t="e">
        <f t="shared" si="9"/>
        <v>#VALUE!</v>
      </c>
      <c r="BG14" s="238">
        <v>5</v>
      </c>
      <c r="BH14" s="234" t="e">
        <f>#REF!</f>
        <v>#REF!</v>
      </c>
      <c r="BI14" s="234" t="e">
        <f t="shared" si="5"/>
        <v>#REF!</v>
      </c>
      <c r="BJ14" s="234" t="e">
        <f t="shared" si="6"/>
        <v>#REF!</v>
      </c>
      <c r="BK14" s="234" t="e">
        <f t="shared" si="7"/>
        <v>#REF!</v>
      </c>
      <c r="BL14" s="238" t="e">
        <f t="shared" si="8"/>
        <v>#REF!</v>
      </c>
      <c r="BM14" s="3"/>
      <c r="BN14" s="45"/>
      <c r="BO14" s="45"/>
      <c r="BP14" s="45"/>
      <c r="BQ14" s="45"/>
      <c r="BR14" s="45"/>
      <c r="BS14" s="45"/>
      <c r="BT14" s="45"/>
      <c r="BU14" s="45"/>
      <c r="BV14" s="45"/>
    </row>
    <row r="15" spans="1:83" ht="34.5" customHeight="1" thickBot="1">
      <c r="A15" s="13"/>
      <c r="B15" s="13"/>
      <c r="C15" s="13"/>
      <c r="D15" s="13"/>
      <c r="E15" s="10"/>
      <c r="F15" s="13"/>
      <c r="G15" s="13"/>
      <c r="H15" s="13"/>
      <c r="I15" s="13"/>
      <c r="J15" s="13"/>
      <c r="K15" s="13"/>
      <c r="L15" s="13"/>
      <c r="M15" s="293"/>
      <c r="N15" s="1032" t="str">
        <f>IF($AV$98=1,"",IF($AV$98=3,CONCATENATE("As alterações são: ",O13,", devido a ",O14,)))</f>
        <v/>
      </c>
      <c r="O15" s="1033"/>
      <c r="P15" s="1033"/>
      <c r="Q15" s="1034"/>
      <c r="W15" s="32"/>
      <c r="X15" s="71"/>
      <c r="AC15" s="13"/>
      <c r="AF15" s="13"/>
      <c r="AG15" s="13"/>
      <c r="AH15" s="13"/>
      <c r="AI15" s="276">
        <f>IF(AI13="N/A",0,AI14-AI13)</f>
        <v>0</v>
      </c>
      <c r="AJ15" s="274" t="s">
        <v>413</v>
      </c>
      <c r="AK15" s="275"/>
      <c r="AL15" s="14"/>
      <c r="AM15" s="494" t="s">
        <v>57</v>
      </c>
      <c r="AN15" s="506">
        <v>0.1000038</v>
      </c>
      <c r="AO15" s="490">
        <f>0.000016</f>
        <v>1.5999999999999999E-5</v>
      </c>
      <c r="AP15" s="507">
        <f t="shared" si="1"/>
        <v>0</v>
      </c>
      <c r="AQ15" s="746"/>
      <c r="AR15" s="361">
        <f>0.003/1000</f>
        <v>3.0000000000000001E-6</v>
      </c>
      <c r="AS15" t="str">
        <f t="shared" si="10"/>
        <v/>
      </c>
      <c r="AT15" s="447" t="str">
        <f>IF(OR(AO163="sim",'2º MR-MI'!AO163="sim",'3º MR-MI'!AO163="sim"),AM163,"")</f>
        <v/>
      </c>
      <c r="AU15" s="38"/>
      <c r="AV15" s="230" t="str">
        <f>AM163</f>
        <v>532</v>
      </c>
      <c r="AW15" s="445" t="s">
        <v>389</v>
      </c>
      <c r="AX15" s="229" t="s">
        <v>561</v>
      </c>
      <c r="AY15" s="228">
        <v>10</v>
      </c>
      <c r="AZ15" s="45"/>
      <c r="BA15" s="237">
        <v>6</v>
      </c>
      <c r="BB15" s="234" t="e">
        <f>IF($I$9="Sim",CD$177*AV78,CD$157*AV78)</f>
        <v>#VALUE!</v>
      </c>
      <c r="BC15" s="234" t="e">
        <f t="shared" si="2"/>
        <v>#VALUE!</v>
      </c>
      <c r="BD15" s="234" t="e">
        <f t="shared" si="3"/>
        <v>#VALUE!</v>
      </c>
      <c r="BE15" s="234" t="e">
        <f t="shared" si="4"/>
        <v>#VALUE!</v>
      </c>
      <c r="BF15" s="238" t="e">
        <f t="shared" si="9"/>
        <v>#VALUE!</v>
      </c>
      <c r="BG15" s="238">
        <v>6</v>
      </c>
      <c r="BH15" s="234" t="e">
        <f>#REF!</f>
        <v>#REF!</v>
      </c>
      <c r="BI15" s="234" t="e">
        <f t="shared" si="5"/>
        <v>#REF!</v>
      </c>
      <c r="BJ15" s="234" t="e">
        <f t="shared" si="6"/>
        <v>#REF!</v>
      </c>
      <c r="BK15" s="234" t="e">
        <f t="shared" si="7"/>
        <v>#REF!</v>
      </c>
      <c r="BL15" s="238" t="e">
        <f t="shared" si="8"/>
        <v>#REF!</v>
      </c>
      <c r="BM15" s="3"/>
      <c r="BN15" s="45"/>
      <c r="BO15" s="45"/>
      <c r="BP15" s="45"/>
      <c r="BQ15" s="45"/>
      <c r="BR15" s="45"/>
      <c r="BS15" s="45"/>
      <c r="BT15" s="45"/>
      <c r="BU15" s="45"/>
      <c r="BV15" s="45"/>
    </row>
    <row r="16" spans="1:83" ht="31.5" customHeight="1" thickBot="1">
      <c r="A16" s="1022" t="s">
        <v>283</v>
      </c>
      <c r="B16" s="1023"/>
      <c r="C16" s="1023"/>
      <c r="D16" s="1023"/>
      <c r="E16" s="1023"/>
      <c r="F16" s="1023"/>
      <c r="G16" s="1023"/>
      <c r="H16" s="1023"/>
      <c r="I16" s="1023"/>
      <c r="J16" s="1023"/>
      <c r="K16" s="1023"/>
      <c r="L16" s="1023"/>
      <c r="M16" s="575"/>
      <c r="N16" s="861" t="s">
        <v>680</v>
      </c>
      <c r="O16" s="862"/>
      <c r="P16" s="862"/>
      <c r="Q16" s="863"/>
      <c r="X16" s="71"/>
      <c r="AC16" s="13"/>
      <c r="AE16" s="13"/>
      <c r="AF16" s="13"/>
      <c r="AG16" s="13"/>
      <c r="AH16" s="13"/>
      <c r="AI16" s="277">
        <f>AI15+1</f>
        <v>1</v>
      </c>
      <c r="AJ16" s="278" t="s">
        <v>414</v>
      </c>
      <c r="AK16" s="279"/>
      <c r="AL16" s="14"/>
      <c r="AM16" s="494" t="s">
        <v>58</v>
      </c>
      <c r="AN16" s="506">
        <v>0.20000009999999999</v>
      </c>
      <c r="AO16" s="490">
        <f>0.00002</f>
        <v>2.0000000000000002E-5</v>
      </c>
      <c r="AP16" s="507">
        <f t="shared" si="1"/>
        <v>0</v>
      </c>
      <c r="AQ16" s="746"/>
      <c r="AR16" s="361">
        <f>0.005/1000</f>
        <v>5.0000000000000004E-6</v>
      </c>
      <c r="AS16" t="str">
        <f t="shared" si="10"/>
        <v/>
      </c>
      <c r="AT16" s="447" t="str">
        <f>IF(OR(AO166="sim",'2º MR-MI'!AO166="sim",'3º MR-MI'!AO166="sim"),AM166,"")</f>
        <v/>
      </c>
      <c r="AU16" s="38"/>
      <c r="AV16" s="230">
        <f>AM166</f>
        <v>533</v>
      </c>
      <c r="AW16" s="445" t="s">
        <v>390</v>
      </c>
      <c r="AX16" s="229" t="s">
        <v>561</v>
      </c>
      <c r="AY16" s="228">
        <v>11</v>
      </c>
      <c r="AZ16" s="45"/>
      <c r="BA16" s="237">
        <v>7</v>
      </c>
      <c r="BB16" s="234" t="e">
        <f>IF($I$9="Sim",CE$177*AV78,CE$157*AV78)</f>
        <v>#VALUE!</v>
      </c>
      <c r="BC16" s="234" t="e">
        <f t="shared" si="2"/>
        <v>#VALUE!</v>
      </c>
      <c r="BD16" s="234" t="e">
        <f t="shared" si="3"/>
        <v>#VALUE!</v>
      </c>
      <c r="BE16" s="234" t="e">
        <f t="shared" si="4"/>
        <v>#VALUE!</v>
      </c>
      <c r="BF16" s="238" t="e">
        <f t="shared" si="9"/>
        <v>#VALUE!</v>
      </c>
      <c r="BG16" s="238">
        <v>7</v>
      </c>
      <c r="BH16" s="234" t="e">
        <f>#REF!</f>
        <v>#REF!</v>
      </c>
      <c r="BI16" s="234" t="e">
        <f t="shared" si="5"/>
        <v>#REF!</v>
      </c>
      <c r="BJ16" s="234" t="e">
        <f t="shared" si="6"/>
        <v>#REF!</v>
      </c>
      <c r="BK16" s="234" t="e">
        <f t="shared" si="7"/>
        <v>#REF!</v>
      </c>
      <c r="BL16" s="238" t="e">
        <f t="shared" si="8"/>
        <v>#REF!</v>
      </c>
      <c r="BM16" s="3"/>
      <c r="BN16" s="45"/>
      <c r="BO16" s="45"/>
      <c r="BP16" s="45"/>
      <c r="BQ16" s="45"/>
      <c r="BR16" s="45"/>
      <c r="BS16" s="45"/>
      <c r="BT16" s="45"/>
      <c r="BU16" s="45"/>
      <c r="BV16" s="45"/>
    </row>
    <row r="17" spans="1:98" ht="36" customHeight="1" thickBot="1">
      <c r="N17" s="841" t="s">
        <v>681</v>
      </c>
      <c r="O17" s="864"/>
      <c r="P17" s="865"/>
      <c r="Q17" s="866"/>
      <c r="AB17" s="13"/>
      <c r="AC17" s="379"/>
      <c r="AD17" s="286"/>
      <c r="AE17" s="286"/>
      <c r="AF17" s="87"/>
      <c r="AG17" s="13"/>
      <c r="AH17" s="13"/>
      <c r="AL17" s="14"/>
      <c r="AM17" s="494" t="s">
        <v>59</v>
      </c>
      <c r="AN17" s="506">
        <v>0.19999149999999999</v>
      </c>
      <c r="AO17" s="490">
        <f>0.00002</f>
        <v>2.0000000000000002E-5</v>
      </c>
      <c r="AP17" s="507">
        <f t="shared" si="1"/>
        <v>0</v>
      </c>
      <c r="AQ17" s="746"/>
      <c r="AR17" s="361">
        <f>0.005/1000</f>
        <v>5.0000000000000004E-6</v>
      </c>
      <c r="AS17" t="str">
        <f t="shared" si="10"/>
        <v/>
      </c>
      <c r="AT17" s="447" t="str">
        <f>IF(OR(AO169="sim",'2º MR-MI'!AO169="sim",'3º MR-MI'!AO169="sim"),AM169,"")</f>
        <v/>
      </c>
      <c r="AU17" s="38"/>
      <c r="AV17" s="843" t="str">
        <f>AM169</f>
        <v>633 a 641</v>
      </c>
      <c r="AW17" s="229" t="s">
        <v>391</v>
      </c>
      <c r="AX17" s="227" t="s">
        <v>667</v>
      </c>
      <c r="AY17" s="228">
        <v>12</v>
      </c>
      <c r="BA17" s="237">
        <v>8</v>
      </c>
      <c r="BB17" s="234" t="e">
        <f>IF($I$9="Sim",CF$177*AV78,CF$157*AV78)</f>
        <v>#VALUE!</v>
      </c>
      <c r="BC17" s="234" t="e">
        <f t="shared" si="2"/>
        <v>#VALUE!</v>
      </c>
      <c r="BD17" s="234" t="e">
        <f t="shared" si="3"/>
        <v>#VALUE!</v>
      </c>
      <c r="BE17" s="234" t="e">
        <f t="shared" si="4"/>
        <v>#VALUE!</v>
      </c>
      <c r="BF17" s="238" t="e">
        <f>ROUND(BD17,BE17)</f>
        <v>#VALUE!</v>
      </c>
      <c r="BG17" s="238">
        <v>8</v>
      </c>
      <c r="BH17" s="234" t="e">
        <f>#REF!</f>
        <v>#REF!</v>
      </c>
      <c r="BI17" s="234" t="e">
        <f t="shared" si="5"/>
        <v>#REF!</v>
      </c>
      <c r="BJ17" s="234" t="e">
        <f t="shared" si="6"/>
        <v>#REF!</v>
      </c>
      <c r="BK17" s="234" t="e">
        <f t="shared" si="7"/>
        <v>#REF!</v>
      </c>
      <c r="BL17" s="238" t="e">
        <f t="shared" si="8"/>
        <v>#REF!</v>
      </c>
      <c r="BM17" s="3"/>
    </row>
    <row r="18" spans="1:98" ht="29.25" customHeight="1" thickBot="1">
      <c r="B18" s="288" t="s">
        <v>284</v>
      </c>
      <c r="C18" s="1083" t="s">
        <v>326</v>
      </c>
      <c r="D18" s="1084"/>
      <c r="E18" s="999" t="s">
        <v>412</v>
      </c>
      <c r="F18" s="1000"/>
      <c r="G18" s="289" t="s">
        <v>9</v>
      </c>
      <c r="I18" s="888" t="s">
        <v>276</v>
      </c>
      <c r="J18" s="889"/>
      <c r="K18" s="776" t="s">
        <v>570</v>
      </c>
      <c r="L18" s="777" t="s">
        <v>565</v>
      </c>
      <c r="M18" s="571"/>
      <c r="N18" s="858" t="s">
        <v>682</v>
      </c>
      <c r="O18" s="857"/>
      <c r="P18" s="558"/>
      <c r="Q18" s="586"/>
      <c r="U18" s="86"/>
      <c r="Z18" s="375"/>
      <c r="AA18" s="293"/>
      <c r="AB18" s="13"/>
      <c r="AC18" s="379"/>
      <c r="AD18" s="332"/>
      <c r="AE18" s="376"/>
      <c r="AF18" s="87"/>
      <c r="AG18" s="13"/>
      <c r="AH18" s="13"/>
      <c r="AI18" s="969" t="s">
        <v>61</v>
      </c>
      <c r="AJ18" s="970"/>
      <c r="AK18" s="971"/>
      <c r="AL18" s="14"/>
      <c r="AM18" s="495" t="s">
        <v>60</v>
      </c>
      <c r="AN18" s="757">
        <v>0.5000021</v>
      </c>
      <c r="AO18" s="493">
        <f>0.000025</f>
        <v>2.5000000000000001E-5</v>
      </c>
      <c r="AP18" s="507">
        <f t="shared" si="1"/>
        <v>0</v>
      </c>
      <c r="AQ18" s="746"/>
      <c r="AR18" s="361">
        <f>0.008/1000</f>
        <v>7.9999999999999996E-6</v>
      </c>
      <c r="AS18" t="str">
        <f t="shared" si="10"/>
        <v/>
      </c>
      <c r="AT18" s="447" t="str">
        <f>IF(OR(AO179="sim",'2º MR-MI'!AO179="sim",'3º MR-MI'!AO179="sim"),AM179,"")</f>
        <v/>
      </c>
      <c r="AU18" s="38"/>
      <c r="AV18" s="843" t="str">
        <f>AM179</f>
        <v>642 a 650</v>
      </c>
      <c r="AW18" s="229" t="s">
        <v>392</v>
      </c>
      <c r="AX18" s="227" t="s">
        <v>667</v>
      </c>
      <c r="AY18" s="228">
        <v>13</v>
      </c>
      <c r="BA18" s="239"/>
      <c r="BB18" s="907" t="s">
        <v>297</v>
      </c>
      <c r="BC18" s="907"/>
      <c r="BD18" s="907"/>
      <c r="BE18" s="240" t="s">
        <v>4</v>
      </c>
      <c r="BF18" s="236" t="e">
        <f>#REF!</f>
        <v>#REF!</v>
      </c>
    </row>
    <row r="19" spans="1:98" ht="27" customHeight="1" thickBot="1">
      <c r="B19" s="199"/>
      <c r="C19" s="1068" t="str">
        <f>IF(B19="","",IF(B19=1,D34,IF(B19=2,D39,IF(B19=3,D45,IF(B19=4,D51,IF(B19=5,D57,IF(B19=6,D63,IF(B19=7,D69,IF(B19=8,D75,Erro)))))))))</f>
        <v/>
      </c>
      <c r="D19" s="1069"/>
      <c r="E19" s="471" t="str">
        <f>IF(F19&lt;&gt;"",IF(E14&lt;&gt;0,FIXED(MROUND(F19,$E$14),$AI$15,TRUE),FIXED(MROUND(F19,$C$14),$AI$15,TRUE)),"------")</f>
        <v>------</v>
      </c>
      <c r="F19" s="181"/>
      <c r="G19" s="182" t="str">
        <f>IF(F19="","",FIXED(ROUND((E19-C19),$AI$15),$AI$15,TRUE))</f>
        <v/>
      </c>
      <c r="I19" s="890" t="s">
        <v>80</v>
      </c>
      <c r="J19" s="994" t="str">
        <f>AK19</f>
        <v>NÃO</v>
      </c>
      <c r="K19" s="775"/>
      <c r="L19" s="778"/>
      <c r="M19" s="571"/>
      <c r="W19" s="47"/>
      <c r="X19" s="47"/>
      <c r="Y19" s="47"/>
      <c r="Z19" s="425"/>
      <c r="AA19" s="425"/>
      <c r="AC19" s="377"/>
      <c r="AD19" s="332"/>
      <c r="AE19" s="376"/>
      <c r="AF19" s="378"/>
      <c r="AI19" s="48" t="b">
        <v>0</v>
      </c>
      <c r="AJ19" s="42" t="s">
        <v>62</v>
      </c>
      <c r="AK19" s="43" t="str">
        <f>IF(AI19,"SiM","NÃO")</f>
        <v>NÃO</v>
      </c>
      <c r="AM19" s="496">
        <v>1</v>
      </c>
      <c r="AN19" s="506">
        <v>1.0000009999999999</v>
      </c>
      <c r="AO19" s="490">
        <f>0.00003</f>
        <v>3.0000000000000001E-5</v>
      </c>
      <c r="AP19" s="507">
        <f t="shared" si="1"/>
        <v>0</v>
      </c>
      <c r="AQ19" s="746"/>
      <c r="AR19" s="361">
        <f>0.013/1000</f>
        <v>1.2999999999999999E-5</v>
      </c>
      <c r="AS19" t="str">
        <f t="shared" si="10"/>
        <v/>
      </c>
      <c r="AT19" s="447" t="str">
        <f>IF(OR(AO247="sim",'2º MR-MI'!AO247="sim",'3º MR-MI'!AO247="sim"),AM247,"")</f>
        <v/>
      </c>
      <c r="AU19" s="41"/>
      <c r="AV19" s="760" t="str">
        <f>AM247</f>
        <v>Cargas de substituição</v>
      </c>
      <c r="AW19" s="229">
        <f>O17</f>
        <v>0</v>
      </c>
      <c r="AX19" s="229"/>
      <c r="AY19" s="228">
        <v>14</v>
      </c>
      <c r="BA19" s="908" t="s">
        <v>298</v>
      </c>
      <c r="BB19" s="909" t="s">
        <v>293</v>
      </c>
      <c r="BC19" s="909" t="s">
        <v>294</v>
      </c>
      <c r="BD19" s="909" t="s">
        <v>295</v>
      </c>
      <c r="BE19" s="909" t="s">
        <v>79</v>
      </c>
      <c r="BF19" s="909" t="s">
        <v>296</v>
      </c>
    </row>
    <row r="20" spans="1:98" ht="24.75" customHeight="1" thickBot="1">
      <c r="B20" s="200"/>
      <c r="C20" s="997" t="str">
        <f>IF(B20="","",IF(B20=1,D34,IF(B20=2,D39,IF(B20=3,D45,IF(B20=4,D51,IF(B20=5,D57,IF(B20=6,D63,IF(B20=7,D69,IF(B20=8,D75,Erro)))))))))</f>
        <v/>
      </c>
      <c r="D20" s="998"/>
      <c r="E20" s="183" t="str">
        <f>IF(F20&lt;&gt;"",IF(E14&lt;&gt;0,FIXED(MROUND(F20,$E$14),$AI$15,TRUE),FIXED(MROUND(F20,$C$14),$AI$15,TRUE)),"------")</f>
        <v>------</v>
      </c>
      <c r="F20" s="184"/>
      <c r="G20" s="185" t="str">
        <f>IF(F20="","",FIXED(ROUND((E20-C20),$AI$15),$AI$15,TRUE))</f>
        <v/>
      </c>
      <c r="I20" s="891"/>
      <c r="J20" s="995"/>
      <c r="M20" s="571"/>
      <c r="U20" s="716" t="s">
        <v>479</v>
      </c>
      <c r="V20" s="717">
        <f>MAX(K13:L13)-MIN(K13:L13)</f>
        <v>0</v>
      </c>
      <c r="W20" s="47">
        <f>V20^2/12</f>
        <v>0</v>
      </c>
      <c r="X20" s="47">
        <f>SQRT(W20)</f>
        <v>0</v>
      </c>
      <c r="Y20" s="47">
        <f>0.000002*F34</f>
        <v>0</v>
      </c>
      <c r="Z20" s="425">
        <v>50</v>
      </c>
      <c r="AA20" s="425">
        <f>(X20*Y20)^2</f>
        <v>0</v>
      </c>
      <c r="AB20" s="425">
        <f>SUM(AA29:AA36)+AA20</f>
        <v>0</v>
      </c>
      <c r="AC20" s="425">
        <f>SQRT(AB20)</f>
        <v>0</v>
      </c>
      <c r="AD20" s="332" t="e">
        <f>(AC34^4)/(((($X$29*$Y$29)^4)/$Z$29)+((($X$30*$Y$30)^4)/$Z$30)+((($X$31*$Y$31)^4)/$Z$31)+(((X32*Y32)^4)/Z32)+(((X33*Y33)^4)/Z33)+(((X34*Y34)^4)/Z34)+(((X35*Y35)^4)/Z35)+(((X36*Y36)^4)/Z36)+(((X20*Y20)^4)/Z20))</f>
        <v>#DIV/0!</v>
      </c>
      <c r="AE20" s="376" t="e">
        <f>TINV(0.0455,AD20)</f>
        <v>#DIV/0!</v>
      </c>
      <c r="AF20" s="378" t="e">
        <f>CEILING((AE20*AC20),$C$14/100)</f>
        <v>#DIV/0!</v>
      </c>
      <c r="AI20" s="960" t="s">
        <v>68</v>
      </c>
      <c r="AJ20" s="961"/>
      <c r="AK20" s="962"/>
      <c r="AM20" s="496">
        <v>2</v>
      </c>
      <c r="AN20" s="506">
        <v>1.999987</v>
      </c>
      <c r="AO20" s="490">
        <f>0.00004</f>
        <v>4.0000000000000003E-5</v>
      </c>
      <c r="AP20" s="507">
        <f t="shared" si="1"/>
        <v>0</v>
      </c>
      <c r="AQ20" s="746"/>
      <c r="AR20" s="361">
        <f>0.023/1000</f>
        <v>2.3E-5</v>
      </c>
      <c r="AT20" s="925" t="s">
        <v>69</v>
      </c>
      <c r="AU20" s="926"/>
      <c r="AV20" s="230" t="s">
        <v>70</v>
      </c>
      <c r="AW20" s="229"/>
      <c r="AX20" s="52"/>
      <c r="AY20" s="228">
        <v>15</v>
      </c>
      <c r="BA20" s="908"/>
      <c r="BB20" s="909"/>
      <c r="BC20" s="909"/>
      <c r="BD20" s="909"/>
      <c r="BE20" s="909"/>
      <c r="BF20" s="909"/>
    </row>
    <row r="21" spans="1:98" ht="21.75" customHeight="1" thickBot="1">
      <c r="O21" s="440"/>
      <c r="P21" s="87"/>
      <c r="Q21" s="678"/>
      <c r="R21" s="679"/>
      <c r="AI21" s="934" t="str">
        <f>IF(F19="","Ensaio Prévio aplicável somente a equipamento com possibilidade de se aceder ao ajuste interno.",IF(AND(AK19="sim",AV118=1),"Foi realizado o ensaio prévio conforme indicado na tabela e o equipamento foi ajustado conforme especificações do fabricante com peso padrão interno da balança.",IF(AND(AK19="sim",AV118=2),CONCATENATE("Foi realizado o ensaio prévio conforme indicado na tabela e o equipamento foi ajustado conforme especificações do fabricante com peso(s) padrão do cliente, de ",K19," ", AV77,", com a(s) referência(s) n.º"," ",L19,"."),IF(AND(AK19="sim",AV118=3),CONCATENATE("Foi realizado o ensaio prévio conforme indicado na tabela e o equipamento foi ajustado conforme especificações do fabricante com peso(s) padrão do laboratório, de ",K19," ", AV77,", com a(s) referência(s) n.º"," ",L19,"."),"Ensaio prévio realizado conforme indicado na tabela. Não se realizou o ajuste interno do equipamento."))))</f>
        <v>Ensaio Prévio aplicável somente a equipamento com possibilidade de se aceder ao ajuste interno.</v>
      </c>
      <c r="AJ21" s="935"/>
      <c r="AK21" s="936"/>
      <c r="AM21" s="494" t="s">
        <v>46</v>
      </c>
      <c r="AN21" s="506">
        <v>2.0000179999999999</v>
      </c>
      <c r="AO21" s="490">
        <f>0.00004</f>
        <v>4.0000000000000003E-5</v>
      </c>
      <c r="AP21" s="507">
        <f t="shared" si="1"/>
        <v>0</v>
      </c>
      <c r="AQ21" s="746"/>
      <c r="AR21" s="361">
        <f>0.023/1000</f>
        <v>2.3E-5</v>
      </c>
      <c r="AT21" s="902" t="str">
        <f t="shared" ref="AT21:AT34" si="11">IF(AT6="","",AW6)</f>
        <v/>
      </c>
      <c r="AU21" s="903"/>
      <c r="AV21" s="230" t="s">
        <v>70</v>
      </c>
      <c r="AW21" s="445"/>
      <c r="AX21" s="229"/>
      <c r="AY21" s="37"/>
      <c r="BA21" s="238">
        <v>0</v>
      </c>
      <c r="BB21" s="234" t="e">
        <f>(BF18/(2*SQRT(3)))*2</f>
        <v>#REF!</v>
      </c>
      <c r="BC21" s="234" t="e">
        <f t="shared" ref="BC21:BC29" si="12">IF(BB21&lt;0.00001,0.00000001,IF(BB21&lt;0.0001,0.0000001,IF(BB21&lt;0.001,0.000001,IF(BB21&lt;0.01,0.00001,IF(BB21&lt;0.1,0.0001,IF(BB21&lt;1,0.01,IF(BB21&lt;10,0.1,1)))))))</f>
        <v>#REF!</v>
      </c>
      <c r="BD21" s="234" t="e">
        <f t="shared" ref="BD21:BD29" si="13">CEILING(BB21,BC21)</f>
        <v>#REF!</v>
      </c>
      <c r="BE21" s="234" t="e">
        <f t="shared" ref="BE21:BE29" si="14">IF(BD21&lt;0.00001,7,IF(BD21&lt;0.0001,6,IF(BD21&lt;0.001,5,IF(BD21&lt;0.01,4,IF(BD21&lt;0.1,3,IF(BD21&lt;1,2,IF(BD21&lt;10,1,0)))))))</f>
        <v>#REF!</v>
      </c>
      <c r="BF21" s="238" t="e">
        <f t="shared" ref="BF21:BF29" si="15">FIXED(BD21,BE21)</f>
        <v>#REF!</v>
      </c>
    </row>
    <row r="22" spans="1:98" ht="30" customHeight="1" thickBot="1">
      <c r="A22" s="1023" t="s">
        <v>286</v>
      </c>
      <c r="B22" s="1023"/>
      <c r="C22" s="1023"/>
      <c r="D22" s="1023"/>
      <c r="E22" s="1023"/>
      <c r="F22" s="1023"/>
      <c r="G22" s="1023"/>
      <c r="H22" s="1023"/>
      <c r="I22" s="1023"/>
      <c r="J22" s="1023"/>
      <c r="K22" s="1023"/>
      <c r="L22" s="1023"/>
      <c r="M22" s="550" t="str">
        <f>IF(F23="","",IF(F23&lt;=4,ROUNDUP(C13/3,0),ROUNDUP((1/(F23-1))*C13,0)))</f>
        <v/>
      </c>
      <c r="U22" s="1072" t="s">
        <v>5</v>
      </c>
      <c r="V22" s="1073"/>
      <c r="W22" s="1073"/>
      <c r="X22" s="1073"/>
      <c r="Y22" s="1073"/>
      <c r="Z22" s="1073"/>
      <c r="AA22" s="1073"/>
      <c r="AB22" s="1073"/>
      <c r="AC22" s="1073"/>
      <c r="AD22" s="1073"/>
      <c r="AE22" s="1073"/>
      <c r="AF22" s="1074"/>
      <c r="AM22" s="497">
        <v>5</v>
      </c>
      <c r="AN22" s="757">
        <v>5.000019</v>
      </c>
      <c r="AO22" s="493">
        <f>0.00005</f>
        <v>5.0000000000000002E-5</v>
      </c>
      <c r="AP22" s="507">
        <f t="shared" si="1"/>
        <v>0</v>
      </c>
      <c r="AQ22" s="746"/>
      <c r="AR22" s="361">
        <f>0.051/1000</f>
        <v>5.1E-5</v>
      </c>
      <c r="AT22" s="886" t="str">
        <f t="shared" si="11"/>
        <v/>
      </c>
      <c r="AU22" s="887"/>
      <c r="AV22" s="230" t="s">
        <v>70</v>
      </c>
      <c r="AW22" s="445"/>
      <c r="AX22" s="229"/>
      <c r="AY22" s="37"/>
      <c r="BA22" s="238">
        <v>1</v>
      </c>
      <c r="BB22" s="234" t="e">
        <f>#REF!</f>
        <v>#REF!</v>
      </c>
      <c r="BC22" s="234" t="e">
        <f t="shared" si="12"/>
        <v>#REF!</v>
      </c>
      <c r="BD22" s="234" t="e">
        <f t="shared" si="13"/>
        <v>#REF!</v>
      </c>
      <c r="BE22" s="234" t="e">
        <f t="shared" si="14"/>
        <v>#REF!</v>
      </c>
      <c r="BF22" s="238" t="e">
        <f t="shared" si="15"/>
        <v>#REF!</v>
      </c>
    </row>
    <row r="23" spans="1:98" ht="33" customHeight="1" thickBot="1">
      <c r="E23" s="583" t="s">
        <v>289</v>
      </c>
      <c r="F23" s="215"/>
      <c r="G23" s="996" t="s">
        <v>287</v>
      </c>
      <c r="H23" s="996"/>
      <c r="I23" s="176"/>
      <c r="J23" s="177" t="str">
        <f>AV77</f>
        <v>g</v>
      </c>
      <c r="L23" s="949" t="s">
        <v>288</v>
      </c>
      <c r="M23" s="576"/>
      <c r="T23" s="294"/>
      <c r="U23" s="616"/>
      <c r="AI23" s="952" t="s">
        <v>158</v>
      </c>
      <c r="AJ23" s="953"/>
      <c r="AK23" s="284" t="str">
        <f>$AV$77</f>
        <v>g</v>
      </c>
      <c r="AL23"/>
      <c r="AM23" s="496">
        <v>10</v>
      </c>
      <c r="AN23" s="506">
        <v>10.000014</v>
      </c>
      <c r="AO23" s="490">
        <f>0.00006</f>
        <v>6.0000000000000002E-5</v>
      </c>
      <c r="AP23" s="507">
        <f t="shared" si="1"/>
        <v>0</v>
      </c>
      <c r="AQ23" s="746"/>
      <c r="AR23" s="361">
        <f>0.095/1000</f>
        <v>9.5000000000000005E-5</v>
      </c>
      <c r="AT23" s="886" t="str">
        <f t="shared" si="11"/>
        <v/>
      </c>
      <c r="AU23" s="887"/>
      <c r="AV23" s="230" t="s">
        <v>70</v>
      </c>
      <c r="AW23" s="52"/>
      <c r="AX23" s="52"/>
      <c r="AY23" s="37"/>
      <c r="BA23" s="238">
        <v>2</v>
      </c>
      <c r="BB23" s="234" t="e">
        <f>#REF!</f>
        <v>#REF!</v>
      </c>
      <c r="BC23" s="234" t="e">
        <f t="shared" si="12"/>
        <v>#REF!</v>
      </c>
      <c r="BD23" s="234" t="e">
        <f t="shared" si="13"/>
        <v>#REF!</v>
      </c>
      <c r="BE23" s="234" t="e">
        <f t="shared" si="14"/>
        <v>#REF!</v>
      </c>
      <c r="BF23" s="238" t="e">
        <f t="shared" si="15"/>
        <v>#REF!</v>
      </c>
    </row>
    <row r="24" spans="1:98" ht="19.5" customHeight="1" thickBot="1">
      <c r="A24" s="317" t="s">
        <v>122</v>
      </c>
      <c r="B24" s="178">
        <v>2</v>
      </c>
      <c r="C24" s="178">
        <v>3</v>
      </c>
      <c r="D24" s="179">
        <v>4</v>
      </c>
      <c r="E24" s="179">
        <v>5</v>
      </c>
      <c r="F24" s="179">
        <v>6</v>
      </c>
      <c r="G24" s="179">
        <v>7</v>
      </c>
      <c r="H24" s="179">
        <v>8</v>
      </c>
      <c r="I24" s="179">
        <v>9</v>
      </c>
      <c r="J24" s="179">
        <v>10</v>
      </c>
      <c r="K24" s="214">
        <v>11</v>
      </c>
      <c r="L24" s="950"/>
      <c r="M24" s="576"/>
      <c r="N24" s="37"/>
      <c r="T24" s="295"/>
      <c r="U24" s="616"/>
      <c r="AF24" s="9"/>
      <c r="AG24" s="5"/>
      <c r="AI24" s="954" t="s">
        <v>159</v>
      </c>
      <c r="AJ24" s="955"/>
      <c r="AK24" s="285">
        <f>AV78</f>
        <v>1</v>
      </c>
      <c r="AM24" s="496">
        <v>20</v>
      </c>
      <c r="AN24" s="506">
        <v>20.000043999999999</v>
      </c>
      <c r="AO24" s="490">
        <f>0.00008</f>
        <v>8.0000000000000007E-5</v>
      </c>
      <c r="AP24" s="507">
        <f t="shared" si="1"/>
        <v>0</v>
      </c>
      <c r="AQ24" s="746"/>
      <c r="AR24" s="361">
        <f>0.185/1000</f>
        <v>1.85E-4</v>
      </c>
      <c r="AT24" s="886" t="str">
        <f t="shared" si="11"/>
        <v/>
      </c>
      <c r="AU24" s="887"/>
      <c r="AY24" s="37"/>
      <c r="BA24" s="238">
        <v>3</v>
      </c>
      <c r="BB24" s="234" t="e">
        <f>#REF!</f>
        <v>#REF!</v>
      </c>
      <c r="BC24" s="234" t="e">
        <f t="shared" si="12"/>
        <v>#REF!</v>
      </c>
      <c r="BD24" s="234" t="e">
        <f t="shared" si="13"/>
        <v>#REF!</v>
      </c>
      <c r="BE24" s="234" t="e">
        <f t="shared" si="14"/>
        <v>#REF!</v>
      </c>
      <c r="BF24" s="238" t="e">
        <f t="shared" si="15"/>
        <v>#REF!</v>
      </c>
      <c r="BN24" s="5"/>
      <c r="BO24" s="5"/>
      <c r="BP24" s="5"/>
      <c r="BQ24" s="5"/>
      <c r="BR24" s="5"/>
      <c r="BS24" s="5"/>
      <c r="BT24" s="5"/>
    </row>
    <row r="25" spans="1:98" ht="23.25" customHeight="1" thickBot="1">
      <c r="A25" s="180" t="str">
        <f>IF($F$23&lt;2,"",$I$23)</f>
        <v/>
      </c>
      <c r="B25" s="180" t="str">
        <f>IF($F$23&lt;2,"",$I$23)</f>
        <v/>
      </c>
      <c r="C25" s="180" t="str">
        <f>IF($F$23&lt;2,"",$I$23)</f>
        <v/>
      </c>
      <c r="D25" s="180" t="str">
        <f>IF($F$23&lt;2,"",$I$23)</f>
        <v/>
      </c>
      <c r="E25" s="180" t="str">
        <f>IF($F$23&lt;4,"",$I$23)</f>
        <v/>
      </c>
      <c r="F25" s="180" t="str">
        <f>IF($F$23&lt;5,"",$I$23)</f>
        <v/>
      </c>
      <c r="G25" s="180" t="str">
        <f>IF($F$23&lt;=7,"",$I$23)</f>
        <v/>
      </c>
      <c r="H25" s="180" t="str">
        <f>IF($F$23&lt;=7,"",$I$23)</f>
        <v/>
      </c>
      <c r="I25" s="180" t="str">
        <f>IF($F$23&lt;=7,"",$I$23)</f>
        <v/>
      </c>
      <c r="J25" s="180" t="str">
        <f>IF($F$23&lt;=9,"",$I$23)</f>
        <v/>
      </c>
      <c r="K25" s="180" t="str">
        <f>IF($F$23&lt;=9,"",$I$23)</f>
        <v/>
      </c>
      <c r="L25" s="951"/>
      <c r="T25" s="295"/>
      <c r="U25" s="616"/>
      <c r="AD25" s="959"/>
      <c r="AE25" s="959"/>
      <c r="AF25" s="959"/>
      <c r="AG25" s="5"/>
      <c r="AH25" s="5"/>
      <c r="AI25"/>
      <c r="AJ25"/>
      <c r="AK25"/>
      <c r="AL25"/>
      <c r="AM25" s="494" t="s">
        <v>47</v>
      </c>
      <c r="AN25" s="506">
        <v>20.000026999999999</v>
      </c>
      <c r="AO25" s="490">
        <f>0.00008</f>
        <v>8.0000000000000007E-5</v>
      </c>
      <c r="AP25" s="507">
        <f t="shared" si="1"/>
        <v>0</v>
      </c>
      <c r="AQ25" s="746"/>
      <c r="AR25" s="361">
        <f>0.185/1000</f>
        <v>1.85E-4</v>
      </c>
      <c r="AT25" s="886" t="str">
        <f t="shared" si="11"/>
        <v/>
      </c>
      <c r="AU25" s="887"/>
      <c r="AV25" s="37"/>
      <c r="AW25" s="231" t="s">
        <v>78</v>
      </c>
      <c r="AY25" s="37"/>
      <c r="AZ25" s="5"/>
      <c r="BA25" s="238">
        <v>4</v>
      </c>
      <c r="BB25" s="234" t="e">
        <f>#REF!</f>
        <v>#REF!</v>
      </c>
      <c r="BC25" s="234" t="e">
        <f t="shared" si="12"/>
        <v>#REF!</v>
      </c>
      <c r="BD25" s="234" t="e">
        <f t="shared" si="13"/>
        <v>#REF!</v>
      </c>
      <c r="BE25" s="234" t="e">
        <f t="shared" si="14"/>
        <v>#REF!</v>
      </c>
      <c r="BF25" s="238" t="e">
        <f t="shared" si="15"/>
        <v>#REF!</v>
      </c>
      <c r="BN25" s="5"/>
      <c r="BO25" s="5"/>
      <c r="BP25" s="5"/>
      <c r="BQ25" s="5"/>
      <c r="BR25" s="5"/>
      <c r="BS25" s="5"/>
      <c r="BT25" s="5"/>
    </row>
    <row r="26" spans="1:98" ht="23.25" customHeight="1" thickBot="1">
      <c r="A26" s="211" t="str">
        <f>IF(A25&lt;&gt;"",FIXED(A25,$AI$15,TRUE),"-------")</f>
        <v>-------</v>
      </c>
      <c r="B26" s="212" t="str">
        <f>IF($A$25&lt;&gt;"",FIXED(B25,$AI$15,TRUE),"-------")</f>
        <v>-------</v>
      </c>
      <c r="C26" s="212" t="str">
        <f>IF($A$25&lt;&gt;"",FIXED(C25,$AI$15,TRUE),"-------")</f>
        <v>-------</v>
      </c>
      <c r="D26" s="213" t="str">
        <f>IF($F$23&lt;3,"-------",FIXED(D25,$AI$15,TRUE))</f>
        <v>-------</v>
      </c>
      <c r="E26" s="213" t="str">
        <f>IF($F$23&lt;4,"-------",FIXED(E25,$AI$15,TRUE))</f>
        <v>-------</v>
      </c>
      <c r="F26" s="213" t="str">
        <f>IF($F$23&lt;5,"-------",FIXED(F25,$AI$15,TRUE))</f>
        <v>-------</v>
      </c>
      <c r="G26" s="213" t="str">
        <f>IF($F$23&lt;=7,"-------",FIXED(G25,$AI$15,TRUE))</f>
        <v>-------</v>
      </c>
      <c r="H26" s="213" t="str">
        <f>IF($F$23&lt;=7,"-------",FIXED(H25,$AI$15,TRUE))</f>
        <v>-------</v>
      </c>
      <c r="I26" s="213" t="str">
        <f>IF($F$23&lt;=7,"-------",FIXED(I25,$AI$15,TRUE))</f>
        <v>-------</v>
      </c>
      <c r="J26" s="213" t="str">
        <f>IF($F$23&lt;=9,"-------",FIXED(J25,$AI$15,TRUE))</f>
        <v>-------</v>
      </c>
      <c r="K26" s="213" t="str">
        <f>IF($F$23&lt;10,"-------",FIXED(K25,$AI$15,TRUE))</f>
        <v>-------</v>
      </c>
      <c r="L26" s="270">
        <f>IF(F23&lt;=1,0,IF(ABS(MAX(B25:K25)-A25)&lt;ABS(MIN(B25:K25)-A25),FIXED(MIN(B25:K25)-A25,$AI$15),FIXED(MAX(B25:K25)-A25,$AI$15)))</f>
        <v>0</v>
      </c>
      <c r="M26" s="169" t="str">
        <f>$AV$77</f>
        <v>g</v>
      </c>
      <c r="T26" s="296"/>
      <c r="U26" s="616"/>
      <c r="AG26" s="18"/>
      <c r="AH26" s="18"/>
      <c r="AI26" s="966" t="s">
        <v>312</v>
      </c>
      <c r="AJ26" s="967"/>
      <c r="AK26" s="964" t="s">
        <v>314</v>
      </c>
      <c r="AL26" s="965"/>
      <c r="AM26" s="497">
        <v>50</v>
      </c>
      <c r="AN26" s="757">
        <v>50.000022999999999</v>
      </c>
      <c r="AO26" s="493">
        <f>0.0001</f>
        <v>1E-4</v>
      </c>
      <c r="AP26" s="507">
        <f t="shared" si="1"/>
        <v>0</v>
      </c>
      <c r="AQ26" s="746"/>
      <c r="AR26" s="361">
        <f>0.447/1000</f>
        <v>4.4700000000000002E-4</v>
      </c>
      <c r="AT26" s="886" t="str">
        <f t="shared" si="11"/>
        <v/>
      </c>
      <c r="AU26" s="887"/>
      <c r="AV26" s="37"/>
      <c r="AW26" s="947" t="s">
        <v>477</v>
      </c>
      <c r="AX26" s="300"/>
      <c r="AY26" s="233"/>
      <c r="AZ26" s="51"/>
      <c r="BA26" s="238">
        <v>5</v>
      </c>
      <c r="BB26" s="234" t="e">
        <f>#REF!</f>
        <v>#REF!</v>
      </c>
      <c r="BC26" s="234" t="e">
        <f t="shared" si="12"/>
        <v>#REF!</v>
      </c>
      <c r="BD26" s="234" t="e">
        <f t="shared" si="13"/>
        <v>#REF!</v>
      </c>
      <c r="BE26" s="234" t="e">
        <f t="shared" si="14"/>
        <v>#REF!</v>
      </c>
      <c r="BF26" s="238" t="e">
        <f t="shared" si="15"/>
        <v>#REF!</v>
      </c>
      <c r="BN26" s="51"/>
      <c r="BO26" s="51"/>
      <c r="BP26" s="51"/>
      <c r="BQ26" s="51"/>
      <c r="BR26" s="51"/>
      <c r="BS26" s="51"/>
      <c r="BT26" s="51"/>
      <c r="BU26" s="51"/>
      <c r="BV26" s="51"/>
      <c r="BW26" s="51"/>
      <c r="BX26" s="51"/>
      <c r="BY26" s="51"/>
      <c r="BZ26" s="51"/>
      <c r="CA26" s="51"/>
      <c r="CB26" s="51"/>
      <c r="CC26" s="51"/>
      <c r="CD26" s="51"/>
      <c r="CE26" s="51"/>
      <c r="CF26" s="51"/>
      <c r="CG26" s="51"/>
      <c r="CH26" s="51"/>
      <c r="CI26" s="51"/>
      <c r="CJ26" s="51"/>
      <c r="CK26" s="51"/>
      <c r="CL26" s="51"/>
      <c r="CM26" s="51"/>
      <c r="CN26" s="51"/>
      <c r="CO26" s="51"/>
      <c r="CP26" s="51"/>
      <c r="CQ26" s="51"/>
      <c r="CR26" s="51"/>
      <c r="CS26" s="51"/>
      <c r="CT26" s="51"/>
    </row>
    <row r="27" spans="1:98" ht="41.25" customHeight="1" thickBot="1">
      <c r="B27" s="15"/>
      <c r="C27" s="15"/>
      <c r="D27" s="15"/>
      <c r="H27" s="16"/>
      <c r="I27" s="821"/>
      <c r="J27" s="821"/>
      <c r="K27" s="821" t="s">
        <v>616</v>
      </c>
      <c r="L27" s="37" t="s">
        <v>615</v>
      </c>
      <c r="M27" s="774" t="s">
        <v>564</v>
      </c>
      <c r="N27" s="5"/>
      <c r="T27" s="296"/>
      <c r="U27" s="368" t="s">
        <v>348</v>
      </c>
      <c r="V27" s="617" t="s">
        <v>149</v>
      </c>
      <c r="W27" s="618" t="s">
        <v>10</v>
      </c>
      <c r="X27" s="618" t="s">
        <v>336</v>
      </c>
      <c r="Y27" s="618" t="s">
        <v>156</v>
      </c>
      <c r="Z27" s="618" t="s">
        <v>337</v>
      </c>
      <c r="AA27" s="619" t="s">
        <v>453</v>
      </c>
      <c r="AB27" s="941" t="s">
        <v>322</v>
      </c>
      <c r="AC27" s="942"/>
      <c r="AD27" s="942"/>
      <c r="AE27" s="942"/>
      <c r="AF27" s="943"/>
      <c r="AG27" s="18"/>
      <c r="AH27" s="19"/>
      <c r="AI27" s="72" t="s">
        <v>154</v>
      </c>
      <c r="AJ27" s="72" t="s">
        <v>155</v>
      </c>
      <c r="AK27" s="72" t="s">
        <v>154</v>
      </c>
      <c r="AL27" s="72" t="s">
        <v>155</v>
      </c>
      <c r="AM27" s="498">
        <v>100</v>
      </c>
      <c r="AN27" s="506">
        <v>100.00005299999999</v>
      </c>
      <c r="AO27" s="490">
        <f>0.00016</f>
        <v>1.6000000000000001E-4</v>
      </c>
      <c r="AP27" s="507">
        <f t="shared" si="1"/>
        <v>0</v>
      </c>
      <c r="AQ27" s="746"/>
      <c r="AR27" s="362">
        <f>SQRT((8.89/1000)^2/3)</f>
        <v>5.1326438930957728E-3</v>
      </c>
      <c r="AT27" s="886" t="str">
        <f t="shared" si="11"/>
        <v/>
      </c>
      <c r="AU27" s="887"/>
      <c r="AV27" s="37"/>
      <c r="AW27" s="947"/>
      <c r="AX27" s="300"/>
      <c r="AY27" s="233"/>
      <c r="AZ27" s="51"/>
      <c r="BA27" s="238">
        <v>6</v>
      </c>
      <c r="BB27" s="234" t="e">
        <f>#REF!</f>
        <v>#REF!</v>
      </c>
      <c r="BC27" s="234" t="e">
        <f t="shared" si="12"/>
        <v>#REF!</v>
      </c>
      <c r="BD27" s="234" t="e">
        <f t="shared" si="13"/>
        <v>#REF!</v>
      </c>
      <c r="BE27" s="234" t="e">
        <f t="shared" si="14"/>
        <v>#REF!</v>
      </c>
      <c r="BF27" s="238" t="e">
        <f t="shared" si="15"/>
        <v>#REF!</v>
      </c>
      <c r="BN27" s="51"/>
      <c r="BO27" s="51"/>
      <c r="BP27" s="51"/>
      <c r="BQ27" s="51"/>
      <c r="BR27" s="51"/>
      <c r="BS27" s="51"/>
      <c r="BT27" s="51"/>
      <c r="BU27" s="51"/>
      <c r="BV27" s="51"/>
      <c r="BW27" s="51"/>
      <c r="BX27" s="51"/>
      <c r="BY27" s="51"/>
      <c r="BZ27" s="51"/>
      <c r="CA27" s="51"/>
      <c r="CB27" s="51"/>
      <c r="CC27" s="51"/>
      <c r="CD27" s="51"/>
      <c r="CE27" s="51"/>
      <c r="CF27" s="51"/>
      <c r="CG27" s="51"/>
      <c r="CH27" s="51"/>
      <c r="CI27" s="51"/>
      <c r="CJ27" s="51"/>
      <c r="CK27" s="51"/>
      <c r="CL27" s="51"/>
      <c r="CM27" s="51"/>
      <c r="CN27" s="51"/>
      <c r="CO27" s="51"/>
      <c r="CP27" s="51"/>
      <c r="CQ27" s="51"/>
      <c r="CR27" s="51"/>
      <c r="CS27" s="51"/>
      <c r="CT27" s="51"/>
    </row>
    <row r="28" spans="1:98" ht="21" customHeight="1" thickBot="1">
      <c r="A28" s="772" t="s">
        <v>419</v>
      </c>
      <c r="B28" s="299"/>
      <c r="C28" s="299"/>
      <c r="D28" s="299"/>
      <c r="E28" s="584"/>
      <c r="F28" s="299"/>
      <c r="G28" s="299"/>
      <c r="H28" s="299"/>
      <c r="I28" s="825"/>
      <c r="J28" s="825"/>
      <c r="K28" s="825"/>
      <c r="L28" s="771"/>
      <c r="M28" s="773">
        <f>IF(AND(L28&lt;&gt;"",I28&lt;&gt;""),"",IF(I28&lt;&gt;"",STDEV(I28:K28),IF(L28=1,STDEV(G32:G36),IF(L28=2,STDEV(G37:G41),IF(L28=3,STDEV(G43:G47),IF(L28=4,STDEV(G49:G53),IF(L28=5,STDEV(G55:G59),IF(L28=6,STDEV(G61:G65),IF(L28=7,STDEV(G67:G71),STDEV(G73:G77))))))))))</f>
        <v>0</v>
      </c>
      <c r="U28" s="369" t="s">
        <v>349</v>
      </c>
      <c r="V28" s="324" t="s">
        <v>334</v>
      </c>
      <c r="W28" s="325" t="s">
        <v>347</v>
      </c>
      <c r="X28" s="328" t="s">
        <v>335</v>
      </c>
      <c r="Y28" s="326" t="s">
        <v>317</v>
      </c>
      <c r="Z28" s="325" t="s">
        <v>318</v>
      </c>
      <c r="AA28" s="607" t="s">
        <v>454</v>
      </c>
      <c r="AB28" s="393" t="s">
        <v>150</v>
      </c>
      <c r="AC28" s="318" t="s">
        <v>321</v>
      </c>
      <c r="AD28" s="392" t="s">
        <v>318</v>
      </c>
      <c r="AE28" s="319" t="s">
        <v>6</v>
      </c>
      <c r="AF28" s="391" t="s">
        <v>332</v>
      </c>
      <c r="AG28" s="6"/>
      <c r="AH28" s="19" t="s">
        <v>11</v>
      </c>
      <c r="AI28" s="670">
        <f t="shared" ref="AI28:AI37" si="16">IF(ISERROR(VLOOKUP(B32,$AM$7:$AO$255,2,FALSE)),0,(VLOOKUP(B32,$AM$7:$AO$255,2,FALSE)*$AV$78))</f>
        <v>0</v>
      </c>
      <c r="AJ28" s="671">
        <f t="shared" ref="AJ28:AJ37" si="17">IF(ISERROR(VLOOKUP(C32,$AM$7:$AO$255,2,FALSE)),0,(VLOOKUP(C32,$AM$7:$AO$255,2,FALSE)*$AV$78))</f>
        <v>0</v>
      </c>
      <c r="AK28" s="271">
        <f t="shared" ref="AK28:AK37" si="18">IF(ISERROR(VLOOKUP(B32,$AM$7:$AO$255,3,FALSE)),0,(VLOOKUP(B32,$AM$7:$AO$255,3,FALSE)*$AV$78))</f>
        <v>0</v>
      </c>
      <c r="AL28" s="54">
        <f t="shared" ref="AL28:AL37" si="19">IF(ISERROR(VLOOKUP(C32,$AM$7:$AO$255,3,FALSE)),0,(VLOOKUP(C32,$AM$7:$AO$255,3,FALSE)*$AV$78))</f>
        <v>0</v>
      </c>
      <c r="AM28" s="499">
        <v>200</v>
      </c>
      <c r="AN28" s="506">
        <v>199.99995999999999</v>
      </c>
      <c r="AO28" s="490">
        <f>0.0003</f>
        <v>2.9999999999999997E-4</v>
      </c>
      <c r="AP28" s="507">
        <f t="shared" si="1"/>
        <v>0</v>
      </c>
      <c r="AQ28" s="746"/>
      <c r="AR28" s="362">
        <f>SQRT((8.89/1000)^2/3)</f>
        <v>5.1326438930957728E-3</v>
      </c>
      <c r="AT28" s="886" t="str">
        <f t="shared" si="11"/>
        <v/>
      </c>
      <c r="AU28" s="887"/>
      <c r="AW28" s="715"/>
      <c r="AX28" s="300"/>
      <c r="AY28" s="51"/>
      <c r="AZ28" s="51"/>
      <c r="BA28" s="238">
        <v>7</v>
      </c>
      <c r="BB28" s="234" t="e">
        <f>#REF!</f>
        <v>#REF!</v>
      </c>
      <c r="BC28" s="234" t="e">
        <f t="shared" si="12"/>
        <v>#REF!</v>
      </c>
      <c r="BD28" s="234" t="e">
        <f t="shared" si="13"/>
        <v>#REF!</v>
      </c>
      <c r="BE28" s="234" t="e">
        <f t="shared" si="14"/>
        <v>#REF!</v>
      </c>
      <c r="BF28" s="238" t="e">
        <f t="shared" si="15"/>
        <v>#REF!</v>
      </c>
      <c r="BN28" s="51"/>
      <c r="BO28" s="51"/>
      <c r="BP28" s="51"/>
      <c r="BQ28" s="51"/>
      <c r="BR28" s="51"/>
      <c r="BS28" s="51"/>
      <c r="BT28" s="51"/>
      <c r="BU28" s="51"/>
      <c r="BV28" s="51"/>
      <c r="BW28" s="51"/>
      <c r="BX28" s="51"/>
      <c r="BY28" s="51"/>
      <c r="BZ28" s="51"/>
      <c r="CA28" s="51"/>
      <c r="CB28" s="51"/>
      <c r="CC28" s="51"/>
      <c r="CD28" s="51"/>
      <c r="CE28" s="51"/>
      <c r="CF28" s="51"/>
      <c r="CG28" s="51"/>
      <c r="CH28" s="51"/>
      <c r="CI28" s="51"/>
      <c r="CJ28" s="51"/>
      <c r="CK28" s="51"/>
      <c r="CL28" s="51"/>
      <c r="CM28" s="51"/>
      <c r="CN28" s="51"/>
      <c r="CO28" s="51"/>
      <c r="CP28" s="51"/>
      <c r="CQ28" s="51"/>
      <c r="CR28" s="51"/>
      <c r="CS28" s="51"/>
      <c r="CT28" s="51"/>
    </row>
    <row r="29" spans="1:98" s="21" customFormat="1" ht="29.25" customHeight="1" thickBot="1">
      <c r="A29" s="1004" t="s">
        <v>340</v>
      </c>
      <c r="B29" s="1014" t="s">
        <v>285</v>
      </c>
      <c r="C29" s="1010"/>
      <c r="D29" s="1015"/>
      <c r="E29" s="566" t="s">
        <v>447</v>
      </c>
      <c r="F29" s="566" t="s">
        <v>451</v>
      </c>
      <c r="G29" s="1009" t="s">
        <v>412</v>
      </c>
      <c r="H29" s="1010"/>
      <c r="I29" s="1011"/>
      <c r="J29" s="823" t="s">
        <v>318</v>
      </c>
      <c r="K29" s="824" t="s">
        <v>6</v>
      </c>
      <c r="L29" s="203" t="s">
        <v>446</v>
      </c>
      <c r="M29" s="956" t="s">
        <v>330</v>
      </c>
      <c r="O29" s="983" t="s">
        <v>346</v>
      </c>
      <c r="P29" s="984"/>
      <c r="Q29" s="937" t="s">
        <v>152</v>
      </c>
      <c r="R29" s="938"/>
      <c r="S29" s="985" t="s">
        <v>263</v>
      </c>
      <c r="T29" s="986"/>
      <c r="U29" s="602" t="s">
        <v>456</v>
      </c>
      <c r="V29" s="394">
        <f>IF($H$14="Sim",$C$14/4,IF($E$14="",$C$14/2,$E$14/2))</f>
        <v>0</v>
      </c>
      <c r="W29" s="395">
        <f>V29^2/3</f>
        <v>0</v>
      </c>
      <c r="X29" s="396">
        <f t="shared" ref="X29:X34" si="20">SQRT(W29)</f>
        <v>0</v>
      </c>
      <c r="Y29" s="396">
        <v>1</v>
      </c>
      <c r="Z29" s="396">
        <v>50000000</v>
      </c>
      <c r="AA29" s="397">
        <f>(X29*Y29)^2</f>
        <v>0</v>
      </c>
      <c r="AF29" s="389"/>
      <c r="AG29" s="327" t="s">
        <v>333</v>
      </c>
      <c r="AH29" s="19"/>
      <c r="AI29" s="672">
        <f t="shared" si="16"/>
        <v>0</v>
      </c>
      <c r="AJ29" s="673">
        <f t="shared" si="17"/>
        <v>0</v>
      </c>
      <c r="AK29" s="272">
        <f t="shared" si="18"/>
        <v>0</v>
      </c>
      <c r="AL29" s="56">
        <f t="shared" si="19"/>
        <v>0</v>
      </c>
      <c r="AM29" s="499" t="s">
        <v>48</v>
      </c>
      <c r="AN29" s="506">
        <v>199.99997999999999</v>
      </c>
      <c r="AO29" s="490">
        <f>0.0003</f>
        <v>2.9999999999999997E-4</v>
      </c>
      <c r="AP29" s="507">
        <f t="shared" si="1"/>
        <v>0</v>
      </c>
      <c r="AQ29" s="746"/>
      <c r="AR29" s="362">
        <f>SQRT((8.89/1000)^2/3)</f>
        <v>5.1326438930957728E-3</v>
      </c>
      <c r="AS29"/>
      <c r="AT29" s="886" t="str">
        <f t="shared" si="11"/>
        <v/>
      </c>
      <c r="AU29" s="887"/>
      <c r="AV29" s="50"/>
      <c r="AW29" s="715"/>
      <c r="AX29" s="300"/>
      <c r="AY29" s="51"/>
      <c r="AZ29" s="51"/>
      <c r="BA29" s="238">
        <v>8</v>
      </c>
      <c r="BB29" s="234" t="e">
        <f>#REF!</f>
        <v>#REF!</v>
      </c>
      <c r="BC29" s="234" t="e">
        <f t="shared" si="12"/>
        <v>#REF!</v>
      </c>
      <c r="BD29" s="234" t="e">
        <f t="shared" si="13"/>
        <v>#REF!</v>
      </c>
      <c r="BE29" s="234" t="e">
        <f t="shared" si="14"/>
        <v>#REF!</v>
      </c>
      <c r="BF29" s="238" t="e">
        <f t="shared" si="15"/>
        <v>#REF!</v>
      </c>
      <c r="BG29"/>
      <c r="BH29"/>
      <c r="BI29"/>
      <c r="BJ29"/>
      <c r="BK29"/>
      <c r="BL29"/>
      <c r="BM29"/>
      <c r="BN29" s="51"/>
      <c r="BO29" s="51"/>
      <c r="BP29" s="51"/>
      <c r="BQ29" s="51"/>
      <c r="BR29" s="51"/>
      <c r="BS29" s="51"/>
      <c r="BT29" s="51"/>
      <c r="BU29" s="51"/>
      <c r="BV29" s="51"/>
      <c r="BW29" s="51"/>
      <c r="BX29" s="51"/>
      <c r="BY29" s="51"/>
      <c r="BZ29" s="51"/>
      <c r="CA29" s="51"/>
      <c r="CB29" s="51"/>
      <c r="CC29" s="51"/>
      <c r="CD29" s="51"/>
      <c r="CE29" s="51"/>
      <c r="CF29" s="51"/>
      <c r="CG29" s="51"/>
      <c r="CH29" s="51"/>
      <c r="CI29" s="51"/>
      <c r="CJ29" s="51"/>
      <c r="CK29" s="51"/>
      <c r="CL29" s="51"/>
      <c r="CM29" s="51"/>
      <c r="CN29" s="51"/>
      <c r="CO29" s="51"/>
      <c r="CP29" s="51"/>
      <c r="CQ29" s="51"/>
      <c r="CR29" s="51"/>
      <c r="CS29" s="51"/>
      <c r="CT29" s="51"/>
    </row>
    <row r="30" spans="1:98" s="21" customFormat="1" ht="39.75" customHeight="1" thickBot="1">
      <c r="A30" s="1005"/>
      <c r="B30" s="1016" t="s">
        <v>438</v>
      </c>
      <c r="C30" s="1017"/>
      <c r="D30" s="568" t="s">
        <v>449</v>
      </c>
      <c r="E30" s="568" t="s">
        <v>448</v>
      </c>
      <c r="F30" s="581" t="s">
        <v>457</v>
      </c>
      <c r="G30" s="577" t="s">
        <v>450</v>
      </c>
      <c r="H30" s="204" t="s">
        <v>8</v>
      </c>
      <c r="I30" s="578" t="s">
        <v>9</v>
      </c>
      <c r="J30" s="308" t="s">
        <v>331</v>
      </c>
      <c r="K30" s="205"/>
      <c r="L30" s="206" t="s">
        <v>3</v>
      </c>
      <c r="M30" s="957"/>
      <c r="O30" s="981"/>
      <c r="P30" s="982"/>
      <c r="Q30" s="939" t="s">
        <v>339</v>
      </c>
      <c r="R30" s="940"/>
      <c r="S30" s="981"/>
      <c r="T30" s="982"/>
      <c r="U30" s="653" t="s">
        <v>455</v>
      </c>
      <c r="V30" s="654">
        <f>IF($E$14="",$C$14/2,$E$14/2)</f>
        <v>0</v>
      </c>
      <c r="W30" s="655">
        <f>V30^2/3</f>
        <v>0</v>
      </c>
      <c r="X30" s="655">
        <f t="shared" si="20"/>
        <v>0</v>
      </c>
      <c r="Y30" s="655">
        <v>1</v>
      </c>
      <c r="Z30" s="655">
        <v>50000000</v>
      </c>
      <c r="AA30" s="656">
        <f>(X30*Y30)^2</f>
        <v>0</v>
      </c>
      <c r="AB30" s="77"/>
      <c r="AC30" s="18"/>
      <c r="AD30" s="18"/>
      <c r="AE30" s="18"/>
      <c r="AF30" s="78"/>
      <c r="AG30" s="6">
        <f>IF(I34&gt;0,$C$14,-$C$14)</f>
        <v>0</v>
      </c>
      <c r="AI30" s="672">
        <f t="shared" si="16"/>
        <v>0</v>
      </c>
      <c r="AJ30" s="673">
        <f t="shared" si="17"/>
        <v>0</v>
      </c>
      <c r="AK30" s="272">
        <f t="shared" si="18"/>
        <v>0</v>
      </c>
      <c r="AL30" s="56">
        <f t="shared" si="19"/>
        <v>0</v>
      </c>
      <c r="AM30" s="500">
        <v>500</v>
      </c>
      <c r="AN30" s="757">
        <v>499.99968999999999</v>
      </c>
      <c r="AO30" s="493">
        <f>0.0008</f>
        <v>8.0000000000000004E-4</v>
      </c>
      <c r="AP30" s="507">
        <f t="shared" si="1"/>
        <v>0</v>
      </c>
      <c r="AQ30" s="746"/>
      <c r="AR30" s="362">
        <f>SQRT((8.89/1000)^2/3)</f>
        <v>5.1326438930957728E-3</v>
      </c>
      <c r="AS30"/>
      <c r="AT30" s="886" t="str">
        <f t="shared" si="11"/>
        <v/>
      </c>
      <c r="AU30" s="887"/>
      <c r="AV30"/>
      <c r="AW30" s="715"/>
      <c r="AX30" s="300"/>
      <c r="AY30"/>
      <c r="AZ30" s="17"/>
      <c r="BA30" s="243"/>
      <c r="BB30" s="244"/>
      <c r="BC30" s="244"/>
      <c r="BD30" s="244"/>
      <c r="BE30" s="244"/>
      <c r="BF30" s="245"/>
      <c r="BG30"/>
      <c r="BH30"/>
      <c r="BI30"/>
      <c r="BJ30"/>
      <c r="BK30"/>
      <c r="BL30"/>
      <c r="BM30"/>
      <c r="BN30" s="17"/>
      <c r="BO30" s="17"/>
      <c r="BP30" s="17"/>
      <c r="BQ30" s="17"/>
      <c r="BR30" s="17"/>
      <c r="BS30" s="17"/>
      <c r="BT30" s="17"/>
      <c r="BU30" s="17"/>
    </row>
    <row r="31" spans="1:98" s="21" customFormat="1" ht="30.75" customHeight="1" thickBot="1">
      <c r="A31" s="593" t="s">
        <v>452</v>
      </c>
      <c r="B31" s="1012">
        <v>0</v>
      </c>
      <c r="C31" s="1013"/>
      <c r="D31" s="594">
        <v>0</v>
      </c>
      <c r="E31" s="595" t="str">
        <f>$AV$77</f>
        <v>g</v>
      </c>
      <c r="F31" s="595" t="str">
        <f>$AV$77</f>
        <v>g</v>
      </c>
      <c r="G31" s="307">
        <v>0</v>
      </c>
      <c r="H31" s="216" t="str">
        <f>IF(G31&lt;&gt;" ",FIXED(IF($E$14&lt;&gt;0,MROUND(G31,$E$14),MROUND(G31,$C$14)),LEN(L31)-2,TRUE),"------")</f>
        <v>0,0000000</v>
      </c>
      <c r="I31" s="217" t="str">
        <f>FIXED((H31-0),LEN(L31)-2)</f>
        <v>0,0000000</v>
      </c>
      <c r="J31" s="218" t="str">
        <f>"&gt; 500"</f>
        <v>&gt; 500</v>
      </c>
      <c r="K31" s="219">
        <v>2</v>
      </c>
      <c r="L31" s="309" t="str">
        <f>BF9</f>
        <v>0,0000000</v>
      </c>
      <c r="M31" s="311"/>
      <c r="O31" s="981" t="s">
        <v>281</v>
      </c>
      <c r="P31" s="982"/>
      <c r="Q31" s="981" t="s">
        <v>281</v>
      </c>
      <c r="R31" s="982"/>
      <c r="S31" s="981" t="s">
        <v>281</v>
      </c>
      <c r="T31" s="982"/>
      <c r="U31" s="658"/>
      <c r="V31" s="613" t="str">
        <f>IF($I$23&lt;&gt;"",ABS(($L$26*(F34/(2*$I$23)))), IF('2º MR-MI'!$I$23&lt;&gt;"",ABS(('2º MR-MI'!$L$26*(F34/(2*'2º MR-MI'!$I$23)))),IF('3º MR-MI'!$I$23&lt;&gt;"",ABS(('3º MR-MI'!$L$26*(F34/(2*'3º MR-MI'!$I$23)))),"")))</f>
        <v/>
      </c>
      <c r="W31" s="614">
        <f>IF(V31="",0,(V31)^2/3)</f>
        <v>0</v>
      </c>
      <c r="X31" s="614">
        <f t="shared" si="20"/>
        <v>0</v>
      </c>
      <c r="Y31" s="614">
        <v>1</v>
      </c>
      <c r="Z31" s="614">
        <v>50</v>
      </c>
      <c r="AA31" s="615">
        <f>IF(V31="",0,(X31*Y31)^2)</f>
        <v>0</v>
      </c>
      <c r="AB31" s="79"/>
      <c r="AC31" s="17"/>
      <c r="AD31" s="22"/>
      <c r="AE31" s="23"/>
      <c r="AF31" s="80"/>
      <c r="AG31" s="6"/>
      <c r="AH31" s="19"/>
      <c r="AI31" s="672">
        <f t="shared" si="16"/>
        <v>0</v>
      </c>
      <c r="AJ31" s="673">
        <f t="shared" si="17"/>
        <v>0</v>
      </c>
      <c r="AK31" s="272">
        <f t="shared" si="18"/>
        <v>0</v>
      </c>
      <c r="AL31" s="56">
        <f t="shared" si="19"/>
        <v>0</v>
      </c>
      <c r="AM31" s="501">
        <v>1000</v>
      </c>
      <c r="AN31" s="512">
        <v>1000.00082</v>
      </c>
      <c r="AO31" s="502">
        <f>0.0016</f>
        <v>1.6000000000000001E-3</v>
      </c>
      <c r="AP31" s="511">
        <f t="shared" si="1"/>
        <v>0</v>
      </c>
      <c r="AQ31" s="746"/>
      <c r="AR31" s="362">
        <f>SQRT((8.89/1000)^2/3)</f>
        <v>5.1326438930957728E-3</v>
      </c>
      <c r="AS31"/>
      <c r="AT31" s="886" t="str">
        <f t="shared" si="11"/>
        <v/>
      </c>
      <c r="AU31" s="887"/>
      <c r="AV31"/>
      <c r="AW31" s="232" t="s">
        <v>123</v>
      </c>
      <c r="AX31" s="232"/>
      <c r="AY31"/>
      <c r="AZ31" s="17"/>
      <c r="BA31" s="243"/>
      <c r="BB31" s="244"/>
      <c r="BC31" s="244"/>
      <c r="BD31" s="244"/>
      <c r="BE31" s="244"/>
      <c r="BF31" s="245"/>
      <c r="BG31"/>
      <c r="BH31"/>
      <c r="BI31"/>
      <c r="BJ31"/>
      <c r="BK31"/>
      <c r="BL31"/>
      <c r="BM31"/>
      <c r="BN31" s="17"/>
      <c r="BO31" s="17"/>
      <c r="BP31" s="17"/>
      <c r="BQ31" s="17"/>
      <c r="BR31" s="17"/>
      <c r="BS31" s="17"/>
      <c r="BT31" s="17"/>
      <c r="BU31" s="17"/>
    </row>
    <row r="32" spans="1:98" s="21" customFormat="1" ht="42" customHeight="1" thickBot="1">
      <c r="A32" s="1006">
        <v>1</v>
      </c>
      <c r="B32" s="596"/>
      <c r="C32" s="336"/>
      <c r="D32" s="590">
        <f>SUM(AI28:AI32,AJ28:AJ32)</f>
        <v>0</v>
      </c>
      <c r="E32" s="244"/>
      <c r="F32" s="567"/>
      <c r="G32" s="579"/>
      <c r="H32" s="207"/>
      <c r="I32" s="208"/>
      <c r="J32" s="208"/>
      <c r="K32" s="209"/>
      <c r="L32" s="209"/>
      <c r="M32" s="312"/>
      <c r="O32" s="356">
        <f t="shared" ref="O32:O41" si="21">AK28</f>
        <v>0</v>
      </c>
      <c r="P32" s="358">
        <f t="shared" ref="P32:P41" si="22">AL28</f>
        <v>0</v>
      </c>
      <c r="Q32" s="259">
        <f t="shared" ref="Q32:Q41" si="23">IF(ABS($L$13-$K$13)&gt;3,IF(ISERROR(VLOOKUP(B32,$AY$58:$BB$80,3,FALSE)),0,(VLOOKUP(B32,$AY$58:$BB$80,3,FALSE)*$AV$78)),IF(ISERROR(VLOOKUP(B32,$AY$58:$BB$80,4,FALSE)),0,(VLOOKUP(B32,$AY$58:$BB$80,4,FALSE)*$AV$78)))</f>
        <v>0</v>
      </c>
      <c r="R32" s="763">
        <f t="shared" ref="R32:R41" si="24">IF(ABS($L$13-$K$13)&gt;3,IF(ISERROR(VLOOKUP(C32,$AY$58:$BB$80,3,FALSE)),0,(VLOOKUP(C32,$AY$58:$BB$80,3,FALSE)*$AV$78)),IF(ISERROR(VLOOKUP(C32,$AY$58:$BB$80,4,FALSE)),0,(VLOOKUP(C32,$AY$58:$BB$80,4,FALSE)*$AV$78)))</f>
        <v>0</v>
      </c>
      <c r="S32" s="667">
        <f t="shared" ref="S32:S41" si="25">IF($J$19="Não",IF(ISERROR(VLOOKUP(B32,$AM$15:$AR$255,6,FALSE)),0,(VLOOKUP(B32,$AM$15:$AR$255,6,FALSE)*$AV$78)),0)</f>
        <v>0</v>
      </c>
      <c r="T32" s="158">
        <f t="shared" ref="T32:T41" si="26">IF($J$19="Não",IF(ISERROR(VLOOKUP(C32,$AM$15:$AR$255,6,FALSE)),0,(VLOOKUP(C32,$AM$15:$AR$255,6,FALSE)*$AV$78)),0)</f>
        <v>0</v>
      </c>
      <c r="U32" s="766"/>
      <c r="V32" s="826">
        <f>IF(G33&lt;&gt;"",STDEV(G32:G36),$M$28)</f>
        <v>0</v>
      </c>
      <c r="W32" s="330">
        <f>IF(G33="",V32^2,V32^2/(Z32+1))</f>
        <v>0</v>
      </c>
      <c r="X32" s="330">
        <f t="shared" si="20"/>
        <v>0</v>
      </c>
      <c r="Y32" s="330">
        <v>1</v>
      </c>
      <c r="Z32" s="330">
        <f>IF(G33="",2,COUNT(G32:G36)-1)</f>
        <v>3</v>
      </c>
      <c r="AA32" s="331">
        <f>(Y32*X32)^2</f>
        <v>0</v>
      </c>
      <c r="AB32" s="79"/>
      <c r="AC32" s="17"/>
      <c r="AD32" s="22"/>
      <c r="AE32" s="23"/>
      <c r="AF32" s="80"/>
      <c r="AG32" s="6"/>
      <c r="AH32" s="27"/>
      <c r="AI32" s="674">
        <f t="shared" si="16"/>
        <v>0</v>
      </c>
      <c r="AJ32" s="675">
        <f t="shared" si="17"/>
        <v>0</v>
      </c>
      <c r="AK32" s="273">
        <f t="shared" si="18"/>
        <v>0</v>
      </c>
      <c r="AL32" s="58">
        <f t="shared" si="19"/>
        <v>0</v>
      </c>
      <c r="AM32" s="543">
        <v>716</v>
      </c>
      <c r="AN32" s="532" t="s">
        <v>525</v>
      </c>
      <c r="AO32" s="533" t="str">
        <f>IF(AP32=0,"NÃO","SIM")</f>
        <v>NÃO</v>
      </c>
      <c r="AP32" s="534">
        <f>IF(ISERROR(SUM(AP33:AP60)+'2º MR-MI'!AP33:AP60+'3º MR-MI'!AP33:AP60),SUM(AP33:AP60),SUM(AP33:AP60)+'2º MR-MI'!AP33:AP60+'3º MR-MI'!AP33:AP60)</f>
        <v>0</v>
      </c>
      <c r="AQ32" s="534"/>
      <c r="AR32" s="93"/>
      <c r="AS32"/>
      <c r="AT32" s="886" t="str">
        <f t="shared" si="11"/>
        <v/>
      </c>
      <c r="AU32" s="887"/>
      <c r="AV32"/>
      <c r="AW32" s="714"/>
      <c r="AX32"/>
      <c r="BA32" s="244"/>
      <c r="BB32" s="244"/>
      <c r="BC32" s="244"/>
      <c r="BD32" s="244"/>
      <c r="BE32" s="245"/>
      <c r="BF32"/>
      <c r="BG32"/>
      <c r="BH32"/>
      <c r="BI32"/>
      <c r="BJ32"/>
      <c r="BK32"/>
      <c r="BL32"/>
    </row>
    <row r="33" spans="1:85" s="21" customFormat="1" ht="47.25" customHeight="1" thickBot="1">
      <c r="A33" s="1007"/>
      <c r="B33" s="597"/>
      <c r="C33" s="337"/>
      <c r="D33" s="587"/>
      <c r="E33" s="244"/>
      <c r="F33" s="567"/>
      <c r="G33" s="580">
        <f>G32</f>
        <v>0</v>
      </c>
      <c r="H33" s="207"/>
      <c r="I33" s="208"/>
      <c r="J33" s="208"/>
      <c r="K33" s="209"/>
      <c r="L33" s="209"/>
      <c r="M33" s="312"/>
      <c r="O33" s="355">
        <f t="shared" si="21"/>
        <v>0</v>
      </c>
      <c r="P33" s="359">
        <f t="shared" si="22"/>
        <v>0</v>
      </c>
      <c r="Q33" s="261">
        <f t="shared" si="23"/>
        <v>0</v>
      </c>
      <c r="R33" s="764">
        <f t="shared" si="24"/>
        <v>0</v>
      </c>
      <c r="S33" s="668">
        <f t="shared" si="25"/>
        <v>0</v>
      </c>
      <c r="T33" s="159">
        <f t="shared" si="26"/>
        <v>0</v>
      </c>
      <c r="U33" s="767" t="s">
        <v>338</v>
      </c>
      <c r="V33" s="366" t="str">
        <f>IF($I$9="Não","",IF($L$9="SIM",IF(L$11&lt;&gt;K$11,ABS(L$11-K$11)*($D32/J$11),0),ABS($M34)))</f>
        <v/>
      </c>
      <c r="W33" s="363">
        <f>IF(V33="",0,V33^2/3)</f>
        <v>0</v>
      </c>
      <c r="X33" s="363">
        <f t="shared" si="20"/>
        <v>0</v>
      </c>
      <c r="Y33" s="364">
        <v>1</v>
      </c>
      <c r="Z33" s="365">
        <v>50</v>
      </c>
      <c r="AA33" s="367">
        <f>IF(V33="",0,(X33*Y33)^2)</f>
        <v>0</v>
      </c>
      <c r="AB33" s="387"/>
      <c r="AF33" s="388"/>
      <c r="AG33" s="6"/>
      <c r="AH33" s="19" t="s">
        <v>12</v>
      </c>
      <c r="AI33" s="53">
        <f t="shared" si="16"/>
        <v>0</v>
      </c>
      <c r="AJ33" s="60">
        <f t="shared" si="17"/>
        <v>0</v>
      </c>
      <c r="AK33" s="271">
        <f t="shared" si="18"/>
        <v>0</v>
      </c>
      <c r="AL33" s="54">
        <f t="shared" si="19"/>
        <v>0</v>
      </c>
      <c r="AM33" s="489" t="s">
        <v>167</v>
      </c>
      <c r="AN33" s="520">
        <v>1.0034E-3</v>
      </c>
      <c r="AO33" s="490">
        <f>(0.02/1000)</f>
        <v>2.0000000000000002E-5</v>
      </c>
      <c r="AP33" s="507">
        <f t="shared" ref="AP33:AP60" si="27">IF(ISERROR(MATCH(AM33,$B$32:$B$77,0)),0,(MATCH(AM33,$B$32:$B$77,0)))+IF(ISERROR(MATCH(AM33,$C$32:$C$77,0)),0,(MATCH(AM33,$C$32:$C$77,0)))</f>
        <v>0</v>
      </c>
      <c r="AQ33" s="507"/>
      <c r="AR33" s="92"/>
      <c r="AS33"/>
      <c r="AT33" s="886" t="str">
        <f t="shared" si="11"/>
        <v/>
      </c>
      <c r="AU33" s="887"/>
      <c r="AV33"/>
      <c r="AW33" s="714"/>
      <c r="AX33"/>
      <c r="AY33" s="17"/>
      <c r="AZ33" s="17"/>
      <c r="BF33"/>
      <c r="BG33"/>
      <c r="BH33"/>
      <c r="BI33"/>
      <c r="BJ33"/>
      <c r="BK33"/>
      <c r="BL33"/>
      <c r="BM33" s="17"/>
      <c r="BN33" s="17"/>
      <c r="BO33" s="17"/>
      <c r="BP33" s="17"/>
      <c r="BQ33" s="17"/>
      <c r="BR33" s="17"/>
      <c r="BS33" s="17"/>
      <c r="BT33" s="17"/>
    </row>
    <row r="34" spans="1:85" s="21" customFormat="1" ht="48.75" customHeight="1" thickBot="1">
      <c r="A34" s="1007"/>
      <c r="B34" s="597"/>
      <c r="C34" s="337"/>
      <c r="D34" s="592" t="str">
        <f>FIXED(MROUND(D32,IF($E$14&lt;&gt;0,$E$14/10,$C$14/10)),$AI$15+1,TRUE)</f>
        <v>0,0</v>
      </c>
      <c r="E34" s="599"/>
      <c r="F34" s="600" t="str">
        <f>FIXED(MROUND(D34,$C$14/10),$AI$15+1,TRUE)</f>
        <v>0,0</v>
      </c>
      <c r="G34" s="580">
        <f>G33</f>
        <v>0</v>
      </c>
      <c r="H34" s="223" t="str">
        <f>IF(OR(D32&lt;&gt;0,E34&lt;&gt;0),AVERAGE(G32:G36),"-------")</f>
        <v>-------</v>
      </c>
      <c r="I34" s="224" t="str">
        <f>IF(OR(D32&lt;&gt;0,E34&lt;&gt;0),(H36-F34),"-------")</f>
        <v>-------</v>
      </c>
      <c r="J34" s="224" t="str">
        <f>IF(OR(B32&lt;&gt;"",E34&lt;&gt;""),ROUNDDOWN(AD34,0),"-------")</f>
        <v>-------</v>
      </c>
      <c r="K34" s="225" t="e">
        <f>IF(G32="===","------",AE34)</f>
        <v>#DIV/0!</v>
      </c>
      <c r="L34" s="225" t="str">
        <f>IF(OR(B32&lt;&gt;"",E34&lt;&gt;""),AF34,"-------")</f>
        <v>-------</v>
      </c>
      <c r="M34" s="313" t="str">
        <f>IF($H$11&lt;&gt;"",FIXED(ROUND(D32*($H$11-$H$10)/$H$10,$AI$15),$AI$15),"")</f>
        <v/>
      </c>
      <c r="O34" s="355">
        <f t="shared" si="21"/>
        <v>0</v>
      </c>
      <c r="P34" s="359">
        <f t="shared" si="22"/>
        <v>0</v>
      </c>
      <c r="Q34" s="261">
        <f t="shared" si="23"/>
        <v>0</v>
      </c>
      <c r="R34" s="764">
        <f t="shared" si="24"/>
        <v>0</v>
      </c>
      <c r="S34" s="668">
        <f t="shared" si="25"/>
        <v>0</v>
      </c>
      <c r="T34" s="159">
        <f t="shared" si="26"/>
        <v>0</v>
      </c>
      <c r="U34" s="768"/>
      <c r="V34" s="606">
        <f>(SUM(O32:O36,P32:P36))</f>
        <v>0</v>
      </c>
      <c r="W34" s="370">
        <f>V34^2/3</f>
        <v>0</v>
      </c>
      <c r="X34" s="370">
        <f t="shared" si="20"/>
        <v>0</v>
      </c>
      <c r="Y34" s="370">
        <v>1</v>
      </c>
      <c r="Z34" s="370">
        <v>50</v>
      </c>
      <c r="AA34" s="371">
        <f>IF(V34="","",(X34*Y34)^2)</f>
        <v>0</v>
      </c>
      <c r="AB34" s="386">
        <f>SUM(AA29:AA36,AA81,AA92)</f>
        <v>0</v>
      </c>
      <c r="AC34" s="17">
        <f>SQRT(AB34)</f>
        <v>0</v>
      </c>
      <c r="AD34" s="283" t="e">
        <f>(AC34^4)/(((($X$29*$Y$29)^4)/$Z$29)+((($X$30*$Y$30)^4)/$Z$30)+((($X$31*$Y$31)^4)/$Z$31)+(((X32*Y32)^4)/Z32)+(((X33*Y33)^4)/Z33)+(((X34*Y34)^4)/Z34)+(((X35*Y35)^4)/Z35)+(((X36*Y36)^4)/Z36)+(((X81*Y81)^4)/Z81)+(((X92*Y92)^4)/Z92))</f>
        <v>#DIV/0!</v>
      </c>
      <c r="AE34" s="23" t="e">
        <f>TINV(0.0455,AD34)</f>
        <v>#DIV/0!</v>
      </c>
      <c r="AF34" s="390" t="e">
        <f>CEILING((AE34*AC34),$C$14/100)</f>
        <v>#DIV/0!</v>
      </c>
      <c r="AG34" s="6"/>
      <c r="AH34" s="19"/>
      <c r="AI34" s="55">
        <f>IF(ISERROR(VLOOKUP(B38,$AM$7:$AO$255,2,FALSE)),0,(VLOOKUP(B38,$AM$7:$AO$255,2,FALSE)*$AV$78))</f>
        <v>0</v>
      </c>
      <c r="AJ34" s="61">
        <f t="shared" si="17"/>
        <v>0</v>
      </c>
      <c r="AK34" s="272">
        <f t="shared" si="18"/>
        <v>0</v>
      </c>
      <c r="AL34" s="56">
        <f t="shared" si="19"/>
        <v>0</v>
      </c>
      <c r="AM34" s="489" t="s">
        <v>168</v>
      </c>
      <c r="AN34" s="520">
        <v>2.0011E-3</v>
      </c>
      <c r="AO34" s="490">
        <f>(0.02/1000)</f>
        <v>2.0000000000000002E-5</v>
      </c>
      <c r="AP34" s="507">
        <f t="shared" si="27"/>
        <v>0</v>
      </c>
      <c r="AQ34" s="507"/>
      <c r="AR34" s="92"/>
      <c r="AS34"/>
      <c r="AT34" s="886" t="str">
        <f t="shared" si="11"/>
        <v/>
      </c>
      <c r="AU34" s="887"/>
      <c r="AV34"/>
      <c r="AW34"/>
      <c r="AX34"/>
      <c r="AY34" s="17"/>
      <c r="AZ34" s="17"/>
      <c r="BF34"/>
      <c r="BG34"/>
      <c r="BH34"/>
      <c r="BI34"/>
      <c r="BJ34"/>
      <c r="BK34"/>
      <c r="BL34"/>
      <c r="BM34" s="17"/>
      <c r="BN34" s="17"/>
      <c r="BO34" s="17"/>
      <c r="BP34" s="17"/>
      <c r="BQ34" s="17"/>
      <c r="BR34" s="17"/>
      <c r="BS34" s="17"/>
    </row>
    <row r="35" spans="1:85" s="21" customFormat="1" ht="42.75" customHeight="1" thickBot="1">
      <c r="A35" s="1007"/>
      <c r="B35" s="597"/>
      <c r="C35" s="337"/>
      <c r="D35" s="587"/>
      <c r="E35" s="244"/>
      <c r="F35" s="848" t="s">
        <v>674</v>
      </c>
      <c r="G35" s="580">
        <f>G34</f>
        <v>0</v>
      </c>
      <c r="H35" s="207"/>
      <c r="I35" s="315"/>
      <c r="J35" s="208"/>
      <c r="K35" s="210"/>
      <c r="L35" s="209"/>
      <c r="M35" s="312"/>
      <c r="O35" s="355">
        <f t="shared" si="21"/>
        <v>0</v>
      </c>
      <c r="P35" s="359">
        <f t="shared" si="22"/>
        <v>0</v>
      </c>
      <c r="Q35" s="261">
        <f t="shared" si="23"/>
        <v>0</v>
      </c>
      <c r="R35" s="764">
        <f t="shared" si="24"/>
        <v>0</v>
      </c>
      <c r="S35" s="668">
        <f t="shared" si="25"/>
        <v>0</v>
      </c>
      <c r="T35" s="159">
        <f t="shared" si="26"/>
        <v>0</v>
      </c>
      <c r="U35" s="769" t="s">
        <v>338</v>
      </c>
      <c r="V35" s="333">
        <f>IF($J$19="sim",SUM(O32:P36)/4,SUM(S32:T36))</f>
        <v>0</v>
      </c>
      <c r="W35" s="334">
        <f>IF(V35="","",V35^2/3)</f>
        <v>0</v>
      </c>
      <c r="X35" s="334">
        <f>IF($J$19="Sim",SQRT(W35),SUM(S32:T36))</f>
        <v>0</v>
      </c>
      <c r="Y35" s="334">
        <v>1</v>
      </c>
      <c r="Z35" s="334">
        <v>50</v>
      </c>
      <c r="AA35" s="335">
        <f>(X35*Y35)^2</f>
        <v>0</v>
      </c>
      <c r="AB35" s="76"/>
      <c r="AC35" s="17"/>
      <c r="AD35" s="22"/>
      <c r="AE35" s="23"/>
      <c r="AF35" s="80"/>
      <c r="AG35" s="6"/>
      <c r="AI35" s="55">
        <f t="shared" si="16"/>
        <v>0</v>
      </c>
      <c r="AJ35" s="61">
        <f t="shared" si="17"/>
        <v>0</v>
      </c>
      <c r="AK35" s="272">
        <f t="shared" si="18"/>
        <v>0</v>
      </c>
      <c r="AL35" s="56">
        <f t="shared" si="19"/>
        <v>0</v>
      </c>
      <c r="AM35" s="491" t="s">
        <v>169</v>
      </c>
      <c r="AN35" s="520">
        <v>2.0046E-3</v>
      </c>
      <c r="AO35" s="490">
        <f>(0.02/1000)</f>
        <v>2.0000000000000002E-5</v>
      </c>
      <c r="AP35" s="507">
        <f t="shared" si="27"/>
        <v>0</v>
      </c>
      <c r="AQ35" s="507"/>
      <c r="AR35" s="92"/>
      <c r="AT35" s="40" t="s">
        <v>71</v>
      </c>
      <c r="AU35" s="41">
        <f>SUM(AS6:AS25)</f>
        <v>0</v>
      </c>
      <c r="AV35"/>
      <c r="AW35"/>
      <c r="AX35"/>
      <c r="AY35" s="17"/>
      <c r="AZ35" s="17"/>
      <c r="BF35"/>
      <c r="BG35"/>
      <c r="BH35"/>
      <c r="BI35"/>
      <c r="BJ35"/>
      <c r="BK35"/>
      <c r="BL35"/>
      <c r="BM35" s="17"/>
      <c r="BN35" s="17"/>
      <c r="BO35" s="17"/>
      <c r="BP35" s="17"/>
      <c r="BQ35" s="17"/>
      <c r="BR35" s="17"/>
      <c r="BS35" s="17"/>
    </row>
    <row r="36" spans="1:85" s="21" customFormat="1" ht="28.5" customHeight="1" thickBot="1">
      <c r="A36" s="1008"/>
      <c r="B36" s="598"/>
      <c r="C36" s="338"/>
      <c r="D36" s="591"/>
      <c r="E36" s="601"/>
      <c r="F36" s="847"/>
      <c r="G36" s="846">
        <f>G35</f>
        <v>0</v>
      </c>
      <c r="H36" s="306" t="str">
        <f>IF(H34&lt;&gt;"-------",FIXED(IF($E$14&lt;&gt;0,MROUND(H34,$E$14),MROUND(H34,$C$14)),LEN(L36)-2,TRUE),"------")</f>
        <v>------</v>
      </c>
      <c r="I36" s="220" t="str">
        <f>IF(I34&lt;&gt;"-------",FIXED(ROUND(I34,$AI$15),LEN(L36)-2,TRUE),"------")</f>
        <v>------</v>
      </c>
      <c r="J36" s="221" t="str">
        <f>IF(G32="===","------",IF(J34&gt;500,"&gt; 500",J34))</f>
        <v>&gt; 500</v>
      </c>
      <c r="K36" s="222" t="e">
        <f>K34</f>
        <v>#DIV/0!</v>
      </c>
      <c r="L36" s="781" t="str">
        <f>IF(L34&lt;&gt;"-------",BF10,"------")</f>
        <v>------</v>
      </c>
      <c r="M36" s="314"/>
      <c r="O36" s="357">
        <f t="shared" si="21"/>
        <v>0</v>
      </c>
      <c r="P36" s="360">
        <f t="shared" si="22"/>
        <v>0</v>
      </c>
      <c r="Q36" s="263">
        <f t="shared" si="23"/>
        <v>0</v>
      </c>
      <c r="R36" s="765">
        <f t="shared" si="24"/>
        <v>0</v>
      </c>
      <c r="S36" s="669">
        <f t="shared" si="25"/>
        <v>0</v>
      </c>
      <c r="T36" s="160">
        <f t="shared" si="26"/>
        <v>0</v>
      </c>
      <c r="U36" s="770"/>
      <c r="V36" s="372">
        <f>SUM(Q32:R36)</f>
        <v>0</v>
      </c>
      <c r="W36" s="373">
        <f>IF(V36="","",V36^2/3)</f>
        <v>0</v>
      </c>
      <c r="X36" s="373">
        <f>SQRT(W36)</f>
        <v>0</v>
      </c>
      <c r="Y36" s="373">
        <v>1</v>
      </c>
      <c r="Z36" s="373">
        <v>50</v>
      </c>
      <c r="AA36" s="374">
        <f>IF(V36="","",(X36*Y36)^2)</f>
        <v>0</v>
      </c>
      <c r="AB36" s="320"/>
      <c r="AC36" s="73"/>
      <c r="AD36" s="74"/>
      <c r="AE36" s="75"/>
      <c r="AF36" s="321"/>
      <c r="AG36" s="6">
        <f>IF(I39&gt;0,$C$14,-$C$14)</f>
        <v>0</v>
      </c>
      <c r="AH36" s="19"/>
      <c r="AI36" s="55">
        <f t="shared" si="16"/>
        <v>0</v>
      </c>
      <c r="AJ36" s="61">
        <f t="shared" si="17"/>
        <v>0</v>
      </c>
      <c r="AK36" s="272">
        <f t="shared" si="18"/>
        <v>0</v>
      </c>
      <c r="AL36" s="56">
        <f t="shared" si="19"/>
        <v>0</v>
      </c>
      <c r="AM36" s="491" t="s">
        <v>170</v>
      </c>
      <c r="AN36" s="520">
        <v>5.0032000000000002E-3</v>
      </c>
      <c r="AO36" s="490">
        <f>(0.02/1000)</f>
        <v>2.0000000000000002E-5</v>
      </c>
      <c r="AP36" s="507">
        <f t="shared" si="27"/>
        <v>0</v>
      </c>
      <c r="AQ36" s="507"/>
      <c r="AR36" s="92"/>
      <c r="AS36"/>
      <c r="AT36"/>
      <c r="AU36"/>
      <c r="AV36"/>
      <c r="AW36"/>
      <c r="AX36"/>
      <c r="AY36" s="17"/>
      <c r="AZ36" s="17"/>
      <c r="BF36"/>
      <c r="BG36"/>
      <c r="BH36"/>
      <c r="BI36"/>
      <c r="BJ36"/>
      <c r="BK36"/>
      <c r="BL36"/>
      <c r="BM36" s="17"/>
      <c r="BN36" s="17"/>
      <c r="BO36" s="17"/>
      <c r="BP36" s="17"/>
      <c r="BQ36" s="17"/>
      <c r="BR36" s="17"/>
      <c r="BS36" s="17"/>
    </row>
    <row r="37" spans="1:85" s="21" customFormat="1" ht="15" customHeight="1" thickBot="1">
      <c r="A37" s="882">
        <v>2</v>
      </c>
      <c r="B37" s="596"/>
      <c r="C37" s="659"/>
      <c r="D37" s="588">
        <f>IF(E39="",SUM(AI33:AI37,AJ33:AJ37),SUM(AI33:AI37,AJ33:AJ37)-I34)</f>
        <v>0</v>
      </c>
      <c r="E37" s="244"/>
      <c r="F37" s="567"/>
      <c r="G37" s="579"/>
      <c r="H37" s="207"/>
      <c r="I37" s="208"/>
      <c r="J37" s="208"/>
      <c r="K37" s="210"/>
      <c r="L37" s="209"/>
      <c r="M37" s="312"/>
      <c r="O37" s="356">
        <f t="shared" si="21"/>
        <v>0</v>
      </c>
      <c r="P37" s="358">
        <f t="shared" si="22"/>
        <v>0</v>
      </c>
      <c r="Q37" s="261">
        <f t="shared" si="23"/>
        <v>0</v>
      </c>
      <c r="R37" s="262">
        <f t="shared" si="24"/>
        <v>0</v>
      </c>
      <c r="S37" s="667">
        <f t="shared" si="25"/>
        <v>0</v>
      </c>
      <c r="T37" s="158">
        <f t="shared" si="26"/>
        <v>0</v>
      </c>
      <c r="U37" s="612"/>
      <c r="V37" s="613" t="str">
        <f>IF($I$23&lt;&gt;"",ABS(($L$26*(F39/(2*$I$23)))), IF('2º MR-MI'!$I$23&lt;&gt;"",ABS(('2º MR-MI'!$L$26*(F39/(2*'2º MR-MI'!$I$23)))),IF('3º MR-MI'!$I$23&lt;&gt;"",ABS(('3º MR-MI'!$L$26*(F39/(2*'3º MR-MI'!$I$23)))),"")))</f>
        <v/>
      </c>
      <c r="W37" s="614">
        <f>IF(V37="",0,(V37)^2/3)</f>
        <v>0</v>
      </c>
      <c r="X37" s="614">
        <f>SQRT(W37)</f>
        <v>0</v>
      </c>
      <c r="Y37" s="614">
        <v>1</v>
      </c>
      <c r="Z37" s="614">
        <v>50</v>
      </c>
      <c r="AA37" s="615">
        <f>IF(V37="",0,(X37*Y37)^2)</f>
        <v>0</v>
      </c>
      <c r="AB37" s="608"/>
      <c r="AC37" s="27"/>
      <c r="AD37" s="609"/>
      <c r="AE37" s="610"/>
      <c r="AF37" s="611"/>
      <c r="AG37" s="6"/>
      <c r="AH37" s="27"/>
      <c r="AI37" s="57">
        <f t="shared" si="16"/>
        <v>0</v>
      </c>
      <c r="AJ37" s="62">
        <f t="shared" si="17"/>
        <v>0</v>
      </c>
      <c r="AK37" s="273">
        <f t="shared" si="18"/>
        <v>0</v>
      </c>
      <c r="AL37" s="58">
        <f t="shared" si="19"/>
        <v>0</v>
      </c>
      <c r="AM37" s="491" t="s">
        <v>171</v>
      </c>
      <c r="AN37" s="506">
        <v>9.9980999999999993E-3</v>
      </c>
      <c r="AO37" s="490">
        <f>(0.025/1000)</f>
        <v>2.5000000000000001E-5</v>
      </c>
      <c r="AP37" s="507">
        <f t="shared" si="27"/>
        <v>0</v>
      </c>
      <c r="AQ37" s="507"/>
      <c r="AR37" s="92"/>
      <c r="AS37" s="5"/>
      <c r="AV37"/>
      <c r="AW37"/>
      <c r="AX37"/>
      <c r="BF37"/>
      <c r="BG37"/>
      <c r="BH37"/>
      <c r="BI37"/>
      <c r="BJ37"/>
      <c r="BK37"/>
      <c r="BL37"/>
    </row>
    <row r="38" spans="1:85" s="21" customFormat="1" ht="15" customHeight="1" thickBot="1">
      <c r="A38" s="883"/>
      <c r="B38" s="597"/>
      <c r="C38" s="660"/>
      <c r="D38" s="587"/>
      <c r="E38" s="244"/>
      <c r="F38" s="567"/>
      <c r="G38" s="580">
        <f>G37</f>
        <v>0</v>
      </c>
      <c r="H38" s="207"/>
      <c r="I38" s="208"/>
      <c r="J38" s="208"/>
      <c r="K38" s="210"/>
      <c r="L38" s="209"/>
      <c r="M38" s="312"/>
      <c r="O38" s="355">
        <f t="shared" si="21"/>
        <v>0</v>
      </c>
      <c r="P38" s="359">
        <f t="shared" si="22"/>
        <v>0</v>
      </c>
      <c r="Q38" s="261">
        <f t="shared" si="23"/>
        <v>0</v>
      </c>
      <c r="R38" s="262">
        <f t="shared" si="24"/>
        <v>0</v>
      </c>
      <c r="S38" s="668">
        <f t="shared" si="25"/>
        <v>0</v>
      </c>
      <c r="T38" s="159">
        <f t="shared" si="26"/>
        <v>0</v>
      </c>
      <c r="U38"/>
      <c r="V38" s="329">
        <f>IF(G38&lt;&gt;"",STDEV(G37:G41),$M$28)</f>
        <v>0</v>
      </c>
      <c r="W38" s="330">
        <f>IF(G38="",V38^2,V38^2/(Z38+1))</f>
        <v>0</v>
      </c>
      <c r="X38" s="330">
        <f>SQRT(W38)</f>
        <v>0</v>
      </c>
      <c r="Y38" s="330">
        <v>1</v>
      </c>
      <c r="Z38" s="330">
        <f>IF(G38="",2,COUNT(G37:G41)-1)</f>
        <v>3</v>
      </c>
      <c r="AA38" s="331">
        <f>(Y38*X38)^2</f>
        <v>0</v>
      </c>
      <c r="AB38" s="79"/>
      <c r="AC38" s="17"/>
      <c r="AD38" s="22"/>
      <c r="AE38" s="23"/>
      <c r="AF38" s="80"/>
      <c r="AG38" s="6"/>
      <c r="AH38" s="19" t="s">
        <v>13</v>
      </c>
      <c r="AI38" s="53">
        <f t="shared" ref="AI38:AJ42" si="28">IF(ISERROR(VLOOKUP(B43,$AM$7:$AO$255,2,FALSE)),0,(VLOOKUP(B43,$AM$7:$AO$255,2,FALSE)*$AV$78))</f>
        <v>0</v>
      </c>
      <c r="AJ38" s="60">
        <f t="shared" si="28"/>
        <v>0</v>
      </c>
      <c r="AK38" s="271">
        <f t="shared" ref="AK38:AL42" si="29">IF(ISERROR(VLOOKUP(B43,$AM$7:$AO$255,3,FALSE)),0,(VLOOKUP(B43,$AM$7:$AO$255,3,FALSE)*$AV$78))</f>
        <v>0</v>
      </c>
      <c r="AL38" s="54">
        <f t="shared" si="29"/>
        <v>0</v>
      </c>
      <c r="AM38" s="491" t="s">
        <v>172</v>
      </c>
      <c r="AN38" s="506">
        <v>2.0011000000000001E-2</v>
      </c>
      <c r="AO38" s="490">
        <f>(0.03/1000)</f>
        <v>2.9999999999999997E-5</v>
      </c>
      <c r="AP38" s="507">
        <f t="shared" si="27"/>
        <v>0</v>
      </c>
      <c r="AQ38" s="507"/>
      <c r="AR38" s="92"/>
      <c r="AS38" s="17"/>
      <c r="AT38" s="738"/>
      <c r="AU38"/>
      <c r="AV38"/>
      <c r="AW38"/>
      <c r="AX38"/>
      <c r="AY38" s="17"/>
      <c r="AZ38" s="17"/>
      <c r="BF38"/>
      <c r="BG38"/>
      <c r="BH38"/>
      <c r="BI38"/>
      <c r="BJ38"/>
      <c r="BK38"/>
      <c r="BL38"/>
      <c r="BM38" s="17"/>
      <c r="BN38" s="17"/>
      <c r="BO38" s="17"/>
      <c r="BP38" s="17"/>
      <c r="BQ38" s="17"/>
      <c r="BR38" s="17"/>
      <c r="BS38" s="17"/>
    </row>
    <row r="39" spans="1:85" s="21" customFormat="1" ht="15.75" customHeight="1" thickBot="1">
      <c r="A39" s="883"/>
      <c r="B39" s="597"/>
      <c r="C39" s="660"/>
      <c r="D39" s="592" t="str">
        <f>FIXED(MROUND(D37,IF($E$14&lt;&gt;0,$E$14/10,$C$14/10)),$AI$15+1,TRUE)</f>
        <v>0,0</v>
      </c>
      <c r="E39" s="599"/>
      <c r="F39" s="600" t="str">
        <f>FIXED(MROUND(D39,$C$14/10),$AI$15+1,TRUE)</f>
        <v>0,0</v>
      </c>
      <c r="G39" s="580">
        <f>G38</f>
        <v>0</v>
      </c>
      <c r="H39" s="223" t="str">
        <f>IF(OR(D37&lt;&gt;0,E39&lt;&gt;0),AVERAGE(G37:G41),"-------")</f>
        <v>-------</v>
      </c>
      <c r="I39" s="224" t="str">
        <f>IF(OR(D37&lt;&gt;0,E39&lt;&gt;0),(H41-F39),"-------")</f>
        <v>-------</v>
      </c>
      <c r="J39" s="224" t="str">
        <f>IF(OR(B37&lt;&gt;"",E39&lt;&gt;""),ROUNDDOWN(AD40,0),"-------")</f>
        <v>-------</v>
      </c>
      <c r="K39" s="225" t="e">
        <f>IF(G37="===","------",AE40)</f>
        <v>#DIV/0!</v>
      </c>
      <c r="L39" s="225" t="str">
        <f>IF(OR(B37&lt;&gt;"",E39&lt;&gt;""),AF40,"-------")</f>
        <v>-------</v>
      </c>
      <c r="M39" s="313" t="str">
        <f>IF($H$11&lt;&gt;"",FIXED(ROUND((D37*($H$11-$H$10)/$H$10),$AI$15),$AI$15),"")</f>
        <v/>
      </c>
      <c r="O39" s="355">
        <f t="shared" si="21"/>
        <v>0</v>
      </c>
      <c r="P39" s="359">
        <f t="shared" si="22"/>
        <v>0</v>
      </c>
      <c r="Q39" s="261">
        <f t="shared" si="23"/>
        <v>0</v>
      </c>
      <c r="R39" s="262">
        <f t="shared" si="24"/>
        <v>0</v>
      </c>
      <c r="S39" s="668">
        <f t="shared" si="25"/>
        <v>0</v>
      </c>
      <c r="T39" s="159">
        <f t="shared" si="26"/>
        <v>0</v>
      </c>
      <c r="U39"/>
      <c r="V39" s="366" t="str">
        <f>IF($I$9="Não","",IF($L$9="SIM",IF(L$11&lt;&gt;K$11,ABS(L$11-K$11)*($D37/J$11),0),ABS($M39)))</f>
        <v/>
      </c>
      <c r="W39" s="363">
        <f>IF(V39="",0,V39^2/3)</f>
        <v>0</v>
      </c>
      <c r="X39" s="363">
        <f>SQRT(W39)</f>
        <v>0</v>
      </c>
      <c r="Y39" s="364">
        <v>1</v>
      </c>
      <c r="Z39" s="365">
        <v>50</v>
      </c>
      <c r="AA39" s="367">
        <f>IF(V39="",0,(X39*Y39)^2)</f>
        <v>0</v>
      </c>
      <c r="AB39" s="79"/>
      <c r="AC39" s="17"/>
      <c r="AD39" s="22"/>
      <c r="AE39" s="23"/>
      <c r="AF39" s="80"/>
      <c r="AG39" s="6"/>
      <c r="AH39" s="19"/>
      <c r="AI39" s="55">
        <f t="shared" si="28"/>
        <v>0</v>
      </c>
      <c r="AJ39" s="61">
        <f t="shared" si="28"/>
        <v>0</v>
      </c>
      <c r="AK39" s="272">
        <f t="shared" si="29"/>
        <v>0</v>
      </c>
      <c r="AL39" s="56">
        <f t="shared" si="29"/>
        <v>0</v>
      </c>
      <c r="AM39" s="491" t="s">
        <v>173</v>
      </c>
      <c r="AN39" s="506">
        <v>2.001E-2</v>
      </c>
      <c r="AO39" s="490">
        <f>(0.03/1000)</f>
        <v>2.9999999999999997E-5</v>
      </c>
      <c r="AP39" s="507">
        <f t="shared" si="27"/>
        <v>0</v>
      </c>
      <c r="AQ39" s="507"/>
      <c r="AR39" s="92"/>
      <c r="AS39" s="17"/>
      <c r="AT39" s="17"/>
      <c r="AU39"/>
      <c r="AV39"/>
      <c r="AW39"/>
      <c r="AX39"/>
      <c r="AY39" s="17"/>
      <c r="AZ39" s="17"/>
      <c r="BF39"/>
      <c r="BG39"/>
      <c r="BH39"/>
      <c r="BI39"/>
      <c r="BJ39"/>
      <c r="BK39"/>
      <c r="BL39"/>
      <c r="BM39" s="17"/>
      <c r="BN39" s="17"/>
      <c r="BO39" s="17"/>
      <c r="BP39" s="17"/>
      <c r="BQ39" s="17"/>
      <c r="BR39" s="17"/>
      <c r="BS39" s="17"/>
    </row>
    <row r="40" spans="1:85" s="21" customFormat="1" ht="15" customHeight="1">
      <c r="A40" s="883"/>
      <c r="B40" s="597"/>
      <c r="C40" s="660"/>
      <c r="D40" s="587"/>
      <c r="E40" s="244"/>
      <c r="F40" s="567"/>
      <c r="G40" s="580">
        <f>G39</f>
        <v>0</v>
      </c>
      <c r="H40" s="207"/>
      <c r="I40" s="315"/>
      <c r="J40" s="208"/>
      <c r="K40" s="210"/>
      <c r="L40" s="209"/>
      <c r="M40" s="312"/>
      <c r="O40" s="355">
        <f t="shared" si="21"/>
        <v>0</v>
      </c>
      <c r="P40" s="359">
        <f t="shared" si="22"/>
        <v>0</v>
      </c>
      <c r="Q40" s="261">
        <f t="shared" si="23"/>
        <v>0</v>
      </c>
      <c r="R40" s="262">
        <f t="shared" si="24"/>
        <v>0</v>
      </c>
      <c r="S40" s="668">
        <f t="shared" si="25"/>
        <v>0</v>
      </c>
      <c r="T40" s="159">
        <f t="shared" si="26"/>
        <v>0</v>
      </c>
      <c r="U40" s="297"/>
      <c r="V40" s="606">
        <f>(SUM(O37:O41,P37:P41))</f>
        <v>0</v>
      </c>
      <c r="W40" s="370">
        <f>V40^2/3</f>
        <v>0</v>
      </c>
      <c r="X40" s="370">
        <f>SQRT(W40)</f>
        <v>0</v>
      </c>
      <c r="Y40" s="370">
        <v>1</v>
      </c>
      <c r="Z40" s="370">
        <v>50</v>
      </c>
      <c r="AA40" s="371">
        <f>IF(V40="","",(X40*Y40)^2)</f>
        <v>0</v>
      </c>
      <c r="AB40" s="386">
        <f>SUM($AA$29:$AA$30,AA37:AA42,AA82,AA93)</f>
        <v>0</v>
      </c>
      <c r="AC40" s="17">
        <f>SQRT(AB40)</f>
        <v>0</v>
      </c>
      <c r="AD40" s="283" t="e">
        <f>(AC40^4)/(((($X$29*$Y$29)^4)/$Z$29)+((($X$30*$Y$30)^4)/$Z$30)+((($X$37*$Y$37)^4)/$Z$37)+(((X38*Y38)^4)/Z38)+(((X39*Y39)^4)/Z39)+(((X40*Y40)^4)/Z40)+(((X41*Y41)^4)/Z41)+(((X42*Y42)^4)/Z42)+(((X82*Y82)^4)/Z82)+(((X93*Y93)^4)/Z93))</f>
        <v>#DIV/0!</v>
      </c>
      <c r="AE40" s="23" t="e">
        <f>TINV(0.0455,AD40)</f>
        <v>#DIV/0!</v>
      </c>
      <c r="AF40" s="390" t="e">
        <f>CEILING((AE40*AC40),$C$14/100)</f>
        <v>#DIV/0!</v>
      </c>
      <c r="AG40" s="6"/>
      <c r="AI40" s="55">
        <f t="shared" si="28"/>
        <v>0</v>
      </c>
      <c r="AJ40" s="61">
        <f t="shared" si="28"/>
        <v>0</v>
      </c>
      <c r="AK40" s="272">
        <f t="shared" si="29"/>
        <v>0</v>
      </c>
      <c r="AL40" s="56">
        <f t="shared" si="29"/>
        <v>0</v>
      </c>
      <c r="AM40" s="491" t="s">
        <v>174</v>
      </c>
      <c r="AN40" s="506">
        <v>5.0004399999999997E-2</v>
      </c>
      <c r="AO40" s="490">
        <f>(0.04/1000)</f>
        <v>4.0000000000000003E-5</v>
      </c>
      <c r="AP40" s="507">
        <f t="shared" si="27"/>
        <v>0</v>
      </c>
      <c r="AQ40" s="507"/>
      <c r="AR40" s="92"/>
      <c r="AS40" s="17"/>
      <c r="AT40" s="17"/>
      <c r="AU40"/>
      <c r="AV40"/>
      <c r="AW40"/>
      <c r="AX40"/>
      <c r="AY40" s="17"/>
      <c r="AZ40" s="17"/>
      <c r="BF40"/>
      <c r="BG40"/>
      <c r="BH40"/>
      <c r="BI40"/>
      <c r="BJ40"/>
      <c r="BK40"/>
      <c r="BL40"/>
      <c r="BM40" s="17"/>
      <c r="BN40" s="17"/>
      <c r="BO40" s="17"/>
      <c r="BP40" s="17"/>
      <c r="BQ40" s="17"/>
      <c r="BR40" s="17"/>
      <c r="BS40" s="17"/>
    </row>
    <row r="41" spans="1:85" s="21" customFormat="1" ht="15" customHeight="1" thickBot="1">
      <c r="A41" s="883"/>
      <c r="B41" s="661"/>
      <c r="C41" s="662"/>
      <c r="D41" s="582"/>
      <c r="E41" s="244"/>
      <c r="F41" s="567"/>
      <c r="G41" s="623">
        <f>G40</f>
        <v>0</v>
      </c>
      <c r="H41" s="306" t="str">
        <f>IF(H39&lt;&gt;"-------",FIXED(IF($E$14&lt;&gt;0,MROUND(H39,$E$14),MROUND(H39,$C$14)),LEN(L41)-2,TRUE),"------")</f>
        <v>------</v>
      </c>
      <c r="I41" s="620" t="str">
        <f>IF(I39&lt;&gt;"-------",FIXED(ROUND(I39,$AI$15),LEN(L41)-2,TRUE),"------")</f>
        <v>------</v>
      </c>
      <c r="J41" s="620" t="str">
        <f>IF(G37="===","------",IF(J39&gt;500,"&gt; 500",J39))</f>
        <v>&gt; 500</v>
      </c>
      <c r="K41" s="624" t="e">
        <f>K39</f>
        <v>#DIV/0!</v>
      </c>
      <c r="L41" s="621" t="str">
        <f>IF(L39&lt;&gt;"-------",BF11,"------")</f>
        <v>------</v>
      </c>
      <c r="M41" s="312"/>
      <c r="O41" s="355">
        <f t="shared" si="21"/>
        <v>0</v>
      </c>
      <c r="P41" s="359">
        <f t="shared" si="22"/>
        <v>0</v>
      </c>
      <c r="Q41" s="261">
        <f t="shared" si="23"/>
        <v>0</v>
      </c>
      <c r="R41" s="262">
        <f t="shared" si="24"/>
        <v>0</v>
      </c>
      <c r="S41" s="669">
        <f t="shared" si="25"/>
        <v>0</v>
      </c>
      <c r="T41" s="160">
        <f t="shared" si="26"/>
        <v>0</v>
      </c>
      <c r="U41" s="297"/>
      <c r="V41" s="333">
        <f>IF($J$19="sim",SUM(O37:P41)/4,SUM(S37:T41))</f>
        <v>0</v>
      </c>
      <c r="W41" s="334">
        <f>IF(V41="","",V41^2/3)</f>
        <v>0</v>
      </c>
      <c r="X41" s="334">
        <f>IF($J$19="Sim",SQRT(W41),SUM(S37:T41))</f>
        <v>0</v>
      </c>
      <c r="Y41" s="334">
        <v>1</v>
      </c>
      <c r="Z41" s="334">
        <v>50</v>
      </c>
      <c r="AA41" s="335">
        <f>(X41*Y41)^2</f>
        <v>0</v>
      </c>
      <c r="AB41" s="79"/>
      <c r="AC41" s="17"/>
      <c r="AD41" s="22"/>
      <c r="AE41" s="23"/>
      <c r="AF41" s="80"/>
      <c r="AG41" s="6">
        <f>IF(I45&gt;0,$C$14,-$C$14)</f>
        <v>0</v>
      </c>
      <c r="AH41" s="19"/>
      <c r="AI41" s="55">
        <f t="shared" si="28"/>
        <v>0</v>
      </c>
      <c r="AJ41" s="61">
        <f t="shared" si="28"/>
        <v>0</v>
      </c>
      <c r="AK41" s="272">
        <f t="shared" si="29"/>
        <v>0</v>
      </c>
      <c r="AL41" s="56">
        <f t="shared" si="29"/>
        <v>0</v>
      </c>
      <c r="AM41" s="494" t="s">
        <v>175</v>
      </c>
      <c r="AN41" s="506">
        <v>0.100021</v>
      </c>
      <c r="AO41" s="490">
        <f>(0.05/1000)</f>
        <v>5.0000000000000002E-5</v>
      </c>
      <c r="AP41" s="507">
        <f t="shared" si="27"/>
        <v>0</v>
      </c>
      <c r="AQ41" s="746"/>
      <c r="AR41" s="361">
        <f>0.008/1000</f>
        <v>7.9999999999999996E-6</v>
      </c>
      <c r="AS41" s="17"/>
      <c r="AT41" s="69"/>
      <c r="AU41"/>
      <c r="AV41"/>
      <c r="AW41"/>
      <c r="AX41"/>
      <c r="AY41" s="17"/>
      <c r="AZ41" s="17"/>
      <c r="BF41"/>
      <c r="BG41"/>
      <c r="BH41"/>
      <c r="BI41"/>
      <c r="BJ41"/>
      <c r="BK41"/>
      <c r="BL41"/>
      <c r="BM41" s="17"/>
      <c r="BN41" s="17"/>
      <c r="BO41" s="17"/>
      <c r="BP41" s="17"/>
      <c r="BQ41" s="17"/>
      <c r="BR41" s="17"/>
      <c r="BS41" s="17"/>
    </row>
    <row r="42" spans="1:85" s="21" customFormat="1" ht="15" customHeight="1" thickBot="1">
      <c r="A42" s="1018"/>
      <c r="B42" s="625"/>
      <c r="C42" s="626"/>
      <c r="D42" s="591"/>
      <c r="E42" s="627"/>
      <c r="F42" s="847"/>
      <c r="G42" s="628"/>
      <c r="H42" s="629"/>
      <c r="I42" s="630"/>
      <c r="J42" s="630"/>
      <c r="K42" s="631"/>
      <c r="L42" s="632"/>
      <c r="M42" s="633"/>
      <c r="N42" s="622"/>
      <c r="O42" s="634"/>
      <c r="P42" s="635"/>
      <c r="Q42" s="634"/>
      <c r="R42" s="635"/>
      <c r="S42" s="636"/>
      <c r="T42" s="635"/>
      <c r="U42" s="640"/>
      <c r="V42" s="372">
        <f>SUM(Q37:R41)</f>
        <v>0</v>
      </c>
      <c r="W42" s="373">
        <f>IF(V42="","",V42^2/3)</f>
        <v>0</v>
      </c>
      <c r="X42" s="373">
        <f>SQRT(W42)</f>
        <v>0</v>
      </c>
      <c r="Y42" s="373">
        <v>1</v>
      </c>
      <c r="Z42" s="373">
        <v>50</v>
      </c>
      <c r="AA42" s="374">
        <f>IF(V42="","",(X42*Y42)^2)</f>
        <v>0</v>
      </c>
      <c r="AB42" s="322"/>
      <c r="AC42" s="24"/>
      <c r="AD42" s="25"/>
      <c r="AE42" s="26"/>
      <c r="AF42" s="323"/>
      <c r="AG42" s="6"/>
      <c r="AH42" s="27"/>
      <c r="AI42" s="57">
        <f t="shared" si="28"/>
        <v>0</v>
      </c>
      <c r="AJ42" s="62">
        <f t="shared" si="28"/>
        <v>0</v>
      </c>
      <c r="AK42" s="273">
        <f t="shared" si="29"/>
        <v>0</v>
      </c>
      <c r="AL42" s="58">
        <f t="shared" si="29"/>
        <v>0</v>
      </c>
      <c r="AM42" s="494" t="s">
        <v>176</v>
      </c>
      <c r="AN42" s="506">
        <v>0.20002500000000001</v>
      </c>
      <c r="AO42" s="490">
        <f>(0.06/1000)</f>
        <v>5.9999999999999995E-5</v>
      </c>
      <c r="AP42" s="507">
        <f t="shared" si="27"/>
        <v>0</v>
      </c>
      <c r="AQ42" s="746"/>
      <c r="AR42" s="361">
        <f>0.01/1000</f>
        <v>1.0000000000000001E-5</v>
      </c>
      <c r="BF42"/>
      <c r="BG42"/>
      <c r="BH42"/>
      <c r="BI42"/>
      <c r="BJ42"/>
      <c r="BK42"/>
      <c r="BL42"/>
    </row>
    <row r="43" spans="1:85" s="21" customFormat="1" ht="15" customHeight="1">
      <c r="A43" s="1019">
        <v>3</v>
      </c>
      <c r="B43" s="596"/>
      <c r="C43" s="336"/>
      <c r="D43" s="588">
        <f>IF(E45="",SUM(AI38:AI42,AJ38:AJ42),SUM(AI38:AI42,AJ38:AJ42)-I39)</f>
        <v>0</v>
      </c>
      <c r="E43" s="244"/>
      <c r="F43" s="567"/>
      <c r="G43" s="579"/>
      <c r="H43" s="207"/>
      <c r="I43" s="208"/>
      <c r="J43" s="208"/>
      <c r="K43" s="210"/>
      <c r="L43" s="209"/>
      <c r="M43" s="312"/>
      <c r="O43" s="355">
        <f t="shared" ref="O43:P47" si="30">AK38</f>
        <v>0</v>
      </c>
      <c r="P43" s="359">
        <f t="shared" si="30"/>
        <v>0</v>
      </c>
      <c r="Q43" s="261">
        <f t="shared" ref="Q43:R47" si="31">IF(ABS($L$13-$K$13)&gt;3,IF(ISERROR(VLOOKUP(B43,$AY$58:$BB$80,3,FALSE)),0,(VLOOKUP(B43,$AY$58:$BB$80,3,FALSE)*$AV$78)),IF(ISERROR(VLOOKUP(B43,$AY$58:$BB$80,4,FALSE)),0,(VLOOKUP(B43,$AY$58:$BB$80,4,FALSE)*$AV$78)))</f>
        <v>0</v>
      </c>
      <c r="R43" s="262">
        <f t="shared" si="31"/>
        <v>0</v>
      </c>
      <c r="S43" s="667">
        <f t="shared" ref="S43:T47" si="32">IF($J$19="Não",IF(ISERROR(VLOOKUP(B43,$AM$15:$AR$255,6,FALSE)),0,(VLOOKUP(B43,$AM$15:$AR$255,6,FALSE)*$AV$78)),0)</f>
        <v>0</v>
      </c>
      <c r="T43" s="158">
        <f t="shared" si="32"/>
        <v>0</v>
      </c>
      <c r="U43" s="612"/>
      <c r="V43" s="613" t="str">
        <f>IF($I$23&lt;&gt;"",ABS(($L$26*(F45/(2*$I$23)))), IF('2º MR-MI'!$I$23&lt;&gt;"",ABS(('2º MR-MI'!$L$26*(F45/(2*'2º MR-MI'!$I$23)))),IF('3º MR-MI'!$I$23&lt;&gt;"",ABS(('3º MR-MI'!$L$26*(F45/(2*'3º MR-MI'!$I$23)))),"")))</f>
        <v/>
      </c>
      <c r="W43" s="614">
        <f>IF(V43="",0,(V43)^2/3)</f>
        <v>0</v>
      </c>
      <c r="X43" s="614">
        <f>SQRT(W43)</f>
        <v>0</v>
      </c>
      <c r="Y43" s="614">
        <v>1</v>
      </c>
      <c r="Z43" s="614">
        <v>50</v>
      </c>
      <c r="AA43" s="615">
        <f>IF(V43="",0,(X43*Y43)^2)</f>
        <v>0</v>
      </c>
      <c r="AB43" s="608"/>
      <c r="AC43" s="27"/>
      <c r="AD43" s="609"/>
      <c r="AE43" s="610"/>
      <c r="AF43" s="611"/>
      <c r="AG43" s="6"/>
      <c r="AH43" s="19" t="s">
        <v>16</v>
      </c>
      <c r="AI43" s="53">
        <f t="shared" ref="AI43:AJ47" si="33">IF(ISERROR(VLOOKUP(B49,$AM$7:$AO$255,2,FALSE)),0,(VLOOKUP(B49,$AM$7:$AO$255,2,FALSE)*$AV$78))</f>
        <v>0</v>
      </c>
      <c r="AJ43" s="60">
        <f t="shared" si="33"/>
        <v>0</v>
      </c>
      <c r="AK43" s="271">
        <f t="shared" ref="AK43:AL47" si="34">IF(ISERROR(VLOOKUP(B49,$AM$7:$AO$255,3,FALSE)),0,(VLOOKUP(B49,$AM$7:$AO$255,3,FALSE)*$AV$78))</f>
        <v>0</v>
      </c>
      <c r="AL43" s="54">
        <f t="shared" si="34"/>
        <v>0</v>
      </c>
      <c r="AM43" s="494" t="s">
        <v>177</v>
      </c>
      <c r="AN43" s="506">
        <v>0.200021</v>
      </c>
      <c r="AO43" s="490">
        <f>(0.06/1000)</f>
        <v>5.9999999999999995E-5</v>
      </c>
      <c r="AP43" s="507">
        <f t="shared" si="27"/>
        <v>0</v>
      </c>
      <c r="AQ43" s="746"/>
      <c r="AR43" s="361">
        <f>0.01/1000</f>
        <v>1.0000000000000001E-5</v>
      </c>
      <c r="AS43" s="17"/>
      <c r="AT43" s="17"/>
      <c r="AU43"/>
      <c r="AV43"/>
      <c r="AW43"/>
      <c r="AX43"/>
      <c r="AY43" s="17"/>
      <c r="AZ43" s="17"/>
      <c r="BF43"/>
      <c r="BG43"/>
      <c r="BH43"/>
      <c r="BI43"/>
      <c r="BJ43"/>
      <c r="BK43"/>
      <c r="BL43"/>
      <c r="BM43" s="17"/>
      <c r="BN43" s="17"/>
      <c r="BO43" s="17"/>
      <c r="BP43" s="17"/>
      <c r="BQ43" s="17"/>
      <c r="BR43" s="17"/>
      <c r="BS43" s="17"/>
    </row>
    <row r="44" spans="1:85" s="21" customFormat="1" ht="15" customHeight="1" thickBot="1">
      <c r="A44" s="883"/>
      <c r="B44" s="663"/>
      <c r="C44" s="664"/>
      <c r="D44" s="582"/>
      <c r="E44" s="244"/>
      <c r="F44" s="567"/>
      <c r="G44" s="580">
        <f>G43</f>
        <v>0</v>
      </c>
      <c r="H44" s="207"/>
      <c r="I44" s="208"/>
      <c r="J44" s="208"/>
      <c r="K44" s="210"/>
      <c r="L44" s="209"/>
      <c r="M44" s="312"/>
      <c r="O44" s="355">
        <f t="shared" si="30"/>
        <v>0</v>
      </c>
      <c r="P44" s="359">
        <f t="shared" si="30"/>
        <v>0</v>
      </c>
      <c r="Q44" s="261">
        <f t="shared" si="31"/>
        <v>0</v>
      </c>
      <c r="R44" s="262">
        <f t="shared" si="31"/>
        <v>0</v>
      </c>
      <c r="S44" s="668">
        <f t="shared" si="32"/>
        <v>0</v>
      </c>
      <c r="T44" s="159">
        <f t="shared" si="32"/>
        <v>0</v>
      </c>
      <c r="U44" s="297"/>
      <c r="V44" s="329">
        <f>IF(G44&lt;&gt;"",STDEV(G43:G47),$M$28)</f>
        <v>0</v>
      </c>
      <c r="W44" s="330">
        <f>IF(G44="",V44^2,V44^2/(Z44+1))</f>
        <v>0</v>
      </c>
      <c r="X44" s="330">
        <f>SQRT(W44)</f>
        <v>0</v>
      </c>
      <c r="Y44" s="330">
        <v>1</v>
      </c>
      <c r="Z44" s="330">
        <f>IF(G44="",2,COUNT(G43:G47)-1)</f>
        <v>3</v>
      </c>
      <c r="AA44" s="331">
        <f>(Y44*X44)^2</f>
        <v>0</v>
      </c>
      <c r="AB44" s="79"/>
      <c r="AC44" s="17"/>
      <c r="AD44" s="22"/>
      <c r="AE44" s="23"/>
      <c r="AF44" s="80"/>
      <c r="AG44" s="6"/>
      <c r="AH44" s="19"/>
      <c r="AI44" s="55">
        <f t="shared" si="33"/>
        <v>0</v>
      </c>
      <c r="AJ44" s="61">
        <f t="shared" si="33"/>
        <v>0</v>
      </c>
      <c r="AK44" s="272">
        <f t="shared" si="34"/>
        <v>0</v>
      </c>
      <c r="AL44" s="56">
        <f t="shared" si="34"/>
        <v>0</v>
      </c>
      <c r="AM44" s="495" t="s">
        <v>178</v>
      </c>
      <c r="AN44" s="757">
        <v>0.500031</v>
      </c>
      <c r="AO44" s="493">
        <f>(0.08/1000)</f>
        <v>8.0000000000000007E-5</v>
      </c>
      <c r="AP44" s="535">
        <f t="shared" si="27"/>
        <v>0</v>
      </c>
      <c r="AQ44" s="746"/>
      <c r="AR44" s="361">
        <f>0.016/1000</f>
        <v>1.5999999999999999E-5</v>
      </c>
      <c r="AS44" s="17"/>
      <c r="AT44" s="17"/>
      <c r="AU44"/>
      <c r="AV44"/>
      <c r="AW44"/>
      <c r="AX44"/>
      <c r="AY44" s="17"/>
      <c r="AZ44" s="17"/>
      <c r="BF44"/>
      <c r="BG44"/>
      <c r="BH44"/>
      <c r="BI44"/>
      <c r="BJ44"/>
      <c r="BK44"/>
      <c r="BL44"/>
      <c r="BM44" s="17"/>
      <c r="BN44" s="17"/>
      <c r="BO44" s="17"/>
      <c r="BP44" s="17"/>
      <c r="BQ44" s="17"/>
      <c r="BR44" s="17"/>
      <c r="BS44" s="17"/>
    </row>
    <row r="45" spans="1:85" s="21" customFormat="1" ht="15" customHeight="1" thickBot="1">
      <c r="A45" s="883"/>
      <c r="B45" s="597"/>
      <c r="C45" s="337"/>
      <c r="D45" s="592" t="str">
        <f>FIXED(MROUND(D43,IF($E$14&lt;&gt;0,$E$14/10,$C$14/10)),$AI$15+1,TRUE)</f>
        <v>0,0</v>
      </c>
      <c r="E45" s="599"/>
      <c r="F45" s="600" t="str">
        <f>FIXED(MROUND(D45,$C$14/10),$AI$15+1,TRUE)</f>
        <v>0,0</v>
      </c>
      <c r="G45" s="580">
        <f>G44</f>
        <v>0</v>
      </c>
      <c r="H45" s="223" t="str">
        <f>IF(OR(D43&lt;&gt;0,E45&lt;&gt;0),AVERAGE(G43:G47),"-------")</f>
        <v>-------</v>
      </c>
      <c r="I45" s="224" t="str">
        <f>IF(OR(D43&lt;&gt;0,E45&lt;&gt;0),(H47-F45),"-------")</f>
        <v>-------</v>
      </c>
      <c r="J45" s="224" t="str">
        <f>IF(OR(B43&lt;&gt;"",E45&lt;&gt;""),ROUNDDOWN(AD46,0),"-------")</f>
        <v>-------</v>
      </c>
      <c r="K45" s="225" t="e">
        <f>IF(G43="===","------",AE46)</f>
        <v>#DIV/0!</v>
      </c>
      <c r="L45" s="225" t="str">
        <f>IF(OR(B43&lt;&gt;"",E45&lt;&gt;""),AF46,"-------")</f>
        <v>-------</v>
      </c>
      <c r="M45" s="313" t="str">
        <f>IF($H$11&lt;&gt;"",FIXED(ROUND((D43*($H$11-$H$10)/$H$10),$AI$15),$AI$15),"")</f>
        <v/>
      </c>
      <c r="O45" s="355">
        <f t="shared" si="30"/>
        <v>0</v>
      </c>
      <c r="P45" s="359">
        <f t="shared" si="30"/>
        <v>0</v>
      </c>
      <c r="Q45" s="261">
        <f t="shared" si="31"/>
        <v>0</v>
      </c>
      <c r="R45" s="262">
        <f t="shared" si="31"/>
        <v>0</v>
      </c>
      <c r="S45" s="668">
        <f t="shared" si="32"/>
        <v>0</v>
      </c>
      <c r="T45" s="159">
        <f t="shared" si="32"/>
        <v>0</v>
      </c>
      <c r="U45" s="297"/>
      <c r="V45" s="366" t="str">
        <f>IF($I$9="Não","",IF($L$9="SIM",IF(L$11&lt;&gt;K$11,ABS(L$11-K$11)*($D43/J$11),0),ABS($M45)))</f>
        <v/>
      </c>
      <c r="W45" s="363">
        <f>IF(V45="",0,V45^2/3)</f>
        <v>0</v>
      </c>
      <c r="X45" s="363">
        <f>SQRT(W45)</f>
        <v>0</v>
      </c>
      <c r="Y45" s="364">
        <v>1</v>
      </c>
      <c r="Z45" s="365">
        <v>50</v>
      </c>
      <c r="AA45" s="367">
        <f>IF(V45="",0,(X45*Y45)^2)</f>
        <v>0</v>
      </c>
      <c r="AB45" s="79"/>
      <c r="AC45" s="17"/>
      <c r="AD45" s="22"/>
      <c r="AE45" s="23"/>
      <c r="AF45" s="80"/>
      <c r="AG45" s="6"/>
      <c r="AI45" s="55">
        <f t="shared" si="33"/>
        <v>0</v>
      </c>
      <c r="AJ45" s="61">
        <f t="shared" si="33"/>
        <v>0</v>
      </c>
      <c r="AK45" s="272">
        <f t="shared" si="34"/>
        <v>0</v>
      </c>
      <c r="AL45" s="56">
        <f t="shared" si="34"/>
        <v>0</v>
      </c>
      <c r="AM45" s="496" t="s">
        <v>179</v>
      </c>
      <c r="AN45" s="506">
        <v>1.00003</v>
      </c>
      <c r="AO45" s="490">
        <f>(0.1/1000)</f>
        <v>1E-4</v>
      </c>
      <c r="AP45" s="507">
        <f t="shared" si="27"/>
        <v>0</v>
      </c>
      <c r="AQ45" s="746"/>
      <c r="AR45" s="361">
        <f>0.023/1000</f>
        <v>2.3E-5</v>
      </c>
      <c r="AS45" s="17"/>
      <c r="AT45" s="17"/>
      <c r="AU45"/>
      <c r="AV45"/>
      <c r="AW45"/>
      <c r="AX45"/>
      <c r="AY45" s="17"/>
      <c r="AZ45" s="17"/>
      <c r="BA45" s="17"/>
      <c r="BB45" s="17"/>
      <c r="BC45" s="17"/>
      <c r="BD45" s="17"/>
      <c r="BE45" s="17"/>
      <c r="BF45"/>
      <c r="BG45"/>
      <c r="BH45"/>
      <c r="BI45"/>
      <c r="BJ45"/>
      <c r="BK45"/>
      <c r="BL45"/>
      <c r="BM45" s="17"/>
      <c r="BN45" s="17"/>
      <c r="BO45" s="17"/>
      <c r="BP45" s="17"/>
      <c r="BQ45" s="17"/>
      <c r="BR45" s="17"/>
      <c r="BS45" s="17"/>
    </row>
    <row r="46" spans="1:85" s="21" customFormat="1" ht="15" customHeight="1">
      <c r="A46" s="883"/>
      <c r="B46" s="597"/>
      <c r="C46" s="337"/>
      <c r="D46" s="589"/>
      <c r="E46" s="244"/>
      <c r="F46" s="567"/>
      <c r="G46" s="580">
        <f>G45</f>
        <v>0</v>
      </c>
      <c r="H46" s="207"/>
      <c r="I46" s="315"/>
      <c r="J46" s="208"/>
      <c r="K46" s="210"/>
      <c r="L46" s="209"/>
      <c r="M46" s="312"/>
      <c r="O46" s="355">
        <f t="shared" si="30"/>
        <v>0</v>
      </c>
      <c r="P46" s="359">
        <f t="shared" si="30"/>
        <v>0</v>
      </c>
      <c r="Q46" s="261">
        <f t="shared" si="31"/>
        <v>0</v>
      </c>
      <c r="R46" s="262">
        <f t="shared" si="31"/>
        <v>0</v>
      </c>
      <c r="S46" s="668">
        <f t="shared" si="32"/>
        <v>0</v>
      </c>
      <c r="T46" s="159">
        <f t="shared" si="32"/>
        <v>0</v>
      </c>
      <c r="U46" s="297"/>
      <c r="V46" s="606">
        <f>(SUM(O43:O47,P43:P47))</f>
        <v>0</v>
      </c>
      <c r="W46" s="370">
        <f>V46^2/3</f>
        <v>0</v>
      </c>
      <c r="X46" s="370">
        <f>SQRT(W46)</f>
        <v>0</v>
      </c>
      <c r="Y46" s="370">
        <v>1</v>
      </c>
      <c r="Z46" s="370">
        <v>50</v>
      </c>
      <c r="AA46" s="371">
        <f>IF(V46="","",(X46*Y46)^2)</f>
        <v>0</v>
      </c>
      <c r="AB46" s="386">
        <f>SUM($AA$29:$AA$30,AA43:AA48,AA83,AA94)</f>
        <v>0</v>
      </c>
      <c r="AC46" s="17">
        <f>SQRT(AB46)</f>
        <v>0</v>
      </c>
      <c r="AD46" s="283" t="e">
        <f>(AC46^4)/(((($X$29*$Y$29)^4)/$Z$29)+((($X$30*$Y$30)^4)/$Z$30)+((($X$43*$Y$43)^4)/$Z$43)+(((X44*Y44)^4)/Z44)+(((X45*Y45)^4)/Z45)+(((X46*Y46)^4)/Z46)+(((X47*Y47)^4)/Z47)+(((X48*Y48)^4)/Z48)+(((X83*Y83)^4)/Z83)+(((X94*Y94)^4)/Z94))</f>
        <v>#DIV/0!</v>
      </c>
      <c r="AE46" s="23" t="e">
        <f>TINV(0.0455,AD46)</f>
        <v>#DIV/0!</v>
      </c>
      <c r="AF46" s="390" t="e">
        <f>CEILING((AE46*AC46),$C$14/100)</f>
        <v>#DIV/0!</v>
      </c>
      <c r="AG46" s="6">
        <f>IF(I51&gt;0,$C$14,-$C$14)</f>
        <v>0</v>
      </c>
      <c r="AH46" s="19"/>
      <c r="AI46" s="55">
        <f t="shared" si="33"/>
        <v>0</v>
      </c>
      <c r="AJ46" s="61">
        <f t="shared" si="33"/>
        <v>0</v>
      </c>
      <c r="AK46" s="272">
        <f t="shared" si="34"/>
        <v>0</v>
      </c>
      <c r="AL46" s="56">
        <f t="shared" si="34"/>
        <v>0</v>
      </c>
      <c r="AM46" s="496" t="s">
        <v>180</v>
      </c>
      <c r="AN46" s="506">
        <v>2.000022</v>
      </c>
      <c r="AO46" s="490">
        <f>(0.12/1000)</f>
        <v>1.1999999999999999E-4</v>
      </c>
      <c r="AP46" s="507">
        <f t="shared" si="27"/>
        <v>0</v>
      </c>
      <c r="AQ46" s="746"/>
      <c r="AR46" s="361">
        <f>0.035/1000</f>
        <v>3.5000000000000004E-5</v>
      </c>
      <c r="AS46" s="17"/>
      <c r="AT46" s="17"/>
      <c r="AU46"/>
      <c r="AV46"/>
      <c r="AW46"/>
      <c r="AX46"/>
      <c r="AY46"/>
      <c r="AZ46" s="17"/>
      <c r="BA46" s="17"/>
      <c r="BB46" s="17"/>
      <c r="BC46" s="17"/>
      <c r="BD46" s="17"/>
      <c r="BE46" s="17"/>
      <c r="BF46"/>
      <c r="BG46"/>
      <c r="BH46"/>
      <c r="BI46"/>
      <c r="BJ46"/>
      <c r="BK46"/>
      <c r="BL46"/>
      <c r="BM46" s="17"/>
      <c r="BN46" s="17"/>
      <c r="BO46" s="17"/>
      <c r="BP46" s="17"/>
      <c r="BQ46" s="17"/>
      <c r="BR46" s="17"/>
      <c r="BS46" s="17"/>
      <c r="CG46" s="28">
        <f>AVERAGE(G32:G36)</f>
        <v>0</v>
      </c>
    </row>
    <row r="47" spans="1:85" s="21" customFormat="1" ht="15" customHeight="1" thickBot="1">
      <c r="A47" s="883"/>
      <c r="B47" s="661"/>
      <c r="C47" s="665"/>
      <c r="D47" s="582"/>
      <c r="E47" s="244"/>
      <c r="F47" s="567"/>
      <c r="G47" s="623">
        <f>G46</f>
        <v>0</v>
      </c>
      <c r="H47" s="306" t="str">
        <f>IF(H45&lt;&gt;"-------",FIXED(IF($E$14&lt;&gt;0,MROUND(H45,$E$14),MROUND(H45,$C$14)),LEN(L47)-2,TRUE),"------")</f>
        <v>------</v>
      </c>
      <c r="I47" s="620" t="str">
        <f>IF(I45&lt;&gt;"-------",FIXED(ROUND(I45,$AI$15),LEN(L47)-2,TRUE),"------")</f>
        <v>------</v>
      </c>
      <c r="J47" s="620" t="str">
        <f>IF(G43="===","------",IF(J45&gt;500,"&gt; 500",J45))</f>
        <v>&gt; 500</v>
      </c>
      <c r="K47" s="624" t="e">
        <f>K45</f>
        <v>#DIV/0!</v>
      </c>
      <c r="L47" s="621" t="str">
        <f>IF(L45&lt;&gt;"-------",BF12,"------")</f>
        <v>------</v>
      </c>
      <c r="M47" s="312"/>
      <c r="O47" s="355">
        <f t="shared" si="30"/>
        <v>0</v>
      </c>
      <c r="P47" s="359">
        <f t="shared" si="30"/>
        <v>0</v>
      </c>
      <c r="Q47" s="261">
        <f t="shared" si="31"/>
        <v>0</v>
      </c>
      <c r="R47" s="262">
        <f t="shared" si="31"/>
        <v>0</v>
      </c>
      <c r="S47" s="669">
        <f t="shared" si="32"/>
        <v>0</v>
      </c>
      <c r="T47" s="160">
        <f t="shared" si="32"/>
        <v>0</v>
      </c>
      <c r="U47" s="297"/>
      <c r="V47" s="333">
        <f>IF($J$19="sim",SUM(O43:P47)/4,SUM(S43:T47))</f>
        <v>0</v>
      </c>
      <c r="W47" s="334">
        <f>IF(V47="","",V47^2/3)</f>
        <v>0</v>
      </c>
      <c r="X47" s="334">
        <f>IF($J$19="Sim",SQRT(W47),SUM(S43:T47))</f>
        <v>0</v>
      </c>
      <c r="Y47" s="334">
        <v>1</v>
      </c>
      <c r="Z47" s="334">
        <v>50</v>
      </c>
      <c r="AA47" s="335">
        <f>(X47*Y47)^2</f>
        <v>0</v>
      </c>
      <c r="AB47" s="79"/>
      <c r="AC47" s="17"/>
      <c r="AD47" s="22"/>
      <c r="AE47" s="23"/>
      <c r="AF47" s="80"/>
      <c r="AG47" s="6"/>
      <c r="AH47" s="27"/>
      <c r="AI47" s="57">
        <f t="shared" si="33"/>
        <v>0</v>
      </c>
      <c r="AJ47" s="62">
        <f t="shared" si="33"/>
        <v>0</v>
      </c>
      <c r="AK47" s="273">
        <f t="shared" si="34"/>
        <v>0</v>
      </c>
      <c r="AL47" s="58">
        <f t="shared" si="34"/>
        <v>0</v>
      </c>
      <c r="AM47" s="494" t="s">
        <v>181</v>
      </c>
      <c r="AN47" s="506">
        <v>2.0000399999999998</v>
      </c>
      <c r="AO47" s="490">
        <f>(0.12/1000)</f>
        <v>1.1999999999999999E-4</v>
      </c>
      <c r="AP47" s="507">
        <f t="shared" si="27"/>
        <v>0</v>
      </c>
      <c r="AQ47" s="746"/>
      <c r="AR47" s="361">
        <f>0.035/1000</f>
        <v>3.5000000000000004E-5</v>
      </c>
      <c r="AU47"/>
      <c r="AV47"/>
      <c r="AW47"/>
      <c r="AX47"/>
      <c r="AY47"/>
      <c r="AZ47"/>
    </row>
    <row r="48" spans="1:85" s="21" customFormat="1" ht="15" customHeight="1" thickBot="1">
      <c r="A48" s="884"/>
      <c r="B48" s="637"/>
      <c r="C48" s="638"/>
      <c r="D48" s="591"/>
      <c r="E48" s="627"/>
      <c r="F48" s="847"/>
      <c r="G48" s="628"/>
      <c r="H48" s="629"/>
      <c r="I48" s="630"/>
      <c r="J48" s="630"/>
      <c r="K48" s="631"/>
      <c r="L48" s="639"/>
      <c r="M48" s="633"/>
      <c r="O48" s="634"/>
      <c r="P48" s="635"/>
      <c r="Q48" s="634"/>
      <c r="R48" s="635"/>
      <c r="S48" s="636"/>
      <c r="T48" s="635"/>
      <c r="U48" s="640"/>
      <c r="V48" s="372">
        <f>SUM(Q43:R47)</f>
        <v>0</v>
      </c>
      <c r="W48" s="373">
        <f>IF(V48="","",V48^2/3)</f>
        <v>0</v>
      </c>
      <c r="X48" s="373">
        <f>SQRT(W48)</f>
        <v>0</v>
      </c>
      <c r="Y48" s="373">
        <v>1</v>
      </c>
      <c r="Z48" s="373">
        <v>50</v>
      </c>
      <c r="AA48" s="374">
        <f>IF(V48="","",(X48*Y48)^2)</f>
        <v>0</v>
      </c>
      <c r="AB48" s="322"/>
      <c r="AC48" s="24"/>
      <c r="AD48" s="25"/>
      <c r="AE48" s="26"/>
      <c r="AF48" s="323"/>
      <c r="AG48" s="6"/>
      <c r="AH48" s="19" t="s">
        <v>17</v>
      </c>
      <c r="AI48" s="53">
        <f t="shared" ref="AI48:AJ52" si="35">IF(ISERROR(VLOOKUP(B55,$AM$7:$AO$255,2,FALSE)),0,(VLOOKUP(B55,$AM$7:$AO$255,2,FALSE)*$AV$78))</f>
        <v>0</v>
      </c>
      <c r="AJ48" s="60">
        <f t="shared" si="35"/>
        <v>0</v>
      </c>
      <c r="AK48" s="271">
        <f t="shared" ref="AK48:AL52" si="36">IF(ISERROR(VLOOKUP(B55,$AM$7:$AO$255,3,FALSE)),0,(VLOOKUP(B55,$AM$7:$AO$255,3,FALSE)*$AV$78))</f>
        <v>0</v>
      </c>
      <c r="AL48" s="54">
        <f t="shared" si="36"/>
        <v>0</v>
      </c>
      <c r="AM48" s="496" t="s">
        <v>182</v>
      </c>
      <c r="AN48" s="506">
        <v>5.0000439999999999</v>
      </c>
      <c r="AO48" s="490">
        <f>(0.16/1000)</f>
        <v>1.6000000000000001E-4</v>
      </c>
      <c r="AP48" s="507">
        <f t="shared" si="27"/>
        <v>0</v>
      </c>
      <c r="AQ48" s="746"/>
      <c r="AR48" s="361">
        <f>0.066/1000</f>
        <v>6.6000000000000005E-5</v>
      </c>
      <c r="AS48" s="17"/>
      <c r="AT48" s="17"/>
      <c r="AU48"/>
      <c r="AV48"/>
      <c r="AW48"/>
      <c r="AX48"/>
      <c r="AY48"/>
      <c r="AZ48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</row>
    <row r="49" spans="1:72" s="21" customFormat="1" ht="15" customHeight="1">
      <c r="A49" s="882">
        <v>4</v>
      </c>
      <c r="B49" s="596"/>
      <c r="C49" s="336"/>
      <c r="D49" s="588">
        <f>IF(E51="",SUM(AI43:AI47,AJ43:AJ47),SUM(AI43:AI47,AJ43:AJ47)-I45)</f>
        <v>0</v>
      </c>
      <c r="E49" s="244"/>
      <c r="F49" s="567"/>
      <c r="G49" s="579"/>
      <c r="H49" s="207"/>
      <c r="I49" s="208"/>
      <c r="J49" s="208"/>
      <c r="K49" s="210"/>
      <c r="L49" s="209"/>
      <c r="M49" s="312"/>
      <c r="O49" s="355">
        <f t="shared" ref="O49:P53" si="37">AK43</f>
        <v>0</v>
      </c>
      <c r="P49" s="359">
        <f t="shared" si="37"/>
        <v>0</v>
      </c>
      <c r="Q49" s="261">
        <f t="shared" ref="Q49:R53" si="38">IF(ABS($L$13-$K$13)&gt;3,IF(ISERROR(VLOOKUP(B49,$AY$58:$BB$80,3,FALSE)),0,(VLOOKUP(B49,$AY$58:$BB$80,3,FALSE)*$AV$78)),IF(ISERROR(VLOOKUP(B49,$AY$58:$BB$80,4,FALSE)),0,(VLOOKUP(B49,$AY$58:$BB$80,4,FALSE)*$AV$78)))</f>
        <v>0</v>
      </c>
      <c r="R49" s="262">
        <f t="shared" si="38"/>
        <v>0</v>
      </c>
      <c r="S49" s="667">
        <f t="shared" ref="S49:T53" si="39">IF($J$19="Não",IF(ISERROR(VLOOKUP(B49,$AM$15:$AR$255,6,FALSE)),0,(VLOOKUP(B49,$AM$15:$AR$255,6,FALSE)*$AV$78)),0)</f>
        <v>0</v>
      </c>
      <c r="T49" s="158">
        <f t="shared" si="39"/>
        <v>0</v>
      </c>
      <c r="U49" s="612"/>
      <c r="V49" s="613" t="str">
        <f>IF($I$23&lt;&gt;"",ABS(($L$26*(F51/(2*$I$23)))), IF('2º MR-MI'!$I$23&lt;&gt;"",ABS(('2º MR-MI'!$L$26*(F51/(2*'2º MR-MI'!$I$23)))),IF('3º MR-MI'!$I$23&lt;&gt;"",ABS(('3º MR-MI'!$L$26*(F51/(2*'3º MR-MI'!$I$23)))),"")))</f>
        <v/>
      </c>
      <c r="W49" s="614">
        <f>IF(V49="",0,(V49)^2/3)</f>
        <v>0</v>
      </c>
      <c r="X49" s="614">
        <f>SQRT(W49)</f>
        <v>0</v>
      </c>
      <c r="Y49" s="614">
        <v>1</v>
      </c>
      <c r="Z49" s="614">
        <v>50</v>
      </c>
      <c r="AA49" s="615">
        <f>IF(V49="",0,(X49*Y49)^2)</f>
        <v>0</v>
      </c>
      <c r="AB49" s="608"/>
      <c r="AC49" s="27"/>
      <c r="AD49" s="609"/>
      <c r="AE49" s="610"/>
      <c r="AF49" s="611"/>
      <c r="AG49" s="6"/>
      <c r="AH49" s="19"/>
      <c r="AI49" s="55">
        <f t="shared" si="35"/>
        <v>0</v>
      </c>
      <c r="AJ49" s="61">
        <f t="shared" si="35"/>
        <v>0</v>
      </c>
      <c r="AK49" s="272">
        <f t="shared" si="36"/>
        <v>0</v>
      </c>
      <c r="AL49" s="56">
        <f t="shared" si="36"/>
        <v>0</v>
      </c>
      <c r="AM49" s="496" t="s">
        <v>183</v>
      </c>
      <c r="AN49" s="506">
        <v>10.000014999999999</v>
      </c>
      <c r="AO49" s="490">
        <f>(0.2/1000)</f>
        <v>2.0000000000000001E-4</v>
      </c>
      <c r="AP49" s="507">
        <f t="shared" si="27"/>
        <v>0</v>
      </c>
      <c r="AQ49" s="746"/>
      <c r="AR49" s="361">
        <f>0.115/1000</f>
        <v>1.15E-4</v>
      </c>
      <c r="AS49" s="17"/>
      <c r="AT49" s="17"/>
      <c r="AU49"/>
      <c r="AV49"/>
      <c r="AW49"/>
      <c r="AX49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</row>
    <row r="50" spans="1:72" s="21" customFormat="1" ht="15" customHeight="1" thickBot="1">
      <c r="A50" s="883"/>
      <c r="B50" s="663"/>
      <c r="C50" s="664"/>
      <c r="D50" s="582"/>
      <c r="E50" s="244"/>
      <c r="F50" s="567"/>
      <c r="G50" s="580">
        <f>G49</f>
        <v>0</v>
      </c>
      <c r="H50" s="207"/>
      <c r="I50" s="208"/>
      <c r="J50" s="208"/>
      <c r="K50" s="210"/>
      <c r="L50" s="209"/>
      <c r="M50" s="312"/>
      <c r="O50" s="355">
        <f t="shared" si="37"/>
        <v>0</v>
      </c>
      <c r="P50" s="359">
        <f t="shared" si="37"/>
        <v>0</v>
      </c>
      <c r="Q50" s="261">
        <f t="shared" si="38"/>
        <v>0</v>
      </c>
      <c r="R50" s="262">
        <f t="shared" si="38"/>
        <v>0</v>
      </c>
      <c r="S50" s="668">
        <f t="shared" si="39"/>
        <v>0</v>
      </c>
      <c r="T50" s="159">
        <f t="shared" si="39"/>
        <v>0</v>
      </c>
      <c r="U50" s="297"/>
      <c r="V50" s="329">
        <f>IF(G50&lt;&gt;"",STDEV(G49:G53),$M$28)</f>
        <v>0</v>
      </c>
      <c r="W50" s="330">
        <f>IF(G50="",V50^2,V50^2/(Z50+1))</f>
        <v>0</v>
      </c>
      <c r="X50" s="330">
        <f>SQRT(W50)</f>
        <v>0</v>
      </c>
      <c r="Y50" s="330">
        <v>1</v>
      </c>
      <c r="Z50" s="330">
        <f>IF(G50="",2,COUNT(G49:G53)-1)</f>
        <v>3</v>
      </c>
      <c r="AA50" s="331">
        <f>(Y50*X50)^2</f>
        <v>0</v>
      </c>
      <c r="AB50" s="79"/>
      <c r="AC50" s="17"/>
      <c r="AD50" s="22"/>
      <c r="AE50" s="23"/>
      <c r="AF50" s="80"/>
      <c r="AG50" s="6"/>
      <c r="AI50" s="55">
        <f t="shared" si="35"/>
        <v>0</v>
      </c>
      <c r="AJ50" s="61">
        <f t="shared" si="35"/>
        <v>0</v>
      </c>
      <c r="AK50" s="272">
        <f t="shared" si="36"/>
        <v>0</v>
      </c>
      <c r="AL50" s="56">
        <f t="shared" si="36"/>
        <v>0</v>
      </c>
      <c r="AM50" s="496" t="s">
        <v>184</v>
      </c>
      <c r="AN50" s="506">
        <v>20.000070000000001</v>
      </c>
      <c r="AO50" s="490">
        <f>(0.25/1000)</f>
        <v>2.5000000000000001E-4</v>
      </c>
      <c r="AP50" s="507">
        <f t="shared" si="27"/>
        <v>0</v>
      </c>
      <c r="AQ50" s="746"/>
      <c r="AR50" s="361">
        <f>0.209/1000</f>
        <v>2.0899999999999998E-4</v>
      </c>
      <c r="AS50" s="17">
        <f>SUM(AP7:AP31)</f>
        <v>0</v>
      </c>
      <c r="AT50" s="20" t="s">
        <v>18</v>
      </c>
      <c r="AU50"/>
      <c r="AV50"/>
      <c r="AW50"/>
      <c r="AX50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</row>
    <row r="51" spans="1:72" s="21" customFormat="1" ht="15" customHeight="1" thickBot="1">
      <c r="A51" s="883"/>
      <c r="B51" s="597"/>
      <c r="C51" s="337"/>
      <c r="D51" s="592" t="str">
        <f>FIXED(MROUND(D49,IF($E$14&lt;&gt;0,$E$14/10,$C$14/10)),$AI$15+1,TRUE)</f>
        <v>0,0</v>
      </c>
      <c r="E51" s="599"/>
      <c r="F51" s="600" t="str">
        <f>FIXED(MROUND(D51,$C$14/10),$AI$15+1,TRUE)</f>
        <v>0,0</v>
      </c>
      <c r="G51" s="580">
        <f>G50</f>
        <v>0</v>
      </c>
      <c r="H51" s="223" t="str">
        <f>IF(OR(D49&lt;&gt;0,E51&lt;&gt;0),AVERAGE(G49:G53),"-------")</f>
        <v>-------</v>
      </c>
      <c r="I51" s="224" t="str">
        <f>IF(OR(D49&lt;&gt;0,E51&lt;&gt;0),(H53-F51),"-------")</f>
        <v>-------</v>
      </c>
      <c r="J51" s="224" t="str">
        <f>IF(OR(B49&lt;&gt;"",E51&lt;&gt;""),ROUNDDOWN(AD52,0),"-------")</f>
        <v>-------</v>
      </c>
      <c r="K51" s="225" t="e">
        <f>IF(G49="===","------",AE52)</f>
        <v>#DIV/0!</v>
      </c>
      <c r="L51" s="225" t="str">
        <f>IF(OR(B49&lt;&gt;"",E51&lt;&gt;""),AF52,"-------")</f>
        <v>-------</v>
      </c>
      <c r="M51" s="313" t="str">
        <f>IF($H$11&lt;&gt;"",FIXED(ROUND((D49*($H$11-$H$10)/$H$10),$AI$15),$AI$15),"")</f>
        <v/>
      </c>
      <c r="O51" s="355">
        <f t="shared" si="37"/>
        <v>0</v>
      </c>
      <c r="P51" s="359">
        <f t="shared" si="37"/>
        <v>0</v>
      </c>
      <c r="Q51" s="261">
        <f t="shared" si="38"/>
        <v>0</v>
      </c>
      <c r="R51" s="262">
        <f t="shared" si="38"/>
        <v>0</v>
      </c>
      <c r="S51" s="668">
        <f t="shared" si="39"/>
        <v>0</v>
      </c>
      <c r="T51" s="159">
        <f t="shared" si="39"/>
        <v>0</v>
      </c>
      <c r="U51" s="297"/>
      <c r="V51" s="366" t="str">
        <f>IF($I$9="Não","",IF($L$9="SIM",IF(L$11&lt;&gt;K$11,ABS(L$11-K$11)*($D49/J$11),0),ABS($M51)))</f>
        <v/>
      </c>
      <c r="W51" s="363">
        <f>IF(V51="",0,V51^2/3)</f>
        <v>0</v>
      </c>
      <c r="X51" s="363">
        <f>SQRT(W51)</f>
        <v>0</v>
      </c>
      <c r="Y51" s="364">
        <v>1</v>
      </c>
      <c r="Z51" s="365">
        <v>50</v>
      </c>
      <c r="AA51" s="367">
        <f>IF(V51="",0,(X51*Y51)^2)</f>
        <v>0</v>
      </c>
      <c r="AB51" s="79"/>
      <c r="AC51" s="17"/>
      <c r="AD51" s="22"/>
      <c r="AE51" s="23"/>
      <c r="AF51" s="80"/>
      <c r="AG51" s="6">
        <f>IF(I57&gt;0,$C$14,-$C$14)</f>
        <v>0</v>
      </c>
      <c r="AH51" s="19"/>
      <c r="AI51" s="55">
        <f t="shared" si="35"/>
        <v>0</v>
      </c>
      <c r="AJ51" s="61">
        <f t="shared" si="35"/>
        <v>0</v>
      </c>
      <c r="AK51" s="272">
        <f t="shared" si="36"/>
        <v>0</v>
      </c>
      <c r="AL51" s="56">
        <f t="shared" si="36"/>
        <v>0</v>
      </c>
      <c r="AM51" s="494" t="s">
        <v>185</v>
      </c>
      <c r="AN51" s="506">
        <v>20.000059</v>
      </c>
      <c r="AO51" s="490">
        <f>(0.25/1000)</f>
        <v>2.5000000000000001E-4</v>
      </c>
      <c r="AP51" s="507">
        <f t="shared" si="27"/>
        <v>0</v>
      </c>
      <c r="AQ51" s="746"/>
      <c r="AR51" s="361">
        <f>0.209/1000</f>
        <v>2.0899999999999998E-4</v>
      </c>
      <c r="AS51" s="17"/>
      <c r="AT51" s="17"/>
      <c r="AU51"/>
      <c r="AV51"/>
      <c r="AW51"/>
      <c r="AX51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</row>
    <row r="52" spans="1:72" s="21" customFormat="1" ht="15" customHeight="1" thickBot="1">
      <c r="A52" s="883"/>
      <c r="B52" s="597"/>
      <c r="C52" s="337"/>
      <c r="D52" s="589"/>
      <c r="E52" s="244"/>
      <c r="F52" s="567"/>
      <c r="G52" s="580">
        <f>G51</f>
        <v>0</v>
      </c>
      <c r="H52" s="207"/>
      <c r="I52" s="315"/>
      <c r="J52" s="208"/>
      <c r="K52" s="210"/>
      <c r="L52" s="209"/>
      <c r="M52" s="312"/>
      <c r="O52" s="355">
        <f t="shared" si="37"/>
        <v>0</v>
      </c>
      <c r="P52" s="359">
        <f t="shared" si="37"/>
        <v>0</v>
      </c>
      <c r="Q52" s="261">
        <f t="shared" si="38"/>
        <v>0</v>
      </c>
      <c r="R52" s="262">
        <f t="shared" si="38"/>
        <v>0</v>
      </c>
      <c r="S52" s="668">
        <f t="shared" si="39"/>
        <v>0</v>
      </c>
      <c r="T52" s="159">
        <f t="shared" si="39"/>
        <v>0</v>
      </c>
      <c r="U52" s="297"/>
      <c r="V52" s="606">
        <f>(SUM(O49:O53,P49:P53))</f>
        <v>0</v>
      </c>
      <c r="W52" s="370">
        <f>V52^2/3</f>
        <v>0</v>
      </c>
      <c r="X52" s="370">
        <f>SQRT(W52)</f>
        <v>0</v>
      </c>
      <c r="Y52" s="370">
        <v>1</v>
      </c>
      <c r="Z52" s="370">
        <v>50</v>
      </c>
      <c r="AA52" s="371">
        <f>IF(V52="","",(X52*Y52)^2)</f>
        <v>0</v>
      </c>
      <c r="AB52" s="386">
        <f>SUM($AA$29:$AA$30,AA49:AA54,AA84,AA95)</f>
        <v>0</v>
      </c>
      <c r="AC52" s="17">
        <f>SQRT(AB52)</f>
        <v>0</v>
      </c>
      <c r="AD52" s="283" t="e">
        <f>(AC52^4)/(((($X$29*$Y$29)^4)/$Z$29)+((($X$30*$Y$30)^4)/$Z$30)+((($X$49*$Y$49)^4)/$Z$49)+(((X50*Y50)^4)/Z50)+(((X51*Y51)^4)/Z51)+(((X52*Y52)^4)/Z52)+(((X53*Y53)^4)/Z53)+(((X54*Y54)^4)/Z54)+(((X84*Y84)^4)/Z84)+(((X95*Y95)^4)/Z95))</f>
        <v>#DIV/0!</v>
      </c>
      <c r="AE52" s="23" t="e">
        <f>TINV(0.0455,AD52)</f>
        <v>#DIV/0!</v>
      </c>
      <c r="AF52" s="390" t="e">
        <f>CEILING((AE52*AC52),$C$14/100)</f>
        <v>#DIV/0!</v>
      </c>
      <c r="AG52" s="6"/>
      <c r="AH52" s="27"/>
      <c r="AI52" s="57">
        <f t="shared" si="35"/>
        <v>0</v>
      </c>
      <c r="AJ52" s="62">
        <f t="shared" si="35"/>
        <v>0</v>
      </c>
      <c r="AK52" s="273">
        <f t="shared" si="36"/>
        <v>0</v>
      </c>
      <c r="AL52" s="58">
        <f t="shared" si="36"/>
        <v>0</v>
      </c>
      <c r="AM52" s="496" t="s">
        <v>186</v>
      </c>
      <c r="AN52" s="506">
        <v>50.000014999999998</v>
      </c>
      <c r="AO52" s="490">
        <f>(0.3/1000)</f>
        <v>2.9999999999999997E-4</v>
      </c>
      <c r="AP52" s="507">
        <f t="shared" si="27"/>
        <v>0</v>
      </c>
      <c r="AQ52" s="746"/>
      <c r="AR52" s="361">
        <f>0.476/1000</f>
        <v>4.7599999999999997E-4</v>
      </c>
      <c r="AU52"/>
      <c r="AV52"/>
      <c r="AW52"/>
      <c r="AX52"/>
    </row>
    <row r="53" spans="1:72" s="21" customFormat="1" ht="15" customHeight="1" thickBot="1">
      <c r="A53" s="883"/>
      <c r="B53" s="661"/>
      <c r="C53" s="665"/>
      <c r="D53" s="582"/>
      <c r="E53" s="244"/>
      <c r="F53" s="567"/>
      <c r="G53" s="623">
        <f>G52</f>
        <v>0</v>
      </c>
      <c r="H53" s="306" t="str">
        <f>IF(H51&lt;&gt;"-------",FIXED(IF($E$14&lt;&gt;0,MROUND(H51,$E$14),MROUND(H51,$C$14)),LEN(L53)-2,TRUE),"------")</f>
        <v>------</v>
      </c>
      <c r="I53" s="620" t="str">
        <f>IF(I51&lt;&gt;"-------",FIXED(ROUND(I51,$AI$15),LEN(L53)-2,TRUE),"------")</f>
        <v>------</v>
      </c>
      <c r="J53" s="620" t="str">
        <f>IF(G49="===","------",IF(J51&gt;500,"&gt; 500",J51))</f>
        <v>&gt; 500</v>
      </c>
      <c r="K53" s="624" t="e">
        <f>K51</f>
        <v>#DIV/0!</v>
      </c>
      <c r="L53" s="621" t="str">
        <f>IF(L51&lt;&gt;"-------",BF13,"------")</f>
        <v>------</v>
      </c>
      <c r="M53" s="312"/>
      <c r="O53" s="355">
        <f t="shared" si="37"/>
        <v>0</v>
      </c>
      <c r="P53" s="359">
        <f t="shared" si="37"/>
        <v>0</v>
      </c>
      <c r="Q53" s="261">
        <f t="shared" si="38"/>
        <v>0</v>
      </c>
      <c r="R53" s="262">
        <f t="shared" si="38"/>
        <v>0</v>
      </c>
      <c r="S53" s="669">
        <f t="shared" si="39"/>
        <v>0</v>
      </c>
      <c r="T53" s="160">
        <f t="shared" si="39"/>
        <v>0</v>
      </c>
      <c r="U53" s="297"/>
      <c r="V53" s="333">
        <f>IF($J$19="sim",SUM(O49:P53)/4,SUM(S49:T53))</f>
        <v>0</v>
      </c>
      <c r="W53" s="334">
        <f>IF(V53="","",V53^2/3)</f>
        <v>0</v>
      </c>
      <c r="X53" s="334">
        <f>IF($J$19="Sim",SQRT(W53),SUM(S49:T53))</f>
        <v>0</v>
      </c>
      <c r="Y53" s="334">
        <v>1</v>
      </c>
      <c r="Z53" s="334">
        <v>50</v>
      </c>
      <c r="AA53" s="335">
        <f>(X53*Y53)^2</f>
        <v>0</v>
      </c>
      <c r="AB53" s="79"/>
      <c r="AC53" s="17"/>
      <c r="AD53" s="22"/>
      <c r="AE53" s="23"/>
      <c r="AF53" s="80"/>
      <c r="AG53" s="6"/>
      <c r="AH53" s="19" t="s">
        <v>19</v>
      </c>
      <c r="AI53" s="53">
        <f t="shared" ref="AI53:AJ57" si="40">IF(ISERROR(VLOOKUP(B61,$AM$7:$AO$255,2,FALSE)),0,(VLOOKUP(B61,$AM$7:$AO$255,2,FALSE)*$AV$78))</f>
        <v>0</v>
      </c>
      <c r="AJ53" s="60">
        <f t="shared" si="40"/>
        <v>0</v>
      </c>
      <c r="AK53" s="271">
        <f t="shared" ref="AK53:AL57" si="41">IF(ISERROR(VLOOKUP(B61,$AM$7:$AO$255,3,FALSE)),0,(VLOOKUP(B61,$AM$7:$AO$255,3,FALSE)*$AV$78))</f>
        <v>0</v>
      </c>
      <c r="AL53" s="54">
        <f t="shared" si="41"/>
        <v>0</v>
      </c>
      <c r="AM53" s="498" t="s">
        <v>187</v>
      </c>
      <c r="AN53" s="506">
        <v>100.00033000000001</v>
      </c>
      <c r="AO53" s="490">
        <f>(0.5/1000)</f>
        <v>5.0000000000000001E-4</v>
      </c>
      <c r="AP53" s="507">
        <f t="shared" si="27"/>
        <v>0</v>
      </c>
      <c r="AQ53" s="746"/>
      <c r="AR53" s="362">
        <f>(9.38/1000)*0.1</f>
        <v>9.3800000000000014E-4</v>
      </c>
      <c r="AS53" s="17"/>
      <c r="AT53" s="17"/>
      <c r="AU53"/>
      <c r="AV53"/>
      <c r="AW53"/>
      <c r="AX53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</row>
    <row r="54" spans="1:72" s="21" customFormat="1" ht="15" customHeight="1" thickBot="1">
      <c r="A54" s="884"/>
      <c r="B54" s="641"/>
      <c r="C54" s="642"/>
      <c r="D54" s="591"/>
      <c r="E54" s="643"/>
      <c r="F54" s="847"/>
      <c r="G54" s="854"/>
      <c r="H54" s="644"/>
      <c r="I54" s="645"/>
      <c r="J54" s="645"/>
      <c r="K54" s="646"/>
      <c r="L54" s="647"/>
      <c r="M54" s="648"/>
      <c r="O54" s="649"/>
      <c r="P54" s="650"/>
      <c r="Q54" s="649"/>
      <c r="R54" s="650"/>
      <c r="S54" s="651"/>
      <c r="T54" s="650"/>
      <c r="U54" s="640"/>
      <c r="V54" s="372">
        <f>SUM(Q49:R53)</f>
        <v>0</v>
      </c>
      <c r="W54" s="373">
        <f>IF(V54="","",V54^2/3)</f>
        <v>0</v>
      </c>
      <c r="X54" s="373">
        <f>SQRT(W54)</f>
        <v>0</v>
      </c>
      <c r="Y54" s="373">
        <v>1</v>
      </c>
      <c r="Z54" s="373">
        <v>50</v>
      </c>
      <c r="AA54" s="374">
        <f>IF(V54="","",(X54*Y54)^2)</f>
        <v>0</v>
      </c>
      <c r="AB54" s="322"/>
      <c r="AC54" s="24"/>
      <c r="AD54" s="25"/>
      <c r="AE54" s="26"/>
      <c r="AF54" s="323"/>
      <c r="AG54" s="6"/>
      <c r="AH54" s="19"/>
      <c r="AI54" s="55">
        <f t="shared" si="40"/>
        <v>0</v>
      </c>
      <c r="AJ54" s="61">
        <f t="shared" si="40"/>
        <v>0</v>
      </c>
      <c r="AK54" s="272">
        <f t="shared" si="41"/>
        <v>0</v>
      </c>
      <c r="AL54" s="56">
        <f t="shared" si="41"/>
        <v>0</v>
      </c>
      <c r="AM54" s="498" t="s">
        <v>188</v>
      </c>
      <c r="AN54" s="506">
        <v>200.00009</v>
      </c>
      <c r="AO54" s="490">
        <f>(1/1000)</f>
        <v>1E-3</v>
      </c>
      <c r="AP54" s="507">
        <f t="shared" si="27"/>
        <v>0</v>
      </c>
      <c r="AQ54" s="746"/>
      <c r="AR54" s="362">
        <f>SQRT((9.38/1000)^2/3)</f>
        <v>5.4155455249986903E-3</v>
      </c>
      <c r="AS54" s="17"/>
      <c r="AT54" s="17"/>
      <c r="AU54"/>
      <c r="AV54"/>
      <c r="AW54"/>
      <c r="AX54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</row>
    <row r="55" spans="1:72" s="21" customFormat="1" ht="15" customHeight="1">
      <c r="A55" s="882">
        <v>5</v>
      </c>
      <c r="B55" s="596"/>
      <c r="C55" s="336"/>
      <c r="D55" s="588">
        <f>IF(E57="",SUM(AI48:AI52,AJ48:AJ52),SUM(AI48:AI52,AJ48:AJ52)-I51)</f>
        <v>0</v>
      </c>
      <c r="E55" s="244"/>
      <c r="F55" s="567"/>
      <c r="G55" s="579"/>
      <c r="H55" s="207"/>
      <c r="I55" s="208"/>
      <c r="J55" s="208"/>
      <c r="K55" s="210"/>
      <c r="L55" s="209"/>
      <c r="M55" s="312"/>
      <c r="O55" s="355">
        <f t="shared" ref="O55:P59" si="42">AK48</f>
        <v>0</v>
      </c>
      <c r="P55" s="359">
        <f t="shared" si="42"/>
        <v>0</v>
      </c>
      <c r="Q55" s="261">
        <f t="shared" ref="Q55:R59" si="43">IF(ABS($L$13-$K$13)&gt;3,IF(ISERROR(VLOOKUP(B55,$AY$58:$BB$80,3,FALSE)),0,(VLOOKUP(B55,$AY$58:$BB$80,3,FALSE)*$AV$78)),IF(ISERROR(VLOOKUP(B55,$AY$58:$BB$80,4,FALSE)),0,(VLOOKUP(B55,$AY$58:$BB$80,4,FALSE)*$AV$78)))</f>
        <v>0</v>
      </c>
      <c r="R55" s="262">
        <f t="shared" si="43"/>
        <v>0</v>
      </c>
      <c r="S55" s="667">
        <f t="shared" ref="S55:T59" si="44">IF($J$19="Não",IF(ISERROR(VLOOKUP(B55,$AM$15:$AR$255,6,FALSE)),0,(VLOOKUP(B55,$AM$15:$AR$255,6,FALSE)*$AV$78)),0)</f>
        <v>0</v>
      </c>
      <c r="T55" s="158">
        <f t="shared" si="44"/>
        <v>0</v>
      </c>
      <c r="U55" s="612"/>
      <c r="V55" s="613" t="str">
        <f>IF($I$23&lt;&gt;"",ABS(($L$26*(F57/(2*$I$23)))), IF('2º MR-MI'!$I$23&lt;&gt;"",ABS(('2º MR-MI'!$L$26*(F57/(2*'2º MR-MI'!$I$23)))),IF('3º MR-MI'!$I$23&lt;&gt;"",ABS(('3º MR-MI'!$L$26*(F57/(2*'3º MR-MI'!$I$23)))),"")))</f>
        <v/>
      </c>
      <c r="W55" s="614">
        <f>IF(V55="",0,(V55)^2/3)</f>
        <v>0</v>
      </c>
      <c r="X55" s="614">
        <f>SQRT(W55)</f>
        <v>0</v>
      </c>
      <c r="Y55" s="614">
        <v>1</v>
      </c>
      <c r="Z55" s="614">
        <v>50</v>
      </c>
      <c r="AA55" s="615">
        <f>IF(V55="",0,(X55*Y55)^2)</f>
        <v>0</v>
      </c>
      <c r="AB55" s="608"/>
      <c r="AC55" s="27"/>
      <c r="AD55" s="609"/>
      <c r="AE55" s="610"/>
      <c r="AF55" s="611"/>
      <c r="AG55" s="6"/>
      <c r="AI55" s="55">
        <f t="shared" si="40"/>
        <v>0</v>
      </c>
      <c r="AJ55" s="61">
        <f t="shared" si="40"/>
        <v>0</v>
      </c>
      <c r="AK55" s="272">
        <f t="shared" si="41"/>
        <v>0</v>
      </c>
      <c r="AL55" s="56">
        <f t="shared" si="41"/>
        <v>0</v>
      </c>
      <c r="AM55" s="498" t="s">
        <v>189</v>
      </c>
      <c r="AN55" s="506">
        <v>200.00018</v>
      </c>
      <c r="AO55" s="490">
        <f>(1/1000)</f>
        <v>1E-3</v>
      </c>
      <c r="AP55" s="507">
        <f t="shared" si="27"/>
        <v>0</v>
      </c>
      <c r="AQ55" s="746"/>
      <c r="AR55" s="362">
        <f t="shared" ref="AR55:AR63" si="45">SQRT((9.38/1000)^2/3)</f>
        <v>5.4155455249986903E-3</v>
      </c>
      <c r="AS55" s="17"/>
      <c r="AT55" s="17"/>
      <c r="AU55" s="17"/>
      <c r="AV55" s="17"/>
      <c r="AW55" s="17"/>
      <c r="AX55" s="17"/>
      <c r="AY55" s="68" t="s">
        <v>151</v>
      </c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</row>
    <row r="56" spans="1:72" s="21" customFormat="1" ht="15" customHeight="1" thickBot="1">
      <c r="A56" s="883"/>
      <c r="B56" s="663"/>
      <c r="C56" s="664"/>
      <c r="D56" s="582"/>
      <c r="E56" s="244"/>
      <c r="F56" s="567"/>
      <c r="G56" s="580">
        <f>G55</f>
        <v>0</v>
      </c>
      <c r="H56" s="207"/>
      <c r="I56" s="208"/>
      <c r="J56" s="208"/>
      <c r="K56" s="210"/>
      <c r="L56" s="209"/>
      <c r="M56" s="312"/>
      <c r="O56" s="355">
        <f t="shared" si="42"/>
        <v>0</v>
      </c>
      <c r="P56" s="359">
        <f t="shared" si="42"/>
        <v>0</v>
      </c>
      <c r="Q56" s="261">
        <f t="shared" si="43"/>
        <v>0</v>
      </c>
      <c r="R56" s="262">
        <f t="shared" si="43"/>
        <v>0</v>
      </c>
      <c r="S56" s="668">
        <f t="shared" si="44"/>
        <v>0</v>
      </c>
      <c r="T56" s="159">
        <f t="shared" si="44"/>
        <v>0</v>
      </c>
      <c r="U56" s="297"/>
      <c r="V56" s="329">
        <f>IF(G56&lt;&gt;"",STDEV(G55:G59),$M$28)</f>
        <v>0</v>
      </c>
      <c r="W56" s="330">
        <f>IF(G56="",V56^2,V56^2/(Z56+1))</f>
        <v>0</v>
      </c>
      <c r="X56" s="330">
        <f>SQRT(W56)</f>
        <v>0</v>
      </c>
      <c r="Y56" s="330">
        <v>1</v>
      </c>
      <c r="Z56" s="330">
        <f>IF(G56="",2,COUNT(G55:G59)-1)</f>
        <v>3</v>
      </c>
      <c r="AA56" s="331">
        <f>(Y56*X56)^2</f>
        <v>0</v>
      </c>
      <c r="AB56" s="79"/>
      <c r="AC56" s="17"/>
      <c r="AD56" s="22"/>
      <c r="AE56" s="23"/>
      <c r="AF56" s="80"/>
      <c r="AG56" s="6">
        <f>IF(I63&gt;0,$C$14,-$C$14)</f>
        <v>0</v>
      </c>
      <c r="AH56" s="19"/>
      <c r="AI56" s="55">
        <f t="shared" si="40"/>
        <v>0</v>
      </c>
      <c r="AJ56" s="61">
        <f t="shared" si="40"/>
        <v>0</v>
      </c>
      <c r="AK56" s="272">
        <f t="shared" si="41"/>
        <v>0</v>
      </c>
      <c r="AL56" s="56">
        <f t="shared" si="41"/>
        <v>0</v>
      </c>
      <c r="AM56" s="498" t="s">
        <v>190</v>
      </c>
      <c r="AN56" s="506">
        <v>500.00130999999999</v>
      </c>
      <c r="AO56" s="490">
        <f>(2.5/1000)</f>
        <v>2.5000000000000001E-3</v>
      </c>
      <c r="AP56" s="536">
        <f t="shared" si="27"/>
        <v>0</v>
      </c>
      <c r="AQ56" s="747"/>
      <c r="AR56" s="362">
        <f t="shared" si="45"/>
        <v>5.4155455249986903E-3</v>
      </c>
      <c r="AS56" s="17"/>
      <c r="AT56" s="17"/>
      <c r="AU56" s="17"/>
      <c r="AV56" s="17"/>
      <c r="AW56" s="17"/>
      <c r="AX56" s="17"/>
      <c r="AY56" s="930" t="s">
        <v>345</v>
      </c>
      <c r="AZ56" s="930"/>
      <c r="BA56" s="930"/>
      <c r="BB56" s="930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</row>
    <row r="57" spans="1:72" s="21" customFormat="1" ht="15" customHeight="1" thickBot="1">
      <c r="A57" s="883"/>
      <c r="B57" s="597"/>
      <c r="C57" s="337"/>
      <c r="D57" s="592" t="str">
        <f>FIXED(MROUND(D55,IF($E$14&lt;&gt;0,$E$14/10,$C$14/10)),$AI$15+1,TRUE)</f>
        <v>0,0</v>
      </c>
      <c r="E57" s="599"/>
      <c r="F57" s="600" t="str">
        <f>FIXED(MROUND(D57,$C$14/10),$AI$15+1,TRUE)</f>
        <v>0,0</v>
      </c>
      <c r="G57" s="580">
        <f>G56</f>
        <v>0</v>
      </c>
      <c r="H57" s="223" t="str">
        <f>IF(OR(D55&lt;&gt;0,E57&lt;&gt;0),AVERAGE(G55:G59),"-------")</f>
        <v>-------</v>
      </c>
      <c r="I57" s="224" t="str">
        <f>IF(OR(D55&lt;&gt;0,E57&lt;&gt;0),(H59-F57),"-------")</f>
        <v>-------</v>
      </c>
      <c r="J57" s="224" t="str">
        <f>IF(OR(B55&lt;&gt;"",E57&lt;&gt;""),ROUNDDOWN(AD58,0),"-------")</f>
        <v>-------</v>
      </c>
      <c r="K57" s="225" t="e">
        <f>IF(G55="===","------",AE58)</f>
        <v>#DIV/0!</v>
      </c>
      <c r="L57" s="225" t="str">
        <f>IF(OR(B55&lt;&gt;"",E57&lt;&gt;""),AF58,"-------")</f>
        <v>-------</v>
      </c>
      <c r="M57" s="313" t="str">
        <f>IF($H$11&lt;&gt;"",FIXED(ROUND((D55*($H$11-$H$10)/$H$10),$AI$15),$AI$15),"")</f>
        <v/>
      </c>
      <c r="O57" s="355">
        <f t="shared" si="42"/>
        <v>0</v>
      </c>
      <c r="P57" s="359">
        <f t="shared" si="42"/>
        <v>0</v>
      </c>
      <c r="Q57" s="261">
        <f t="shared" si="43"/>
        <v>0</v>
      </c>
      <c r="R57" s="262">
        <f t="shared" si="43"/>
        <v>0</v>
      </c>
      <c r="S57" s="668">
        <f t="shared" si="44"/>
        <v>0</v>
      </c>
      <c r="T57" s="159">
        <f t="shared" si="44"/>
        <v>0</v>
      </c>
      <c r="U57" s="297"/>
      <c r="V57" s="366" t="str">
        <f>IF($I$9="Não","",IF($L$9="SIM",IF(L$11&lt;&gt;K$11,ABS(L$11-K$11)*($D55/J$11),0),ABS($M57)))</f>
        <v/>
      </c>
      <c r="W57" s="363">
        <f>IF(V57="",0,V57^2/3)</f>
        <v>0</v>
      </c>
      <c r="X57" s="363">
        <f>SQRT(W57)</f>
        <v>0</v>
      </c>
      <c r="Y57" s="364">
        <v>1</v>
      </c>
      <c r="Z57" s="365">
        <v>50</v>
      </c>
      <c r="AA57" s="367">
        <f>IF(V57="",0,(X57*Y57)^2)</f>
        <v>0</v>
      </c>
      <c r="AB57" s="79"/>
      <c r="AC57" s="17"/>
      <c r="AD57" s="22"/>
      <c r="AE57" s="23"/>
      <c r="AF57" s="80"/>
      <c r="AG57" s="6"/>
      <c r="AH57" s="27"/>
      <c r="AI57" s="57">
        <f t="shared" si="40"/>
        <v>0</v>
      </c>
      <c r="AJ57" s="62">
        <f t="shared" si="40"/>
        <v>0</v>
      </c>
      <c r="AK57" s="273">
        <f t="shared" si="41"/>
        <v>0</v>
      </c>
      <c r="AL57" s="58">
        <f t="shared" si="41"/>
        <v>0</v>
      </c>
      <c r="AM57" s="498" t="s">
        <v>191</v>
      </c>
      <c r="AN57" s="506">
        <v>1000.0025000000001</v>
      </c>
      <c r="AO57" s="743">
        <f>(5/1000)</f>
        <v>5.0000000000000001E-3</v>
      </c>
      <c r="AP57" s="537">
        <f t="shared" si="27"/>
        <v>0</v>
      </c>
      <c r="AQ57" s="748"/>
      <c r="AR57" s="362">
        <f t="shared" si="45"/>
        <v>5.4155455249986903E-3</v>
      </c>
      <c r="AY57" s="257" t="s">
        <v>252</v>
      </c>
      <c r="AZ57" s="258" t="s">
        <v>302</v>
      </c>
      <c r="BA57" s="253" t="s">
        <v>301</v>
      </c>
      <c r="BB57" s="254" t="s">
        <v>300</v>
      </c>
    </row>
    <row r="58" spans="1:72" s="21" customFormat="1" ht="15" customHeight="1">
      <c r="A58" s="883"/>
      <c r="B58" s="597"/>
      <c r="C58" s="337"/>
      <c r="D58" s="589"/>
      <c r="E58" s="244"/>
      <c r="F58" s="567"/>
      <c r="G58" s="580">
        <f>G57</f>
        <v>0</v>
      </c>
      <c r="H58" s="207"/>
      <c r="I58" s="315"/>
      <c r="J58" s="208"/>
      <c r="K58" s="210"/>
      <c r="L58" s="209"/>
      <c r="M58" s="312"/>
      <c r="O58" s="355">
        <f t="shared" si="42"/>
        <v>0</v>
      </c>
      <c r="P58" s="359">
        <f t="shared" si="42"/>
        <v>0</v>
      </c>
      <c r="Q58" s="261">
        <f t="shared" si="43"/>
        <v>0</v>
      </c>
      <c r="R58" s="262">
        <f t="shared" si="43"/>
        <v>0</v>
      </c>
      <c r="S58" s="668">
        <f t="shared" si="44"/>
        <v>0</v>
      </c>
      <c r="T58" s="159">
        <f t="shared" si="44"/>
        <v>0</v>
      </c>
      <c r="U58" s="297"/>
      <c r="V58" s="606">
        <f>(SUM(O55:O59,P55:P59))</f>
        <v>0</v>
      </c>
      <c r="W58" s="370">
        <f>V58^2/3</f>
        <v>0</v>
      </c>
      <c r="X58" s="370">
        <f>SQRT(W58)</f>
        <v>0</v>
      </c>
      <c r="Y58" s="370">
        <v>1</v>
      </c>
      <c r="Z58" s="370">
        <v>50</v>
      </c>
      <c r="AA58" s="371">
        <f>IF(V58="","",(X58*Y58)^2)</f>
        <v>0</v>
      </c>
      <c r="AB58" s="386">
        <f>SUM($AA$29:$AA$30,AA55:AA60,AA85,AA96)</f>
        <v>0</v>
      </c>
      <c r="AC58" s="17">
        <f>SQRT(AB58)</f>
        <v>0</v>
      </c>
      <c r="AD58" s="283" t="e">
        <f>(AC58^4)/(((($X$29*$Y$29)^4)/$Z$29)+((($X$30*$Y$30)^4)/$Z$30)+((($X$55*$Y$55)^4)/$Z$55)+(((X56*Y56)^4)/Z56)+(((X57*Y57)^4)/Z57)+(((X58*Y58)^4)/Z58)+(((X59*Y59)^4)/Z59)+(((X60*Y60)^4)/Z60)+(((X85*Y85)^4)/Z85)+(((X96*Y96)^4)/Z96))</f>
        <v>#DIV/0!</v>
      </c>
      <c r="AE58" s="23" t="e">
        <f>TINV(0.0455,AD58)</f>
        <v>#DIV/0!</v>
      </c>
      <c r="AF58" s="390" t="e">
        <f>CEILING((AE58*AC58),$C$14/100)</f>
        <v>#DIV/0!</v>
      </c>
      <c r="AG58" s="6"/>
      <c r="AH58" s="19" t="s">
        <v>21</v>
      </c>
      <c r="AI58" s="53">
        <f t="shared" ref="AI58:AJ62" si="46">IF(ISERROR(VLOOKUP(B67,$AM$7:$AO$255,2,FALSE)),0,(VLOOKUP(B67,$AM$7:$AO$255,2,FALSE)*$AV$78))</f>
        <v>0</v>
      </c>
      <c r="AJ58" s="60">
        <f t="shared" si="46"/>
        <v>0</v>
      </c>
      <c r="AK58" s="271">
        <f t="shared" ref="AK58:AL62" si="47">IF(ISERROR(VLOOKUP(B67,$AM$7:$AO$255,3,FALSE)),0,(VLOOKUP(B67,$AM$7:$AO$255,3,FALSE)*$AV$78))</f>
        <v>0</v>
      </c>
      <c r="AL58" s="54">
        <f t="shared" si="47"/>
        <v>0</v>
      </c>
      <c r="AM58" s="503" t="s">
        <v>192</v>
      </c>
      <c r="AN58" s="758">
        <v>2000.0038</v>
      </c>
      <c r="AO58" s="743">
        <f>0.01</f>
        <v>0.01</v>
      </c>
      <c r="AP58" s="507">
        <f t="shared" si="27"/>
        <v>0</v>
      </c>
      <c r="AQ58" s="746"/>
      <c r="AR58" s="362">
        <f t="shared" si="45"/>
        <v>5.4155455249986903E-3</v>
      </c>
      <c r="AS58" s="17">
        <f>SUM(AP128:AP133)</f>
        <v>0</v>
      </c>
      <c r="AT58" s="20" t="s">
        <v>18</v>
      </c>
      <c r="AU58" s="17"/>
      <c r="AV58" s="17"/>
      <c r="AW58" s="17"/>
      <c r="AX58" s="17"/>
      <c r="AY58" s="70">
        <v>10</v>
      </c>
      <c r="AZ58" s="246">
        <v>0.01</v>
      </c>
      <c r="BA58" s="250">
        <f>0.03/1000</f>
        <v>2.9999999999999997E-5</v>
      </c>
      <c r="BB58" s="351">
        <f>0.02/1000</f>
        <v>2.0000000000000002E-5</v>
      </c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</row>
    <row r="59" spans="1:72" s="21" customFormat="1" ht="15" customHeight="1" thickBot="1">
      <c r="A59" s="883"/>
      <c r="B59" s="661"/>
      <c r="C59" s="665"/>
      <c r="D59" s="582"/>
      <c r="E59" s="244"/>
      <c r="F59" s="567"/>
      <c r="G59" s="623">
        <f>G58</f>
        <v>0</v>
      </c>
      <c r="H59" s="306" t="str">
        <f>IF(H57&lt;&gt;"-------",FIXED(IF($E$14&lt;&gt;0,MROUND(H57,$E$14),MROUND(H57,$C$14)),LEN(L59)-2,TRUE),"------")</f>
        <v>------</v>
      </c>
      <c r="I59" s="620" t="str">
        <f>IF(I57&lt;&gt;"-------",FIXED(ROUND(I57,$AI$15),LEN(L59)-2,TRUE),"------")</f>
        <v>------</v>
      </c>
      <c r="J59" s="620" t="str">
        <f>IF(G55="===","------",IF(J57&gt;500,"&gt; 500",J57))</f>
        <v>&gt; 500</v>
      </c>
      <c r="K59" s="624" t="e">
        <f>K57</f>
        <v>#DIV/0!</v>
      </c>
      <c r="L59" s="621" t="str">
        <f>IF(L57&lt;&gt;"-------",BF14,"------")</f>
        <v>------</v>
      </c>
      <c r="M59" s="312"/>
      <c r="O59" s="355">
        <f t="shared" si="42"/>
        <v>0</v>
      </c>
      <c r="P59" s="359">
        <f t="shared" si="42"/>
        <v>0</v>
      </c>
      <c r="Q59" s="261">
        <f t="shared" si="43"/>
        <v>0</v>
      </c>
      <c r="R59" s="262">
        <f t="shared" si="43"/>
        <v>0</v>
      </c>
      <c r="S59" s="669">
        <f t="shared" si="44"/>
        <v>0</v>
      </c>
      <c r="T59" s="160">
        <f t="shared" si="44"/>
        <v>0</v>
      </c>
      <c r="U59" s="297"/>
      <c r="V59" s="333">
        <f>IF($J$19="sim",SUM(O55:P59)/4,SUM(S55:T59))</f>
        <v>0</v>
      </c>
      <c r="W59" s="334">
        <f>IF(V59="","",V59^2/3)</f>
        <v>0</v>
      </c>
      <c r="X59" s="334">
        <f>IF($J$19="Sim",SQRT(W59),SUM(S55:T59))</f>
        <v>0</v>
      </c>
      <c r="Y59" s="334">
        <v>1</v>
      </c>
      <c r="Z59" s="334">
        <v>50</v>
      </c>
      <c r="AA59" s="335">
        <f>(X59*Y59)^2</f>
        <v>0</v>
      </c>
      <c r="AB59" s="79"/>
      <c r="AC59" s="17"/>
      <c r="AD59" s="22"/>
      <c r="AE59" s="23"/>
      <c r="AF59" s="80"/>
      <c r="AG59" s="6"/>
      <c r="AH59" s="19"/>
      <c r="AI59" s="55">
        <f t="shared" si="46"/>
        <v>0</v>
      </c>
      <c r="AJ59" s="61">
        <f t="shared" si="46"/>
        <v>0</v>
      </c>
      <c r="AK59" s="272">
        <f t="shared" si="47"/>
        <v>0</v>
      </c>
      <c r="AL59" s="56">
        <f t="shared" si="47"/>
        <v>0</v>
      </c>
      <c r="AM59" s="499" t="s">
        <v>193</v>
      </c>
      <c r="AN59" s="758">
        <v>2000.0047</v>
      </c>
      <c r="AO59" s="743">
        <f>0.01</f>
        <v>0.01</v>
      </c>
      <c r="AP59" s="507">
        <f t="shared" si="27"/>
        <v>0</v>
      </c>
      <c r="AQ59" s="746"/>
      <c r="AR59" s="362">
        <f t="shared" si="45"/>
        <v>5.4155455249986903E-3</v>
      </c>
      <c r="AS59" s="17"/>
      <c r="AT59" s="339"/>
      <c r="AU59" s="979" t="s">
        <v>20</v>
      </c>
      <c r="AV59" s="980"/>
      <c r="AW59" s="435"/>
      <c r="AX59" s="17"/>
      <c r="AY59" s="66" t="s">
        <v>183</v>
      </c>
      <c r="AZ59" s="247">
        <v>0.01</v>
      </c>
      <c r="BA59" s="251">
        <f>0.03/1000</f>
        <v>2.9999999999999997E-5</v>
      </c>
      <c r="BB59" s="352">
        <f>0.02/1000</f>
        <v>2.0000000000000002E-5</v>
      </c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</row>
    <row r="60" spans="1:72" s="21" customFormat="1" ht="15" customHeight="1" thickBot="1">
      <c r="A60" s="884"/>
      <c r="B60" s="637"/>
      <c r="C60" s="626"/>
      <c r="D60" s="591"/>
      <c r="E60" s="627"/>
      <c r="F60" s="847"/>
      <c r="G60" s="628"/>
      <c r="H60" s="629"/>
      <c r="I60" s="630"/>
      <c r="J60" s="630"/>
      <c r="K60" s="631"/>
      <c r="L60" s="639"/>
      <c r="M60" s="633"/>
      <c r="O60" s="634"/>
      <c r="P60" s="635"/>
      <c r="Q60" s="634"/>
      <c r="R60" s="635"/>
      <c r="S60" s="636"/>
      <c r="T60" s="635"/>
      <c r="U60" s="640"/>
      <c r="V60" s="372">
        <f>SUM(Q55:R59)</f>
        <v>0</v>
      </c>
      <c r="W60" s="373">
        <f>IF(V60="","",V60^2/3)</f>
        <v>0</v>
      </c>
      <c r="X60" s="373">
        <f>SQRT(W60)</f>
        <v>0</v>
      </c>
      <c r="Y60" s="373">
        <v>1</v>
      </c>
      <c r="Z60" s="373">
        <v>50</v>
      </c>
      <c r="AA60" s="374">
        <f>IF(V60="","",(X60*Y60)^2)</f>
        <v>0</v>
      </c>
      <c r="AB60" s="322"/>
      <c r="AC60" s="24"/>
      <c r="AD60" s="25"/>
      <c r="AE60" s="26"/>
      <c r="AF60" s="323"/>
      <c r="AG60" s="6"/>
      <c r="AI60" s="55">
        <f t="shared" si="46"/>
        <v>0</v>
      </c>
      <c r="AJ60" s="61">
        <f t="shared" si="46"/>
        <v>0</v>
      </c>
      <c r="AK60" s="272">
        <f t="shared" si="47"/>
        <v>0</v>
      </c>
      <c r="AL60" s="56">
        <f t="shared" si="47"/>
        <v>0</v>
      </c>
      <c r="AM60" s="504" t="s">
        <v>194</v>
      </c>
      <c r="AN60" s="512">
        <v>5000.0036</v>
      </c>
      <c r="AO60" s="745">
        <f>0.025</f>
        <v>2.5000000000000001E-2</v>
      </c>
      <c r="AP60" s="538">
        <f t="shared" si="27"/>
        <v>0</v>
      </c>
      <c r="AQ60" s="747"/>
      <c r="AR60" s="362">
        <f t="shared" si="45"/>
        <v>5.4155455249986903E-3</v>
      </c>
      <c r="AS60" s="17"/>
      <c r="AT60" s="339"/>
      <c r="AU60" s="340" t="s">
        <v>341</v>
      </c>
      <c r="AV60" s="340">
        <v>9.8066499999999994</v>
      </c>
      <c r="AW60" s="435"/>
      <c r="AX60" s="17"/>
      <c r="AY60" s="66">
        <v>20</v>
      </c>
      <c r="AZ60" s="247">
        <v>0.02</v>
      </c>
      <c r="BA60" s="251">
        <f>0.05/1000</f>
        <v>5.0000000000000002E-5</v>
      </c>
      <c r="BB60" s="352">
        <f>0.03/1000</f>
        <v>2.9999999999999997E-5</v>
      </c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</row>
    <row r="61" spans="1:72" s="21" customFormat="1" ht="15" customHeight="1">
      <c r="A61" s="882">
        <v>6</v>
      </c>
      <c r="B61" s="596"/>
      <c r="C61" s="659"/>
      <c r="D61" s="588">
        <f>IF(E63="",SUM(AI53:AI57,AJ53:AJ57),SUM(AI53:AI57,AJ53:AJ57)-I57)</f>
        <v>0</v>
      </c>
      <c r="E61" s="244"/>
      <c r="F61" s="567"/>
      <c r="G61" s="579"/>
      <c r="H61" s="207"/>
      <c r="I61" s="208"/>
      <c r="J61" s="208"/>
      <c r="K61" s="210"/>
      <c r="L61" s="209"/>
      <c r="M61" s="312"/>
      <c r="O61" s="355">
        <f t="shared" ref="O61:P65" si="48">AK53</f>
        <v>0</v>
      </c>
      <c r="P61" s="359">
        <f t="shared" si="48"/>
        <v>0</v>
      </c>
      <c r="Q61" s="261">
        <f t="shared" ref="Q61:R65" si="49">IF(ABS($L$13-$K$13)&gt;3,IF(ISERROR(VLOOKUP(B61,$AY$58:$BB$80,3,FALSE)),0,(VLOOKUP(B61,$AY$58:$BB$80,3,FALSE)*$AV$78)),IF(ISERROR(VLOOKUP(B61,$AY$58:$BB$80,4,FALSE)),0,(VLOOKUP(B61,$AY$58:$BB$80,4,FALSE)*$AV$78)))</f>
        <v>0</v>
      </c>
      <c r="R61" s="262">
        <f t="shared" si="49"/>
        <v>0</v>
      </c>
      <c r="S61" s="667">
        <f t="shared" ref="S61:T65" si="50">IF($J$19="Não",IF(ISERROR(VLOOKUP(B61,$AM$15:$AR$255,6,FALSE)),0,(VLOOKUP(B61,$AM$15:$AR$255,6,FALSE)*$AV$78)),0)</f>
        <v>0</v>
      </c>
      <c r="T61" s="158">
        <f t="shared" si="50"/>
        <v>0</v>
      </c>
      <c r="U61" s="612"/>
      <c r="V61" s="613" t="str">
        <f>IF($I$23&lt;&gt;"",ABS(($L$26*(F63/(2*$I$23)))), IF('2º MR-MI'!$I$23&lt;&gt;"",ABS(('2º MR-MI'!$L$26*(F63/(2*'2º MR-MI'!$I$23)))),IF('3º MR-MI'!$I$23&lt;&gt;"",ABS(('3º MR-MI'!$L$26*(F63/(2*'3º MR-MI'!$I$23)))),"")))</f>
        <v/>
      </c>
      <c r="W61" s="614">
        <f>IF(V61="",0,(V61)^2/3)</f>
        <v>0</v>
      </c>
      <c r="X61" s="614">
        <f>SQRT(W61)</f>
        <v>0</v>
      </c>
      <c r="Y61" s="614">
        <v>1</v>
      </c>
      <c r="Z61" s="614">
        <v>50</v>
      </c>
      <c r="AA61" s="615">
        <f>IF(V61="",0,(X61*Y61)^2)</f>
        <v>0</v>
      </c>
      <c r="AB61" s="79"/>
      <c r="AC61" s="17"/>
      <c r="AD61" s="22"/>
      <c r="AE61" s="23"/>
      <c r="AF61" s="80"/>
      <c r="AG61" s="6">
        <f>IF(I69&gt;0,$C$14,-$C$14)</f>
        <v>0</v>
      </c>
      <c r="AH61" s="19"/>
      <c r="AI61" s="55">
        <f t="shared" si="46"/>
        <v>0</v>
      </c>
      <c r="AJ61" s="61">
        <f t="shared" si="46"/>
        <v>0</v>
      </c>
      <c r="AK61" s="272">
        <f t="shared" si="47"/>
        <v>0</v>
      </c>
      <c r="AL61" s="56">
        <f t="shared" si="47"/>
        <v>0</v>
      </c>
      <c r="AM61" s="543" t="s">
        <v>523</v>
      </c>
      <c r="AN61" s="532" t="s">
        <v>380</v>
      </c>
      <c r="AO61" s="539" t="str">
        <f>IF(AP61=0,"NÃO","SIM")</f>
        <v>NÃO</v>
      </c>
      <c r="AP61" s="540">
        <f>IF(ISERROR(AP62+'2º MR-MI'!AP62+'3º MR-MI'!AP62),AP62,AP62+'2º MR-MI'!AP62+'3º MR-MI'!AP62)</f>
        <v>0</v>
      </c>
      <c r="AQ61" s="540"/>
      <c r="AR61" s="442"/>
      <c r="AS61" s="17"/>
      <c r="AT61" s="341">
        <v>1</v>
      </c>
      <c r="AU61" s="162" t="s">
        <v>22</v>
      </c>
      <c r="AV61" s="342">
        <v>1E-3</v>
      </c>
      <c r="AW61" s="436"/>
      <c r="AX61" s="17"/>
      <c r="AY61" s="65" t="s">
        <v>47</v>
      </c>
      <c r="AZ61" s="247">
        <v>0.02</v>
      </c>
      <c r="BA61" s="251">
        <f>0.05/1000</f>
        <v>5.0000000000000002E-5</v>
      </c>
      <c r="BB61" s="352">
        <f>0.03/1000</f>
        <v>2.9999999999999997E-5</v>
      </c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17"/>
    </row>
    <row r="62" spans="1:72" s="21" customFormat="1" ht="15" customHeight="1" thickBot="1">
      <c r="A62" s="883"/>
      <c r="B62" s="597"/>
      <c r="C62" s="660"/>
      <c r="D62" s="587"/>
      <c r="E62" s="244"/>
      <c r="F62" s="567"/>
      <c r="G62" s="580">
        <f>G61</f>
        <v>0</v>
      </c>
      <c r="H62" s="207"/>
      <c r="I62" s="208"/>
      <c r="J62" s="208"/>
      <c r="K62" s="210"/>
      <c r="L62" s="209"/>
      <c r="M62" s="312"/>
      <c r="O62" s="355">
        <f t="shared" si="48"/>
        <v>0</v>
      </c>
      <c r="P62" s="359">
        <f t="shared" si="48"/>
        <v>0</v>
      </c>
      <c r="Q62" s="261">
        <f t="shared" si="49"/>
        <v>0</v>
      </c>
      <c r="R62" s="262">
        <f t="shared" si="49"/>
        <v>0</v>
      </c>
      <c r="S62" s="668">
        <f t="shared" si="50"/>
        <v>0</v>
      </c>
      <c r="T62" s="159">
        <f t="shared" si="50"/>
        <v>0</v>
      </c>
      <c r="U62" s="297"/>
      <c r="V62" s="329">
        <f>IF(G62&lt;&gt;"",STDEV(G61:G65),$M$28)</f>
        <v>0</v>
      </c>
      <c r="W62" s="330">
        <f>IF(G62="",V62^2,V62^2/(Z62+1))</f>
        <v>0</v>
      </c>
      <c r="X62" s="330">
        <f>SQRT(W62)</f>
        <v>0</v>
      </c>
      <c r="Y62" s="330">
        <v>1</v>
      </c>
      <c r="Z62" s="330">
        <f>IF(G62="",2,COUNT(G61:G65)-1)</f>
        <v>3</v>
      </c>
      <c r="AA62" s="331">
        <f>(Y62*X62)^2</f>
        <v>0</v>
      </c>
      <c r="AB62" s="79"/>
      <c r="AC62" s="17"/>
      <c r="AD62" s="22"/>
      <c r="AE62" s="23"/>
      <c r="AF62" s="80"/>
      <c r="AG62" s="6"/>
      <c r="AH62" s="27"/>
      <c r="AI62" s="57">
        <f t="shared" si="46"/>
        <v>0</v>
      </c>
      <c r="AJ62" s="62">
        <f t="shared" si="46"/>
        <v>0</v>
      </c>
      <c r="AK62" s="273">
        <f t="shared" si="47"/>
        <v>0</v>
      </c>
      <c r="AL62" s="58">
        <f t="shared" si="47"/>
        <v>0</v>
      </c>
      <c r="AM62" s="499" t="s">
        <v>195</v>
      </c>
      <c r="AN62" s="512">
        <v>9999.9950000000008</v>
      </c>
      <c r="AO62" s="745">
        <f>0.05</f>
        <v>0.05</v>
      </c>
      <c r="AP62" s="538">
        <f>IF(ISERROR(MATCH(AM62,$B$32:$B$77,0)),0,(MATCH(AM62,$B$32:$B$77,0)))+IF(ISERROR(MATCH(AM62,$C$32:$C$77,0)),0,(MATCH(AM62,$C$32:$C$77,0)))</f>
        <v>0</v>
      </c>
      <c r="AQ62" s="747"/>
      <c r="AR62" s="362">
        <f t="shared" si="45"/>
        <v>5.4155455249986903E-3</v>
      </c>
      <c r="AS62" s="17"/>
      <c r="AT62" s="341">
        <v>2</v>
      </c>
      <c r="AU62" s="162" t="s">
        <v>24</v>
      </c>
      <c r="AV62" s="342">
        <v>1</v>
      </c>
      <c r="AW62" s="436"/>
      <c r="AY62" s="65" t="s">
        <v>184</v>
      </c>
      <c r="AZ62" s="248">
        <v>0.02</v>
      </c>
      <c r="BA62" s="252">
        <f>0.05/1000</f>
        <v>5.0000000000000002E-5</v>
      </c>
      <c r="BB62" s="352">
        <f>0.03/1000</f>
        <v>2.9999999999999997E-5</v>
      </c>
    </row>
    <row r="63" spans="1:72" s="21" customFormat="1" ht="15" customHeight="1" thickBot="1">
      <c r="A63" s="883"/>
      <c r="B63" s="597"/>
      <c r="C63" s="660"/>
      <c r="D63" s="592" t="str">
        <f>FIXED(MROUND(D61,IF($E$14&lt;&gt;0,$E$14/10,$C$14/10)),$AI$15+1,TRUE)</f>
        <v>0,0</v>
      </c>
      <c r="E63" s="599"/>
      <c r="F63" s="600" t="str">
        <f>FIXED(MROUND(D63,$C$14/10),$AI$15+1,TRUE)</f>
        <v>0,0</v>
      </c>
      <c r="G63" s="580">
        <f>G62</f>
        <v>0</v>
      </c>
      <c r="H63" s="223" t="str">
        <f>IF(OR(D61&lt;&gt;0,E63&lt;&gt;0),AVERAGE(G61:G65),"-------")</f>
        <v>-------</v>
      </c>
      <c r="I63" s="224" t="str">
        <f>IF(OR(D61&lt;&gt;0,E63&lt;&gt;0),(H65-F63),"-------")</f>
        <v>-------</v>
      </c>
      <c r="J63" s="224" t="str">
        <f>IF(OR(B61&lt;&gt;"",E63&lt;&gt;""),ROUNDDOWN(AD64,0),"-------")</f>
        <v>-------</v>
      </c>
      <c r="K63" s="225" t="e">
        <f>IF(G61="===","------",AE64)</f>
        <v>#DIV/0!</v>
      </c>
      <c r="L63" s="225" t="str">
        <f>IF(OR(B61&lt;&gt;"",E63&lt;&gt;""),AF64,"-------")</f>
        <v>-------</v>
      </c>
      <c r="M63" s="313" t="str">
        <f>IF($H$11&lt;&gt;"",FIXED(ROUND((D61*($H$11-$H$10)/$H$10),$AI$15),$AI$15),"")</f>
        <v/>
      </c>
      <c r="O63" s="355">
        <f t="shared" si="48"/>
        <v>0</v>
      </c>
      <c r="P63" s="359">
        <f t="shared" si="48"/>
        <v>0</v>
      </c>
      <c r="Q63" s="261">
        <f t="shared" si="49"/>
        <v>0</v>
      </c>
      <c r="R63" s="262">
        <f t="shared" si="49"/>
        <v>0</v>
      </c>
      <c r="S63" s="668">
        <f t="shared" si="50"/>
        <v>0</v>
      </c>
      <c r="T63" s="159">
        <f t="shared" si="50"/>
        <v>0</v>
      </c>
      <c r="U63" s="297"/>
      <c r="V63" s="366" t="str">
        <f>IF($I$9="Não","",IF($L$9="SIM",IF(L$11&lt;&gt;K$11,ABS(L$11-K$11)*($D61/J$11),0),ABS($M63)))</f>
        <v/>
      </c>
      <c r="W63" s="363">
        <f>IF(V63="",0,V63^2/3)</f>
        <v>0</v>
      </c>
      <c r="X63" s="363">
        <f>SQRT(W63)</f>
        <v>0</v>
      </c>
      <c r="Y63" s="364">
        <v>1</v>
      </c>
      <c r="Z63" s="365">
        <v>50</v>
      </c>
      <c r="AA63" s="367">
        <f>IF(V63="",0,(X63*Y63)^2)</f>
        <v>0</v>
      </c>
      <c r="AB63" s="79"/>
      <c r="AC63" s="17"/>
      <c r="AD63" s="22"/>
      <c r="AE63" s="23"/>
      <c r="AF63" s="80"/>
      <c r="AG63" s="6"/>
      <c r="AH63" s="19" t="s">
        <v>28</v>
      </c>
      <c r="AI63" s="53">
        <f t="shared" ref="AI63:AJ67" si="51">IF(ISERROR(VLOOKUP(B73,$AM$7:$AO$255,2,FALSE)),0,(VLOOKUP(B73,$AM$7:$AO$255,2,FALSE)*$AV$78))</f>
        <v>0</v>
      </c>
      <c r="AJ63" s="60">
        <f t="shared" si="51"/>
        <v>0</v>
      </c>
      <c r="AK63" s="271">
        <f t="shared" ref="AK63:AL67" si="52">IF(ISERROR(VLOOKUP(B73,$AM$7:$AO$255,3,FALSE)),0,(VLOOKUP(B73,$AM$7:$AO$255,3,FALSE)*$AV$78))</f>
        <v>0</v>
      </c>
      <c r="AL63" s="54">
        <f t="shared" si="52"/>
        <v>0</v>
      </c>
      <c r="AM63" s="501" t="s">
        <v>196</v>
      </c>
      <c r="AN63" s="512">
        <v>20000.008000000002</v>
      </c>
      <c r="AO63" s="745">
        <f>0.1</f>
        <v>0.1</v>
      </c>
      <c r="AP63" s="511">
        <f>IF(ISERROR(MATCH(AM63,$B$32:$B$77,0)),0,(MATCH(AM63,$B$32:$B$77,0)))+IF(ISERROR(MATCH(AM63,$C$32:$C$77,0)),0,(MATCH(AM63,$C$32:$C$77,0)))</f>
        <v>0</v>
      </c>
      <c r="AQ63" s="746"/>
      <c r="AR63" s="362">
        <f t="shared" si="45"/>
        <v>5.4155455249986903E-3</v>
      </c>
      <c r="AS63" s="17"/>
      <c r="AT63" s="343">
        <v>3</v>
      </c>
      <c r="AU63" s="162" t="s">
        <v>0</v>
      </c>
      <c r="AV63" s="342">
        <v>1000</v>
      </c>
      <c r="AW63" s="436"/>
      <c r="AX63" s="17"/>
      <c r="AY63" s="65" t="s">
        <v>185</v>
      </c>
      <c r="AZ63" s="247">
        <v>0.02</v>
      </c>
      <c r="BA63" s="251">
        <f>0.05/1000</f>
        <v>5.0000000000000002E-5</v>
      </c>
      <c r="BB63" s="352">
        <f>0.03/1000</f>
        <v>2.9999999999999997E-5</v>
      </c>
      <c r="BC63" s="17"/>
      <c r="BD63" s="17"/>
      <c r="BE63" s="17"/>
      <c r="BF63" s="17"/>
      <c r="BG63" s="17"/>
      <c r="BH63" s="17"/>
      <c r="BI63" s="17"/>
      <c r="BJ63" s="17"/>
      <c r="BK63" s="17"/>
      <c r="BL63" s="17"/>
      <c r="BM63" s="17"/>
      <c r="BN63" s="17"/>
      <c r="BO63" s="17"/>
      <c r="BP63" s="17"/>
      <c r="BQ63" s="17"/>
      <c r="BR63" s="17"/>
      <c r="BS63" s="17"/>
      <c r="BT63" s="17"/>
    </row>
    <row r="64" spans="1:72" s="21" customFormat="1" ht="15" customHeight="1">
      <c r="A64" s="883"/>
      <c r="B64" s="597"/>
      <c r="C64" s="660"/>
      <c r="D64" s="587"/>
      <c r="E64" s="244"/>
      <c r="F64" s="567"/>
      <c r="G64" s="580">
        <f>G63</f>
        <v>0</v>
      </c>
      <c r="H64" s="207"/>
      <c r="I64" s="315"/>
      <c r="J64" s="208"/>
      <c r="K64" s="210"/>
      <c r="L64" s="209"/>
      <c r="M64" s="312"/>
      <c r="O64" s="355">
        <f t="shared" si="48"/>
        <v>0</v>
      </c>
      <c r="P64" s="359">
        <f t="shared" si="48"/>
        <v>0</v>
      </c>
      <c r="Q64" s="261">
        <f t="shared" si="49"/>
        <v>0</v>
      </c>
      <c r="R64" s="262">
        <f t="shared" si="49"/>
        <v>0</v>
      </c>
      <c r="S64" s="668">
        <f t="shared" si="50"/>
        <v>0</v>
      </c>
      <c r="T64" s="159">
        <f t="shared" si="50"/>
        <v>0</v>
      </c>
      <c r="U64" s="297"/>
      <c r="V64" s="606">
        <f>(SUM(O61:O65,P61:P65))</f>
        <v>0</v>
      </c>
      <c r="W64" s="370">
        <f>V64^2/3</f>
        <v>0</v>
      </c>
      <c r="X64" s="370">
        <f>SQRT(W64)</f>
        <v>0</v>
      </c>
      <c r="Y64" s="370">
        <v>1</v>
      </c>
      <c r="Z64" s="370">
        <v>50</v>
      </c>
      <c r="AA64" s="371">
        <f>IF(V64="","",(X64*Y64)^2)</f>
        <v>0</v>
      </c>
      <c r="AB64" s="386">
        <f>SUM($AA$29:$AA$30,AA61:AA66,AA86,AA97)</f>
        <v>0</v>
      </c>
      <c r="AC64" s="17">
        <f>SQRT(AB64)</f>
        <v>0</v>
      </c>
      <c r="AD64" s="283" t="e">
        <f>(AC64^4)/(((($X$29*$Y$29)^4)/$Z$29)+((($X$30*$Y$30)^4)/$Z$30)+((($X$61*$Y$61)^4)/$Z$61)+(((X61*Y61)^4)/Z61)+(((X63*Y63)^4)/Z63)+(((X64*Y64)^4)/Z64)+(((X65*Y65)^4)/Z65)+(((X66*Y66)^4)/Z66)+(((X86*Y86)^4)/Z86)+(((X97*Y97)^4)/Z97))</f>
        <v>#DIV/0!</v>
      </c>
      <c r="AE64" s="23" t="e">
        <f>TINV(0.0455,AD64)</f>
        <v>#DIV/0!</v>
      </c>
      <c r="AF64" s="390" t="e">
        <f>CEILING((AE64*AC64),$C$14/100)</f>
        <v>#DIV/0!</v>
      </c>
      <c r="AG64" s="6"/>
      <c r="AH64" s="19"/>
      <c r="AI64" s="55">
        <f t="shared" si="51"/>
        <v>0</v>
      </c>
      <c r="AJ64" s="61">
        <f t="shared" si="51"/>
        <v>0</v>
      </c>
      <c r="AK64" s="272">
        <f t="shared" si="52"/>
        <v>0</v>
      </c>
      <c r="AL64" s="56">
        <f t="shared" si="52"/>
        <v>0</v>
      </c>
      <c r="AM64" s="541" t="s">
        <v>563</v>
      </c>
      <c r="AN64" s="542" t="s">
        <v>381</v>
      </c>
      <c r="AO64" s="530" t="str">
        <f>IF(AP64=0,"NÃO","SIM")</f>
        <v>NÃO</v>
      </c>
      <c r="AP64" s="531">
        <f>IF(ISERROR(SUM(AP65:AP119)+'2º MR-MI'!AP65:AP119+'3º MR-MI'!AP65:AP119),SUM(AP65:AP119),SUM(AP65:AP119)+'2º MR-MI'!AP65:AP119+'3º MR-MI'!AP65:AP119)</f>
        <v>0</v>
      </c>
      <c r="AQ64" s="534"/>
      <c r="AR64" s="93"/>
      <c r="AT64" s="341">
        <v>4</v>
      </c>
      <c r="AU64" s="162" t="s">
        <v>27</v>
      </c>
      <c r="AV64" s="342">
        <f>AV66*1000</f>
        <v>9.8066499999999994</v>
      </c>
      <c r="AW64" s="436"/>
      <c r="AX64" s="17"/>
      <c r="AY64" s="65">
        <v>50</v>
      </c>
      <c r="AZ64" s="247">
        <v>0.05</v>
      </c>
      <c r="BA64" s="251">
        <f>0.09/1000</f>
        <v>8.9999999999999992E-5</v>
      </c>
      <c r="BB64" s="352">
        <f>0.06/1000</f>
        <v>5.9999999999999995E-5</v>
      </c>
      <c r="BC64" s="17"/>
      <c r="BD64" s="17"/>
      <c r="BE64" s="17"/>
      <c r="BF64" s="17"/>
      <c r="BG64" s="17"/>
      <c r="BH64" s="17"/>
      <c r="BI64" s="17"/>
      <c r="BJ64" s="17"/>
      <c r="BK64" s="17"/>
      <c r="BL64" s="17"/>
      <c r="BM64" s="17"/>
      <c r="BN64" s="17"/>
      <c r="BO64" s="17"/>
      <c r="BP64" s="17"/>
      <c r="BQ64" s="17"/>
      <c r="BR64" s="17"/>
      <c r="BS64" s="17"/>
      <c r="BT64" s="17"/>
    </row>
    <row r="65" spans="1:75" s="21" customFormat="1" ht="15" customHeight="1" thickBot="1">
      <c r="A65" s="883"/>
      <c r="B65" s="661"/>
      <c r="C65" s="662"/>
      <c r="D65" s="582"/>
      <c r="E65" s="244"/>
      <c r="F65" s="567"/>
      <c r="G65" s="623">
        <f>G64</f>
        <v>0</v>
      </c>
      <c r="H65" s="306" t="str">
        <f>IF(H63&lt;&gt;"-------",FIXED(IF($E$14&lt;&gt;0,MROUND(H63,$E$14),MROUND(H63,$C$14)),LEN(L65)-2,TRUE),"------")</f>
        <v>------</v>
      </c>
      <c r="I65" s="620" t="str">
        <f>IF(I63&lt;&gt;"-------",FIXED(ROUND(I63,$AI$15),LEN(L65)-2,TRUE),"-------")</f>
        <v>-------</v>
      </c>
      <c r="J65" s="620" t="str">
        <f>IF(G61="===","------",IF(J63&gt;500,"&gt; 500",J63))</f>
        <v>&gt; 500</v>
      </c>
      <c r="K65" s="624" t="e">
        <f>K63</f>
        <v>#DIV/0!</v>
      </c>
      <c r="L65" s="621" t="str">
        <f>IF(L63&lt;&gt;"-------",BF15,"-------")</f>
        <v>-------</v>
      </c>
      <c r="M65" s="312"/>
      <c r="O65" s="355">
        <f t="shared" si="48"/>
        <v>0</v>
      </c>
      <c r="P65" s="359">
        <f t="shared" si="48"/>
        <v>0</v>
      </c>
      <c r="Q65" s="261">
        <f t="shared" si="49"/>
        <v>0</v>
      </c>
      <c r="R65" s="262">
        <f t="shared" si="49"/>
        <v>0</v>
      </c>
      <c r="S65" s="669">
        <f t="shared" si="50"/>
        <v>0</v>
      </c>
      <c r="T65" s="160">
        <f t="shared" si="50"/>
        <v>0</v>
      </c>
      <c r="U65" s="297"/>
      <c r="V65" s="333">
        <f>IF($J$19="sim",SUM(O61:P65)/4,SUM(S61:T65))</f>
        <v>0</v>
      </c>
      <c r="W65" s="334">
        <f>IF(V65="","",V65^2/3)</f>
        <v>0</v>
      </c>
      <c r="X65" s="334">
        <f>IF($J$19="Sim",SQRT(W65),SUM(S61:T65))</f>
        <v>0</v>
      </c>
      <c r="Y65" s="334">
        <v>1</v>
      </c>
      <c r="Z65" s="334">
        <v>50</v>
      </c>
      <c r="AA65" s="335">
        <f>(X65*Y65)^2</f>
        <v>0</v>
      </c>
      <c r="AB65" s="79"/>
      <c r="AC65" s="17"/>
      <c r="AD65" s="22"/>
      <c r="AE65" s="23"/>
      <c r="AF65" s="80"/>
      <c r="AG65" s="6"/>
      <c r="AI65" s="55">
        <f t="shared" si="51"/>
        <v>0</v>
      </c>
      <c r="AJ65" s="61">
        <f t="shared" si="51"/>
        <v>0</v>
      </c>
      <c r="AK65" s="272">
        <f t="shared" si="52"/>
        <v>0</v>
      </c>
      <c r="AL65" s="56">
        <f t="shared" si="52"/>
        <v>0</v>
      </c>
      <c r="AM65" s="505" t="s">
        <v>14</v>
      </c>
      <c r="AN65" s="506">
        <v>20000</v>
      </c>
      <c r="AO65" s="490">
        <f>1*1</f>
        <v>1</v>
      </c>
      <c r="AP65" s="507">
        <f t="shared" ref="AP65:AP96" si="53">IF(ISERROR(MATCH(AM65,$B$32:$B$77,0)),0,(MATCH(AM65,$B$32:$B$77,0)))+IF(ISERROR(MATCH(AM65,$C$32:$C$77,0)),0,(MATCH(AM65,$C$32:$C$77,0)))</f>
        <v>0</v>
      </c>
      <c r="AQ65" s="746"/>
      <c r="AR65" s="362">
        <f>SQRT((15.88/1000)^2/3)</f>
        <v>9.1683222747312582E-3</v>
      </c>
      <c r="AS65" s="17"/>
      <c r="AT65" s="341">
        <v>5</v>
      </c>
      <c r="AU65" s="162" t="s">
        <v>30</v>
      </c>
      <c r="AV65" s="342">
        <f>AV66*100</f>
        <v>0.98066500000000001</v>
      </c>
      <c r="AW65" s="436"/>
      <c r="AX65" s="17"/>
      <c r="AY65" s="65" t="s">
        <v>186</v>
      </c>
      <c r="AZ65" s="247">
        <v>0.05</v>
      </c>
      <c r="BA65" s="251">
        <f>0.09/1000</f>
        <v>8.9999999999999992E-5</v>
      </c>
      <c r="BB65" s="352">
        <f>0.06/1000</f>
        <v>5.9999999999999995E-5</v>
      </c>
      <c r="BC65" s="17"/>
      <c r="BD65" s="17"/>
      <c r="BE65" s="17"/>
      <c r="BF65" s="17"/>
      <c r="BG65" s="17"/>
      <c r="BH65" s="17"/>
      <c r="BI65" s="17"/>
      <c r="BJ65" s="17"/>
      <c r="BK65" s="17"/>
      <c r="BL65" s="17"/>
      <c r="BM65" s="17"/>
      <c r="BN65" s="17"/>
      <c r="BO65" s="17"/>
      <c r="BP65" s="17"/>
      <c r="BQ65" s="17"/>
      <c r="BR65" s="17"/>
      <c r="BS65" s="17"/>
      <c r="BT65" s="17"/>
    </row>
    <row r="66" spans="1:75" s="21" customFormat="1" ht="15" customHeight="1" thickBot="1">
      <c r="A66" s="884"/>
      <c r="B66" s="637"/>
      <c r="C66" s="626"/>
      <c r="D66" s="591"/>
      <c r="E66" s="627"/>
      <c r="F66" s="847"/>
      <c r="G66" s="628"/>
      <c r="H66" s="629"/>
      <c r="I66" s="630"/>
      <c r="J66" s="630"/>
      <c r="K66" s="631"/>
      <c r="L66" s="639"/>
      <c r="M66" s="633"/>
      <c r="O66" s="634"/>
      <c r="P66" s="635"/>
      <c r="Q66" s="634"/>
      <c r="R66" s="635"/>
      <c r="S66" s="636"/>
      <c r="T66" s="635"/>
      <c r="U66" s="640"/>
      <c r="V66" s="372">
        <f>SUM(Q61:R65)</f>
        <v>0</v>
      </c>
      <c r="W66" s="373">
        <f>IF(V66="","",V66^2/3)</f>
        <v>0</v>
      </c>
      <c r="X66" s="373">
        <f>SQRT(W66)</f>
        <v>0</v>
      </c>
      <c r="Y66" s="373">
        <v>1</v>
      </c>
      <c r="Z66" s="373">
        <v>50</v>
      </c>
      <c r="AA66" s="374">
        <f>IF(V66="","",(X66*Y66)^2)</f>
        <v>0</v>
      </c>
      <c r="AB66" s="322"/>
      <c r="AC66" s="24"/>
      <c r="AD66" s="25"/>
      <c r="AE66" s="26"/>
      <c r="AF66" s="323"/>
      <c r="AG66" s="6">
        <f>IF(I75&gt;0,$C$14,-$C$14)</f>
        <v>0</v>
      </c>
      <c r="AH66" s="19"/>
      <c r="AI66" s="55">
        <f t="shared" si="51"/>
        <v>0</v>
      </c>
      <c r="AJ66" s="61">
        <f t="shared" si="51"/>
        <v>0</v>
      </c>
      <c r="AK66" s="272">
        <f t="shared" si="52"/>
        <v>0</v>
      </c>
      <c r="AL66" s="56">
        <f t="shared" si="52"/>
        <v>0</v>
      </c>
      <c r="AM66" s="491" t="s">
        <v>23</v>
      </c>
      <c r="AN66" s="506">
        <v>40000</v>
      </c>
      <c r="AO66" s="490">
        <f>2*1</f>
        <v>2</v>
      </c>
      <c r="AP66" s="507">
        <f t="shared" si="53"/>
        <v>0</v>
      </c>
      <c r="AQ66" s="746"/>
      <c r="AR66" s="362">
        <f t="shared" ref="AR66:AR129" si="54">SQRT((15.88/1000)^2/3)</f>
        <v>9.1683222747312582E-3</v>
      </c>
      <c r="AS66" s="17"/>
      <c r="AT66" s="341">
        <v>6</v>
      </c>
      <c r="AU66" s="163" t="s">
        <v>32</v>
      </c>
      <c r="AV66" s="344">
        <f>AV61*AV60</f>
        <v>9.8066500000000001E-3</v>
      </c>
      <c r="AW66" s="437"/>
      <c r="AX66" s="17"/>
      <c r="AY66" s="65">
        <v>100</v>
      </c>
      <c r="AZ66" s="247">
        <v>0.1</v>
      </c>
      <c r="BA66" s="251">
        <f>0.17/1000</f>
        <v>1.7000000000000001E-4</v>
      </c>
      <c r="BB66" s="352">
        <f>0.11/1000</f>
        <v>1.1E-4</v>
      </c>
      <c r="BC66" s="17"/>
      <c r="BD66" s="17"/>
      <c r="BE66" s="17"/>
      <c r="BF66" s="17"/>
      <c r="BG66" s="17"/>
      <c r="BH66" s="17"/>
      <c r="BI66" s="17"/>
      <c r="BJ66" s="17"/>
      <c r="BK66" s="17"/>
      <c r="BL66" s="17"/>
      <c r="BM66" s="17"/>
      <c r="BN66" s="17"/>
      <c r="BO66" s="17"/>
      <c r="BP66" s="17"/>
      <c r="BQ66" s="17"/>
      <c r="BR66" s="17"/>
      <c r="BS66" s="17"/>
      <c r="BT66" s="17"/>
    </row>
    <row r="67" spans="1:75" s="21" customFormat="1" ht="15" customHeight="1" thickBot="1">
      <c r="A67" s="882">
        <v>7</v>
      </c>
      <c r="B67" s="596"/>
      <c r="C67" s="659"/>
      <c r="D67" s="588">
        <f>IF(E69="",SUM(AI58:AI62,AJ58:AJ62),SUM(AI58:AI62,AJ58:AJ62)-I63)</f>
        <v>0</v>
      </c>
      <c r="E67" s="244"/>
      <c r="F67" s="567"/>
      <c r="G67" s="579"/>
      <c r="H67" s="207"/>
      <c r="I67" s="208"/>
      <c r="J67" s="208"/>
      <c r="K67" s="210"/>
      <c r="L67" s="209"/>
      <c r="M67" s="312"/>
      <c r="O67" s="355">
        <f t="shared" ref="O67:P71" si="55">AK58</f>
        <v>0</v>
      </c>
      <c r="P67" s="359">
        <f t="shared" si="55"/>
        <v>0</v>
      </c>
      <c r="Q67" s="261">
        <f t="shared" ref="Q67:R71" si="56">IF(ABS($L$13-$K$13)&gt;3,IF(ISERROR(VLOOKUP(B67,$AY$58:$BB$80,3,FALSE)),0,(VLOOKUP(B67,$AY$58:$BB$80,3,FALSE)*$AV$78)),IF(ISERROR(VLOOKUP(B67,$AY$58:$BB$80,4,FALSE)),0,(VLOOKUP(B67,$AY$58:$BB$80,4,FALSE)*$AV$78)))</f>
        <v>0</v>
      </c>
      <c r="R67" s="262">
        <f t="shared" si="56"/>
        <v>0</v>
      </c>
      <c r="S67" s="667">
        <f t="shared" ref="S67:T71" si="57">IF($J$19="Não",IF(ISERROR(VLOOKUP(B67,$AM$15:$AR$255,6,FALSE)),0,(VLOOKUP(B67,$AM$15:$AR$255,6,FALSE)*$AV$78)),0)</f>
        <v>0</v>
      </c>
      <c r="T67" s="158">
        <f t="shared" si="57"/>
        <v>0</v>
      </c>
      <c r="U67" s="612"/>
      <c r="V67" s="613" t="str">
        <f>IF($I$23&lt;&gt;"",ABS(($L$26*(F69/(2*$I$23)))), IF('2º MR-MI'!$I$23&lt;&gt;"",ABS(('2º MR-MI'!$L$26*(F69/(2*'2º MR-MI'!$I$23)))),IF('3º MR-MI'!$I$23&lt;&gt;"",ABS(('3º MR-MI'!$L$26*(F69/(2*'3º MR-MI'!$I$23)))),"")))</f>
        <v/>
      </c>
      <c r="W67" s="614">
        <f>IF(V67="",0,(V67)^2/3)</f>
        <v>0</v>
      </c>
      <c r="X67" s="614">
        <f>SQRT(W67)</f>
        <v>0</v>
      </c>
      <c r="Y67" s="614">
        <v>1</v>
      </c>
      <c r="Z67" s="614">
        <v>50</v>
      </c>
      <c r="AA67" s="615">
        <f>IF(V67="",0,(X67*Y67)^2)</f>
        <v>0</v>
      </c>
      <c r="AB67" s="608"/>
      <c r="AC67" s="27"/>
      <c r="AD67" s="609"/>
      <c r="AE67" s="610"/>
      <c r="AF67" s="611"/>
      <c r="AG67" s="17"/>
      <c r="AH67" s="27"/>
      <c r="AI67" s="57">
        <f t="shared" si="51"/>
        <v>0</v>
      </c>
      <c r="AJ67" s="62">
        <f t="shared" si="51"/>
        <v>0</v>
      </c>
      <c r="AK67" s="273">
        <f t="shared" si="52"/>
        <v>0</v>
      </c>
      <c r="AL67" s="58">
        <f t="shared" si="52"/>
        <v>0</v>
      </c>
      <c r="AM67" s="491" t="s">
        <v>25</v>
      </c>
      <c r="AN67" s="506">
        <v>60000</v>
      </c>
      <c r="AO67" s="490">
        <f>3*1</f>
        <v>3</v>
      </c>
      <c r="AP67" s="507">
        <f t="shared" si="53"/>
        <v>0</v>
      </c>
      <c r="AQ67" s="746"/>
      <c r="AR67" s="362">
        <f t="shared" si="54"/>
        <v>9.1683222747312582E-3</v>
      </c>
      <c r="AS67" s="17"/>
      <c r="AT67" s="341">
        <v>7</v>
      </c>
      <c r="AU67" s="162" t="s">
        <v>34</v>
      </c>
      <c r="AV67" s="342">
        <f>AV66/10</f>
        <v>9.8066499999999992E-4</v>
      </c>
      <c r="AW67" s="436"/>
      <c r="AY67" s="65" t="s">
        <v>187</v>
      </c>
      <c r="AZ67" s="247">
        <v>0.1</v>
      </c>
      <c r="BA67" s="251">
        <f>0.17/1000</f>
        <v>1.7000000000000001E-4</v>
      </c>
      <c r="BB67" s="352">
        <f>0.11/1000</f>
        <v>1.1E-4</v>
      </c>
    </row>
    <row r="68" spans="1:75" s="21" customFormat="1" ht="15" customHeight="1" thickBot="1">
      <c r="A68" s="883"/>
      <c r="B68" s="597"/>
      <c r="C68" s="660"/>
      <c r="D68" s="587"/>
      <c r="E68" s="244"/>
      <c r="F68" s="567"/>
      <c r="G68" s="580">
        <f>G67</f>
        <v>0</v>
      </c>
      <c r="H68" s="207"/>
      <c r="I68" s="208"/>
      <c r="J68" s="208"/>
      <c r="K68" s="210"/>
      <c r="L68" s="209"/>
      <c r="M68" s="312"/>
      <c r="O68" s="355">
        <f t="shared" si="55"/>
        <v>0</v>
      </c>
      <c r="P68" s="359">
        <f t="shared" si="55"/>
        <v>0</v>
      </c>
      <c r="Q68" s="261">
        <f t="shared" si="56"/>
        <v>0</v>
      </c>
      <c r="R68" s="262">
        <f t="shared" si="56"/>
        <v>0</v>
      </c>
      <c r="S68" s="668">
        <f t="shared" si="57"/>
        <v>0</v>
      </c>
      <c r="T68" s="159">
        <f t="shared" si="57"/>
        <v>0</v>
      </c>
      <c r="U68" s="297"/>
      <c r="V68" s="329">
        <f>IF(G68&lt;&gt;"",STDEV(G67:G71),$M$28)</f>
        <v>0</v>
      </c>
      <c r="W68" s="330">
        <f>IF(G68="",V68^2,V68^2/(Z68+1))</f>
        <v>0</v>
      </c>
      <c r="X68" s="330">
        <f>SQRT(W68)</f>
        <v>0</v>
      </c>
      <c r="Y68" s="330">
        <v>1</v>
      </c>
      <c r="Z68" s="330">
        <f>IF(G68="",2,COUNT(G67:G71)-1)</f>
        <v>3</v>
      </c>
      <c r="AA68" s="331">
        <f>(Y68*X68)^2</f>
        <v>0</v>
      </c>
      <c r="AB68" s="79"/>
      <c r="AC68" s="17"/>
      <c r="AD68" s="22"/>
      <c r="AE68" s="23"/>
      <c r="AF68" s="80"/>
      <c r="AG68" s="27"/>
      <c r="AH68" s="29"/>
      <c r="AI68" s="265"/>
      <c r="AJ68" s="265"/>
      <c r="AK68" s="266"/>
      <c r="AL68" s="267"/>
      <c r="AM68" s="507" t="s">
        <v>26</v>
      </c>
      <c r="AN68" s="506">
        <v>80000</v>
      </c>
      <c r="AO68" s="490">
        <f>4*1</f>
        <v>4</v>
      </c>
      <c r="AP68" s="507">
        <f t="shared" si="53"/>
        <v>0</v>
      </c>
      <c r="AQ68" s="746"/>
      <c r="AR68" s="362">
        <f t="shared" si="54"/>
        <v>9.1683222747312582E-3</v>
      </c>
      <c r="AS68" s="17"/>
      <c r="AT68" s="343">
        <v>8</v>
      </c>
      <c r="AU68" s="162" t="s">
        <v>35</v>
      </c>
      <c r="AV68" s="342">
        <f>AV66/1000</f>
        <v>9.8066500000000004E-6</v>
      </c>
      <c r="AW68" s="436"/>
      <c r="AX68" s="29"/>
      <c r="AY68" s="65">
        <v>200</v>
      </c>
      <c r="AZ68" s="247">
        <v>0.2</v>
      </c>
      <c r="BA68" s="251">
        <f>0.29/1000</f>
        <v>2.9E-4</v>
      </c>
      <c r="BB68" s="352">
        <f>0.19/1000</f>
        <v>1.9000000000000001E-4</v>
      </c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32"/>
      <c r="BO68" s="32"/>
      <c r="BP68" s="32"/>
      <c r="BQ68"/>
      <c r="BR68"/>
      <c r="BS68"/>
      <c r="BT68"/>
      <c r="BU68"/>
      <c r="BV68"/>
      <c r="BW68"/>
    </row>
    <row r="69" spans="1:75" ht="15" customHeight="1" thickBot="1">
      <c r="A69" s="883"/>
      <c r="B69" s="597"/>
      <c r="C69" s="660"/>
      <c r="D69" s="592" t="str">
        <f>FIXED(MROUND(D67,IF($E$14&lt;&gt;0,$E$14/10,$C$14/10)),$AI$15+1,TRUE)</f>
        <v>0,0</v>
      </c>
      <c r="E69" s="599"/>
      <c r="F69" s="600" t="str">
        <f>FIXED(MROUND(D69,$C$14/10),$AI$15+1,TRUE)</f>
        <v>0,0</v>
      </c>
      <c r="G69" s="580">
        <f>G68</f>
        <v>0</v>
      </c>
      <c r="H69" s="223" t="str">
        <f>IF(OR(D67&lt;&gt;0,E69&lt;&gt;0),AVERAGE(G67:G71),"-------")</f>
        <v>-------</v>
      </c>
      <c r="I69" s="224" t="str">
        <f>IF(OR(D67&lt;&gt;0,E69&lt;&gt;0),(H71-F69),"-------")</f>
        <v>-------</v>
      </c>
      <c r="J69" s="224" t="str">
        <f>IF(OR(B67&lt;&gt;"",E69&lt;&gt;""),ROUNDDOWN(AD70,0),"-------")</f>
        <v>-------</v>
      </c>
      <c r="K69" s="225" t="e">
        <f>IF(G67="===","------",AE70)</f>
        <v>#DIV/0!</v>
      </c>
      <c r="L69" s="225" t="str">
        <f>IF(OR(B67&lt;&gt;"",E69&lt;&gt;""),AF70,"-------")</f>
        <v>-------</v>
      </c>
      <c r="M69" s="313" t="str">
        <f>IF($H$11&lt;&gt;"",FIXED(ROUND((D67*($H$11-$H$10)/$H$10),$AI$15),$AI$15),"")</f>
        <v/>
      </c>
      <c r="N69" s="21"/>
      <c r="O69" s="355">
        <f t="shared" si="55"/>
        <v>0</v>
      </c>
      <c r="P69" s="359">
        <f t="shared" si="55"/>
        <v>0</v>
      </c>
      <c r="Q69" s="261">
        <f t="shared" si="56"/>
        <v>0</v>
      </c>
      <c r="R69" s="262">
        <f t="shared" si="56"/>
        <v>0</v>
      </c>
      <c r="S69" s="668">
        <f t="shared" si="57"/>
        <v>0</v>
      </c>
      <c r="T69" s="159">
        <f t="shared" si="57"/>
        <v>0</v>
      </c>
      <c r="U69" s="297"/>
      <c r="V69" s="366" t="str">
        <f>IF($I$9="Não","",IF($L$9="SIM",IF(L$11&lt;&gt;K$11,ABS(L$11-K$11)*($D67/J$11),0),ABS($M69)))</f>
        <v/>
      </c>
      <c r="W69" s="363">
        <f>IF(V69="",0,V69^2/3)</f>
        <v>0</v>
      </c>
      <c r="X69" s="363">
        <f>SQRT(W69)</f>
        <v>0</v>
      </c>
      <c r="Y69" s="364">
        <v>1</v>
      </c>
      <c r="Z69" s="365">
        <v>50</v>
      </c>
      <c r="AA69" s="367">
        <f>IF(V69="",0,(X69*Y69)^2)</f>
        <v>0</v>
      </c>
      <c r="AB69" s="79"/>
      <c r="AC69" s="17"/>
      <c r="AD69" s="22"/>
      <c r="AE69" s="23"/>
      <c r="AF69" s="80"/>
      <c r="AH69" s="29"/>
      <c r="AI69" s="265"/>
      <c r="AJ69" s="265"/>
      <c r="AK69" s="266"/>
      <c r="AL69" s="268"/>
      <c r="AM69" s="508" t="s">
        <v>29</v>
      </c>
      <c r="AN69" s="506">
        <v>100000</v>
      </c>
      <c r="AO69" s="490">
        <f>5*1</f>
        <v>5</v>
      </c>
      <c r="AP69" s="507">
        <f t="shared" si="53"/>
        <v>0</v>
      </c>
      <c r="AQ69" s="746"/>
      <c r="AR69" s="362">
        <f t="shared" si="54"/>
        <v>9.1683222747312582E-3</v>
      </c>
      <c r="AS69" s="21"/>
      <c r="AT69" s="341">
        <v>9</v>
      </c>
      <c r="AU69" s="162" t="s">
        <v>37</v>
      </c>
      <c r="AV69" s="342">
        <f>AV61/0.45359235</f>
        <v>2.2046227190559982E-3</v>
      </c>
      <c r="AW69" s="436"/>
      <c r="AX69" s="29"/>
      <c r="AY69" s="65" t="s">
        <v>48</v>
      </c>
      <c r="AZ69" s="248">
        <v>0.2</v>
      </c>
      <c r="BA69" s="252">
        <f>0.29/1000</f>
        <v>2.9E-4</v>
      </c>
      <c r="BB69" s="352">
        <f>0.19/1000</f>
        <v>1.9000000000000001E-4</v>
      </c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32"/>
      <c r="BO69" s="32"/>
      <c r="BP69" s="32"/>
    </row>
    <row r="70" spans="1:75" ht="15" customHeight="1">
      <c r="A70" s="883"/>
      <c r="B70" s="597"/>
      <c r="C70" s="660"/>
      <c r="D70" s="587"/>
      <c r="E70" s="244"/>
      <c r="F70" s="567"/>
      <c r="G70" s="580">
        <f>G69</f>
        <v>0</v>
      </c>
      <c r="H70" s="207"/>
      <c r="I70" s="315"/>
      <c r="J70" s="208"/>
      <c r="K70" s="210"/>
      <c r="L70" s="209"/>
      <c r="M70" s="312"/>
      <c r="N70" s="21"/>
      <c r="O70" s="355">
        <f t="shared" si="55"/>
        <v>0</v>
      </c>
      <c r="P70" s="359">
        <f t="shared" si="55"/>
        <v>0</v>
      </c>
      <c r="Q70" s="261">
        <f t="shared" si="56"/>
        <v>0</v>
      </c>
      <c r="R70" s="262">
        <f t="shared" si="56"/>
        <v>0</v>
      </c>
      <c r="S70" s="668">
        <f t="shared" si="57"/>
        <v>0</v>
      </c>
      <c r="T70" s="159">
        <f t="shared" si="57"/>
        <v>0</v>
      </c>
      <c r="U70" s="297"/>
      <c r="V70" s="606">
        <f>(SUM(O67:O71,P67:P71))</f>
        <v>0</v>
      </c>
      <c r="W70" s="370">
        <f>V70^2/3</f>
        <v>0</v>
      </c>
      <c r="X70" s="370">
        <f>SQRT(W70)</f>
        <v>0</v>
      </c>
      <c r="Y70" s="370">
        <v>1</v>
      </c>
      <c r="Z70" s="370">
        <v>50</v>
      </c>
      <c r="AA70" s="371">
        <f>IF(V70="","",(X70*Y70)^2)</f>
        <v>0</v>
      </c>
      <c r="AB70" s="386">
        <f>SUM($AA$29:$AA$30,AA67:AA72,AA87,AA98)</f>
        <v>0</v>
      </c>
      <c r="AC70" s="17">
        <f>SQRT(AB70)</f>
        <v>0</v>
      </c>
      <c r="AD70" s="283" t="e">
        <f>(AC70^4)/(((($X$29*$Y$29)^4)/$Z$29)+((($X$30*$Y$30)^4)/$Z$30)+((($X$67*$Y$67)^4)/$Z$67)+(((X68*Y68)^4)/Z68)+(((X69*Y69)^4)/Z69)+(((X70*Y70)^4)/Z70)+(((X71*Y71)^4)/Z71)+(((X72*Y72)^4)/Z72)+(((X87*Y87)^4)/Z87)+(((X98*Y98)^4)/Z98))</f>
        <v>#DIV/0!</v>
      </c>
      <c r="AE70" s="23" t="e">
        <f>TINV(0.0455,AD70)</f>
        <v>#DIV/0!</v>
      </c>
      <c r="AF70" s="390" t="e">
        <f>CEILING((AE70*AC70),$C$14/100)</f>
        <v>#DIV/0!</v>
      </c>
      <c r="AH70" s="29"/>
      <c r="AI70" s="30"/>
      <c r="AJ70" s="30"/>
      <c r="AK70" s="31"/>
      <c r="AL70" s="441"/>
      <c r="AM70" s="508" t="s">
        <v>31</v>
      </c>
      <c r="AN70" s="506">
        <v>120000</v>
      </c>
      <c r="AO70" s="490">
        <f>6*1</f>
        <v>6</v>
      </c>
      <c r="AP70" s="507">
        <f t="shared" si="53"/>
        <v>0</v>
      </c>
      <c r="AQ70" s="746"/>
      <c r="AR70" s="362">
        <f t="shared" si="54"/>
        <v>9.1683222747312582E-3</v>
      </c>
      <c r="AT70" s="341">
        <v>10</v>
      </c>
      <c r="AU70" s="162" t="s">
        <v>39</v>
      </c>
      <c r="AV70" s="342">
        <f>AV69*16</f>
        <v>3.5273963504895971E-2</v>
      </c>
      <c r="AW70" s="436"/>
      <c r="AY70" s="65" t="s">
        <v>188</v>
      </c>
      <c r="AZ70" s="247">
        <v>0.2</v>
      </c>
      <c r="BA70" s="251">
        <f>0.29/1000</f>
        <v>2.9E-4</v>
      </c>
      <c r="BB70" s="352">
        <f>0.19/1000</f>
        <v>1.9000000000000001E-4</v>
      </c>
    </row>
    <row r="71" spans="1:75" ht="15" customHeight="1" thickBot="1">
      <c r="A71" s="883"/>
      <c r="B71" s="661"/>
      <c r="C71" s="662"/>
      <c r="D71" s="582"/>
      <c r="E71" s="244"/>
      <c r="F71" s="567"/>
      <c r="G71" s="623">
        <f>G70</f>
        <v>0</v>
      </c>
      <c r="H71" s="306" t="str">
        <f>IF(H69&lt;&gt;"-------",FIXED(IF($E$14&lt;&gt;0,MROUND(H69,$E$14),MROUND(H69,$C$14)),LEN(L71)-2,TRUE),"------")</f>
        <v>------</v>
      </c>
      <c r="I71" s="620" t="str">
        <f>IF(I69&lt;&gt;"-------",FIXED(ROUND(I69,$AI$15),LEN(L71)-2,TRUE),"-------")</f>
        <v>-------</v>
      </c>
      <c r="J71" s="620" t="str">
        <f>IF(G67="===","------",IF(J69&gt;500,"&gt; 500",J69))</f>
        <v>&gt; 500</v>
      </c>
      <c r="K71" s="624" t="e">
        <f>K69</f>
        <v>#DIV/0!</v>
      </c>
      <c r="L71" s="621" t="str">
        <f>IF(L69&lt;&gt;"-------",BF16,"-------")</f>
        <v>-------</v>
      </c>
      <c r="M71" s="312"/>
      <c r="N71" s="21"/>
      <c r="O71" s="355">
        <f t="shared" si="55"/>
        <v>0</v>
      </c>
      <c r="P71" s="359">
        <f t="shared" si="55"/>
        <v>0</v>
      </c>
      <c r="Q71" s="261">
        <f t="shared" si="56"/>
        <v>0</v>
      </c>
      <c r="R71" s="262">
        <f t="shared" si="56"/>
        <v>0</v>
      </c>
      <c r="S71" s="669">
        <f t="shared" si="57"/>
        <v>0</v>
      </c>
      <c r="T71" s="160">
        <f t="shared" si="57"/>
        <v>0</v>
      </c>
      <c r="U71" s="297"/>
      <c r="V71" s="333">
        <f>IF($J$19="sim",SUM(O67:P71)/4,SUM(S67:T71))</f>
        <v>0</v>
      </c>
      <c r="W71" s="334">
        <f>IF(V71="","",V71^2/3)</f>
        <v>0</v>
      </c>
      <c r="X71" s="334">
        <f>IF($J$19="Sim",SQRT(W71),SUM(S67:T71))</f>
        <v>0</v>
      </c>
      <c r="Y71" s="334">
        <v>1</v>
      </c>
      <c r="Z71" s="334">
        <v>50</v>
      </c>
      <c r="AA71" s="335">
        <f>(X71*Y71)^2</f>
        <v>0</v>
      </c>
      <c r="AB71" s="79"/>
      <c r="AC71" s="17"/>
      <c r="AD71" s="22"/>
      <c r="AE71" s="23"/>
      <c r="AF71" s="80"/>
      <c r="AG71" s="29"/>
      <c r="AH71" s="29"/>
      <c r="AI71" s="30"/>
      <c r="AJ71" s="30"/>
      <c r="AK71" s="31"/>
      <c r="AL71" s="441"/>
      <c r="AM71" s="507" t="s">
        <v>33</v>
      </c>
      <c r="AN71" s="506">
        <v>140000</v>
      </c>
      <c r="AO71" s="490">
        <f>7*1</f>
        <v>7</v>
      </c>
      <c r="AP71" s="507">
        <f t="shared" si="53"/>
        <v>0</v>
      </c>
      <c r="AQ71" s="746"/>
      <c r="AR71" s="362">
        <f t="shared" si="54"/>
        <v>9.1683222747312582E-3</v>
      </c>
      <c r="AT71" s="341">
        <v>11</v>
      </c>
      <c r="AU71" s="345"/>
      <c r="AV71" s="346"/>
      <c r="AW71" s="437"/>
      <c r="AY71" s="65" t="s">
        <v>189</v>
      </c>
      <c r="AZ71" s="247">
        <v>0.2</v>
      </c>
      <c r="BA71" s="251">
        <f>0.29/1000</f>
        <v>2.9E-4</v>
      </c>
      <c r="BB71" s="352">
        <f>0.19/1000</f>
        <v>1.9000000000000001E-4</v>
      </c>
    </row>
    <row r="72" spans="1:75" ht="15" customHeight="1" thickBot="1">
      <c r="A72" s="884"/>
      <c r="B72" s="637"/>
      <c r="C72" s="626"/>
      <c r="D72" s="591"/>
      <c r="E72" s="627"/>
      <c r="F72" s="847"/>
      <c r="G72" s="628"/>
      <c r="H72" s="629"/>
      <c r="I72" s="630"/>
      <c r="J72" s="630"/>
      <c r="K72" s="631"/>
      <c r="L72" s="639"/>
      <c r="M72" s="633"/>
      <c r="N72" s="21"/>
      <c r="O72" s="634"/>
      <c r="P72" s="635"/>
      <c r="Q72" s="634"/>
      <c r="R72" s="635"/>
      <c r="S72" s="636"/>
      <c r="T72" s="635"/>
      <c r="U72" s="640"/>
      <c r="V72" s="372">
        <f>SUM(Q67:R71)</f>
        <v>0</v>
      </c>
      <c r="W72" s="373">
        <f>IF(V72="","",V72^2/3)</f>
        <v>0</v>
      </c>
      <c r="X72" s="373">
        <f>SQRT(W72)</f>
        <v>0</v>
      </c>
      <c r="Y72" s="373">
        <v>1</v>
      </c>
      <c r="Z72" s="373">
        <v>50</v>
      </c>
      <c r="AA72" s="374">
        <f>IF(V72="","",(X72*Y72)^2)</f>
        <v>0</v>
      </c>
      <c r="AB72" s="322"/>
      <c r="AC72" s="24"/>
      <c r="AD72" s="25"/>
      <c r="AE72" s="26"/>
      <c r="AF72" s="323"/>
      <c r="AG72" s="29"/>
      <c r="AH72" s="29"/>
      <c r="AI72" s="30"/>
      <c r="AJ72" s="30"/>
      <c r="AK72" s="31"/>
      <c r="AL72" s="31"/>
      <c r="AM72" s="507" t="s">
        <v>15</v>
      </c>
      <c r="AN72" s="506">
        <v>160000</v>
      </c>
      <c r="AO72" s="490">
        <f>8*1</f>
        <v>8</v>
      </c>
      <c r="AP72" s="507">
        <f t="shared" si="53"/>
        <v>0</v>
      </c>
      <c r="AQ72" s="746"/>
      <c r="AR72" s="362">
        <f t="shared" si="54"/>
        <v>9.1683222747312582E-3</v>
      </c>
      <c r="AT72" s="341">
        <v>12</v>
      </c>
      <c r="AU72" s="345"/>
      <c r="AV72" s="346"/>
      <c r="AW72" s="437"/>
      <c r="AY72" s="65">
        <v>500</v>
      </c>
      <c r="AZ72" s="247">
        <v>0.5</v>
      </c>
      <c r="BA72" s="251">
        <f>0.61/1000</f>
        <v>6.0999999999999997E-4</v>
      </c>
      <c r="BB72" s="352">
        <f>0.4/1000</f>
        <v>4.0000000000000002E-4</v>
      </c>
    </row>
    <row r="73" spans="1:75" ht="15" customHeight="1">
      <c r="A73" s="882">
        <v>8</v>
      </c>
      <c r="B73" s="596"/>
      <c r="C73" s="659"/>
      <c r="D73" s="588">
        <f>IF(E75="",SUM(AI63:AI67,AJ63:AJ67),SUM(AI63:AI67,AJ63:AJ67)-I69)</f>
        <v>0</v>
      </c>
      <c r="E73" s="244"/>
      <c r="F73" s="567"/>
      <c r="G73" s="579"/>
      <c r="H73" s="207"/>
      <c r="I73" s="208"/>
      <c r="J73" s="208"/>
      <c r="K73" s="210"/>
      <c r="L73" s="209"/>
      <c r="M73" s="312"/>
      <c r="N73" s="21"/>
      <c r="O73" s="355">
        <f t="shared" ref="O73:P77" si="58">AK63</f>
        <v>0</v>
      </c>
      <c r="P73" s="359">
        <f t="shared" si="58"/>
        <v>0</v>
      </c>
      <c r="Q73" s="261">
        <f t="shared" ref="Q73:R77" si="59">IF(ABS($L$13-$K$13)&gt;3,IF(ISERROR(VLOOKUP(B73,$AY$58:$BB$80,3,FALSE)),0,(VLOOKUP(B73,$AY$58:$BB$80,3,FALSE)*$AV$78)),IF(ISERROR(VLOOKUP(B73,$AY$58:$BB$80,4,FALSE)),0,(VLOOKUP(B73,$AY$58:$BB$80,4,FALSE)*$AV$78)))</f>
        <v>0</v>
      </c>
      <c r="R73" s="262">
        <f t="shared" si="59"/>
        <v>0</v>
      </c>
      <c r="S73" s="667">
        <f t="shared" ref="S73:T77" si="60">IF($J$19="Não",IF(ISERROR(VLOOKUP(B73,$AM$15:$AR$255,6,FALSE)),0,(VLOOKUP(B73,$AM$15:$AR$255,6,FALSE)*$AV$78)),0)</f>
        <v>0</v>
      </c>
      <c r="T73" s="158">
        <f t="shared" si="60"/>
        <v>0</v>
      </c>
      <c r="U73" s="612"/>
      <c r="V73" s="613" t="str">
        <f>IF($I$23&lt;&gt;"",ABS(($L$26*(F75/(2*$I$23)))), IF('2º MR-MI'!$I$23&lt;&gt;"",ABS(('2º MR-MI'!$L$26*(F75/(2*'2º MR-MI'!$I$23)))),IF('3º MR-MI'!$I$23&lt;&gt;"",ABS(('3º MR-MI'!$L$26*(F75/(2*'3º MR-MI'!$I$23)))),"")))</f>
        <v/>
      </c>
      <c r="W73" s="614">
        <f>IF(V73="",0,(V73)^2/3)</f>
        <v>0</v>
      </c>
      <c r="X73" s="614">
        <f>SQRT(W73)</f>
        <v>0</v>
      </c>
      <c r="Y73" s="614">
        <v>1</v>
      </c>
      <c r="Z73" s="614">
        <v>50</v>
      </c>
      <c r="AA73" s="615">
        <f>IF(V73="",0,(X73*Y73)^2)</f>
        <v>0</v>
      </c>
      <c r="AB73" s="608"/>
      <c r="AC73" s="27"/>
      <c r="AD73" s="609"/>
      <c r="AE73" s="610"/>
      <c r="AF73" s="611"/>
      <c r="AG73" s="29"/>
      <c r="AH73" s="29"/>
      <c r="AI73" s="30"/>
      <c r="AJ73" s="30"/>
      <c r="AK73" s="31"/>
      <c r="AL73" s="31"/>
      <c r="AM73" s="507" t="s">
        <v>36</v>
      </c>
      <c r="AN73" s="506">
        <v>180000</v>
      </c>
      <c r="AO73" s="490">
        <f>9*1</f>
        <v>9</v>
      </c>
      <c r="AP73" s="507">
        <f t="shared" si="53"/>
        <v>0</v>
      </c>
      <c r="AQ73" s="746"/>
      <c r="AR73" s="362">
        <f t="shared" si="54"/>
        <v>9.1683222747312582E-3</v>
      </c>
      <c r="AT73" s="341">
        <v>13</v>
      </c>
      <c r="AU73" s="345"/>
      <c r="AV73" s="346"/>
      <c r="AW73" s="437"/>
      <c r="AY73" s="65" t="s">
        <v>190</v>
      </c>
      <c r="AZ73" s="247">
        <v>0.5</v>
      </c>
      <c r="BA73" s="251">
        <f>0.61/1000</f>
        <v>6.0999999999999997E-4</v>
      </c>
      <c r="BB73" s="352">
        <f>0.4/1000</f>
        <v>4.0000000000000002E-4</v>
      </c>
    </row>
    <row r="74" spans="1:75" ht="15" customHeight="1" thickBot="1">
      <c r="A74" s="883"/>
      <c r="B74" s="597"/>
      <c r="C74" s="660"/>
      <c r="D74" s="587"/>
      <c r="E74" s="244"/>
      <c r="F74" s="567"/>
      <c r="G74" s="580">
        <f>G73</f>
        <v>0</v>
      </c>
      <c r="H74" s="207"/>
      <c r="I74" s="208"/>
      <c r="J74" s="208"/>
      <c r="K74" s="210"/>
      <c r="L74" s="209"/>
      <c r="M74" s="312"/>
      <c r="N74" s="21"/>
      <c r="O74" s="355">
        <f t="shared" si="58"/>
        <v>0</v>
      </c>
      <c r="P74" s="359">
        <f t="shared" si="58"/>
        <v>0</v>
      </c>
      <c r="Q74" s="261">
        <f t="shared" si="59"/>
        <v>0</v>
      </c>
      <c r="R74" s="262">
        <f t="shared" si="59"/>
        <v>0</v>
      </c>
      <c r="S74" s="668">
        <f t="shared" si="60"/>
        <v>0</v>
      </c>
      <c r="T74" s="159">
        <f t="shared" si="60"/>
        <v>0</v>
      </c>
      <c r="U74" s="297"/>
      <c r="V74" s="329">
        <f>IF(G74&lt;&gt;"",STDEV(G73:G77),$M$28)</f>
        <v>0</v>
      </c>
      <c r="W74" s="330">
        <f>IF(G74="",V74^2,V74^2/(Z74+1))</f>
        <v>0</v>
      </c>
      <c r="X74" s="330">
        <f>SQRT(W74)</f>
        <v>0</v>
      </c>
      <c r="Y74" s="330">
        <v>1</v>
      </c>
      <c r="Z74" s="330">
        <f>IF(G74="",2,COUNT(G73:G77)-1)</f>
        <v>3</v>
      </c>
      <c r="AA74" s="331">
        <f>(Y74*X74)^2</f>
        <v>0</v>
      </c>
      <c r="AB74" s="79"/>
      <c r="AC74" s="17"/>
      <c r="AD74" s="22"/>
      <c r="AE74" s="23"/>
      <c r="AF74" s="80"/>
      <c r="AG74" s="29"/>
      <c r="AH74" s="29"/>
      <c r="AI74" s="30"/>
      <c r="AJ74" s="30"/>
      <c r="AK74" s="31"/>
      <c r="AL74" s="31"/>
      <c r="AM74" s="507" t="s">
        <v>38</v>
      </c>
      <c r="AN74" s="506">
        <v>200000</v>
      </c>
      <c r="AO74" s="490">
        <f>10*1</f>
        <v>10</v>
      </c>
      <c r="AP74" s="507">
        <f t="shared" si="53"/>
        <v>0</v>
      </c>
      <c r="AQ74" s="746"/>
      <c r="AR74" s="362">
        <f t="shared" si="54"/>
        <v>9.1683222747312582E-3</v>
      </c>
      <c r="AT74" s="341">
        <v>14</v>
      </c>
      <c r="AU74" s="345"/>
      <c r="AV74" s="346"/>
      <c r="AW74" s="437"/>
      <c r="AY74" s="65">
        <v>1000</v>
      </c>
      <c r="AZ74" s="248">
        <v>1</v>
      </c>
      <c r="BA74" s="252">
        <f>1.09/1000</f>
        <v>1.09E-3</v>
      </c>
      <c r="BB74" s="352">
        <f>0.72/1000</f>
        <v>7.1999999999999994E-4</v>
      </c>
    </row>
    <row r="75" spans="1:75" ht="15" customHeight="1" thickBot="1">
      <c r="A75" s="883"/>
      <c r="B75" s="597"/>
      <c r="C75" s="660"/>
      <c r="D75" s="592" t="str">
        <f>FIXED(MROUND(D73,IF($E$14&lt;&gt;0,$E$14/10,$C$14/10)),$AI$15+1,TRUE)</f>
        <v>0,0</v>
      </c>
      <c r="E75" s="599"/>
      <c r="F75" s="600" t="str">
        <f>FIXED(MROUND(D75,$C$14/10),$AI$15+1,TRUE)</f>
        <v>0,0</v>
      </c>
      <c r="G75" s="580">
        <f>G74</f>
        <v>0</v>
      </c>
      <c r="H75" s="223" t="str">
        <f>IF(OR(D73&lt;&gt;0,E75&lt;&gt;0),AVERAGE(G73:G77),"-------")</f>
        <v>-------</v>
      </c>
      <c r="I75" s="224" t="str">
        <f>IF(OR(D73&lt;&gt;0,E75&lt;&gt;0),(H77-F75),"-------")</f>
        <v>-------</v>
      </c>
      <c r="J75" s="224" t="str">
        <f>IF(OR(B73&lt;&gt;"",E75&lt;&gt;""),ROUNDDOWN(AD76,0),"-------")</f>
        <v>-------</v>
      </c>
      <c r="K75" s="225" t="e">
        <f>IF(G73="===","------",AE76)</f>
        <v>#DIV/0!</v>
      </c>
      <c r="L75" s="225" t="str">
        <f>IF(OR(B73&lt;&gt;"",E75&lt;&gt;""),AF76,"-------")</f>
        <v>-------</v>
      </c>
      <c r="M75" s="313" t="str">
        <f>IF($H$11&lt;&gt;"",FIXED(ROUND((D73*($H$11-$H$10)/$H$10),$AI$15),$AI$15),"")</f>
        <v/>
      </c>
      <c r="O75" s="355">
        <f t="shared" si="58"/>
        <v>0</v>
      </c>
      <c r="P75" s="359">
        <f t="shared" si="58"/>
        <v>0</v>
      </c>
      <c r="Q75" s="261">
        <f t="shared" si="59"/>
        <v>0</v>
      </c>
      <c r="R75" s="262">
        <f t="shared" si="59"/>
        <v>0</v>
      </c>
      <c r="S75" s="668">
        <f t="shared" si="60"/>
        <v>0</v>
      </c>
      <c r="T75" s="159">
        <f t="shared" si="60"/>
        <v>0</v>
      </c>
      <c r="U75" s="297"/>
      <c r="V75" s="366" t="str">
        <f>IF($I$9="Não","",IF($L$9="SIM",IF(L$11&lt;&gt;K$11,ABS(L$11-K$11)*($D73/J$11),0),ABS($M75)))</f>
        <v/>
      </c>
      <c r="W75" s="363">
        <f>IF(V75="",0,V75^2/3)</f>
        <v>0</v>
      </c>
      <c r="X75" s="363">
        <f>SQRT(W75)</f>
        <v>0</v>
      </c>
      <c r="Y75" s="364">
        <v>1</v>
      </c>
      <c r="Z75" s="365">
        <v>50</v>
      </c>
      <c r="AA75" s="367">
        <f>IF(V75="",0,(X75*Y75)^2)</f>
        <v>0</v>
      </c>
      <c r="AB75" s="79"/>
      <c r="AC75" s="17"/>
      <c r="AD75" s="22"/>
      <c r="AE75" s="23"/>
      <c r="AF75" s="80"/>
      <c r="AG75" s="29"/>
      <c r="AH75" s="29"/>
      <c r="AI75" s="30"/>
      <c r="AJ75" s="30"/>
      <c r="AK75" s="31"/>
      <c r="AL75" s="31"/>
      <c r="AM75" s="507" t="s">
        <v>40</v>
      </c>
      <c r="AN75" s="506">
        <v>220000</v>
      </c>
      <c r="AO75" s="490">
        <f>11*1</f>
        <v>11</v>
      </c>
      <c r="AP75" s="507">
        <f t="shared" si="53"/>
        <v>0</v>
      </c>
      <c r="AQ75" s="746"/>
      <c r="AR75" s="362">
        <f t="shared" si="54"/>
        <v>9.1683222747312582E-3</v>
      </c>
      <c r="AT75" s="341">
        <v>15</v>
      </c>
      <c r="AU75" s="347" t="s">
        <v>342</v>
      </c>
      <c r="AV75" s="346">
        <v>100</v>
      </c>
      <c r="AW75" s="437"/>
      <c r="AY75" s="65" t="s">
        <v>191</v>
      </c>
      <c r="AZ75" s="248">
        <v>1</v>
      </c>
      <c r="BA75" s="252">
        <f>1.09/1000</f>
        <v>1.09E-3</v>
      </c>
      <c r="BB75" s="352">
        <f>0.72/1000</f>
        <v>7.1999999999999994E-4</v>
      </c>
    </row>
    <row r="76" spans="1:75" ht="15" customHeight="1">
      <c r="A76" s="883"/>
      <c r="B76" s="597"/>
      <c r="C76" s="660"/>
      <c r="D76" s="587"/>
      <c r="E76" s="244"/>
      <c r="F76" s="567"/>
      <c r="G76" s="580">
        <f>G75</f>
        <v>0</v>
      </c>
      <c r="H76" s="207"/>
      <c r="I76" s="316"/>
      <c r="J76" s="208"/>
      <c r="K76" s="210"/>
      <c r="L76" s="209"/>
      <c r="M76" s="312"/>
      <c r="O76" s="355">
        <f t="shared" si="58"/>
        <v>0</v>
      </c>
      <c r="P76" s="359">
        <f t="shared" si="58"/>
        <v>0</v>
      </c>
      <c r="Q76" s="261">
        <f t="shared" si="59"/>
        <v>0</v>
      </c>
      <c r="R76" s="262">
        <f t="shared" si="59"/>
        <v>0</v>
      </c>
      <c r="S76" s="668">
        <f t="shared" si="60"/>
        <v>0</v>
      </c>
      <c r="T76" s="159">
        <f t="shared" si="60"/>
        <v>0</v>
      </c>
      <c r="U76" s="297"/>
      <c r="V76" s="606">
        <f>(SUM(O73:O77,P73:P77))</f>
        <v>0</v>
      </c>
      <c r="W76" s="370">
        <f>V76^2/3</f>
        <v>0</v>
      </c>
      <c r="X76" s="370">
        <f>SQRT(W76)</f>
        <v>0</v>
      </c>
      <c r="Y76" s="370">
        <v>1</v>
      </c>
      <c r="Z76" s="370">
        <v>50</v>
      </c>
      <c r="AA76" s="371">
        <f>IF(V76="","",(X76*Y76)^2)</f>
        <v>0</v>
      </c>
      <c r="AB76" s="386">
        <f>SUM($AA$29:$AA$30,AA73:AA78,AA88,AA99)</f>
        <v>0</v>
      </c>
      <c r="AC76" s="17">
        <f>SQRT(AB76)</f>
        <v>0</v>
      </c>
      <c r="AD76" s="283" t="e">
        <f>(AC76^4)/(((($X$29*$Y$29)^4)/$Z$29)+((($X$30*$Y$30)^4)/$Z$30)+((($X$73*$Y$73)^4)/$Z$73)+(((X74*Y74)^4)/Z74)+(((X75*Y75)^4)/Z75)+(((X76*Y76)^4)/Z76)+(((X77*Y77)^4)/Z77)+(((X78*Y78)^4)/Z78)+(((X88*Y88)^4)/Z88)+(((X99*Y99)^4)/Z99))</f>
        <v>#DIV/0!</v>
      </c>
      <c r="AE76" s="23" t="e">
        <f>TINV(0.0455,AD76)</f>
        <v>#DIV/0!</v>
      </c>
      <c r="AF76" s="390" t="e">
        <f>CEILING((AE76*AC76),$C$14/100)</f>
        <v>#DIV/0!</v>
      </c>
      <c r="AG76" s="29"/>
      <c r="AH76" s="29"/>
      <c r="AI76" s="30"/>
      <c r="AJ76" s="30"/>
      <c r="AK76" s="31"/>
      <c r="AL76" s="31"/>
      <c r="AM76" s="507" t="s">
        <v>41</v>
      </c>
      <c r="AN76" s="506">
        <v>240000</v>
      </c>
      <c r="AO76" s="490">
        <f>12*1</f>
        <v>12</v>
      </c>
      <c r="AP76" s="507">
        <f t="shared" si="53"/>
        <v>0</v>
      </c>
      <c r="AQ76" s="746"/>
      <c r="AR76" s="362">
        <f t="shared" si="54"/>
        <v>9.1683222747312582E-3</v>
      </c>
      <c r="AT76" s="341"/>
      <c r="AU76" s="350" t="s">
        <v>344</v>
      </c>
      <c r="AV76" s="349">
        <v>2</v>
      </c>
      <c r="AW76" s="438"/>
      <c r="AY76" s="65" t="s">
        <v>192</v>
      </c>
      <c r="AZ76" s="248">
        <v>2</v>
      </c>
      <c r="BA76" s="252">
        <f>1.96/1000</f>
        <v>1.9599999999999999E-3</v>
      </c>
      <c r="BB76" s="352">
        <f>1.27/1000</f>
        <v>1.2700000000000001E-3</v>
      </c>
    </row>
    <row r="77" spans="1:75" ht="15" customHeight="1" thickBot="1">
      <c r="A77" s="883"/>
      <c r="B77" s="661"/>
      <c r="C77" s="662"/>
      <c r="D77" s="652"/>
      <c r="E77" s="244"/>
      <c r="F77" s="567"/>
      <c r="G77" s="623">
        <f>G76</f>
        <v>0</v>
      </c>
      <c r="H77" s="306" t="str">
        <f>IF(H75&lt;&gt;"-------",FIXED(IF($E$14&lt;&gt;0,MROUND(H75,$E$14),MROUND(H75,$C$14)),LEN(L77)-2,TRUE),"------")</f>
        <v>------</v>
      </c>
      <c r="I77" s="620" t="str">
        <f>IF(I75&lt;&gt;"-------",FIXED(ROUND(I75,$AI$15),LEN(L77)-2,TRUE),"-----")</f>
        <v>-----</v>
      </c>
      <c r="J77" s="620" t="str">
        <f>IF(G73="===","------",IF(J75&gt;500,"&gt; 500",J75))</f>
        <v>&gt; 500</v>
      </c>
      <c r="K77" s="624" t="e">
        <f>K75</f>
        <v>#DIV/0!</v>
      </c>
      <c r="L77" s="621" t="str">
        <f>IF(L75&lt;&gt;"-------",BF17,"------")</f>
        <v>------</v>
      </c>
      <c r="M77" s="312"/>
      <c r="O77" s="355">
        <f t="shared" si="58"/>
        <v>0</v>
      </c>
      <c r="P77" s="359">
        <f t="shared" si="58"/>
        <v>0</v>
      </c>
      <c r="Q77" s="261">
        <f t="shared" si="59"/>
        <v>0</v>
      </c>
      <c r="R77" s="262">
        <f t="shared" si="59"/>
        <v>0</v>
      </c>
      <c r="S77" s="669">
        <f t="shared" si="60"/>
        <v>0</v>
      </c>
      <c r="T77" s="160">
        <f t="shared" si="60"/>
        <v>0</v>
      </c>
      <c r="U77" s="297"/>
      <c r="V77" s="333">
        <f>IF($J$19="sim",SUM(O73:P77)/4,SUM(S73:T77))</f>
        <v>0</v>
      </c>
      <c r="W77" s="334">
        <f>IF(V77="","",V77^2/3)</f>
        <v>0</v>
      </c>
      <c r="X77" s="334">
        <f>IF($J$19="Sim",SQRT(W77),SUM(S73:T77))</f>
        <v>0</v>
      </c>
      <c r="Y77" s="334">
        <v>1</v>
      </c>
      <c r="Z77" s="334">
        <v>50</v>
      </c>
      <c r="AA77" s="335">
        <f>(X77*Y77)^2</f>
        <v>0</v>
      </c>
      <c r="AB77" s="79"/>
      <c r="AC77" s="17"/>
      <c r="AD77" s="22"/>
      <c r="AE77" s="23"/>
      <c r="AF77" s="80"/>
      <c r="AG77" s="29"/>
      <c r="AH77" s="29"/>
      <c r="AI77" s="30"/>
      <c r="AJ77" s="30"/>
      <c r="AK77" s="31"/>
      <c r="AL77" s="31"/>
      <c r="AM77" s="507" t="s">
        <v>42</v>
      </c>
      <c r="AN77" s="506">
        <v>260000</v>
      </c>
      <c r="AO77" s="490">
        <f>13*1</f>
        <v>13</v>
      </c>
      <c r="AP77" s="507">
        <f t="shared" si="53"/>
        <v>0</v>
      </c>
      <c r="AQ77" s="746"/>
      <c r="AR77" s="362">
        <f t="shared" si="54"/>
        <v>9.1683222747312582E-3</v>
      </c>
      <c r="AS77" s="17">
        <f>SUM(AP135:AP149)</f>
        <v>0</v>
      </c>
      <c r="AT77" s="339"/>
      <c r="AU77" s="339" t="s">
        <v>343</v>
      </c>
      <c r="AV77" s="164" t="str">
        <f>IF(ISERROR(VLOOKUP($AV$76,AT61:AV75,1,FALSE)),"- UNIDADE INVÁLIDA",(VLOOKUP($AV$76,$AT$60:$AV$75,2,FALSE)))</f>
        <v>g</v>
      </c>
      <c r="AW77" s="439"/>
      <c r="AY77" s="65" t="s">
        <v>193</v>
      </c>
      <c r="AZ77" s="248">
        <v>2</v>
      </c>
      <c r="BA77" s="252">
        <f>1.96/1000</f>
        <v>1.9599999999999999E-3</v>
      </c>
      <c r="BB77" s="352">
        <f>1.27/1000</f>
        <v>1.2700000000000001E-3</v>
      </c>
    </row>
    <row r="78" spans="1:75" ht="15" customHeight="1" thickBot="1">
      <c r="A78" s="884"/>
      <c r="B78" s="637"/>
      <c r="C78" s="626"/>
      <c r="D78" s="591"/>
      <c r="E78" s="627"/>
      <c r="F78" s="847"/>
      <c r="G78" s="628"/>
      <c r="H78" s="629"/>
      <c r="I78" s="630"/>
      <c r="J78" s="630"/>
      <c r="K78" s="631"/>
      <c r="L78" s="639"/>
      <c r="M78" s="633"/>
      <c r="N78" s="21"/>
      <c r="O78" s="634"/>
      <c r="P78" s="635"/>
      <c r="Q78" s="634"/>
      <c r="R78" s="635"/>
      <c r="S78" s="636"/>
      <c r="T78" s="635"/>
      <c r="U78" s="314"/>
      <c r="V78" s="372">
        <f>SUM(Q73:R77)</f>
        <v>0</v>
      </c>
      <c r="W78" s="373">
        <f>IF(V78="","",V78^2/3)</f>
        <v>0</v>
      </c>
      <c r="X78" s="373">
        <f>SQRT(W78)</f>
        <v>0</v>
      </c>
      <c r="Y78" s="373">
        <v>1</v>
      </c>
      <c r="Z78" s="373">
        <v>50</v>
      </c>
      <c r="AA78" s="374">
        <f>IF(V78="","",(X78*Y78)^2)</f>
        <v>0</v>
      </c>
      <c r="AB78" s="81"/>
      <c r="AC78" s="82"/>
      <c r="AD78" s="83"/>
      <c r="AE78" s="84"/>
      <c r="AF78" s="85"/>
      <c r="AG78" s="29"/>
      <c r="AH78" s="29"/>
      <c r="AI78" s="30"/>
      <c r="AJ78" s="30"/>
      <c r="AK78" s="31"/>
      <c r="AL78" s="31"/>
      <c r="AM78" s="507" t="s">
        <v>43</v>
      </c>
      <c r="AN78" s="506">
        <v>280000</v>
      </c>
      <c r="AO78" s="490">
        <f>14*1</f>
        <v>14</v>
      </c>
      <c r="AP78" s="507">
        <f t="shared" si="53"/>
        <v>0</v>
      </c>
      <c r="AQ78" s="746"/>
      <c r="AR78" s="362">
        <f t="shared" si="54"/>
        <v>9.1683222747312582E-3</v>
      </c>
      <c r="AT78" s="37"/>
      <c r="AU78" s="350" t="s">
        <v>45</v>
      </c>
      <c r="AV78" s="348">
        <f>VLOOKUP(AV77,$AU$61:$AV$75,2,FALSE)</f>
        <v>1</v>
      </c>
      <c r="AW78" s="376"/>
      <c r="AY78" s="65" t="s">
        <v>194</v>
      </c>
      <c r="AZ78" s="247">
        <v>5</v>
      </c>
      <c r="BA78" s="251">
        <f>4.28/1000</f>
        <v>4.28E-3</v>
      </c>
      <c r="BB78" s="352">
        <f>2.76/1000</f>
        <v>2.7599999999999999E-3</v>
      </c>
    </row>
    <row r="79" spans="1:75" ht="15" customHeight="1">
      <c r="W79" s="29"/>
      <c r="X79" s="29"/>
      <c r="Y79" s="29"/>
      <c r="Z79" s="29"/>
      <c r="AA79" s="29"/>
      <c r="AB79" s="29"/>
      <c r="AC79" s="29"/>
      <c r="AD79" s="10"/>
      <c r="AE79" s="29"/>
      <c r="AG79" s="29"/>
      <c r="AH79" s="6"/>
      <c r="AI79" s="30"/>
      <c r="AJ79" s="30"/>
      <c r="AK79" s="31"/>
      <c r="AL79" s="31"/>
      <c r="AM79" s="507" t="s">
        <v>44</v>
      </c>
      <c r="AN79" s="506">
        <v>300000</v>
      </c>
      <c r="AO79" s="490">
        <f>15*1</f>
        <v>15</v>
      </c>
      <c r="AP79" s="507">
        <f t="shared" si="53"/>
        <v>0</v>
      </c>
      <c r="AQ79" s="746"/>
      <c r="AR79" s="362">
        <f t="shared" si="54"/>
        <v>9.1683222747312582E-3</v>
      </c>
      <c r="AY79" s="65" t="s">
        <v>195</v>
      </c>
      <c r="AZ79" s="247">
        <v>10</v>
      </c>
      <c r="BA79" s="251">
        <f>7.79/1000</f>
        <v>7.79E-3</v>
      </c>
      <c r="BB79" s="352">
        <f>5.01/1000</f>
        <v>5.0099999999999997E-3</v>
      </c>
    </row>
    <row r="80" spans="1:75" ht="15" customHeight="1" thickBot="1">
      <c r="AG80" s="29"/>
      <c r="AH80" s="6"/>
      <c r="AI80" s="30"/>
      <c r="AJ80" s="30"/>
      <c r="AK80" s="31"/>
      <c r="AL80" s="31"/>
      <c r="AM80" s="507" t="s">
        <v>81</v>
      </c>
      <c r="AN80" s="506">
        <v>320000</v>
      </c>
      <c r="AO80" s="490">
        <f>16*1</f>
        <v>16</v>
      </c>
      <c r="AP80" s="507">
        <f t="shared" si="53"/>
        <v>0</v>
      </c>
      <c r="AQ80" s="746"/>
      <c r="AR80" s="362">
        <f t="shared" si="54"/>
        <v>9.1683222747312582E-3</v>
      </c>
      <c r="AY80" s="67" t="s">
        <v>196</v>
      </c>
      <c r="AZ80" s="249">
        <v>20</v>
      </c>
      <c r="BA80" s="354">
        <f>14.3/1000</f>
        <v>1.43E-2</v>
      </c>
      <c r="BB80" s="353">
        <f>9.14/1000</f>
        <v>9.1400000000000006E-3</v>
      </c>
    </row>
    <row r="81" spans="3:66" ht="15" customHeight="1">
      <c r="V81" s="366" t="str">
        <f>IF($I$9="Sim",0.005%*D32*2,"")</f>
        <v/>
      </c>
      <c r="W81" s="363">
        <f t="shared" ref="W81:W88" si="61">IF(V81="",0,V81^2/3)</f>
        <v>0</v>
      </c>
      <c r="X81" s="363">
        <f t="shared" ref="X81:X88" si="62">SQRT(W81)</f>
        <v>0</v>
      </c>
      <c r="Y81" s="364">
        <v>1</v>
      </c>
      <c r="Z81" s="365">
        <v>50</v>
      </c>
      <c r="AA81" s="367">
        <f t="shared" ref="AA81:AA87" si="63">IF(V81="",0,(X81*Y81)^2)</f>
        <v>0</v>
      </c>
      <c r="AG81" s="29"/>
      <c r="AH81" s="6"/>
      <c r="AM81" s="507" t="s">
        <v>82</v>
      </c>
      <c r="AN81" s="506">
        <v>340000</v>
      </c>
      <c r="AO81" s="490">
        <f>17*1</f>
        <v>17</v>
      </c>
      <c r="AP81" s="507">
        <f t="shared" si="53"/>
        <v>0</v>
      </c>
      <c r="AQ81" s="746"/>
      <c r="AR81" s="362">
        <f t="shared" si="54"/>
        <v>9.1683222747312582E-3</v>
      </c>
      <c r="AY81" s="255"/>
      <c r="AZ81" s="255"/>
      <c r="BA81" s="256"/>
    </row>
    <row r="82" spans="3:66" ht="15" customHeight="1">
      <c r="V82" s="366" t="str">
        <f>IF($I$9="Sim",0.005%*D37*2,"")</f>
        <v/>
      </c>
      <c r="W82" s="363">
        <f t="shared" si="61"/>
        <v>0</v>
      </c>
      <c r="X82" s="363">
        <f t="shared" si="62"/>
        <v>0</v>
      </c>
      <c r="Y82" s="364">
        <v>1</v>
      </c>
      <c r="Z82" s="365">
        <v>50</v>
      </c>
      <c r="AA82" s="367">
        <f t="shared" si="63"/>
        <v>0</v>
      </c>
      <c r="AG82" s="29"/>
      <c r="AH82" s="6"/>
      <c r="AM82" s="509" t="s">
        <v>83</v>
      </c>
      <c r="AN82" s="506">
        <v>360000</v>
      </c>
      <c r="AO82" s="490">
        <f>18*1</f>
        <v>18</v>
      </c>
      <c r="AP82" s="507">
        <f t="shared" si="53"/>
        <v>0</v>
      </c>
      <c r="AQ82" s="746"/>
      <c r="AR82" s="362">
        <f t="shared" si="54"/>
        <v>9.1683222747312582E-3</v>
      </c>
      <c r="AY82" s="29"/>
      <c r="AZ82" s="29"/>
    </row>
    <row r="83" spans="3:66" ht="15" customHeight="1">
      <c r="V83" s="366" t="str">
        <f>IF($I$9="Sim",0.005%*D43*2,"")</f>
        <v/>
      </c>
      <c r="W83" s="363">
        <f t="shared" si="61"/>
        <v>0</v>
      </c>
      <c r="X83" s="363">
        <f t="shared" si="62"/>
        <v>0</v>
      </c>
      <c r="Y83" s="364">
        <v>1</v>
      </c>
      <c r="Z83" s="365">
        <v>50</v>
      </c>
      <c r="AA83" s="367">
        <f t="shared" si="63"/>
        <v>0</v>
      </c>
      <c r="AG83" s="29"/>
      <c r="AH83" s="6"/>
      <c r="AM83" s="509" t="s">
        <v>84</v>
      </c>
      <c r="AN83" s="506">
        <v>380000</v>
      </c>
      <c r="AO83" s="490">
        <f>19*1</f>
        <v>19</v>
      </c>
      <c r="AP83" s="507">
        <f t="shared" si="53"/>
        <v>0</v>
      </c>
      <c r="AQ83" s="746"/>
      <c r="AR83" s="362">
        <f t="shared" si="54"/>
        <v>9.1683222747312582E-3</v>
      </c>
    </row>
    <row r="84" spans="3:66" ht="15" customHeight="1">
      <c r="V84" s="366" t="str">
        <f>IF($I$9="Sim",0.005%*D49*2,"")</f>
        <v/>
      </c>
      <c r="W84" s="363">
        <f t="shared" si="61"/>
        <v>0</v>
      </c>
      <c r="X84" s="363">
        <f t="shared" si="62"/>
        <v>0</v>
      </c>
      <c r="Y84" s="364">
        <v>1</v>
      </c>
      <c r="Z84" s="365">
        <v>50</v>
      </c>
      <c r="AA84" s="367">
        <f t="shared" si="63"/>
        <v>0</v>
      </c>
      <c r="AG84" s="29"/>
      <c r="AH84" s="6"/>
      <c r="AM84" s="509" t="s">
        <v>85</v>
      </c>
      <c r="AN84" s="506">
        <v>400000</v>
      </c>
      <c r="AO84" s="490">
        <f>20*1</f>
        <v>20</v>
      </c>
      <c r="AP84" s="507">
        <f t="shared" si="53"/>
        <v>0</v>
      </c>
      <c r="AQ84" s="746"/>
      <c r="AR84" s="362">
        <f t="shared" si="54"/>
        <v>9.1683222747312582E-3</v>
      </c>
    </row>
    <row r="85" spans="3:66" ht="15" customHeight="1">
      <c r="V85" s="366" t="str">
        <f>IF($I$9="Sim",0.005%*D55*2,"")</f>
        <v/>
      </c>
      <c r="W85" s="363">
        <f t="shared" si="61"/>
        <v>0</v>
      </c>
      <c r="X85" s="363">
        <f t="shared" si="62"/>
        <v>0</v>
      </c>
      <c r="Y85" s="364">
        <v>1</v>
      </c>
      <c r="Z85" s="365">
        <v>50</v>
      </c>
      <c r="AA85" s="367">
        <f t="shared" si="63"/>
        <v>0</v>
      </c>
      <c r="AG85" s="29"/>
      <c r="AH85" s="6"/>
      <c r="AM85" s="507" t="s">
        <v>86</v>
      </c>
      <c r="AN85" s="506">
        <v>420000</v>
      </c>
      <c r="AO85" s="490">
        <f>21*1</f>
        <v>21</v>
      </c>
      <c r="AP85" s="507">
        <f t="shared" si="53"/>
        <v>0</v>
      </c>
      <c r="AQ85" s="746"/>
      <c r="AR85" s="362">
        <f t="shared" si="54"/>
        <v>9.1683222747312582E-3</v>
      </c>
    </row>
    <row r="86" spans="3:66" ht="15" customHeight="1">
      <c r="V86" s="366" t="str">
        <f>IF($I$9="Sim",0.005%*D61*2,"")</f>
        <v/>
      </c>
      <c r="W86" s="363">
        <f t="shared" si="61"/>
        <v>0</v>
      </c>
      <c r="X86" s="363">
        <f t="shared" si="62"/>
        <v>0</v>
      </c>
      <c r="Y86" s="364">
        <v>1</v>
      </c>
      <c r="Z86" s="365">
        <v>50</v>
      </c>
      <c r="AA86" s="367">
        <f t="shared" si="63"/>
        <v>0</v>
      </c>
      <c r="AG86" s="29"/>
      <c r="AH86" s="6"/>
      <c r="AM86" s="507" t="s">
        <v>87</v>
      </c>
      <c r="AN86" s="506">
        <v>440000</v>
      </c>
      <c r="AO86" s="490">
        <f>22*1</f>
        <v>22</v>
      </c>
      <c r="AP86" s="507">
        <f t="shared" si="53"/>
        <v>0</v>
      </c>
      <c r="AQ86" s="746"/>
      <c r="AR86" s="362">
        <f t="shared" si="54"/>
        <v>9.1683222747312582E-3</v>
      </c>
    </row>
    <row r="87" spans="3:66" ht="15" customHeight="1" thickBot="1">
      <c r="V87" s="366" t="str">
        <f>IF($I$9="Sim",0.005%*D67*2,"")</f>
        <v/>
      </c>
      <c r="W87" s="363">
        <f t="shared" si="61"/>
        <v>0</v>
      </c>
      <c r="X87" s="363">
        <f t="shared" si="62"/>
        <v>0</v>
      </c>
      <c r="Y87" s="364">
        <v>1</v>
      </c>
      <c r="Z87" s="365">
        <v>50</v>
      </c>
      <c r="AA87" s="367">
        <f t="shared" si="63"/>
        <v>0</v>
      </c>
      <c r="AG87" s="29"/>
      <c r="AH87" s="6"/>
      <c r="AM87" s="507" t="s">
        <v>88</v>
      </c>
      <c r="AN87" s="506">
        <v>460000</v>
      </c>
      <c r="AO87" s="490">
        <f>23*1</f>
        <v>23</v>
      </c>
      <c r="AP87" s="507">
        <f t="shared" si="53"/>
        <v>0</v>
      </c>
      <c r="AQ87" s="746"/>
      <c r="AR87" s="362">
        <f t="shared" si="54"/>
        <v>9.1683222747312582E-3</v>
      </c>
      <c r="AY87" s="95" t="s">
        <v>231</v>
      </c>
      <c r="AZ87" s="94"/>
      <c r="BA87" s="94"/>
      <c r="BB87" s="94"/>
      <c r="BC87" s="94"/>
      <c r="BD87" s="94"/>
      <c r="BE87" s="94"/>
      <c r="BF87" s="94"/>
      <c r="BG87" s="94"/>
      <c r="BH87" s="94"/>
      <c r="BI87" s="94"/>
      <c r="BJ87" s="94"/>
      <c r="BK87" s="94"/>
      <c r="BL87" s="94"/>
      <c r="BM87" s="94"/>
      <c r="BN87" s="94"/>
    </row>
    <row r="88" spans="3:66" ht="15" customHeight="1">
      <c r="V88" s="366" t="str">
        <f>IF($I$9="Sim",0.005%*D73*2,"")</f>
        <v/>
      </c>
      <c r="W88" s="363">
        <f t="shared" si="61"/>
        <v>0</v>
      </c>
      <c r="X88" s="363">
        <f t="shared" si="62"/>
        <v>0</v>
      </c>
      <c r="Y88" s="364">
        <v>1</v>
      </c>
      <c r="Z88" s="365">
        <v>50</v>
      </c>
      <c r="AA88" s="367">
        <f>IF(V88="",0,(X88*Y88)^2)</f>
        <v>0</v>
      </c>
      <c r="AG88" s="29"/>
      <c r="AH88" s="6"/>
      <c r="AM88" s="507" t="s">
        <v>89</v>
      </c>
      <c r="AN88" s="506">
        <v>480000</v>
      </c>
      <c r="AO88" s="490">
        <f>24*1</f>
        <v>24</v>
      </c>
      <c r="AP88" s="507">
        <f t="shared" si="53"/>
        <v>0</v>
      </c>
      <c r="AQ88" s="746"/>
      <c r="AR88" s="362">
        <f t="shared" si="54"/>
        <v>9.1683222747312582E-3</v>
      </c>
      <c r="AY88" s="96" t="s">
        <v>232</v>
      </c>
      <c r="AZ88" s="97">
        <v>1.2</v>
      </c>
      <c r="BA88" s="98" t="s">
        <v>233</v>
      </c>
      <c r="BB88" s="99" t="s">
        <v>234</v>
      </c>
      <c r="BC88" s="99"/>
      <c r="BD88" s="99"/>
      <c r="BE88" s="99"/>
      <c r="BF88" s="948"/>
      <c r="BG88" s="948"/>
      <c r="BH88" s="948"/>
      <c r="BI88" s="94"/>
      <c r="BJ88" s="94"/>
      <c r="BK88" s="94"/>
      <c r="BL88" s="94"/>
      <c r="BM88" s="94" t="s">
        <v>235</v>
      </c>
    </row>
    <row r="89" spans="3:66" ht="15" customHeight="1" thickBot="1">
      <c r="AG89" s="29"/>
      <c r="AH89" s="6"/>
      <c r="AM89" s="507" t="s">
        <v>90</v>
      </c>
      <c r="AN89" s="506">
        <v>500000</v>
      </c>
      <c r="AO89" s="490">
        <f>25*1</f>
        <v>25</v>
      </c>
      <c r="AP89" s="507">
        <f t="shared" si="53"/>
        <v>0</v>
      </c>
      <c r="AQ89" s="746"/>
      <c r="AR89" s="362">
        <f t="shared" si="54"/>
        <v>9.1683222747312582E-3</v>
      </c>
      <c r="AY89" s="100" t="s">
        <v>236</v>
      </c>
      <c r="AZ89" s="101">
        <v>8000</v>
      </c>
      <c r="BA89" s="102" t="s">
        <v>233</v>
      </c>
      <c r="BB89" s="103" t="s">
        <v>237</v>
      </c>
      <c r="BC89" s="103"/>
      <c r="BD89" s="103"/>
      <c r="BE89" s="103"/>
      <c r="BF89" s="948"/>
      <c r="BG89" s="948"/>
      <c r="BH89" s="948"/>
      <c r="BI89" s="94"/>
      <c r="BJ89" s="94"/>
      <c r="BK89" s="94"/>
      <c r="BL89" s="94"/>
      <c r="BM89" s="94" t="s">
        <v>238</v>
      </c>
    </row>
    <row r="90" spans="3:66" ht="15" customHeight="1" thickBot="1">
      <c r="U90"/>
      <c r="AG90" s="29"/>
      <c r="AH90" s="6"/>
      <c r="AM90" s="507" t="s">
        <v>91</v>
      </c>
      <c r="AN90" s="506">
        <v>520000</v>
      </c>
      <c r="AO90" s="490">
        <f>26*1</f>
        <v>26</v>
      </c>
      <c r="AP90" s="507">
        <f t="shared" si="53"/>
        <v>0</v>
      </c>
      <c r="AQ90" s="746"/>
      <c r="AR90" s="362">
        <f>SQRT((15.88/1000)^2/3)</f>
        <v>9.1683222747312582E-3</v>
      </c>
      <c r="AY90" s="95" t="s">
        <v>253</v>
      </c>
      <c r="AZ90" s="94"/>
      <c r="BA90" s="94"/>
      <c r="BB90" s="94"/>
      <c r="BC90" s="94"/>
      <c r="BD90" s="94"/>
      <c r="BE90" s="94"/>
      <c r="BF90" s="94"/>
      <c r="BG90" s="94"/>
      <c r="BH90" s="94"/>
      <c r="BI90" s="94"/>
      <c r="BJ90" s="94"/>
      <c r="BK90" s="94"/>
      <c r="BL90" s="94"/>
      <c r="BM90" s="94"/>
      <c r="BN90" s="94"/>
    </row>
    <row r="91" spans="3:66" ht="15" customHeight="1" thickBot="1">
      <c r="AG91" s="29"/>
      <c r="AH91" s="6"/>
      <c r="AM91" s="507" t="s">
        <v>92</v>
      </c>
      <c r="AN91" s="506">
        <v>540000</v>
      </c>
      <c r="AO91" s="490">
        <f>27*1</f>
        <v>27</v>
      </c>
      <c r="AP91" s="507">
        <f t="shared" si="53"/>
        <v>0</v>
      </c>
      <c r="AQ91" s="746"/>
      <c r="AR91" s="362">
        <f t="shared" si="54"/>
        <v>9.1683222747312582E-3</v>
      </c>
      <c r="AY91" s="139" t="s">
        <v>255</v>
      </c>
      <c r="AZ91" s="104"/>
      <c r="BA91" s="963" t="s">
        <v>239</v>
      </c>
      <c r="BB91" s="927"/>
      <c r="BC91" s="927"/>
    </row>
    <row r="92" spans="3:66" ht="22.5" customHeight="1" thickBot="1">
      <c r="U92"/>
      <c r="V92" s="849">
        <f>IF(F36="",0,F36/C13)</f>
        <v>0</v>
      </c>
      <c r="W92" s="850">
        <f>IF(V92="",0,V92^2/3)</f>
        <v>0</v>
      </c>
      <c r="X92" s="850">
        <f t="shared" ref="X92:X99" si="64">SQRT(W92)</f>
        <v>0</v>
      </c>
      <c r="Y92" s="851">
        <v>1</v>
      </c>
      <c r="Z92" s="852">
        <v>50</v>
      </c>
      <c r="AA92" s="853">
        <f t="shared" ref="AA92:AA98" si="65">IF(V92="",0,(X92*Y92)^2)</f>
        <v>0</v>
      </c>
      <c r="AG92" s="6"/>
      <c r="AH92" s="6"/>
      <c r="AM92" s="507" t="s">
        <v>93</v>
      </c>
      <c r="AN92" s="506">
        <v>560000</v>
      </c>
      <c r="AO92" s="490">
        <f>28*1</f>
        <v>28</v>
      </c>
      <c r="AP92" s="507">
        <f t="shared" si="53"/>
        <v>0</v>
      </c>
      <c r="AQ92" s="746"/>
      <c r="AR92" s="362">
        <f t="shared" si="54"/>
        <v>9.1683222747312582E-3</v>
      </c>
      <c r="AY92" s="141" t="s">
        <v>254</v>
      </c>
      <c r="AZ92" s="138" t="s">
        <v>243</v>
      </c>
      <c r="BA92" s="105" t="s">
        <v>244</v>
      </c>
      <c r="BB92" s="106" t="s">
        <v>245</v>
      </c>
      <c r="BC92" s="118" t="s">
        <v>246</v>
      </c>
    </row>
    <row r="93" spans="3:66" ht="30" customHeight="1">
      <c r="V93" s="849">
        <f>IF(F42="",0,F42/C13)</f>
        <v>0</v>
      </c>
      <c r="W93" s="850">
        <f t="shared" ref="W93:W99" si="66">IF(V93="",0,V93^2/3)</f>
        <v>0</v>
      </c>
      <c r="X93" s="850">
        <f t="shared" si="64"/>
        <v>0</v>
      </c>
      <c r="Y93" s="851">
        <v>1</v>
      </c>
      <c r="Z93" s="852">
        <v>50</v>
      </c>
      <c r="AA93" s="853">
        <f t="shared" si="65"/>
        <v>0</v>
      </c>
      <c r="AG93" s="6"/>
      <c r="AH93" s="6"/>
      <c r="AM93" s="507" t="s">
        <v>94</v>
      </c>
      <c r="AN93" s="506">
        <v>580000</v>
      </c>
      <c r="AO93" s="490">
        <f>29*1</f>
        <v>29</v>
      </c>
      <c r="AP93" s="507">
        <f t="shared" si="53"/>
        <v>0</v>
      </c>
      <c r="AQ93" s="746"/>
      <c r="AR93" s="362">
        <f t="shared" si="54"/>
        <v>9.1683222747312582E-3</v>
      </c>
      <c r="AW93" s="87"/>
      <c r="AY93" s="195">
        <v>50</v>
      </c>
      <c r="AZ93" s="108">
        <v>50</v>
      </c>
      <c r="BA93" s="109">
        <v>0.1</v>
      </c>
      <c r="BB93" s="119">
        <f>BA93/(4*SQRT(3))</f>
        <v>1.4433756729740645E-2</v>
      </c>
      <c r="BC93" s="122">
        <f t="shared" ref="BC93:BC101" si="67">($AZ93*1000*0.1*$AZ$88/$AZ$89+BA93/4)/SQRT(3)</f>
        <v>0.44744645862196003</v>
      </c>
    </row>
    <row r="94" spans="3:66" ht="15" customHeight="1">
      <c r="C94" s="37"/>
      <c r="V94" s="849">
        <f>IF(F48="",0,F48/C13)</f>
        <v>0</v>
      </c>
      <c r="W94" s="850">
        <f t="shared" si="66"/>
        <v>0</v>
      </c>
      <c r="X94" s="850">
        <f t="shared" si="64"/>
        <v>0</v>
      </c>
      <c r="Y94" s="851">
        <v>1</v>
      </c>
      <c r="Z94" s="852">
        <v>50</v>
      </c>
      <c r="AA94" s="853">
        <f t="shared" si="65"/>
        <v>0</v>
      </c>
      <c r="AG94" s="6"/>
      <c r="AH94" s="6"/>
      <c r="AM94" s="507" t="s">
        <v>95</v>
      </c>
      <c r="AN94" s="506">
        <v>600000</v>
      </c>
      <c r="AO94" s="490">
        <f>30*1</f>
        <v>30</v>
      </c>
      <c r="AP94" s="507">
        <f t="shared" si="53"/>
        <v>0</v>
      </c>
      <c r="AQ94" s="746"/>
      <c r="AR94" s="362">
        <f t="shared" si="54"/>
        <v>9.1683222747312582E-3</v>
      </c>
      <c r="AT94" s="944" t="s">
        <v>74</v>
      </c>
      <c r="AU94" s="932"/>
      <c r="AV94" s="933"/>
      <c r="AW94" s="286"/>
      <c r="AY94" s="195">
        <v>20</v>
      </c>
      <c r="AZ94" s="110">
        <v>20</v>
      </c>
      <c r="BA94" s="111">
        <v>0.08</v>
      </c>
      <c r="BB94" s="120">
        <f>BA94/(4*SQRT(3))</f>
        <v>1.1547005383792516E-2</v>
      </c>
      <c r="BC94" s="123">
        <f t="shared" si="67"/>
        <v>0.18475208614068026</v>
      </c>
    </row>
    <row r="95" spans="3:66" ht="15" customHeight="1">
      <c r="V95" s="849">
        <f>IF(F54="",0,F54/C13)</f>
        <v>0</v>
      </c>
      <c r="W95" s="850">
        <f t="shared" si="66"/>
        <v>0</v>
      </c>
      <c r="X95" s="850">
        <f t="shared" si="64"/>
        <v>0</v>
      </c>
      <c r="Y95" s="851">
        <v>1</v>
      </c>
      <c r="Z95" s="852">
        <v>50</v>
      </c>
      <c r="AA95" s="853">
        <f t="shared" si="65"/>
        <v>0</v>
      </c>
      <c r="AG95" s="6"/>
      <c r="AH95" s="6"/>
      <c r="AM95" s="510" t="s">
        <v>124</v>
      </c>
      <c r="AN95" s="506">
        <v>620000</v>
      </c>
      <c r="AO95" s="490">
        <f>31*1</f>
        <v>31</v>
      </c>
      <c r="AP95" s="507">
        <f t="shared" si="53"/>
        <v>0</v>
      </c>
      <c r="AQ95" s="746"/>
      <c r="AR95" s="362">
        <f t="shared" si="54"/>
        <v>9.1683222747312582E-3</v>
      </c>
      <c r="AT95" s="301">
        <v>1</v>
      </c>
      <c r="AU95" s="302" t="s">
        <v>76</v>
      </c>
      <c r="AV95" s="303"/>
      <c r="AW95" s="440"/>
      <c r="AY95" s="195">
        <v>10</v>
      </c>
      <c r="AZ95" s="110">
        <v>10</v>
      </c>
      <c r="BA95" s="111">
        <v>0.06</v>
      </c>
      <c r="BB95" s="120">
        <f t="shared" ref="BB95:BB101" si="68">BA95/(4*SQRT(3))</f>
        <v>8.6602540378443865E-3</v>
      </c>
      <c r="BC95" s="123">
        <f t="shared" si="67"/>
        <v>9.5262794416288252E-2</v>
      </c>
    </row>
    <row r="96" spans="3:66" ht="15" customHeight="1">
      <c r="V96" s="849">
        <f>IF(F60="",0,F60/C13)</f>
        <v>0</v>
      </c>
      <c r="W96" s="850">
        <f t="shared" si="66"/>
        <v>0</v>
      </c>
      <c r="X96" s="850">
        <f t="shared" si="64"/>
        <v>0</v>
      </c>
      <c r="Y96" s="851">
        <v>1</v>
      </c>
      <c r="Z96" s="852">
        <v>50</v>
      </c>
      <c r="AA96" s="853">
        <f t="shared" si="65"/>
        <v>0</v>
      </c>
      <c r="AG96" s="6"/>
      <c r="AH96" s="6"/>
      <c r="AM96" s="507" t="s">
        <v>125</v>
      </c>
      <c r="AN96" s="506">
        <v>640000</v>
      </c>
      <c r="AO96" s="490">
        <f>32*1</f>
        <v>32</v>
      </c>
      <c r="AP96" s="507">
        <f t="shared" si="53"/>
        <v>0</v>
      </c>
      <c r="AQ96" s="746"/>
      <c r="AR96" s="362">
        <f t="shared" si="54"/>
        <v>9.1683222747312582E-3</v>
      </c>
      <c r="AT96" s="301">
        <v>2</v>
      </c>
      <c r="AU96" s="302" t="s">
        <v>356</v>
      </c>
      <c r="AV96" s="303"/>
      <c r="AW96" s="440"/>
      <c r="AY96" s="195">
        <v>5</v>
      </c>
      <c r="AZ96" s="110">
        <v>5</v>
      </c>
      <c r="BA96" s="111">
        <v>0.05</v>
      </c>
      <c r="BB96" s="120">
        <f t="shared" si="68"/>
        <v>7.2168783648703227E-3</v>
      </c>
      <c r="BC96" s="123">
        <f t="shared" si="67"/>
        <v>5.0518148554092257E-2</v>
      </c>
    </row>
    <row r="97" spans="22:55" ht="15" customHeight="1">
      <c r="V97" s="849">
        <f>IF(F66="",0,F66/C13)</f>
        <v>0</v>
      </c>
      <c r="W97" s="850">
        <f t="shared" si="66"/>
        <v>0</v>
      </c>
      <c r="X97" s="850">
        <f t="shared" si="64"/>
        <v>0</v>
      </c>
      <c r="Y97" s="851">
        <v>1</v>
      </c>
      <c r="Z97" s="852">
        <v>50</v>
      </c>
      <c r="AA97" s="853">
        <f t="shared" si="65"/>
        <v>0</v>
      </c>
      <c r="AG97" s="6"/>
      <c r="AH97" s="6"/>
      <c r="AM97" s="507" t="s">
        <v>126</v>
      </c>
      <c r="AN97" s="506">
        <v>660000</v>
      </c>
      <c r="AO97" s="490">
        <f>33*1</f>
        <v>33</v>
      </c>
      <c r="AP97" s="507">
        <f t="shared" ref="AP97:AP119" si="69">IF(ISERROR(MATCH(AM97,$B$32:$B$77,0)),0,(MATCH(AM97,$B$32:$B$77,0)))+IF(ISERROR(MATCH(AM97,$C$32:$C$77,0)),0,(MATCH(AM97,$C$32:$C$77,0)))</f>
        <v>0</v>
      </c>
      <c r="AQ97" s="746"/>
      <c r="AR97" s="362">
        <f t="shared" si="54"/>
        <v>9.1683222747312582E-3</v>
      </c>
      <c r="AT97" s="301">
        <v>3</v>
      </c>
      <c r="AU97" s="302" t="s">
        <v>75</v>
      </c>
      <c r="AV97" s="303"/>
      <c r="AW97" s="440"/>
      <c r="AY97" s="195">
        <v>2</v>
      </c>
      <c r="AZ97" s="110">
        <v>2</v>
      </c>
      <c r="BA97" s="111">
        <v>0.04</v>
      </c>
      <c r="BB97" s="120">
        <f t="shared" si="68"/>
        <v>5.773502691896258E-3</v>
      </c>
      <c r="BC97" s="123">
        <f t="shared" si="67"/>
        <v>2.3094010767585032E-2</v>
      </c>
    </row>
    <row r="98" spans="22:55" ht="15" customHeight="1" thickBot="1">
      <c r="V98" s="849">
        <f>IF(F72="",0,F72/C13)</f>
        <v>0</v>
      </c>
      <c r="W98" s="850">
        <f t="shared" si="66"/>
        <v>0</v>
      </c>
      <c r="X98" s="850">
        <f t="shared" si="64"/>
        <v>0</v>
      </c>
      <c r="Y98" s="851">
        <v>1</v>
      </c>
      <c r="Z98" s="852">
        <v>50</v>
      </c>
      <c r="AA98" s="853">
        <f t="shared" si="65"/>
        <v>0</v>
      </c>
      <c r="AG98" s="6"/>
      <c r="AH98" s="6"/>
      <c r="AM98" s="507" t="s">
        <v>127</v>
      </c>
      <c r="AN98" s="506">
        <v>680000</v>
      </c>
      <c r="AO98" s="490">
        <f>34*1</f>
        <v>34</v>
      </c>
      <c r="AP98" s="507">
        <f t="shared" si="69"/>
        <v>0</v>
      </c>
      <c r="AQ98" s="746"/>
      <c r="AR98" s="362">
        <f t="shared" si="54"/>
        <v>9.1683222747312582E-3</v>
      </c>
      <c r="AT98" s="945" t="s">
        <v>384</v>
      </c>
      <c r="AU98" s="946"/>
      <c r="AV98" s="304">
        <v>1</v>
      </c>
      <c r="AW98" s="438"/>
      <c r="AY98" s="195">
        <v>1</v>
      </c>
      <c r="AZ98" s="110">
        <v>1</v>
      </c>
      <c r="BA98" s="111">
        <v>0.03</v>
      </c>
      <c r="BB98" s="120">
        <f t="shared" si="68"/>
        <v>4.3301270189221933E-3</v>
      </c>
      <c r="BC98" s="123">
        <f t="shared" si="67"/>
        <v>1.299038105676658E-2</v>
      </c>
    </row>
    <row r="99" spans="22:55" ht="15" customHeight="1">
      <c r="V99" s="849">
        <f>IF(F78="",0,F78/C13)</f>
        <v>0</v>
      </c>
      <c r="W99" s="850">
        <f t="shared" si="66"/>
        <v>0</v>
      </c>
      <c r="X99" s="850">
        <f t="shared" si="64"/>
        <v>0</v>
      </c>
      <c r="Y99" s="851">
        <v>1</v>
      </c>
      <c r="Z99" s="852">
        <v>50</v>
      </c>
      <c r="AA99" s="853">
        <f>IF(V99="",0,(X99*Y99)^2)</f>
        <v>0</v>
      </c>
      <c r="AG99" s="6"/>
      <c r="AH99" s="6"/>
      <c r="AM99" s="507" t="s">
        <v>128</v>
      </c>
      <c r="AN99" s="506">
        <v>700000</v>
      </c>
      <c r="AO99" s="490">
        <f>35*1</f>
        <v>35</v>
      </c>
      <c r="AP99" s="507">
        <f t="shared" si="69"/>
        <v>0</v>
      </c>
      <c r="AQ99" s="746"/>
      <c r="AR99" s="362">
        <f t="shared" si="54"/>
        <v>9.1683222747312582E-3</v>
      </c>
      <c r="AT99" s="88"/>
      <c r="AU99" s="88"/>
      <c r="AV99" s="88"/>
      <c r="AW99" s="440"/>
      <c r="AY99" s="195" t="s">
        <v>60</v>
      </c>
      <c r="AZ99" s="110">
        <v>0.5</v>
      </c>
      <c r="BA99" s="111">
        <v>2.5000000000000001E-2</v>
      </c>
      <c r="BB99" s="120">
        <f t="shared" si="68"/>
        <v>3.6084391824351613E-3</v>
      </c>
      <c r="BC99" s="123">
        <f t="shared" si="67"/>
        <v>7.9385662013573555E-3</v>
      </c>
    </row>
    <row r="100" spans="22:55" ht="15" customHeight="1">
      <c r="AG100" s="6"/>
      <c r="AH100" s="6"/>
      <c r="AM100" s="507" t="s">
        <v>129</v>
      </c>
      <c r="AN100" s="506">
        <v>720000</v>
      </c>
      <c r="AO100" s="490">
        <f>36*1</f>
        <v>36</v>
      </c>
      <c r="AP100" s="507">
        <f t="shared" si="69"/>
        <v>0</v>
      </c>
      <c r="AQ100" s="746"/>
      <c r="AR100" s="362">
        <f t="shared" si="54"/>
        <v>9.1683222747312582E-3</v>
      </c>
      <c r="AT100" s="88"/>
      <c r="AU100" s="88"/>
      <c r="AV100" s="88"/>
      <c r="AW100" s="440"/>
      <c r="AY100" s="195" t="s">
        <v>58</v>
      </c>
      <c r="AZ100" s="110">
        <v>0.2</v>
      </c>
      <c r="BA100" s="111">
        <v>0.02</v>
      </c>
      <c r="BB100" s="120">
        <f t="shared" si="68"/>
        <v>2.886751345948129E-3</v>
      </c>
      <c r="BC100" s="123">
        <f t="shared" si="67"/>
        <v>4.6188021535170064E-3</v>
      </c>
    </row>
    <row r="101" spans="22:55" ht="15" customHeight="1" thickBot="1">
      <c r="AG101" s="6"/>
      <c r="AH101" s="6"/>
      <c r="AM101" s="507" t="s">
        <v>130</v>
      </c>
      <c r="AN101" s="506">
        <v>740000</v>
      </c>
      <c r="AO101" s="490">
        <f>37*1</f>
        <v>37</v>
      </c>
      <c r="AP101" s="507">
        <f t="shared" si="69"/>
        <v>0</v>
      </c>
      <c r="AQ101" s="746"/>
      <c r="AR101" s="362">
        <f t="shared" si="54"/>
        <v>9.1683222747312582E-3</v>
      </c>
      <c r="AT101" s="931" t="s">
        <v>97</v>
      </c>
      <c r="AU101" s="932"/>
      <c r="AV101" s="933"/>
      <c r="AW101" s="286"/>
      <c r="AY101" s="196" t="s">
        <v>57</v>
      </c>
      <c r="AZ101" s="112">
        <v>0.1</v>
      </c>
      <c r="BA101" s="113">
        <v>1.6E-2</v>
      </c>
      <c r="BB101" s="121">
        <f t="shared" si="68"/>
        <v>2.3094010767585032E-3</v>
      </c>
      <c r="BC101" s="124">
        <f t="shared" si="67"/>
        <v>3.1754264805429417E-3</v>
      </c>
    </row>
    <row r="102" spans="22:55" ht="15" customHeight="1" thickBot="1">
      <c r="AG102" s="6"/>
      <c r="AH102" s="6"/>
      <c r="AM102" s="507" t="s">
        <v>131</v>
      </c>
      <c r="AN102" s="506">
        <v>760000</v>
      </c>
      <c r="AO102" s="490">
        <f>38*1</f>
        <v>38</v>
      </c>
      <c r="AP102" s="507">
        <f t="shared" si="69"/>
        <v>0</v>
      </c>
      <c r="AQ102" s="746"/>
      <c r="AR102" s="362">
        <f t="shared" si="54"/>
        <v>9.1683222747312582E-3</v>
      </c>
      <c r="AT102" s="301">
        <v>1</v>
      </c>
      <c r="AU102" s="302" t="s">
        <v>290</v>
      </c>
      <c r="AV102" s="303"/>
      <c r="AW102" s="440"/>
      <c r="AY102" s="139" t="s">
        <v>179</v>
      </c>
      <c r="BA102" s="927" t="s">
        <v>240</v>
      </c>
      <c r="BB102" s="927"/>
      <c r="BC102" s="927"/>
    </row>
    <row r="103" spans="22:55" ht="15" customHeight="1" thickBot="1">
      <c r="AG103" s="6"/>
      <c r="AH103" s="6"/>
      <c r="AM103" s="507" t="s">
        <v>132</v>
      </c>
      <c r="AN103" s="506">
        <v>780000</v>
      </c>
      <c r="AO103" s="490">
        <f>39*1</f>
        <v>39</v>
      </c>
      <c r="AP103" s="507">
        <f t="shared" si="69"/>
        <v>0</v>
      </c>
      <c r="AQ103" s="746"/>
      <c r="AR103" s="362">
        <f t="shared" si="54"/>
        <v>9.1683222747312582E-3</v>
      </c>
      <c r="AT103" s="301">
        <v>2</v>
      </c>
      <c r="AU103" s="302" t="s">
        <v>554</v>
      </c>
      <c r="AV103" s="303"/>
      <c r="AW103" s="440"/>
      <c r="AY103" s="141" t="s">
        <v>254</v>
      </c>
      <c r="AZ103" s="138" t="s">
        <v>243</v>
      </c>
      <c r="BA103" s="105" t="s">
        <v>244</v>
      </c>
      <c r="BB103" s="106" t="s">
        <v>245</v>
      </c>
      <c r="BC103" s="118" t="s">
        <v>246</v>
      </c>
    </row>
    <row r="104" spans="22:55" ht="15" customHeight="1">
      <c r="AG104" s="6"/>
      <c r="AH104" s="6"/>
      <c r="AM104" s="507" t="s">
        <v>133</v>
      </c>
      <c r="AN104" s="506">
        <v>800000</v>
      </c>
      <c r="AO104" s="490">
        <f>40*1</f>
        <v>40</v>
      </c>
      <c r="AP104" s="507">
        <f t="shared" si="69"/>
        <v>0</v>
      </c>
      <c r="AQ104" s="746"/>
      <c r="AR104" s="362">
        <f t="shared" si="54"/>
        <v>9.1683222747312582E-3</v>
      </c>
      <c r="AT104" s="301">
        <v>3</v>
      </c>
      <c r="AU104" s="302" t="s">
        <v>555</v>
      </c>
      <c r="AV104" s="303"/>
      <c r="AW104" s="440"/>
      <c r="AY104" s="144" t="s">
        <v>186</v>
      </c>
      <c r="AZ104" s="108">
        <v>50</v>
      </c>
      <c r="BA104" s="115">
        <v>0.3</v>
      </c>
      <c r="BB104" s="119">
        <f>BA104/(4*SQRT(3))</f>
        <v>4.3301270189221933E-2</v>
      </c>
      <c r="BC104" s="122">
        <f t="shared" ref="BC104:BC112" si="70">($AZ93*1000*0.1*$AZ$88/$AZ$89+BA104/4)/SQRT(3)</f>
        <v>0.47631397208144127</v>
      </c>
    </row>
    <row r="105" spans="22:55" ht="15" customHeight="1">
      <c r="AG105" s="6"/>
      <c r="AH105" s="6"/>
      <c r="AM105" s="507" t="s">
        <v>134</v>
      </c>
      <c r="AN105" s="506">
        <v>820000</v>
      </c>
      <c r="AO105" s="490">
        <f>41*1</f>
        <v>41</v>
      </c>
      <c r="AP105" s="507">
        <f t="shared" si="69"/>
        <v>0</v>
      </c>
      <c r="AQ105" s="746"/>
      <c r="AR105" s="362">
        <f t="shared" si="54"/>
        <v>9.1683222747312582E-3</v>
      </c>
      <c r="AT105" s="301">
        <v>4</v>
      </c>
      <c r="AU105" s="302" t="s">
        <v>96</v>
      </c>
      <c r="AV105" s="303"/>
      <c r="AW105" s="440"/>
      <c r="AY105" s="145" t="s">
        <v>184</v>
      </c>
      <c r="AZ105" s="110">
        <v>20</v>
      </c>
      <c r="BA105" s="116">
        <v>0.25</v>
      </c>
      <c r="BB105" s="120">
        <f>BA105/(4*SQRT(3))</f>
        <v>3.6084391824351615E-2</v>
      </c>
      <c r="BC105" s="123">
        <f t="shared" si="70"/>
        <v>0.20928947258123934</v>
      </c>
    </row>
    <row r="106" spans="22:55" ht="12.75" customHeight="1">
      <c r="AG106" s="6"/>
      <c r="AH106" s="6"/>
      <c r="AM106" s="507" t="s">
        <v>135</v>
      </c>
      <c r="AN106" s="506">
        <v>840000</v>
      </c>
      <c r="AO106" s="490">
        <f>42*1</f>
        <v>42</v>
      </c>
      <c r="AP106" s="507">
        <f t="shared" si="69"/>
        <v>0</v>
      </c>
      <c r="AQ106" s="746"/>
      <c r="AR106" s="362">
        <f t="shared" si="54"/>
        <v>9.1683222747312582E-3</v>
      </c>
      <c r="AT106" s="305">
        <v>5</v>
      </c>
      <c r="AU106" s="302" t="s">
        <v>556</v>
      </c>
      <c r="AV106" s="303"/>
      <c r="AW106" s="440"/>
      <c r="AY106" s="145" t="s">
        <v>183</v>
      </c>
      <c r="AZ106" s="110">
        <v>10</v>
      </c>
      <c r="BA106" s="116">
        <v>0.2</v>
      </c>
      <c r="BB106" s="120">
        <f t="shared" ref="BB106:BB112" si="71">BA106/(4*SQRT(3))</f>
        <v>2.8867513459481291E-2</v>
      </c>
      <c r="BC106" s="123">
        <f t="shared" si="70"/>
        <v>0.11547005383792516</v>
      </c>
    </row>
    <row r="107" spans="22:55" ht="15" customHeight="1">
      <c r="AG107" s="6"/>
      <c r="AH107" s="6"/>
      <c r="AM107" s="507" t="s">
        <v>136</v>
      </c>
      <c r="AN107" s="506">
        <v>860000</v>
      </c>
      <c r="AO107" s="490">
        <f>43*1</f>
        <v>43</v>
      </c>
      <c r="AP107" s="507">
        <f t="shared" si="69"/>
        <v>0</v>
      </c>
      <c r="AQ107" s="746"/>
      <c r="AR107" s="362">
        <f t="shared" si="54"/>
        <v>9.1683222747312582E-3</v>
      </c>
      <c r="AT107" s="305">
        <v>6</v>
      </c>
      <c r="AU107" s="302" t="s">
        <v>668</v>
      </c>
      <c r="AV107" s="303"/>
      <c r="AW107" s="440"/>
      <c r="AY107" s="145" t="s">
        <v>182</v>
      </c>
      <c r="AZ107" s="110">
        <v>5</v>
      </c>
      <c r="BA107" s="116">
        <v>0.16</v>
      </c>
      <c r="BB107" s="120">
        <f t="shared" si="71"/>
        <v>2.3094010767585032E-2</v>
      </c>
      <c r="BC107" s="123">
        <f t="shared" si="70"/>
        <v>6.6395280956806968E-2</v>
      </c>
    </row>
    <row r="108" spans="22:55" ht="30" customHeight="1">
      <c r="AG108" s="6"/>
      <c r="AH108" s="6"/>
      <c r="AM108" s="507" t="s">
        <v>137</v>
      </c>
      <c r="AN108" s="506">
        <v>880000</v>
      </c>
      <c r="AO108" s="490">
        <f>44*1</f>
        <v>44</v>
      </c>
      <c r="AP108" s="507">
        <f t="shared" si="69"/>
        <v>0</v>
      </c>
      <c r="AQ108" s="746"/>
      <c r="AR108" s="362">
        <f t="shared" si="54"/>
        <v>9.1683222747312582E-3</v>
      </c>
      <c r="AT108" s="305">
        <v>7</v>
      </c>
      <c r="AU108" s="844" t="s">
        <v>669</v>
      </c>
      <c r="AV108" s="303"/>
      <c r="AW108" s="440"/>
      <c r="AY108" s="145" t="s">
        <v>180</v>
      </c>
      <c r="AZ108" s="110">
        <v>2</v>
      </c>
      <c r="BA108" s="116">
        <v>0.12</v>
      </c>
      <c r="BB108" s="120">
        <f t="shared" si="71"/>
        <v>1.7320508075688773E-2</v>
      </c>
      <c r="BC108" s="123">
        <f t="shared" si="70"/>
        <v>3.4641016151377546E-2</v>
      </c>
    </row>
    <row r="109" spans="22:55" ht="15" customHeight="1" thickBot="1">
      <c r="AG109" s="6"/>
      <c r="AH109" s="6"/>
      <c r="AM109" s="511" t="s">
        <v>138</v>
      </c>
      <c r="AN109" s="512">
        <v>900000</v>
      </c>
      <c r="AO109" s="502">
        <f>45*1</f>
        <v>45</v>
      </c>
      <c r="AP109" s="511">
        <f t="shared" si="69"/>
        <v>0</v>
      </c>
      <c r="AQ109" s="746"/>
      <c r="AR109" s="362">
        <f t="shared" si="54"/>
        <v>9.1683222747312582E-3</v>
      </c>
      <c r="AT109" s="305">
        <v>8</v>
      </c>
      <c r="AU109" s="844" t="s">
        <v>676</v>
      </c>
      <c r="AV109" s="303"/>
      <c r="AW109" s="438"/>
      <c r="AY109" s="145" t="s">
        <v>179</v>
      </c>
      <c r="AZ109" s="110">
        <v>1</v>
      </c>
      <c r="BA109" s="116">
        <v>0.1</v>
      </c>
      <c r="BB109" s="120">
        <f t="shared" si="71"/>
        <v>1.4433756729740645E-2</v>
      </c>
      <c r="BC109" s="123">
        <f t="shared" si="70"/>
        <v>2.3094010767585032E-2</v>
      </c>
    </row>
    <row r="110" spans="22:55" ht="15" customHeight="1">
      <c r="AG110" s="6"/>
      <c r="AH110" s="6"/>
      <c r="AM110" s="510" t="s">
        <v>139</v>
      </c>
      <c r="AN110" s="758">
        <v>920000</v>
      </c>
      <c r="AO110" s="743">
        <f>46*1</f>
        <v>46</v>
      </c>
      <c r="AP110" s="510">
        <f t="shared" si="69"/>
        <v>0</v>
      </c>
      <c r="AQ110" s="510"/>
      <c r="AR110" s="362">
        <f t="shared" si="54"/>
        <v>9.1683222747312582E-3</v>
      </c>
      <c r="AT110" s="305">
        <v>9</v>
      </c>
      <c r="AU110" s="844" t="s">
        <v>677</v>
      </c>
      <c r="AV110" s="303"/>
      <c r="AW110" s="87"/>
      <c r="AY110" s="145" t="s">
        <v>178</v>
      </c>
      <c r="AZ110" s="110">
        <v>0.5</v>
      </c>
      <c r="BA110" s="116">
        <v>0.08</v>
      </c>
      <c r="BB110" s="120">
        <f t="shared" si="71"/>
        <v>1.1547005383792516E-2</v>
      </c>
      <c r="BC110" s="123">
        <f t="shared" si="70"/>
        <v>1.5877132402714711E-2</v>
      </c>
    </row>
    <row r="111" spans="22:55" ht="15" customHeight="1">
      <c r="AG111" s="6"/>
      <c r="AH111" s="6"/>
      <c r="AM111" s="510" t="s">
        <v>140</v>
      </c>
      <c r="AN111" s="758">
        <v>940000</v>
      </c>
      <c r="AO111" s="743">
        <f>47*1</f>
        <v>47</v>
      </c>
      <c r="AP111" s="510">
        <f t="shared" si="69"/>
        <v>0</v>
      </c>
      <c r="AQ111" s="510"/>
      <c r="AR111" s="362">
        <f t="shared" si="54"/>
        <v>9.1683222747312582E-3</v>
      </c>
      <c r="AT111" s="305">
        <v>10</v>
      </c>
      <c r="AU111" s="844" t="s">
        <v>678</v>
      </c>
      <c r="AV111" s="303"/>
      <c r="AY111" s="145" t="s">
        <v>176</v>
      </c>
      <c r="AZ111" s="110">
        <v>0.2</v>
      </c>
      <c r="BA111" s="116">
        <v>0.06</v>
      </c>
      <c r="BB111" s="120">
        <f t="shared" si="71"/>
        <v>8.6602540378443865E-3</v>
      </c>
      <c r="BC111" s="123">
        <f t="shared" si="70"/>
        <v>1.0392304845413263E-2</v>
      </c>
    </row>
    <row r="112" spans="22:55" ht="15" customHeight="1" thickBot="1">
      <c r="AG112" s="6"/>
      <c r="AH112" s="6"/>
      <c r="AM112" s="510" t="s">
        <v>141</v>
      </c>
      <c r="AN112" s="758">
        <v>960000</v>
      </c>
      <c r="AO112" s="743">
        <f>48*1</f>
        <v>48</v>
      </c>
      <c r="AP112" s="510">
        <f t="shared" si="69"/>
        <v>0</v>
      </c>
      <c r="AQ112" s="510"/>
      <c r="AR112" s="362">
        <f t="shared" si="54"/>
        <v>9.1683222747312582E-3</v>
      </c>
      <c r="AT112" s="945" t="s">
        <v>384</v>
      </c>
      <c r="AU112" s="946"/>
      <c r="AV112" s="304">
        <v>8</v>
      </c>
      <c r="AY112" s="146" t="s">
        <v>175</v>
      </c>
      <c r="AZ112" s="112">
        <v>0.1</v>
      </c>
      <c r="BA112" s="117">
        <v>0.05</v>
      </c>
      <c r="BB112" s="121">
        <f t="shared" si="71"/>
        <v>7.2168783648703227E-3</v>
      </c>
      <c r="BC112" s="124">
        <f t="shared" si="70"/>
        <v>8.082903768654762E-3</v>
      </c>
    </row>
    <row r="113" spans="14:69" ht="15" customHeight="1" thickBot="1">
      <c r="AG113" s="6"/>
      <c r="AH113" s="6"/>
      <c r="AM113" s="510" t="s">
        <v>142</v>
      </c>
      <c r="AN113" s="758">
        <v>980000</v>
      </c>
      <c r="AO113" s="743">
        <f>49*1</f>
        <v>49</v>
      </c>
      <c r="AP113" s="510">
        <f t="shared" si="69"/>
        <v>0</v>
      </c>
      <c r="AQ113" s="510"/>
      <c r="AR113" s="362">
        <f t="shared" si="54"/>
        <v>9.1683222747312582E-3</v>
      </c>
      <c r="AY113" s="139" t="s">
        <v>256</v>
      </c>
      <c r="BA113" s="927" t="s">
        <v>242</v>
      </c>
      <c r="BB113" s="927"/>
      <c r="BC113" s="958"/>
    </row>
    <row r="114" spans="14:69" ht="15" customHeight="1" thickBot="1">
      <c r="AG114" s="6"/>
      <c r="AH114" s="6"/>
      <c r="AM114" s="510" t="s">
        <v>143</v>
      </c>
      <c r="AN114" s="758">
        <v>1000000</v>
      </c>
      <c r="AO114" s="743">
        <f>50*1</f>
        <v>50</v>
      </c>
      <c r="AP114" s="510">
        <f t="shared" si="69"/>
        <v>0</v>
      </c>
      <c r="AQ114" s="510"/>
      <c r="AR114" s="362">
        <f>SQRT((15.88/1000)^2/3)</f>
        <v>9.1683222747312582E-3</v>
      </c>
      <c r="AT114" s="944" t="s">
        <v>566</v>
      </c>
      <c r="AU114" s="932"/>
      <c r="AV114" s="933"/>
      <c r="AY114" s="140" t="s">
        <v>254</v>
      </c>
      <c r="AZ114" s="723" t="s">
        <v>243</v>
      </c>
      <c r="BA114" s="719" t="s">
        <v>244</v>
      </c>
      <c r="BB114" s="720" t="s">
        <v>245</v>
      </c>
      <c r="BC114" s="118" t="s">
        <v>246</v>
      </c>
      <c r="BM114" s="139" t="s">
        <v>180</v>
      </c>
      <c r="BO114" s="927" t="s">
        <v>241</v>
      </c>
      <c r="BP114" s="927"/>
      <c r="BQ114" s="927"/>
    </row>
    <row r="115" spans="14:69" ht="15" customHeight="1" thickBot="1">
      <c r="AG115" s="6"/>
      <c r="AH115" s="6"/>
      <c r="AM115" s="510" t="s">
        <v>144</v>
      </c>
      <c r="AN115" s="758">
        <v>1020000</v>
      </c>
      <c r="AO115" s="743">
        <f>51*1</f>
        <v>51</v>
      </c>
      <c r="AP115" s="510">
        <f t="shared" si="69"/>
        <v>0</v>
      </c>
      <c r="AQ115" s="510"/>
      <c r="AR115" s="362">
        <f t="shared" si="54"/>
        <v>9.1683222747312582E-3</v>
      </c>
      <c r="AT115" s="301">
        <v>1</v>
      </c>
      <c r="AU115" s="302" t="s">
        <v>567</v>
      </c>
      <c r="AV115" s="303"/>
      <c r="AY115" s="733" t="s">
        <v>480</v>
      </c>
      <c r="AZ115" s="724">
        <v>50</v>
      </c>
      <c r="BA115" s="725">
        <f>BA104*10</f>
        <v>3</v>
      </c>
      <c r="BB115" s="726">
        <f>BA126/(4*SQRT(3))</f>
        <v>0.43301270189221935</v>
      </c>
      <c r="BC115" s="727">
        <f>($AZ93*1000*0.1*$AZ$88/$AZ$89+BA126/4)/SQRT(3)</f>
        <v>0.86602540378443871</v>
      </c>
      <c r="BM115" s="141" t="s">
        <v>254</v>
      </c>
      <c r="BN115" s="138" t="s">
        <v>243</v>
      </c>
      <c r="BO115" s="105" t="s">
        <v>244</v>
      </c>
      <c r="BP115" s="106" t="s">
        <v>245</v>
      </c>
      <c r="BQ115" s="118" t="s">
        <v>246</v>
      </c>
    </row>
    <row r="116" spans="14:69" ht="15" customHeight="1">
      <c r="AG116" s="6"/>
      <c r="AH116" s="6"/>
      <c r="AM116" s="510" t="s">
        <v>145</v>
      </c>
      <c r="AN116" s="758">
        <v>1040000</v>
      </c>
      <c r="AO116" s="743">
        <f>52*1</f>
        <v>52</v>
      </c>
      <c r="AP116" s="510">
        <f t="shared" si="69"/>
        <v>0</v>
      </c>
      <c r="AQ116" s="510"/>
      <c r="AR116" s="362">
        <f t="shared" si="54"/>
        <v>9.1683222747312582E-3</v>
      </c>
      <c r="AT116" s="301">
        <v>2</v>
      </c>
      <c r="AU116" s="302" t="s">
        <v>568</v>
      </c>
      <c r="AV116" s="303"/>
      <c r="AY116" s="734" t="s">
        <v>481</v>
      </c>
      <c r="AZ116" s="718">
        <v>20</v>
      </c>
      <c r="BA116" s="721">
        <f t="shared" ref="BA116:BA123" si="72">BA105*10</f>
        <v>2.5</v>
      </c>
      <c r="BB116" s="722">
        <f t="shared" ref="BB116:BB123" si="73">BA127/(4*SQRT(3))</f>
        <v>0.36084391824351614</v>
      </c>
      <c r="BC116" s="728">
        <f t="shared" ref="BC116:BC123" si="74">($AZ94*1000*0.1*$AZ$88/$AZ$89+BA127/4)/SQRT(3)</f>
        <v>0.53404899900040392</v>
      </c>
      <c r="BM116" s="147"/>
      <c r="BN116" s="108">
        <v>50</v>
      </c>
      <c r="BO116" s="115">
        <v>1</v>
      </c>
      <c r="BP116" s="125">
        <f>BO116/(4*SQRT(3))</f>
        <v>0.14433756729740646</v>
      </c>
      <c r="BQ116" s="130">
        <f t="shared" ref="BQ116:BQ124" si="75">($AZ93*1000*0.1*$AZ$88/$AZ$89+BO116/4)/SQRT(3)</f>
        <v>0.57735026918962584</v>
      </c>
    </row>
    <row r="117" spans="14:69" ht="15" customHeight="1">
      <c r="AG117" s="6"/>
      <c r="AH117" s="6"/>
      <c r="AM117" s="510" t="s">
        <v>146</v>
      </c>
      <c r="AN117" s="758">
        <v>1060000</v>
      </c>
      <c r="AO117" s="743">
        <f>53*1</f>
        <v>53</v>
      </c>
      <c r="AP117" s="510">
        <f t="shared" si="69"/>
        <v>0</v>
      </c>
      <c r="AQ117" s="510"/>
      <c r="AR117" s="362">
        <f t="shared" si="54"/>
        <v>9.1683222747312582E-3</v>
      </c>
      <c r="AT117" s="301">
        <v>3</v>
      </c>
      <c r="AU117" s="302" t="s">
        <v>569</v>
      </c>
      <c r="AV117" s="303"/>
      <c r="AY117" s="734" t="s">
        <v>482</v>
      </c>
      <c r="AZ117" s="718">
        <v>10</v>
      </c>
      <c r="BA117" s="721">
        <f t="shared" si="72"/>
        <v>2</v>
      </c>
      <c r="BB117" s="722">
        <f t="shared" si="73"/>
        <v>0.28867513459481292</v>
      </c>
      <c r="BC117" s="728">
        <f t="shared" si="74"/>
        <v>0.37527767497325676</v>
      </c>
      <c r="BM117" s="148"/>
      <c r="BN117" s="110">
        <v>20</v>
      </c>
      <c r="BO117" s="116">
        <v>0.8</v>
      </c>
      <c r="BP117" s="126">
        <f t="shared" ref="BP117:BP124" si="76">BO117/(4*SQRT(3))</f>
        <v>0.11547005383792516</v>
      </c>
      <c r="BQ117" s="131">
        <f t="shared" si="75"/>
        <v>0.28867513459481292</v>
      </c>
    </row>
    <row r="118" spans="14:69" ht="15" customHeight="1" thickBot="1">
      <c r="AG118" s="6"/>
      <c r="AH118" s="6"/>
      <c r="AM118" s="510" t="s">
        <v>147</v>
      </c>
      <c r="AN118" s="758">
        <v>1080000</v>
      </c>
      <c r="AO118" s="743">
        <f>54*1</f>
        <v>54</v>
      </c>
      <c r="AP118" s="510">
        <f t="shared" si="69"/>
        <v>0</v>
      </c>
      <c r="AQ118" s="510"/>
      <c r="AR118" s="362">
        <f t="shared" si="54"/>
        <v>9.1683222747312582E-3</v>
      </c>
      <c r="AT118" s="945" t="s">
        <v>384</v>
      </c>
      <c r="AU118" s="946"/>
      <c r="AV118" s="304">
        <v>3</v>
      </c>
      <c r="AY118" s="734" t="s">
        <v>483</v>
      </c>
      <c r="AZ118" s="718">
        <v>5</v>
      </c>
      <c r="BA118" s="721">
        <f t="shared" si="72"/>
        <v>1.6</v>
      </c>
      <c r="BB118" s="722">
        <f t="shared" si="73"/>
        <v>0.23094010767585033</v>
      </c>
      <c r="BC118" s="728">
        <f t="shared" si="74"/>
        <v>0.2742413778650723</v>
      </c>
      <c r="BH118" s="95"/>
      <c r="BM118" s="148"/>
      <c r="BN118" s="110">
        <v>10</v>
      </c>
      <c r="BO118" s="116">
        <v>0.6</v>
      </c>
      <c r="BP118" s="126">
        <f t="shared" si="76"/>
        <v>8.6602540378443865E-2</v>
      </c>
      <c r="BQ118" s="131">
        <f t="shared" si="75"/>
        <v>0.17320508075688773</v>
      </c>
    </row>
    <row r="119" spans="14:69" ht="15" customHeight="1" thickBot="1">
      <c r="AG119" s="6"/>
      <c r="AH119" s="6"/>
      <c r="AM119" s="510" t="s">
        <v>148</v>
      </c>
      <c r="AN119" s="758">
        <v>1100000</v>
      </c>
      <c r="AO119" s="743">
        <f>55*1</f>
        <v>55</v>
      </c>
      <c r="AP119" s="510">
        <f t="shared" si="69"/>
        <v>0</v>
      </c>
      <c r="AQ119" s="510"/>
      <c r="AR119" s="362">
        <f t="shared" si="54"/>
        <v>9.1683222747312582E-3</v>
      </c>
      <c r="AY119" s="734" t="s">
        <v>484</v>
      </c>
      <c r="AZ119" s="718">
        <v>2</v>
      </c>
      <c r="BA119" s="721">
        <f t="shared" si="72"/>
        <v>1.2</v>
      </c>
      <c r="BB119" s="722">
        <f t="shared" si="73"/>
        <v>0.17320508075688773</v>
      </c>
      <c r="BC119" s="728">
        <f t="shared" si="74"/>
        <v>0.1905255888325765</v>
      </c>
      <c r="BM119" s="148"/>
      <c r="BN119" s="110">
        <v>5</v>
      </c>
      <c r="BO119" s="116">
        <v>0.5</v>
      </c>
      <c r="BP119" s="126">
        <f t="shared" si="76"/>
        <v>7.216878364870323E-2</v>
      </c>
      <c r="BQ119" s="131">
        <f t="shared" si="75"/>
        <v>0.11547005383792516</v>
      </c>
    </row>
    <row r="120" spans="14:69" ht="15" customHeight="1">
      <c r="U120" s="69"/>
      <c r="AG120" s="6"/>
      <c r="AH120" s="6"/>
      <c r="AM120" s="543">
        <v>529</v>
      </c>
      <c r="AN120" s="542" t="s">
        <v>197</v>
      </c>
      <c r="AO120" s="530" t="str">
        <f>IF(AP120=0,"NÃO","SIM")</f>
        <v>NÃO</v>
      </c>
      <c r="AP120" s="531">
        <f>IF(ISERROR(SUM(AP121:AP140)+'2º MR-MI'!AP121:AP140+'3º MR-MI'!AP121:AP140),SUM(AP121:AP140),SUM(AP121:AP140)+'2º MR-MI'!AP121:AP140+'3º MR-MI'!AP121:AP140)</f>
        <v>0</v>
      </c>
      <c r="AQ120" s="534"/>
      <c r="AR120" s="93"/>
      <c r="AY120" s="734" t="s">
        <v>256</v>
      </c>
      <c r="AZ120" s="718">
        <v>1</v>
      </c>
      <c r="BA120" s="721">
        <f t="shared" si="72"/>
        <v>1</v>
      </c>
      <c r="BB120" s="722">
        <f t="shared" si="73"/>
        <v>0.14433756729740646</v>
      </c>
      <c r="BC120" s="728">
        <f t="shared" si="74"/>
        <v>0.15299782133525083</v>
      </c>
      <c r="BM120" s="148"/>
      <c r="BN120" s="110">
        <v>2</v>
      </c>
      <c r="BO120" s="116">
        <v>0.4</v>
      </c>
      <c r="BP120" s="126">
        <f t="shared" si="76"/>
        <v>5.7735026918962581E-2</v>
      </c>
      <c r="BQ120" s="131">
        <f t="shared" si="75"/>
        <v>7.5055534994651354E-2</v>
      </c>
    </row>
    <row r="121" spans="14:69" ht="15" customHeight="1">
      <c r="U121" s="69"/>
      <c r="V121" s="6"/>
      <c r="W121" s="6"/>
      <c r="X121" s="6"/>
      <c r="AG121" s="6"/>
      <c r="AH121" s="6"/>
      <c r="AM121" s="491" t="s">
        <v>101</v>
      </c>
      <c r="AN121" s="506">
        <v>1000000</v>
      </c>
      <c r="AO121" s="490">
        <f>50</f>
        <v>50</v>
      </c>
      <c r="AP121" s="507">
        <f t="shared" ref="AP121:AP140" si="77">IF(ISERROR(MATCH(AM121,$B$32:$B$77,0)),0,(MATCH(AM121,$B$32:$B$77,0)))+IF(ISERROR(MATCH(AM121,$C$32:$C$77,0)),0,(MATCH(AM121,$C$32:$C$77,0)))</f>
        <v>0</v>
      </c>
      <c r="AQ121" s="507"/>
      <c r="AR121" s="362">
        <f t="shared" si="54"/>
        <v>9.1683222747312582E-3</v>
      </c>
      <c r="AY121" s="734" t="s">
        <v>485</v>
      </c>
      <c r="AZ121" s="718">
        <v>0.5</v>
      </c>
      <c r="BA121" s="721">
        <f t="shared" si="72"/>
        <v>0.8</v>
      </c>
      <c r="BB121" s="722">
        <f t="shared" si="73"/>
        <v>0.11547005383792516</v>
      </c>
      <c r="BC121" s="728">
        <f t="shared" si="74"/>
        <v>0.11980018085684736</v>
      </c>
      <c r="BM121" s="148"/>
      <c r="BN121" s="110">
        <v>1</v>
      </c>
      <c r="BO121" s="116">
        <v>0.3</v>
      </c>
      <c r="BP121" s="126">
        <f t="shared" si="76"/>
        <v>4.3301270189221933E-2</v>
      </c>
      <c r="BQ121" s="131">
        <f t="shared" si="75"/>
        <v>5.1961524227066319E-2</v>
      </c>
    </row>
    <row r="122" spans="14:69" ht="15" customHeight="1">
      <c r="U122" s="69"/>
      <c r="V122" s="6"/>
      <c r="W122" s="6"/>
      <c r="X122" s="6"/>
      <c r="AG122" s="6"/>
      <c r="AH122" s="6"/>
      <c r="AM122" s="491" t="s">
        <v>102</v>
      </c>
      <c r="AN122" s="506">
        <v>2000000</v>
      </c>
      <c r="AO122" s="490">
        <f>2*50</f>
        <v>100</v>
      </c>
      <c r="AP122" s="507">
        <f t="shared" si="77"/>
        <v>0</v>
      </c>
      <c r="AQ122" s="507"/>
      <c r="AR122" s="362">
        <f t="shared" si="54"/>
        <v>9.1683222747312582E-3</v>
      </c>
      <c r="AY122" s="734" t="s">
        <v>486</v>
      </c>
      <c r="AZ122" s="718">
        <v>0.2</v>
      </c>
      <c r="BA122" s="721">
        <f t="shared" si="72"/>
        <v>0.6</v>
      </c>
      <c r="BB122" s="722">
        <f t="shared" si="73"/>
        <v>8.6602540378443865E-2</v>
      </c>
      <c r="BC122" s="728">
        <f t="shared" si="74"/>
        <v>8.8334591186012751E-2</v>
      </c>
      <c r="BM122" s="148"/>
      <c r="BN122" s="110">
        <v>0.5</v>
      </c>
      <c r="BO122" s="116">
        <v>0.25</v>
      </c>
      <c r="BP122" s="126">
        <f t="shared" si="76"/>
        <v>3.6084391824351615E-2</v>
      </c>
      <c r="BQ122" s="131">
        <f t="shared" si="75"/>
        <v>4.0414518843273808E-2</v>
      </c>
    </row>
    <row r="123" spans="14:69" ht="15" customHeight="1" thickBot="1">
      <c r="U123" s="69"/>
      <c r="V123" s="6"/>
      <c r="W123" s="6"/>
      <c r="X123" s="6"/>
      <c r="AG123" s="6"/>
      <c r="AH123" s="6"/>
      <c r="AM123" s="491" t="s">
        <v>103</v>
      </c>
      <c r="AN123" s="506">
        <v>3000000</v>
      </c>
      <c r="AO123" s="490">
        <f>3*50</f>
        <v>150</v>
      </c>
      <c r="AP123" s="507">
        <f t="shared" si="77"/>
        <v>0</v>
      </c>
      <c r="AQ123" s="507"/>
      <c r="AR123" s="362">
        <f t="shared" si="54"/>
        <v>9.1683222747312582E-3</v>
      </c>
      <c r="AY123" s="735" t="s">
        <v>487</v>
      </c>
      <c r="AZ123" s="729">
        <v>0.1</v>
      </c>
      <c r="BA123" s="730">
        <f t="shared" si="72"/>
        <v>0.5</v>
      </c>
      <c r="BB123" s="731">
        <f t="shared" si="73"/>
        <v>7.216878364870323E-2</v>
      </c>
      <c r="BC123" s="732">
        <f t="shared" si="74"/>
        <v>7.3034809052487659E-2</v>
      </c>
      <c r="BM123" s="148"/>
      <c r="BN123" s="110">
        <v>0.2</v>
      </c>
      <c r="BO123" s="116">
        <v>0.2</v>
      </c>
      <c r="BP123" s="126">
        <f t="shared" si="76"/>
        <v>2.8867513459481291E-2</v>
      </c>
      <c r="BQ123" s="131">
        <f t="shared" si="75"/>
        <v>3.0599564267050169E-2</v>
      </c>
    </row>
    <row r="124" spans="14:69" ht="15" customHeight="1" thickBot="1">
      <c r="U124" s="69"/>
      <c r="V124" s="6"/>
      <c r="W124" s="6"/>
      <c r="X124" s="6"/>
      <c r="AG124" s="6"/>
      <c r="AH124" s="6"/>
      <c r="AM124" s="505" t="s">
        <v>104</v>
      </c>
      <c r="AN124" s="506">
        <v>4000000</v>
      </c>
      <c r="AO124" s="490">
        <f>4*50</f>
        <v>200</v>
      </c>
      <c r="AP124" s="507">
        <f t="shared" si="77"/>
        <v>0</v>
      </c>
      <c r="AQ124" s="507"/>
      <c r="AR124" s="362">
        <f t="shared" si="54"/>
        <v>9.1683222747312582E-3</v>
      </c>
      <c r="AY124" s="142" t="s">
        <v>256</v>
      </c>
      <c r="BA124" s="928" t="s">
        <v>242</v>
      </c>
      <c r="BB124" s="928"/>
      <c r="BC124" s="929"/>
      <c r="BM124" s="149"/>
      <c r="BN124" s="112">
        <v>0.1</v>
      </c>
      <c r="BO124" s="117">
        <v>0.16</v>
      </c>
      <c r="BP124" s="127">
        <f t="shared" si="76"/>
        <v>2.3094010767585032E-2</v>
      </c>
      <c r="BQ124" s="132">
        <f t="shared" si="75"/>
        <v>2.3960036171369471E-2</v>
      </c>
    </row>
    <row r="125" spans="14:69" ht="15" customHeight="1" thickBot="1">
      <c r="U125" s="69"/>
      <c r="V125" s="6"/>
      <c r="W125" s="6"/>
      <c r="X125" s="6"/>
      <c r="AG125" s="6"/>
      <c r="AH125" s="6"/>
      <c r="AM125" s="505" t="s">
        <v>105</v>
      </c>
      <c r="AN125" s="506">
        <v>5000000</v>
      </c>
      <c r="AO125" s="490">
        <f>5*50</f>
        <v>250</v>
      </c>
      <c r="AP125" s="507">
        <f t="shared" si="77"/>
        <v>0</v>
      </c>
      <c r="AQ125" s="507"/>
      <c r="AR125" s="362">
        <f t="shared" si="54"/>
        <v>9.1683222747312582E-3</v>
      </c>
      <c r="AY125" s="141" t="s">
        <v>254</v>
      </c>
      <c r="AZ125" s="138" t="s">
        <v>243</v>
      </c>
      <c r="BA125" s="105" t="s">
        <v>244</v>
      </c>
      <c r="BB125" s="106" t="s">
        <v>245</v>
      </c>
      <c r="BC125" s="118" t="s">
        <v>246</v>
      </c>
    </row>
    <row r="126" spans="14:69" ht="15" customHeight="1">
      <c r="U126" s="69"/>
      <c r="V126" s="6"/>
      <c r="W126" s="6"/>
      <c r="X126" s="6"/>
      <c r="AG126" s="6"/>
      <c r="AH126" s="6"/>
      <c r="AM126" s="505" t="s">
        <v>106</v>
      </c>
      <c r="AN126" s="506">
        <v>6000000</v>
      </c>
      <c r="AO126" s="490">
        <f>6*50</f>
        <v>300</v>
      </c>
      <c r="AP126" s="507">
        <f t="shared" si="77"/>
        <v>0</v>
      </c>
      <c r="AQ126" s="507"/>
      <c r="AR126" s="362">
        <f t="shared" si="54"/>
        <v>9.1683222747312582E-3</v>
      </c>
      <c r="AY126" s="733" t="s">
        <v>488</v>
      </c>
      <c r="AZ126" s="736">
        <v>50</v>
      </c>
      <c r="BA126" s="128">
        <f t="shared" ref="BA126:BA134" si="78">BA104*10</f>
        <v>3</v>
      </c>
      <c r="BB126" s="125">
        <f>BA126/(4*SQRT(3))</f>
        <v>0.43301270189221935</v>
      </c>
      <c r="BC126" s="130">
        <f t="shared" ref="BC126:BC134" si="79">($AZ93*1000*0.1*$AZ$88/$AZ$89+BA126/4)/SQRT(3)</f>
        <v>0.86602540378443871</v>
      </c>
    </row>
    <row r="127" spans="14:69">
      <c r="N127" s="17"/>
      <c r="U127" s="69"/>
      <c r="V127" s="6"/>
      <c r="W127" s="6"/>
      <c r="X127" s="6"/>
      <c r="AG127" s="6"/>
      <c r="AH127" s="6"/>
      <c r="AM127" s="505" t="s">
        <v>107</v>
      </c>
      <c r="AN127" s="506">
        <v>7000000</v>
      </c>
      <c r="AO127" s="490">
        <f>7*50</f>
        <v>350</v>
      </c>
      <c r="AP127" s="507">
        <f t="shared" si="77"/>
        <v>0</v>
      </c>
      <c r="AQ127" s="507"/>
      <c r="AR127" s="362">
        <f t="shared" si="54"/>
        <v>9.1683222747312582E-3</v>
      </c>
      <c r="AY127" s="734" t="s">
        <v>489</v>
      </c>
      <c r="AZ127" s="110">
        <v>20</v>
      </c>
      <c r="BA127" s="129">
        <f t="shared" si="78"/>
        <v>2.5</v>
      </c>
      <c r="BB127" s="126">
        <f t="shared" ref="BB127:BB134" si="80">BA127/(4*SQRT(3))</f>
        <v>0.36084391824351614</v>
      </c>
      <c r="BC127" s="131">
        <f t="shared" si="79"/>
        <v>0.53404899900040392</v>
      </c>
    </row>
    <row r="128" spans="14:69" ht="15" customHeight="1">
      <c r="N128" s="17"/>
      <c r="U128" s="69"/>
      <c r="V128" s="6"/>
      <c r="W128" s="6"/>
      <c r="X128" s="6"/>
      <c r="AG128" s="6"/>
      <c r="AH128" s="6"/>
      <c r="AM128" s="505" t="s">
        <v>108</v>
      </c>
      <c r="AN128" s="506">
        <v>8000000</v>
      </c>
      <c r="AO128" s="490">
        <f>8*50</f>
        <v>400</v>
      </c>
      <c r="AP128" s="507">
        <f t="shared" si="77"/>
        <v>0</v>
      </c>
      <c r="AQ128" s="507"/>
      <c r="AR128" s="362">
        <f t="shared" si="54"/>
        <v>9.1683222747312582E-3</v>
      </c>
      <c r="AY128" s="734" t="s">
        <v>490</v>
      </c>
      <c r="AZ128" s="110">
        <v>10</v>
      </c>
      <c r="BA128" s="129">
        <f t="shared" si="78"/>
        <v>2</v>
      </c>
      <c r="BB128" s="126">
        <f t="shared" si="80"/>
        <v>0.28867513459481292</v>
      </c>
      <c r="BC128" s="131">
        <f t="shared" si="79"/>
        <v>0.37527767497325676</v>
      </c>
    </row>
    <row r="129" spans="4:85" ht="15" customHeight="1">
      <c r="N129" s="17"/>
      <c r="O129" s="17"/>
      <c r="P129" s="17"/>
      <c r="Q129" s="17"/>
      <c r="R129" s="69"/>
      <c r="S129" s="69"/>
      <c r="T129" s="69"/>
      <c r="U129" s="69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M129" s="505" t="s">
        <v>109</v>
      </c>
      <c r="AN129" s="506">
        <v>9000000</v>
      </c>
      <c r="AO129" s="490">
        <f>9*50</f>
        <v>450</v>
      </c>
      <c r="AP129" s="507">
        <f t="shared" si="77"/>
        <v>0</v>
      </c>
      <c r="AQ129" s="507"/>
      <c r="AR129" s="362">
        <f t="shared" si="54"/>
        <v>9.1683222747312582E-3</v>
      </c>
      <c r="AY129" s="734" t="s">
        <v>491</v>
      </c>
      <c r="AZ129" s="110">
        <v>5</v>
      </c>
      <c r="BA129" s="129">
        <f t="shared" si="78"/>
        <v>1.6</v>
      </c>
      <c r="BB129" s="126">
        <f t="shared" si="80"/>
        <v>0.23094010767585033</v>
      </c>
      <c r="BC129" s="131">
        <f t="shared" si="79"/>
        <v>0.2742413778650723</v>
      </c>
    </row>
    <row r="130" spans="4:85" ht="15" customHeight="1">
      <c r="N130" s="17"/>
      <c r="O130" s="17"/>
      <c r="P130" s="17"/>
      <c r="Q130" s="17"/>
      <c r="R130" s="69"/>
      <c r="S130" s="69"/>
      <c r="T130" s="69"/>
      <c r="U130" s="69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M130" s="505" t="s">
        <v>110</v>
      </c>
      <c r="AN130" s="506">
        <v>10000000</v>
      </c>
      <c r="AO130" s="490">
        <f>10*50</f>
        <v>500</v>
      </c>
      <c r="AP130" s="507">
        <f t="shared" si="77"/>
        <v>0</v>
      </c>
      <c r="AQ130" s="507"/>
      <c r="AR130" s="362">
        <f t="shared" ref="AR130:AR140" si="81">SQRT((15.88/1000)^2/3)</f>
        <v>9.1683222747312582E-3</v>
      </c>
      <c r="AY130" s="734" t="s">
        <v>492</v>
      </c>
      <c r="AZ130" s="110">
        <v>2</v>
      </c>
      <c r="BA130" s="129">
        <f t="shared" si="78"/>
        <v>1.2</v>
      </c>
      <c r="BB130" s="126">
        <f t="shared" si="80"/>
        <v>0.17320508075688773</v>
      </c>
      <c r="BC130" s="131">
        <f t="shared" si="79"/>
        <v>0.1905255888325765</v>
      </c>
    </row>
    <row r="131" spans="4:85" ht="15" customHeight="1">
      <c r="N131" s="17"/>
      <c r="O131" s="17"/>
      <c r="P131" s="17"/>
      <c r="Q131" s="17"/>
      <c r="R131" s="69"/>
      <c r="S131" s="69"/>
      <c r="T131" s="69"/>
      <c r="U131" s="69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M131" s="505" t="s">
        <v>111</v>
      </c>
      <c r="AN131" s="506">
        <v>11000000</v>
      </c>
      <c r="AO131" s="490">
        <f>11*50</f>
        <v>550</v>
      </c>
      <c r="AP131" s="507">
        <f t="shared" si="77"/>
        <v>0</v>
      </c>
      <c r="AQ131" s="507"/>
      <c r="AR131" s="362">
        <f t="shared" si="81"/>
        <v>9.1683222747312582E-3</v>
      </c>
      <c r="AY131" s="734" t="s">
        <v>493</v>
      </c>
      <c r="AZ131" s="110">
        <v>1</v>
      </c>
      <c r="BA131" s="129">
        <f t="shared" si="78"/>
        <v>1</v>
      </c>
      <c r="BB131" s="126">
        <f t="shared" si="80"/>
        <v>0.14433756729740646</v>
      </c>
      <c r="BC131" s="131">
        <f t="shared" si="79"/>
        <v>0.15299782133525083</v>
      </c>
    </row>
    <row r="132" spans="4:85" ht="15" customHeight="1">
      <c r="N132" s="17"/>
      <c r="O132" s="17"/>
      <c r="P132" s="17"/>
      <c r="Q132" s="17"/>
      <c r="R132" s="69"/>
      <c r="S132" s="69"/>
      <c r="T132" s="69"/>
      <c r="U132" s="69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M132" s="505" t="s">
        <v>112</v>
      </c>
      <c r="AN132" s="506">
        <v>12000000</v>
      </c>
      <c r="AO132" s="490">
        <f>12*50</f>
        <v>600</v>
      </c>
      <c r="AP132" s="507">
        <f t="shared" si="77"/>
        <v>0</v>
      </c>
      <c r="AQ132" s="507"/>
      <c r="AR132" s="362">
        <f t="shared" si="81"/>
        <v>9.1683222747312582E-3</v>
      </c>
      <c r="AY132" s="734" t="s">
        <v>494</v>
      </c>
      <c r="AZ132" s="110">
        <v>0.5</v>
      </c>
      <c r="BA132" s="129">
        <f t="shared" si="78"/>
        <v>0.8</v>
      </c>
      <c r="BB132" s="126">
        <f t="shared" si="80"/>
        <v>0.11547005383792516</v>
      </c>
      <c r="BC132" s="131">
        <f t="shared" si="79"/>
        <v>0.11980018085684736</v>
      </c>
    </row>
    <row r="133" spans="4:85" ht="15" customHeight="1">
      <c r="N133" s="17"/>
      <c r="O133" s="17"/>
      <c r="P133" s="17"/>
      <c r="Q133" s="17"/>
      <c r="R133" s="69"/>
      <c r="S133" s="69"/>
      <c r="T133" s="69"/>
      <c r="U133" s="69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M133" s="491" t="s">
        <v>113</v>
      </c>
      <c r="AN133" s="506">
        <v>13000000</v>
      </c>
      <c r="AO133" s="490">
        <f>13*50</f>
        <v>650</v>
      </c>
      <c r="AP133" s="507">
        <f t="shared" si="77"/>
        <v>0</v>
      </c>
      <c r="AQ133" s="507"/>
      <c r="AR133" s="362">
        <f t="shared" si="81"/>
        <v>9.1683222747312582E-3</v>
      </c>
      <c r="AY133" s="734" t="s">
        <v>495</v>
      </c>
      <c r="AZ133" s="110">
        <v>0.2</v>
      </c>
      <c r="BA133" s="129">
        <f t="shared" si="78"/>
        <v>0.6</v>
      </c>
      <c r="BB133" s="126">
        <f t="shared" si="80"/>
        <v>8.6602540378443865E-2</v>
      </c>
      <c r="BC133" s="131">
        <f t="shared" si="79"/>
        <v>8.8334591186012751E-2</v>
      </c>
    </row>
    <row r="134" spans="4:85" ht="15" customHeight="1" thickBot="1">
      <c r="D134"/>
      <c r="L134"/>
      <c r="M134" s="87"/>
      <c r="N134" s="17"/>
      <c r="O134" s="17"/>
      <c r="P134" s="17"/>
      <c r="Q134" s="17"/>
      <c r="R134" s="69"/>
      <c r="S134" s="69"/>
      <c r="T134" s="69"/>
      <c r="U134" s="69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M134" s="491" t="s">
        <v>114</v>
      </c>
      <c r="AN134" s="506">
        <v>14000000</v>
      </c>
      <c r="AO134" s="490">
        <f>14*50</f>
        <v>700</v>
      </c>
      <c r="AP134" s="507">
        <f t="shared" si="77"/>
        <v>0</v>
      </c>
      <c r="AQ134" s="507"/>
      <c r="AR134" s="362">
        <f t="shared" si="81"/>
        <v>9.1683222747312582E-3</v>
      </c>
      <c r="AY134" s="735" t="s">
        <v>496</v>
      </c>
      <c r="AZ134" s="112">
        <v>0.1</v>
      </c>
      <c r="BA134" s="737">
        <f t="shared" si="78"/>
        <v>0.5</v>
      </c>
      <c r="BB134" s="127">
        <f t="shared" si="80"/>
        <v>7.216878364870323E-2</v>
      </c>
      <c r="BC134" s="132">
        <f t="shared" si="79"/>
        <v>7.3034809052487659E-2</v>
      </c>
      <c r="BN134" s="827" t="s">
        <v>618</v>
      </c>
    </row>
    <row r="135" spans="4:85" ht="15.75" customHeight="1" thickBot="1">
      <c r="D135"/>
      <c r="L135"/>
      <c r="M135" s="87"/>
      <c r="N135" s="17"/>
      <c r="O135" s="17"/>
      <c r="P135" s="17"/>
      <c r="Q135" s="17"/>
      <c r="R135" s="69"/>
      <c r="S135" s="69"/>
      <c r="T135" s="69"/>
      <c r="U135" s="69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M135" s="491" t="s">
        <v>115</v>
      </c>
      <c r="AN135" s="506">
        <v>15000000</v>
      </c>
      <c r="AO135" s="490">
        <f>15*50</f>
        <v>750</v>
      </c>
      <c r="AP135" s="507">
        <f t="shared" si="77"/>
        <v>0</v>
      </c>
      <c r="AQ135" s="507"/>
      <c r="AR135" s="362">
        <f t="shared" si="81"/>
        <v>9.1683222747312582E-3</v>
      </c>
      <c r="AY135" s="968" t="s">
        <v>247</v>
      </c>
      <c r="AZ135" s="968"/>
      <c r="BA135" s="968"/>
      <c r="BB135" s="968"/>
      <c r="BC135" s="968"/>
      <c r="BD135" s="968"/>
      <c r="BE135" s="968"/>
      <c r="BF135" s="968"/>
      <c r="BG135" s="968"/>
      <c r="BH135" s="968"/>
      <c r="BI135" s="968"/>
      <c r="BJ135" s="820"/>
      <c r="BK135" s="820"/>
      <c r="BL135" s="820"/>
      <c r="BM135" s="872" t="s">
        <v>611</v>
      </c>
      <c r="BN135" s="872"/>
      <c r="BO135" s="872"/>
      <c r="BP135" s="872"/>
      <c r="BQ135" s="873" t="s">
        <v>610</v>
      </c>
      <c r="BR135" s="873"/>
      <c r="BS135" s="873"/>
      <c r="BT135" s="873"/>
      <c r="BU135" s="873"/>
      <c r="BV135" s="873"/>
      <c r="BW135" s="873"/>
      <c r="BX135" s="873"/>
      <c r="BY135" s="874" t="s">
        <v>606</v>
      </c>
      <c r="BZ135" s="875"/>
      <c r="CA135" s="875"/>
      <c r="CB135" s="875"/>
      <c r="CC135" s="875"/>
      <c r="CD135" s="875"/>
      <c r="CE135" s="875"/>
      <c r="CF135" s="875"/>
    </row>
    <row r="136" spans="4:85" ht="15.75" thickBot="1">
      <c r="D136"/>
      <c r="L136"/>
      <c r="M136" s="87"/>
      <c r="N136" s="17"/>
      <c r="O136" s="17"/>
      <c r="P136" s="17"/>
      <c r="Q136" s="17"/>
      <c r="R136" s="69"/>
      <c r="S136" s="69"/>
      <c r="T136" s="69"/>
      <c r="U136" s="69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M136" s="491" t="s">
        <v>116</v>
      </c>
      <c r="AN136" s="506">
        <v>16000000</v>
      </c>
      <c r="AO136" s="490">
        <f>16*50</f>
        <v>800</v>
      </c>
      <c r="AP136" s="507">
        <f t="shared" si="77"/>
        <v>0</v>
      </c>
      <c r="AQ136" s="507"/>
      <c r="AR136" s="362">
        <f t="shared" si="81"/>
        <v>9.1683222747312582E-3</v>
      </c>
      <c r="AY136" s="139" t="s">
        <v>255</v>
      </c>
      <c r="AZ136" s="192" t="s">
        <v>280</v>
      </c>
      <c r="BA136" s="963" t="s">
        <v>239</v>
      </c>
      <c r="BB136" s="927"/>
      <c r="BC136" s="927"/>
      <c r="BL136" s="785" t="s">
        <v>606</v>
      </c>
      <c r="BM136" s="787" t="s">
        <v>608</v>
      </c>
      <c r="BN136" s="783" t="s">
        <v>280</v>
      </c>
      <c r="BO136" s="783" t="s">
        <v>609</v>
      </c>
      <c r="BP136" s="798" t="s">
        <v>280</v>
      </c>
      <c r="BQ136" s="799">
        <v>1</v>
      </c>
      <c r="BR136" s="800">
        <v>2</v>
      </c>
      <c r="BS136" s="800">
        <v>3</v>
      </c>
      <c r="BT136" s="800">
        <v>4</v>
      </c>
      <c r="BU136" s="800">
        <v>5</v>
      </c>
      <c r="BV136" s="800">
        <v>6</v>
      </c>
      <c r="BW136" s="800">
        <v>7</v>
      </c>
      <c r="BX136" s="801">
        <v>8</v>
      </c>
      <c r="BY136" s="799">
        <v>1</v>
      </c>
      <c r="BZ136" s="800">
        <v>2</v>
      </c>
      <c r="CA136" s="800">
        <v>3</v>
      </c>
      <c r="CB136" s="800">
        <v>4</v>
      </c>
      <c r="CC136" s="800">
        <v>5</v>
      </c>
      <c r="CD136" s="800">
        <v>6</v>
      </c>
      <c r="CE136" s="800">
        <v>7</v>
      </c>
      <c r="CF136" s="810">
        <v>8</v>
      </c>
    </row>
    <row r="137" spans="4:85" ht="21.75" customHeight="1" thickBot="1">
      <c r="D137"/>
      <c r="L137"/>
      <c r="M137" s="87"/>
      <c r="N137" s="17"/>
      <c r="O137" s="17"/>
      <c r="P137" s="17"/>
      <c r="Q137" s="17"/>
      <c r="R137" s="69"/>
      <c r="S137" s="69"/>
      <c r="T137" s="69"/>
      <c r="U137" s="69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M137" s="491" t="s">
        <v>117</v>
      </c>
      <c r="AN137" s="506">
        <v>17000000</v>
      </c>
      <c r="AO137" s="490">
        <f>17*50</f>
        <v>850</v>
      </c>
      <c r="AP137" s="507">
        <f t="shared" si="77"/>
        <v>0</v>
      </c>
      <c r="AQ137" s="507"/>
      <c r="AR137" s="362">
        <f t="shared" si="81"/>
        <v>9.1683222747312582E-3</v>
      </c>
      <c r="AY137" s="142" t="s">
        <v>254</v>
      </c>
      <c r="AZ137" s="133" t="s">
        <v>251</v>
      </c>
      <c r="BA137" s="114" t="s">
        <v>248</v>
      </c>
      <c r="BB137" s="106" t="s">
        <v>249</v>
      </c>
      <c r="BC137" s="822" t="s">
        <v>250</v>
      </c>
      <c r="BL137" s="786" t="s">
        <v>641</v>
      </c>
      <c r="BM137" s="782">
        <v>1</v>
      </c>
      <c r="BN137" s="782">
        <v>1E-3</v>
      </c>
      <c r="BO137" s="788" t="s">
        <v>571</v>
      </c>
      <c r="BP137" s="790">
        <f>0.005</f>
        <v>5.0000000000000001E-3</v>
      </c>
      <c r="BQ137" s="793" t="str">
        <f>IF(AND($AV$77="g",$D$32&lt;=BN138,$D$32&gt;BN137),$D$32,IF(AND($AV$77="kg",$D$32*1000&lt;=BN138,$D$32*1000&gt;BN137),$D$32*1000,IF(AND($AV$77="mg",$D$32*0.001&lt;=BN138,$D$32*0.001&gt;BN137),$D$32*0.001,"")))</f>
        <v/>
      </c>
      <c r="BR137" s="794" t="str">
        <f>IF(AND($AV$77="g",$D$37&lt;=BN138,$D$32&gt;BN137),$D$37,IF(AND($AV$77="kg",$D$37*1000&lt;=BN138,$D$37*1000&gt;BN137),$D$37*1000,IF(AND($AV$77="mg",$D$37*0.001&lt;=BN138,$D$37*0.001&gt;BN137),$D$37*0.001,"")))</f>
        <v/>
      </c>
      <c r="BS137" s="794" t="str">
        <f>IF(AND($AV$77="g",$D$43&lt;=BN138,$D$43&gt;BN137),$D$43,IF(AND($AV$77="kg",$D$43*1000&lt;=BN138,$D$43*1000&gt;BN137),$D$43*1000,IF(AND($AV$77="mg",$D$43*0.001&lt;=BN138,$D$43*0.001&gt;BN137),$D$43*0.001,"")))</f>
        <v/>
      </c>
      <c r="BT137" s="794" t="str">
        <f>IF(AND($AV$77="g",$D$49&lt;=BN138,$D$49&gt;BN137),$D$49,IF(AND($AV$77="kg",$D$49*1000&lt;=BN138,$D$49*1000&gt;BN137),$D$49*1000,IF(AND($AV$77="mg",$D$49*0.001&lt;=BN138,$D$49*0.001&gt;BN137),$D$49*0.001,"")))</f>
        <v/>
      </c>
      <c r="BU137" s="794" t="str">
        <f>IF(AND($AV$77="g",$D$55&lt;=BN138,$D$55&gt;BN137),$D$55,IF(AND($AV$77="kg",$D$55*1000&lt;=BN138,$D$55*1000&gt;BN137),$D$55*1000,IF(AND($AV$77="mg",$D$55*0.001&lt;=BN138,$D$55*0.001&gt;BN137),$D$55*0.001,"")))</f>
        <v/>
      </c>
      <c r="BV137" s="794" t="str">
        <f>IF(AND($AV$77="g",$D$61&lt;=BN138,$D$61&gt;BN137),$D$61,IF(AND($AV$77="kg",$D$61*1000&lt;=BN138,$D$61*1000&gt;BN137),$D$61*1000,IF(AND($AV$77="mg",$D$61*0.001&lt;=BN138,$D$61*0.001&gt;BN137),$D$61*0.001,"")))</f>
        <v/>
      </c>
      <c r="BW137" s="794" t="str">
        <f>IF(AND($AV$77="g",$D$67&lt;=BN138,$D$67&gt;BN137),$D$67,IF(AND($AV$77="kg",$D$67*1000&lt;=BN138,$D$67*1000&gt;BN137),$D$67*1000,IF(AND($AV$77="mg",$D$67*0.001&lt;=BN138,$D$67*0.001&gt;BN137),$D$67*0.001,"")))</f>
        <v/>
      </c>
      <c r="BX137" s="401" t="str">
        <f>IF(AND($AV$77="g",$D$73&lt;=BN138,$D$73&gt;BN137),$D$73,IF(AND($AV$77="kg",$D$73*1000&lt;=BN138,$D$73*1000&gt;BN137),$D$73*1000,IF(AND($AV$77="mg",$D$73*0.001&lt;=BN138,$D$73*0.001&gt;BN137),$D$73*0.001,"")))</f>
        <v/>
      </c>
      <c r="BY137" s="802" t="str">
        <f>IF(BQ137="","",0.005*0.001)</f>
        <v/>
      </c>
      <c r="BZ137" s="803" t="str">
        <f>IF(BR137="","",0.005*0.001)</f>
        <v/>
      </c>
      <c r="CA137" s="803" t="str">
        <f t="shared" ref="CA137:CF137" si="82">IF(BS137="","",0.005*0.001)</f>
        <v/>
      </c>
      <c r="CB137" s="803" t="str">
        <f t="shared" si="82"/>
        <v/>
      </c>
      <c r="CC137" s="803" t="str">
        <f t="shared" si="82"/>
        <v/>
      </c>
      <c r="CD137" s="803" t="str">
        <f t="shared" si="82"/>
        <v/>
      </c>
      <c r="CE137" s="803" t="str">
        <f t="shared" si="82"/>
        <v/>
      </c>
      <c r="CF137" s="804" t="str">
        <f t="shared" si="82"/>
        <v/>
      </c>
    </row>
    <row r="138" spans="4:85" ht="25.5" customHeight="1" thickBot="1">
      <c r="D138"/>
      <c r="L138"/>
      <c r="M138" s="87"/>
      <c r="N138" s="17"/>
      <c r="O138" s="17"/>
      <c r="P138" s="17"/>
      <c r="Q138" s="17"/>
      <c r="R138" s="69"/>
      <c r="S138" s="69"/>
      <c r="T138" s="69"/>
      <c r="U138" s="69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M138" s="491" t="s">
        <v>118</v>
      </c>
      <c r="AN138" s="506">
        <v>18000000</v>
      </c>
      <c r="AO138" s="490">
        <f>18*50</f>
        <v>900</v>
      </c>
      <c r="AP138" s="507">
        <f t="shared" si="77"/>
        <v>0</v>
      </c>
      <c r="AQ138" s="507"/>
      <c r="AR138" s="362">
        <f t="shared" si="81"/>
        <v>9.1683222747312582E-3</v>
      </c>
      <c r="AY138" s="139">
        <v>100</v>
      </c>
      <c r="AZ138" s="6">
        <v>100</v>
      </c>
      <c r="BA138" s="134">
        <f>0.16/0.1</f>
        <v>1.5999999999999999</v>
      </c>
      <c r="BB138" s="135">
        <f>BA138/(4*SQRT(3))</f>
        <v>0.2309401076758503</v>
      </c>
      <c r="BC138" s="191">
        <f>(0.1*(1*1000000)*$AZ$88/$AZ$89+BA138/4)/(1*SQRT(3))</f>
        <v>8.8911941455202381</v>
      </c>
      <c r="BL138" s="782" t="s">
        <v>573</v>
      </c>
      <c r="BM138" s="782">
        <v>2</v>
      </c>
      <c r="BN138" s="789">
        <f>0.006</f>
        <v>6.0000000000000001E-3</v>
      </c>
      <c r="BO138" s="782" t="s">
        <v>572</v>
      </c>
      <c r="BP138" s="790">
        <v>0.02</v>
      </c>
      <c r="BQ138" s="793" t="str">
        <f>IF(AND($AV$77="g",$D$32&lt;=BN139,$D$32&gt;BN138),$D$32,IF(AND($AV$77="kg",$D$32*1000&lt;=BN139,$D$32*1000&gt;BN138),$D$32*1000,IF(AND($AV$77="mg",$D$32*0.001&lt;=BN139,$D$32*0.001&gt;BN138),$D$32*0.001,"")))</f>
        <v/>
      </c>
      <c r="BR138" s="794" t="str">
        <f t="shared" ref="BR138:BR154" si="83">IF(AND($AV$77="g",$D$37&lt;=BN139,$D$32&gt;BN138),$D$37,IF(AND($AV$77="kg",$D$37*1000&lt;=BN139,$D$37*1000&gt;BN138),$D$37*1000,IF(AND($AV$77="mg",$D$37*0.001&lt;=BN139,$D$37*0.001&gt;BN138),$D$37*0.001,"")))</f>
        <v/>
      </c>
      <c r="BS138" s="794" t="str">
        <f t="shared" ref="BS138:BS154" si="84">IF(AND($AV$77="g",$D$43&lt;=BN139,$D$43&gt;BN138),$D$43,IF(AND($AV$77="kg",$D$43*1000&lt;=BN139,$D$43*1000&gt;BN138),$D$43*1000,IF(AND($AV$77="mg",$D$43*0.001&lt;=BN139,$D$43*0.001&gt;BN138),$D$43*0.001,"")))</f>
        <v/>
      </c>
      <c r="BT138" s="794" t="str">
        <f t="shared" ref="BT138:BT154" si="85">IF(AND($AV$77="g",$D$49&lt;=BN139,$D$49&gt;BN138),$D$49,IF(AND($AV$77="kg",$D$49*1000&lt;=BN139,$D$49*1000&gt;BN138),$D$49*1000,IF(AND($AV$77="mg",$D$49*0.001&lt;=BN139,$D$49*0.001&gt;BN138),$D$49*0.001,"")))</f>
        <v/>
      </c>
      <c r="BU138" s="794" t="str">
        <f t="shared" ref="BU138:BU154" si="86">IF(AND($AV$77="g",$D$55&lt;=BN139,$D$55&gt;BN138),$D$55,IF(AND($AV$77="kg",$D$55*1000&lt;=BN139,$D$55*1000&gt;BN138),$D$55*1000,IF(AND($AV$77="mg",$D$55*0.001&lt;=BN139,$D$55*0.001&gt;BN138),$D$55*0.001,"")))</f>
        <v/>
      </c>
      <c r="BV138" s="794" t="str">
        <f t="shared" ref="BV138:BV154" si="87">IF(AND($AV$77="g",$D$61&lt;=BN139,$D$61&gt;BN138),$D$61,IF(AND($AV$77="kg",$D$61*1000&lt;=BN139,$D$61*1000&gt;BN138),$D$61*1000,IF(AND($AV$77="mg",$D$61*0.001&lt;=BN139,$D$61*0.001&gt;BN138),$D$61*0.001,"")))</f>
        <v/>
      </c>
      <c r="BW138" s="794" t="str">
        <f t="shared" ref="BW138:BW154" si="88">IF(AND($AV$77="g",$D$67&lt;=BN139,$D$67&gt;BN138),$D$67,IF(AND($AV$77="kg",$D$67*1000&lt;=BN139,$D$67*1000&gt;BN138),$D$67*1000,IF(AND($AV$77="mg",$D$67*0.001&lt;=BN139,$D$67*0.001&gt;BN138),$D$67*0.001,"")))</f>
        <v/>
      </c>
      <c r="BX138" s="401" t="str">
        <f t="shared" ref="BX138:BX154" si="89">IF(AND($AV$77="g",$D$73&lt;=BN139,$D$73&gt;BN138),$D$73,IF(AND($AV$77="kg",$D$73*1000&lt;=BN139,$D$73*1000&gt;BN138),$D$73*1000,IF(AND($AV$77="mg",$D$73*0.001&lt;=BN139,$D$73*0.001&gt;BN138),$D$73*0.001,"")))</f>
        <v/>
      </c>
      <c r="BY138" s="805" t="str">
        <f>IF(BQ138="","",(0.02%*BQ138+0.0047)*0.001)</f>
        <v/>
      </c>
      <c r="BZ138" s="792" t="str">
        <f t="shared" ref="BZ138:CF138" si="90">IF(BR138="","",(0.02%*BR138+0.0047)*0.001)</f>
        <v/>
      </c>
      <c r="CA138" s="792" t="str">
        <f t="shared" si="90"/>
        <v/>
      </c>
      <c r="CB138" s="792" t="str">
        <f t="shared" si="90"/>
        <v/>
      </c>
      <c r="CC138" s="792" t="str">
        <f t="shared" si="90"/>
        <v/>
      </c>
      <c r="CD138" s="792" t="str">
        <f t="shared" si="90"/>
        <v/>
      </c>
      <c r="CE138" s="792" t="str">
        <f t="shared" si="90"/>
        <v/>
      </c>
      <c r="CF138" s="806" t="str">
        <f t="shared" si="90"/>
        <v/>
      </c>
    </row>
    <row r="139" spans="4:85" ht="27.75" thickBot="1">
      <c r="D139"/>
      <c r="L139"/>
      <c r="M139" s="87"/>
      <c r="N139" s="17"/>
      <c r="O139" s="17"/>
      <c r="P139" s="17"/>
      <c r="Q139" s="17"/>
      <c r="R139" s="69"/>
      <c r="S139" s="69"/>
      <c r="T139" s="69"/>
      <c r="U139" s="69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M139" s="491" t="s">
        <v>119</v>
      </c>
      <c r="AN139" s="506">
        <v>19000000</v>
      </c>
      <c r="AO139" s="490">
        <f>19*50</f>
        <v>950</v>
      </c>
      <c r="AP139" s="507">
        <f t="shared" si="77"/>
        <v>0</v>
      </c>
      <c r="AQ139" s="507"/>
      <c r="AR139" s="362">
        <f t="shared" si="81"/>
        <v>9.1683222747312582E-3</v>
      </c>
      <c r="AY139" s="154">
        <v>200</v>
      </c>
      <c r="AZ139" s="6">
        <v>200</v>
      </c>
      <c r="BL139" s="782" t="s">
        <v>575</v>
      </c>
      <c r="BM139" s="782">
        <v>3</v>
      </c>
      <c r="BN139" s="782">
        <v>2.1000000000000001E-2</v>
      </c>
      <c r="BO139" s="782" t="s">
        <v>574</v>
      </c>
      <c r="BP139" s="790">
        <v>1</v>
      </c>
      <c r="BQ139" s="793" t="str">
        <f>IF(AND($AV$77="g",$D$32&lt;=BN140,$D$32&gt;BN139),$D$32,IF(AND($AV$77="kg",$D$32*1000&lt;=BN140,$D$32*1000&gt;BN139),$D$32*1000,IF(AND($AV$77="mg",$D$32*0.001&lt;=BN140,$D$32*0.001&gt;BN139),$D$32*0.001,"")))</f>
        <v/>
      </c>
      <c r="BR139" s="794" t="str">
        <f t="shared" si="83"/>
        <v/>
      </c>
      <c r="BS139" s="794" t="str">
        <f t="shared" si="84"/>
        <v/>
      </c>
      <c r="BT139" s="794" t="str">
        <f t="shared" si="85"/>
        <v/>
      </c>
      <c r="BU139" s="794" t="str">
        <f t="shared" si="86"/>
        <v/>
      </c>
      <c r="BV139" s="794" t="str">
        <f t="shared" si="87"/>
        <v/>
      </c>
      <c r="BW139" s="794" t="str">
        <f t="shared" si="88"/>
        <v/>
      </c>
      <c r="BX139" s="401" t="str">
        <f t="shared" si="89"/>
        <v/>
      </c>
      <c r="BY139" s="805" t="str">
        <f>IF(BQ139="","",(12*10^-6*BQ139+0.015)*0.001)</f>
        <v/>
      </c>
      <c r="BZ139" s="792" t="str">
        <f t="shared" ref="BZ139:CF139" si="91">IF(BR139="","",(12*10^-6*BR139+0.015)*0.001)</f>
        <v/>
      </c>
      <c r="CA139" s="792" t="str">
        <f t="shared" si="91"/>
        <v/>
      </c>
      <c r="CB139" s="792" t="str">
        <f t="shared" si="91"/>
        <v/>
      </c>
      <c r="CC139" s="792" t="str">
        <f t="shared" si="91"/>
        <v/>
      </c>
      <c r="CD139" s="792" t="str">
        <f t="shared" si="91"/>
        <v/>
      </c>
      <c r="CE139" s="792" t="str">
        <f t="shared" si="91"/>
        <v/>
      </c>
      <c r="CF139" s="806" t="str">
        <f t="shared" si="91"/>
        <v/>
      </c>
    </row>
    <row r="140" spans="4:85" ht="27.75" thickBot="1">
      <c r="D140"/>
      <c r="L140"/>
      <c r="M140" s="87"/>
      <c r="N140" s="17"/>
      <c r="O140" s="17"/>
      <c r="P140" s="17"/>
      <c r="Q140" s="17"/>
      <c r="R140" s="69"/>
      <c r="S140" s="69"/>
      <c r="T140" s="69"/>
      <c r="U140" s="69"/>
      <c r="W140" s="6"/>
      <c r="Y140" s="6"/>
      <c r="Z140" s="6"/>
      <c r="AA140" s="6"/>
      <c r="AB140" s="6"/>
      <c r="AC140" s="6"/>
      <c r="AD140" s="6"/>
      <c r="AE140" s="6"/>
      <c r="AF140" s="6"/>
      <c r="AG140" s="6"/>
      <c r="AM140" s="491" t="s">
        <v>120</v>
      </c>
      <c r="AN140" s="506">
        <v>20000000</v>
      </c>
      <c r="AO140" s="490">
        <f>20*50</f>
        <v>1000</v>
      </c>
      <c r="AP140" s="507">
        <f t="shared" si="77"/>
        <v>0</v>
      </c>
      <c r="AQ140" s="507"/>
      <c r="AR140" s="362">
        <f t="shared" si="81"/>
        <v>9.1683222747312582E-3</v>
      </c>
      <c r="AY140" s="154">
        <v>500</v>
      </c>
      <c r="AZ140" s="6">
        <v>500</v>
      </c>
      <c r="BL140" s="782" t="s">
        <v>577</v>
      </c>
      <c r="BM140" s="782">
        <v>4</v>
      </c>
      <c r="BN140" s="782">
        <v>1.0009999999999999</v>
      </c>
      <c r="BO140" s="782" t="s">
        <v>576</v>
      </c>
      <c r="BP140" s="790">
        <v>20</v>
      </c>
      <c r="BQ140" s="793" t="str">
        <f>IF(AND($AV$77="g",$D$32&lt;=BN141,$D$32&gt;BN140),$D$32,IF(AND($AV$77="kg",$D$32*1000&lt;=BN141,$D$32*1000&gt;BN140),$D$32*1000,IF(AND($AV$77="mg",$D$32*0.001&lt;=BN141,$D$32*0.001&gt;BN140),$D$32*0.001,"")))</f>
        <v/>
      </c>
      <c r="BR140" s="794" t="str">
        <f t="shared" si="83"/>
        <v/>
      </c>
      <c r="BS140" s="794" t="str">
        <f t="shared" si="84"/>
        <v/>
      </c>
      <c r="BT140" s="794" t="str">
        <f t="shared" si="85"/>
        <v/>
      </c>
      <c r="BU140" s="794" t="str">
        <f t="shared" si="86"/>
        <v/>
      </c>
      <c r="BV140" s="794" t="str">
        <f t="shared" si="87"/>
        <v/>
      </c>
      <c r="BW140" s="794" t="str">
        <f t="shared" si="88"/>
        <v/>
      </c>
      <c r="BX140" s="401" t="str">
        <f t="shared" si="89"/>
        <v/>
      </c>
      <c r="BY140" s="805" t="str">
        <f>IF(BQ140="","",(3*10^-6*BQ140+0.03)*0.001)</f>
        <v/>
      </c>
      <c r="BZ140" s="792" t="str">
        <f t="shared" ref="BZ140:CF140" si="92">IF(BR140="","",(3*10^-6*BR140+0.03)*0.001)</f>
        <v/>
      </c>
      <c r="CA140" s="792" t="str">
        <f t="shared" si="92"/>
        <v/>
      </c>
      <c r="CB140" s="792" t="str">
        <f t="shared" si="92"/>
        <v/>
      </c>
      <c r="CC140" s="792" t="str">
        <f t="shared" si="92"/>
        <v/>
      </c>
      <c r="CD140" s="792" t="str">
        <f t="shared" si="92"/>
        <v/>
      </c>
      <c r="CE140" s="792" t="str">
        <f t="shared" si="92"/>
        <v/>
      </c>
      <c r="CF140" s="806" t="str">
        <f t="shared" si="92"/>
        <v/>
      </c>
    </row>
    <row r="141" spans="4:85" ht="16.5" thickBot="1">
      <c r="D141"/>
      <c r="L141"/>
      <c r="M141" s="87"/>
      <c r="N141" s="17"/>
      <c r="O141" s="17"/>
      <c r="P141" s="17"/>
      <c r="Q141" s="17"/>
      <c r="R141" s="69"/>
      <c r="S141" s="69"/>
      <c r="T141" s="69"/>
      <c r="U141" s="69"/>
      <c r="W141" s="6"/>
      <c r="Y141" s="6"/>
      <c r="Z141" s="6"/>
      <c r="AA141" s="6"/>
      <c r="AB141" s="6"/>
      <c r="AC141" s="6"/>
      <c r="AD141" s="6"/>
      <c r="AE141" s="6"/>
      <c r="AF141" s="6"/>
      <c r="AM141" s="544">
        <v>530</v>
      </c>
      <c r="AN141" s="529" t="s">
        <v>198</v>
      </c>
      <c r="AO141" s="545" t="str">
        <f>IF(AP141=0,"NÃO","SIM")</f>
        <v>NÃO</v>
      </c>
      <c r="AP141" s="531">
        <f>IF(ISERROR(SUM(AP142:AP151)+'2º MR-MI'!AP142:AP151+'3º MR-MI'!AP142:AP151),SUM(AP142:AP151),SUM(AP142:AP151)+'2º MR-MI'!AP142:AP151+'3º MR-MI'!AP142:AP151)</f>
        <v>0</v>
      </c>
      <c r="AQ141" s="531"/>
      <c r="AR141" s="49"/>
      <c r="AY141" s="155">
        <v>1000</v>
      </c>
      <c r="AZ141" s="137">
        <v>1000</v>
      </c>
      <c r="BA141" s="95"/>
      <c r="BB141" s="95"/>
      <c r="BC141" s="95"/>
      <c r="BL141" s="782" t="s">
        <v>579</v>
      </c>
      <c r="BM141" s="782">
        <v>5</v>
      </c>
      <c r="BN141" s="782">
        <v>20.001000000000001</v>
      </c>
      <c r="BO141" s="782" t="s">
        <v>578</v>
      </c>
      <c r="BP141" s="791">
        <v>1000</v>
      </c>
      <c r="BQ141" s="793" t="str">
        <f>IF(AND($AV$77="g",$D$32&lt;=BN142,$D$32&gt;BN141),$D$32,IF(AND($AV$77="kg",$D$32*1000&lt;=BN142,$D$32*1000&gt;BN141),$D$32*1000,IF(AND($AV$77="mg",$D$32*0.001&lt;=BN142,$D$32*0.001&gt;BN141),$D$32*0.001,"")))</f>
        <v/>
      </c>
      <c r="BR141" s="794" t="str">
        <f t="shared" si="83"/>
        <v/>
      </c>
      <c r="BS141" s="794" t="str">
        <f t="shared" si="84"/>
        <v/>
      </c>
      <c r="BT141" s="794" t="str">
        <f t="shared" si="85"/>
        <v/>
      </c>
      <c r="BU141" s="794" t="str">
        <f t="shared" si="86"/>
        <v/>
      </c>
      <c r="BV141" s="794" t="str">
        <f t="shared" si="87"/>
        <v/>
      </c>
      <c r="BW141" s="794" t="str">
        <f t="shared" si="88"/>
        <v/>
      </c>
      <c r="BX141" s="401" t="str">
        <f t="shared" si="89"/>
        <v/>
      </c>
      <c r="BY141" s="805" t="str">
        <f>IF(BQ141="","",0.00032%*BQ141)</f>
        <v/>
      </c>
      <c r="BZ141" s="792" t="str">
        <f t="shared" ref="BZ141:CF141" si="93">IF(BR141="","",0.00032%*BR141)</f>
        <v/>
      </c>
      <c r="CA141" s="792" t="str">
        <f t="shared" si="93"/>
        <v/>
      </c>
      <c r="CB141" s="792" t="str">
        <f t="shared" si="93"/>
        <v/>
      </c>
      <c r="CC141" s="792" t="str">
        <f t="shared" si="93"/>
        <v/>
      </c>
      <c r="CD141" s="792" t="str">
        <f t="shared" si="93"/>
        <v/>
      </c>
      <c r="CE141" s="792" t="str">
        <f t="shared" si="93"/>
        <v/>
      </c>
      <c r="CF141" s="806" t="str">
        <f t="shared" si="93"/>
        <v/>
      </c>
    </row>
    <row r="142" spans="4:85" ht="15.75" customHeight="1" thickBot="1">
      <c r="D142"/>
      <c r="L142"/>
      <c r="M142" s="87"/>
      <c r="N142" s="17"/>
      <c r="O142" s="17"/>
      <c r="P142" s="17"/>
      <c r="Q142" s="17"/>
      <c r="R142" s="69"/>
      <c r="S142" s="69"/>
      <c r="T142" s="69"/>
      <c r="U142" s="69"/>
      <c r="W142" s="6"/>
      <c r="Y142" s="6"/>
      <c r="Z142" s="6"/>
      <c r="AA142" s="6"/>
      <c r="AB142" s="6"/>
      <c r="AC142" s="6"/>
      <c r="AD142" s="6"/>
      <c r="AE142" s="6"/>
      <c r="AF142" s="6"/>
      <c r="AM142" s="517" t="s">
        <v>199</v>
      </c>
      <c r="AN142" s="506">
        <f>1000</f>
        <v>1000</v>
      </c>
      <c r="AO142" s="506">
        <f>0.05</f>
        <v>0.05</v>
      </c>
      <c r="AP142" s="507">
        <f t="shared" ref="AP142:AP151" si="94">IF(ISERROR(MATCH(AM142,$B$32:$B$77,0)),0,(MATCH(AM142,$B$32:$B$77,0)))+IF(ISERROR(MATCH(AM142,$C$32:$C$77,0)),0,(MATCH(AM142,$C$32:$C$77,0)))</f>
        <v>0</v>
      </c>
      <c r="AQ142" s="507"/>
      <c r="AR142" s="362">
        <f t="shared" ref="AR142:AR151" si="95">SQRT((15.88/1000)^2/3)</f>
        <v>9.1683222747312582E-3</v>
      </c>
      <c r="AY142" s="139" t="s">
        <v>179</v>
      </c>
      <c r="AZ142" s="192" t="s">
        <v>280</v>
      </c>
      <c r="BA142" s="927" t="s">
        <v>240</v>
      </c>
      <c r="BB142" s="927"/>
      <c r="BC142" s="927"/>
      <c r="BL142" s="782" t="s">
        <v>581</v>
      </c>
      <c r="BM142" s="782">
        <v>6</v>
      </c>
      <c r="BN142" s="782">
        <v>1000.05</v>
      </c>
      <c r="BO142" s="782" t="s">
        <v>580</v>
      </c>
      <c r="BP142" s="791">
        <v>40000</v>
      </c>
      <c r="BQ142" s="793" t="str">
        <f t="shared" ref="BQ142:BQ154" si="96">IF(AND($AV$77="g",$D$32&lt;=BN143,$D$32&gt;BN142),$D$32,IF(AND($AV$77="kg",$D$32*1000&lt;=BN143,$D$32*1000&gt;BN142),$D$32*1000,IF(AND($AV$77="mg",$D$32*0.001&lt;=BN143,$D$32*0.001&gt;BN142),$D$32*0.001,"")))</f>
        <v/>
      </c>
      <c r="BR142" s="794" t="str">
        <f t="shared" si="83"/>
        <v/>
      </c>
      <c r="BS142" s="794" t="str">
        <f t="shared" si="84"/>
        <v/>
      </c>
      <c r="BT142" s="794" t="str">
        <f t="shared" si="85"/>
        <v/>
      </c>
      <c r="BU142" s="794" t="str">
        <f t="shared" si="86"/>
        <v/>
      </c>
      <c r="BV142" s="794" t="str">
        <f t="shared" si="87"/>
        <v/>
      </c>
      <c r="BW142" s="794" t="str">
        <f t="shared" si="88"/>
        <v/>
      </c>
      <c r="BX142" s="401" t="str">
        <f t="shared" si="89"/>
        <v/>
      </c>
      <c r="BY142" s="805" t="str">
        <f>IF(BQ142="","",0.0005%*BQ142)</f>
        <v/>
      </c>
      <c r="BZ142" s="792" t="str">
        <f t="shared" ref="BZ142:CF142" si="97">IF(BR142="","",0.0005%*BR142)</f>
        <v/>
      </c>
      <c r="CA142" s="792" t="str">
        <f t="shared" si="97"/>
        <v/>
      </c>
      <c r="CB142" s="792" t="str">
        <f t="shared" si="97"/>
        <v/>
      </c>
      <c r="CC142" s="792" t="str">
        <f t="shared" si="97"/>
        <v/>
      </c>
      <c r="CD142" s="792" t="str">
        <f t="shared" si="97"/>
        <v/>
      </c>
      <c r="CE142" s="792" t="str">
        <f t="shared" si="97"/>
        <v/>
      </c>
      <c r="CF142" s="806" t="str">
        <f t="shared" si="97"/>
        <v/>
      </c>
    </row>
    <row r="143" spans="4:85" ht="32.25" thickBot="1">
      <c r="D143"/>
      <c r="L143"/>
      <c r="M143" s="87"/>
      <c r="N143" s="17"/>
      <c r="O143" s="17"/>
      <c r="P143" s="17"/>
      <c r="Q143" s="17"/>
      <c r="R143" s="69"/>
      <c r="S143" s="69"/>
      <c r="T143" s="69"/>
      <c r="U143" s="69"/>
      <c r="W143" s="6"/>
      <c r="Y143" s="6"/>
      <c r="Z143" s="6"/>
      <c r="AA143" s="6"/>
      <c r="AB143" s="6"/>
      <c r="AC143" s="6"/>
      <c r="AD143" s="6"/>
      <c r="AE143" s="6"/>
      <c r="AF143" s="6"/>
      <c r="AM143" s="517" t="s">
        <v>99</v>
      </c>
      <c r="AN143" s="506">
        <f>2000</f>
        <v>2000</v>
      </c>
      <c r="AO143" s="490">
        <f>2*0.05</f>
        <v>0.1</v>
      </c>
      <c r="AP143" s="507">
        <f t="shared" si="94"/>
        <v>0</v>
      </c>
      <c r="AQ143" s="507"/>
      <c r="AR143" s="362">
        <f t="shared" si="95"/>
        <v>9.1683222747312582E-3</v>
      </c>
      <c r="AY143" s="140" t="s">
        <v>254</v>
      </c>
      <c r="AZ143" s="133" t="s">
        <v>251</v>
      </c>
      <c r="BA143" s="105" t="s">
        <v>248</v>
      </c>
      <c r="BB143" s="106" t="s">
        <v>249</v>
      </c>
      <c r="BC143" s="107" t="s">
        <v>250</v>
      </c>
      <c r="BL143" s="782" t="s">
        <v>583</v>
      </c>
      <c r="BM143" s="782">
        <v>7</v>
      </c>
      <c r="BN143" s="782">
        <v>40000.1</v>
      </c>
      <c r="BO143" s="782" t="s">
        <v>582</v>
      </c>
      <c r="BP143" s="791">
        <v>900000</v>
      </c>
      <c r="BQ143" s="793" t="str">
        <f t="shared" si="96"/>
        <v/>
      </c>
      <c r="BR143" s="794" t="str">
        <f t="shared" si="83"/>
        <v/>
      </c>
      <c r="BS143" s="794" t="str">
        <f t="shared" si="84"/>
        <v/>
      </c>
      <c r="BT143" s="794" t="str">
        <f t="shared" si="85"/>
        <v/>
      </c>
      <c r="BU143" s="794" t="str">
        <f t="shared" si="86"/>
        <v/>
      </c>
      <c r="BV143" s="794" t="str">
        <f t="shared" si="87"/>
        <v/>
      </c>
      <c r="BW143" s="794" t="str">
        <f t="shared" si="88"/>
        <v/>
      </c>
      <c r="BX143" s="401" t="str">
        <f t="shared" si="89"/>
        <v/>
      </c>
      <c r="BY143" s="805" t="str">
        <f>IF(BQ143="","",0.0042%*BQ143)</f>
        <v/>
      </c>
      <c r="BZ143" s="792" t="str">
        <f t="shared" ref="BZ143:CF143" si="98">IF(BR143="","",0.0042%*BR143)</f>
        <v/>
      </c>
      <c r="CA143" s="792" t="str">
        <f t="shared" si="98"/>
        <v/>
      </c>
      <c r="CB143" s="792" t="str">
        <f t="shared" si="98"/>
        <v/>
      </c>
      <c r="CC143" s="792" t="str">
        <f t="shared" si="98"/>
        <v/>
      </c>
      <c r="CD143" s="792" t="str">
        <f t="shared" si="98"/>
        <v/>
      </c>
      <c r="CE143" s="792" t="str">
        <f t="shared" si="98"/>
        <v/>
      </c>
      <c r="CF143" s="806" t="str">
        <f t="shared" si="98"/>
        <v/>
      </c>
      <c r="CG143" s="6"/>
    </row>
    <row r="144" spans="4:85" ht="15.75" thickBot="1">
      <c r="N144" s="17"/>
      <c r="O144" s="17"/>
      <c r="P144" s="17"/>
      <c r="Q144" s="17"/>
      <c r="R144" s="69"/>
      <c r="S144" s="69"/>
      <c r="T144" s="69"/>
      <c r="U144" s="69"/>
      <c r="W144" s="6"/>
      <c r="Y144" s="6"/>
      <c r="Z144" s="6"/>
      <c r="AA144" s="6"/>
      <c r="AB144" s="6"/>
      <c r="AC144" s="6"/>
      <c r="AD144" s="6"/>
      <c r="AE144" s="6"/>
      <c r="AF144" s="6"/>
      <c r="AM144" s="517" t="s">
        <v>200</v>
      </c>
      <c r="AN144" s="506">
        <f>3000</f>
        <v>3000</v>
      </c>
      <c r="AO144" s="490">
        <f>3*0.05</f>
        <v>0.15000000000000002</v>
      </c>
      <c r="AP144" s="507">
        <f t="shared" si="94"/>
        <v>0</v>
      </c>
      <c r="AQ144" s="507"/>
      <c r="AR144" s="362">
        <f t="shared" si="95"/>
        <v>9.1683222747312582E-3</v>
      </c>
      <c r="AY144" s="152" t="s">
        <v>187</v>
      </c>
      <c r="AZ144" s="6">
        <v>100</v>
      </c>
      <c r="BA144" s="193">
        <f>0.5/0.1</f>
        <v>5</v>
      </c>
      <c r="BB144" s="135">
        <f>BA144/(4*SQRT(3))</f>
        <v>0.72168783648703227</v>
      </c>
      <c r="BC144" s="194">
        <f>(0.1*(1*1000000)*$AZ$88/$AZ$89+BA144/4)/(1*SQRT(3))</f>
        <v>9.3819418743314191</v>
      </c>
      <c r="BL144" s="782" t="s">
        <v>585</v>
      </c>
      <c r="BM144" s="782">
        <v>8</v>
      </c>
      <c r="BN144" s="782">
        <v>900001</v>
      </c>
      <c r="BO144" s="782" t="s">
        <v>584</v>
      </c>
      <c r="BP144" s="791">
        <v>1000000</v>
      </c>
      <c r="BQ144" s="793" t="str">
        <f t="shared" si="96"/>
        <v/>
      </c>
      <c r="BR144" s="794" t="str">
        <f t="shared" si="83"/>
        <v/>
      </c>
      <c r="BS144" s="794" t="str">
        <f t="shared" si="84"/>
        <v/>
      </c>
      <c r="BT144" s="794" t="str">
        <f t="shared" si="85"/>
        <v/>
      </c>
      <c r="BU144" s="794" t="str">
        <f t="shared" si="86"/>
        <v/>
      </c>
      <c r="BV144" s="794" t="str">
        <f t="shared" si="87"/>
        <v/>
      </c>
      <c r="BW144" s="794" t="str">
        <f t="shared" si="88"/>
        <v/>
      </c>
      <c r="BX144" s="401" t="str">
        <f t="shared" si="89"/>
        <v/>
      </c>
      <c r="BY144" s="805" t="str">
        <f>IF(BQ144="","",0.053)</f>
        <v/>
      </c>
      <c r="BZ144" s="785" t="str">
        <f t="shared" ref="BZ144:CF144" si="99">IF(BR144="","",0.053)</f>
        <v/>
      </c>
      <c r="CA144" s="785" t="str">
        <f t="shared" si="99"/>
        <v/>
      </c>
      <c r="CB144" s="785" t="str">
        <f t="shared" si="99"/>
        <v/>
      </c>
      <c r="CC144" s="785" t="str">
        <f t="shared" si="99"/>
        <v/>
      </c>
      <c r="CD144" s="785" t="str">
        <f t="shared" si="99"/>
        <v/>
      </c>
      <c r="CE144" s="785" t="str">
        <f t="shared" si="99"/>
        <v/>
      </c>
      <c r="CF144" s="836" t="str">
        <f t="shared" si="99"/>
        <v/>
      </c>
    </row>
    <row r="145" spans="14:84" ht="15.75" thickBot="1">
      <c r="N145" s="17"/>
      <c r="O145" s="17"/>
      <c r="P145" s="17"/>
      <c r="Q145" s="17"/>
      <c r="R145" s="69"/>
      <c r="S145" s="69"/>
      <c r="T145" s="69"/>
      <c r="U145" s="69"/>
      <c r="W145" s="6"/>
      <c r="Y145" s="6"/>
      <c r="Z145" s="6"/>
      <c r="AA145" s="6"/>
      <c r="AB145" s="6"/>
      <c r="AC145" s="6"/>
      <c r="AD145" s="6"/>
      <c r="AE145" s="6"/>
      <c r="AF145" s="6"/>
      <c r="AM145" s="518" t="s">
        <v>201</v>
      </c>
      <c r="AN145" s="506">
        <f>4000</f>
        <v>4000</v>
      </c>
      <c r="AO145" s="490">
        <f>4*0.05</f>
        <v>0.2</v>
      </c>
      <c r="AP145" s="507">
        <f t="shared" si="94"/>
        <v>0</v>
      </c>
      <c r="AQ145" s="507"/>
      <c r="AR145" s="362">
        <f t="shared" si="95"/>
        <v>9.1683222747312582E-3</v>
      </c>
      <c r="AY145" s="153" t="s">
        <v>188</v>
      </c>
      <c r="AZ145" s="6">
        <v>200</v>
      </c>
      <c r="BL145" s="782" t="s">
        <v>587</v>
      </c>
      <c r="BM145" s="782">
        <v>9</v>
      </c>
      <c r="BN145" s="782">
        <v>1000050</v>
      </c>
      <c r="BO145" s="782" t="s">
        <v>586</v>
      </c>
      <c r="BP145" s="791">
        <v>4000000</v>
      </c>
      <c r="BQ145" s="793" t="str">
        <f t="shared" si="96"/>
        <v/>
      </c>
      <c r="BR145" s="794" t="str">
        <f t="shared" si="83"/>
        <v/>
      </c>
      <c r="BS145" s="794" t="str">
        <f t="shared" si="84"/>
        <v/>
      </c>
      <c r="BT145" s="794" t="str">
        <f t="shared" si="85"/>
        <v/>
      </c>
      <c r="BU145" s="794" t="str">
        <f t="shared" si="86"/>
        <v/>
      </c>
      <c r="BV145" s="794" t="str">
        <f t="shared" si="87"/>
        <v/>
      </c>
      <c r="BW145" s="794" t="str">
        <f t="shared" si="88"/>
        <v/>
      </c>
      <c r="BX145" s="401" t="str">
        <f t="shared" si="89"/>
        <v/>
      </c>
      <c r="BY145" s="805" t="str">
        <f>IF(BQ145="","",0.0045%*BQ145)</f>
        <v/>
      </c>
      <c r="BZ145" s="792" t="str">
        <f t="shared" ref="BZ145:CF145" si="100">IF(BR145="","",0.0045%*BR145)</f>
        <v/>
      </c>
      <c r="CA145" s="792" t="str">
        <f t="shared" si="100"/>
        <v/>
      </c>
      <c r="CB145" s="792" t="str">
        <f t="shared" si="100"/>
        <v/>
      </c>
      <c r="CC145" s="792" t="str">
        <f t="shared" si="100"/>
        <v/>
      </c>
      <c r="CD145" s="792" t="str">
        <f t="shared" si="100"/>
        <v/>
      </c>
      <c r="CE145" s="792" t="str">
        <f t="shared" si="100"/>
        <v/>
      </c>
      <c r="CF145" s="806" t="str">
        <f t="shared" si="100"/>
        <v/>
      </c>
    </row>
    <row r="146" spans="14:84" ht="26.25" thickBot="1">
      <c r="N146" s="17"/>
      <c r="O146" s="17"/>
      <c r="P146" s="17"/>
      <c r="Q146" s="17"/>
      <c r="R146" s="69"/>
      <c r="S146" s="69"/>
      <c r="T146" s="69"/>
      <c r="U146" s="69"/>
      <c r="W146" s="6"/>
      <c r="Y146" s="6"/>
      <c r="Z146" s="6"/>
      <c r="AA146" s="6"/>
      <c r="AB146" s="6"/>
      <c r="AC146" s="6"/>
      <c r="AD146" s="6"/>
      <c r="AE146" s="6"/>
      <c r="AF146" s="6"/>
      <c r="AM146" s="518" t="s">
        <v>100</v>
      </c>
      <c r="AN146" s="506">
        <f>5000</f>
        <v>5000</v>
      </c>
      <c r="AO146" s="490">
        <f>5*0.05</f>
        <v>0.25</v>
      </c>
      <c r="AP146" s="507">
        <f t="shared" si="94"/>
        <v>0</v>
      </c>
      <c r="AQ146" s="507"/>
      <c r="AR146" s="362">
        <f t="shared" si="95"/>
        <v>9.1683222747312582E-3</v>
      </c>
      <c r="AY146" s="153" t="s">
        <v>189</v>
      </c>
      <c r="AZ146" s="6">
        <v>200</v>
      </c>
      <c r="BL146" s="782" t="s">
        <v>589</v>
      </c>
      <c r="BM146" s="782">
        <v>10</v>
      </c>
      <c r="BN146" s="789">
        <v>4000050</v>
      </c>
      <c r="BO146" s="782" t="s">
        <v>588</v>
      </c>
      <c r="BP146" s="790">
        <v>20000000</v>
      </c>
      <c r="BQ146" s="793" t="str">
        <f t="shared" si="96"/>
        <v/>
      </c>
      <c r="BR146" s="794" t="str">
        <f t="shared" si="83"/>
        <v/>
      </c>
      <c r="BS146" s="794" t="str">
        <f t="shared" si="84"/>
        <v/>
      </c>
      <c r="BT146" s="794" t="str">
        <f t="shared" si="85"/>
        <v/>
      </c>
      <c r="BU146" s="794" t="str">
        <f t="shared" si="86"/>
        <v/>
      </c>
      <c r="BV146" s="794" t="str">
        <f t="shared" si="87"/>
        <v/>
      </c>
      <c r="BW146" s="794" t="str">
        <f t="shared" si="88"/>
        <v/>
      </c>
      <c r="BX146" s="401" t="str">
        <f t="shared" si="89"/>
        <v/>
      </c>
      <c r="BY146" s="805" t="str">
        <f>IF(BQ146="","",0.0042%*BQ146)</f>
        <v/>
      </c>
      <c r="BZ146" s="792" t="str">
        <f t="shared" ref="BZ146:CF146" si="101">IF(BR146="","",0.0042%*BR146)</f>
        <v/>
      </c>
      <c r="CA146" s="792" t="str">
        <f t="shared" si="101"/>
        <v/>
      </c>
      <c r="CB146" s="792" t="str">
        <f t="shared" si="101"/>
        <v/>
      </c>
      <c r="CC146" s="792" t="str">
        <f t="shared" si="101"/>
        <v/>
      </c>
      <c r="CD146" s="792" t="str">
        <f t="shared" si="101"/>
        <v/>
      </c>
      <c r="CE146" s="792" t="str">
        <f t="shared" si="101"/>
        <v/>
      </c>
      <c r="CF146" s="806" t="str">
        <f t="shared" si="101"/>
        <v/>
      </c>
    </row>
    <row r="147" spans="14:84" ht="26.25" thickBot="1">
      <c r="N147" s="17"/>
      <c r="O147" s="17"/>
      <c r="P147" s="17"/>
      <c r="Q147" s="17"/>
      <c r="R147" s="69"/>
      <c r="S147" s="69"/>
      <c r="T147" s="69"/>
      <c r="U147" s="69"/>
      <c r="W147" s="6"/>
      <c r="Y147" s="6"/>
      <c r="Z147" s="6"/>
      <c r="AA147" s="6"/>
      <c r="AB147" s="6"/>
      <c r="AC147" s="6"/>
      <c r="AD147" s="6"/>
      <c r="AE147" s="6"/>
      <c r="AF147" s="6"/>
      <c r="AM147" s="518" t="s">
        <v>202</v>
      </c>
      <c r="AN147" s="506">
        <f>6000</f>
        <v>6000</v>
      </c>
      <c r="AO147" s="490">
        <f>6*0.05</f>
        <v>0.30000000000000004</v>
      </c>
      <c r="AP147" s="507">
        <f t="shared" si="94"/>
        <v>0</v>
      </c>
      <c r="AQ147" s="507"/>
      <c r="AR147" s="362">
        <f t="shared" si="95"/>
        <v>9.1683222747312582E-3</v>
      </c>
      <c r="AY147" s="153" t="s">
        <v>190</v>
      </c>
      <c r="AZ147" s="6">
        <v>500</v>
      </c>
      <c r="BL147" s="782" t="s">
        <v>591</v>
      </c>
      <c r="BM147" s="782">
        <v>11</v>
      </c>
      <c r="BN147" s="789">
        <v>20000100</v>
      </c>
      <c r="BO147" s="782" t="s">
        <v>590</v>
      </c>
      <c r="BP147" s="790">
        <v>22000000</v>
      </c>
      <c r="BQ147" s="793" t="str">
        <f t="shared" si="96"/>
        <v/>
      </c>
      <c r="BR147" s="794" t="str">
        <f t="shared" si="83"/>
        <v/>
      </c>
      <c r="BS147" s="794" t="str">
        <f t="shared" si="84"/>
        <v/>
      </c>
      <c r="BT147" s="794" t="str">
        <f t="shared" si="85"/>
        <v/>
      </c>
      <c r="BU147" s="794" t="str">
        <f t="shared" si="86"/>
        <v/>
      </c>
      <c r="BV147" s="794" t="str">
        <f t="shared" si="87"/>
        <v/>
      </c>
      <c r="BW147" s="794" t="str">
        <f t="shared" si="88"/>
        <v/>
      </c>
      <c r="BX147" s="401" t="str">
        <f t="shared" si="89"/>
        <v/>
      </c>
      <c r="BY147" s="805" t="str">
        <f>IF(BQ147="","",1100)</f>
        <v/>
      </c>
      <c r="BZ147" s="792" t="str">
        <f t="shared" ref="BZ147:CF147" si="102">IF(BR147="","",1100)</f>
        <v/>
      </c>
      <c r="CA147" s="792" t="str">
        <f t="shared" si="102"/>
        <v/>
      </c>
      <c r="CB147" s="792" t="str">
        <f t="shared" si="102"/>
        <v/>
      </c>
      <c r="CC147" s="792" t="str">
        <f t="shared" si="102"/>
        <v/>
      </c>
      <c r="CD147" s="792" t="str">
        <f t="shared" si="102"/>
        <v/>
      </c>
      <c r="CE147" s="792" t="str">
        <f t="shared" si="102"/>
        <v/>
      </c>
      <c r="CF147" s="806" t="str">
        <f t="shared" si="102"/>
        <v/>
      </c>
    </row>
    <row r="148" spans="14:84" ht="26.25" thickBot="1">
      <c r="N148" s="17"/>
      <c r="O148" s="17"/>
      <c r="P148" s="17"/>
      <c r="Q148" s="17"/>
      <c r="R148" s="69"/>
      <c r="S148" s="69"/>
      <c r="T148" s="69"/>
      <c r="U148" s="69"/>
      <c r="W148" s="6"/>
      <c r="Z148" s="6"/>
      <c r="AM148" s="518" t="s">
        <v>203</v>
      </c>
      <c r="AN148" s="506">
        <f>7000</f>
        <v>7000</v>
      </c>
      <c r="AO148" s="490">
        <f>7*0.05</f>
        <v>0.35000000000000003</v>
      </c>
      <c r="AP148" s="507">
        <f t="shared" si="94"/>
        <v>0</v>
      </c>
      <c r="AQ148" s="507"/>
      <c r="AR148" s="362">
        <f t="shared" si="95"/>
        <v>9.1683222747312582E-3</v>
      </c>
      <c r="AY148" s="153" t="s">
        <v>257</v>
      </c>
      <c r="AZ148" s="137">
        <v>1000</v>
      </c>
      <c r="BA148" s="95"/>
      <c r="BB148" s="95"/>
      <c r="BC148" s="95"/>
      <c r="BL148" s="782" t="s">
        <v>593</v>
      </c>
      <c r="BM148" s="782">
        <v>12</v>
      </c>
      <c r="BN148" s="789">
        <v>22000500</v>
      </c>
      <c r="BO148" s="782" t="s">
        <v>592</v>
      </c>
      <c r="BP148" s="790">
        <v>32000000</v>
      </c>
      <c r="BQ148" s="793" t="str">
        <f t="shared" si="96"/>
        <v/>
      </c>
      <c r="BR148" s="794" t="str">
        <f t="shared" si="83"/>
        <v/>
      </c>
      <c r="BS148" s="794" t="str">
        <f t="shared" si="84"/>
        <v/>
      </c>
      <c r="BT148" s="794" t="str">
        <f t="shared" si="85"/>
        <v/>
      </c>
      <c r="BU148" s="794" t="str">
        <f t="shared" si="86"/>
        <v/>
      </c>
      <c r="BV148" s="794" t="str">
        <f t="shared" si="87"/>
        <v/>
      </c>
      <c r="BW148" s="794" t="str">
        <f t="shared" si="88"/>
        <v/>
      </c>
      <c r="BX148" s="401" t="str">
        <f t="shared" si="89"/>
        <v/>
      </c>
      <c r="BY148" s="805" t="str">
        <f>IF(BQ148="","",1200)</f>
        <v/>
      </c>
      <c r="BZ148" s="792" t="str">
        <f t="shared" ref="BZ148:CF148" si="103">IF(BR148="","",1200)</f>
        <v/>
      </c>
      <c r="CA148" s="792" t="str">
        <f t="shared" si="103"/>
        <v/>
      </c>
      <c r="CB148" s="792" t="str">
        <f t="shared" si="103"/>
        <v/>
      </c>
      <c r="CC148" s="792" t="str">
        <f t="shared" si="103"/>
        <v/>
      </c>
      <c r="CD148" s="792" t="str">
        <f t="shared" si="103"/>
        <v/>
      </c>
      <c r="CE148" s="792" t="str">
        <f t="shared" si="103"/>
        <v/>
      </c>
      <c r="CF148" s="806" t="str">
        <f t="shared" si="103"/>
        <v/>
      </c>
    </row>
    <row r="149" spans="14:84" ht="15" customHeight="1" thickBot="1">
      <c r="N149" s="17"/>
      <c r="O149" s="17"/>
      <c r="P149" s="17"/>
      <c r="Q149" s="17"/>
      <c r="R149" s="69"/>
      <c r="S149" s="69"/>
      <c r="T149" s="69"/>
      <c r="U149" s="69"/>
      <c r="W149" s="6"/>
      <c r="Z149" s="6"/>
      <c r="AM149" s="518" t="s">
        <v>204</v>
      </c>
      <c r="AN149" s="506">
        <f>8000</f>
        <v>8000</v>
      </c>
      <c r="AO149" s="490">
        <f>8*0.05</f>
        <v>0.4</v>
      </c>
      <c r="AP149" s="507">
        <f t="shared" si="94"/>
        <v>0</v>
      </c>
      <c r="AQ149" s="507"/>
      <c r="AR149" s="362">
        <f t="shared" si="95"/>
        <v>9.1683222747312582E-3</v>
      </c>
      <c r="AY149" s="142" t="s">
        <v>258</v>
      </c>
      <c r="AZ149" s="6">
        <v>2000</v>
      </c>
      <c r="BA149" s="95"/>
      <c r="BB149" s="95"/>
      <c r="BC149" s="95"/>
      <c r="BL149" s="782" t="s">
        <v>595</v>
      </c>
      <c r="BM149" s="782">
        <v>13</v>
      </c>
      <c r="BN149" s="789">
        <v>32000500</v>
      </c>
      <c r="BO149" s="782" t="s">
        <v>594</v>
      </c>
      <c r="BP149" s="790">
        <v>37000000</v>
      </c>
      <c r="BQ149" s="793" t="str">
        <f t="shared" si="96"/>
        <v/>
      </c>
      <c r="BR149" s="794" t="str">
        <f t="shared" si="83"/>
        <v/>
      </c>
      <c r="BS149" s="794" t="str">
        <f t="shared" si="84"/>
        <v/>
      </c>
      <c r="BT149" s="794" t="str">
        <f t="shared" si="85"/>
        <v/>
      </c>
      <c r="BU149" s="794" t="str">
        <f t="shared" si="86"/>
        <v/>
      </c>
      <c r="BV149" s="794" t="str">
        <f t="shared" si="87"/>
        <v/>
      </c>
      <c r="BW149" s="794" t="str">
        <f t="shared" si="88"/>
        <v/>
      </c>
      <c r="BX149" s="401" t="str">
        <f t="shared" si="89"/>
        <v/>
      </c>
      <c r="BY149" s="805" t="str">
        <f>IF(BQ149="","",1300)</f>
        <v/>
      </c>
      <c r="BZ149" s="792" t="str">
        <f t="shared" ref="BZ149:CF149" si="104">IF(BR149="","",1300)</f>
        <v/>
      </c>
      <c r="CA149" s="792" t="str">
        <f t="shared" si="104"/>
        <v/>
      </c>
      <c r="CB149" s="792" t="str">
        <f t="shared" si="104"/>
        <v/>
      </c>
      <c r="CC149" s="792" t="str">
        <f t="shared" si="104"/>
        <v/>
      </c>
      <c r="CD149" s="792" t="str">
        <f t="shared" si="104"/>
        <v/>
      </c>
      <c r="CE149" s="792" t="str">
        <f t="shared" si="104"/>
        <v/>
      </c>
      <c r="CF149" s="806" t="str">
        <f t="shared" si="104"/>
        <v/>
      </c>
    </row>
    <row r="150" spans="14:84" ht="26.25" thickBot="1">
      <c r="N150" s="17"/>
      <c r="O150" s="17"/>
      <c r="P150" s="17"/>
      <c r="Q150" s="17"/>
      <c r="R150" s="69"/>
      <c r="S150" s="69"/>
      <c r="T150" s="69"/>
      <c r="U150" s="69"/>
      <c r="W150" s="6"/>
      <c r="Z150" s="6"/>
      <c r="AM150" s="517" t="s">
        <v>205</v>
      </c>
      <c r="AN150" s="506">
        <f>9000</f>
        <v>9000</v>
      </c>
      <c r="AO150" s="490">
        <f>9*0.05</f>
        <v>0.45</v>
      </c>
      <c r="AP150" s="507">
        <f t="shared" si="94"/>
        <v>0</v>
      </c>
      <c r="AQ150" s="507"/>
      <c r="AR150" s="362">
        <f t="shared" si="95"/>
        <v>9.1683222747312582E-3</v>
      </c>
      <c r="AY150" s="142" t="s">
        <v>259</v>
      </c>
      <c r="AZ150" s="6">
        <v>2000</v>
      </c>
      <c r="BA150" s="95"/>
      <c r="BB150" s="95"/>
      <c r="BC150" s="95"/>
      <c r="BL150" s="782" t="s">
        <v>597</v>
      </c>
      <c r="BM150" s="782">
        <v>14</v>
      </c>
      <c r="BN150" s="789">
        <v>37000500</v>
      </c>
      <c r="BO150" s="782" t="s">
        <v>596</v>
      </c>
      <c r="BP150" s="790">
        <v>40000000</v>
      </c>
      <c r="BQ150" s="793" t="str">
        <f t="shared" si="96"/>
        <v/>
      </c>
      <c r="BR150" s="794" t="str">
        <f t="shared" si="83"/>
        <v/>
      </c>
      <c r="BS150" s="794" t="str">
        <f t="shared" si="84"/>
        <v/>
      </c>
      <c r="BT150" s="794" t="str">
        <f t="shared" si="85"/>
        <v/>
      </c>
      <c r="BU150" s="794" t="str">
        <f t="shared" si="86"/>
        <v/>
      </c>
      <c r="BV150" s="794" t="str">
        <f t="shared" si="87"/>
        <v/>
      </c>
      <c r="BW150" s="794" t="str">
        <f t="shared" si="88"/>
        <v/>
      </c>
      <c r="BX150" s="401" t="str">
        <f t="shared" si="89"/>
        <v/>
      </c>
      <c r="BY150" s="805" t="str">
        <f>IF(BQ150="","",1400)</f>
        <v/>
      </c>
      <c r="BZ150" s="792" t="str">
        <f t="shared" ref="BZ150:CF150" si="105">IF(BR150="","",1400)</f>
        <v/>
      </c>
      <c r="CA150" s="792" t="str">
        <f t="shared" si="105"/>
        <v/>
      </c>
      <c r="CB150" s="792" t="str">
        <f t="shared" si="105"/>
        <v/>
      </c>
      <c r="CC150" s="792" t="str">
        <f t="shared" si="105"/>
        <v/>
      </c>
      <c r="CD150" s="792" t="str">
        <f t="shared" si="105"/>
        <v/>
      </c>
      <c r="CE150" s="792" t="str">
        <f t="shared" si="105"/>
        <v/>
      </c>
      <c r="CF150" s="806" t="str">
        <f t="shared" si="105"/>
        <v/>
      </c>
    </row>
    <row r="151" spans="14:84" ht="21.75" customHeight="1" thickBot="1">
      <c r="N151" s="17"/>
      <c r="O151" s="17"/>
      <c r="P151" s="17"/>
      <c r="Q151" s="17"/>
      <c r="R151" s="69"/>
      <c r="S151" s="69"/>
      <c r="T151" s="69"/>
      <c r="U151" s="69"/>
      <c r="W151" s="6"/>
      <c r="Z151" s="6"/>
      <c r="AM151" s="677" t="s">
        <v>206</v>
      </c>
      <c r="AN151" s="512">
        <f>10000</f>
        <v>10000</v>
      </c>
      <c r="AO151" s="502">
        <f>10*0.05</f>
        <v>0.5</v>
      </c>
      <c r="AP151" s="511">
        <f t="shared" si="94"/>
        <v>0</v>
      </c>
      <c r="AQ151" s="511"/>
      <c r="AR151" s="605">
        <f t="shared" si="95"/>
        <v>9.1683222747312582E-3</v>
      </c>
      <c r="AY151" s="142" t="s">
        <v>260</v>
      </c>
      <c r="AZ151" s="6">
        <v>5000</v>
      </c>
      <c r="BA151" s="95"/>
      <c r="BB151" s="95"/>
      <c r="BC151" s="95"/>
      <c r="BL151" s="782" t="s">
        <v>599</v>
      </c>
      <c r="BM151" s="782">
        <v>15</v>
      </c>
      <c r="BN151" s="789">
        <v>40001000</v>
      </c>
      <c r="BO151" s="782" t="s">
        <v>598</v>
      </c>
      <c r="BP151" s="790">
        <v>54000000</v>
      </c>
      <c r="BQ151" s="793" t="str">
        <f t="shared" si="96"/>
        <v/>
      </c>
      <c r="BR151" s="794" t="str">
        <f t="shared" si="83"/>
        <v/>
      </c>
      <c r="BS151" s="794" t="str">
        <f t="shared" si="84"/>
        <v/>
      </c>
      <c r="BT151" s="794" t="str">
        <f t="shared" si="85"/>
        <v/>
      </c>
      <c r="BU151" s="794" t="str">
        <f t="shared" si="86"/>
        <v/>
      </c>
      <c r="BV151" s="794" t="str">
        <f t="shared" si="87"/>
        <v/>
      </c>
      <c r="BW151" s="794" t="str">
        <f t="shared" si="88"/>
        <v/>
      </c>
      <c r="BX151" s="401" t="str">
        <f t="shared" si="89"/>
        <v/>
      </c>
      <c r="BY151" s="805" t="str">
        <f>IF(BQ151="","",1800)</f>
        <v/>
      </c>
      <c r="BZ151" s="792" t="str">
        <f t="shared" ref="BZ151:CF151" si="106">IF(BR151="","",1800)</f>
        <v/>
      </c>
      <c r="CA151" s="792" t="str">
        <f t="shared" si="106"/>
        <v/>
      </c>
      <c r="CB151" s="792" t="str">
        <f t="shared" si="106"/>
        <v/>
      </c>
      <c r="CC151" s="792" t="str">
        <f t="shared" si="106"/>
        <v/>
      </c>
      <c r="CD151" s="792" t="str">
        <f t="shared" si="106"/>
        <v/>
      </c>
      <c r="CE151" s="792" t="str">
        <f t="shared" si="106"/>
        <v/>
      </c>
      <c r="CF151" s="806" t="str">
        <f t="shared" si="106"/>
        <v/>
      </c>
    </row>
    <row r="152" spans="14:84" ht="26.25" thickBot="1">
      <c r="N152" s="17"/>
      <c r="O152" s="17"/>
      <c r="P152" s="17"/>
      <c r="Q152" s="17"/>
      <c r="R152" s="69"/>
      <c r="S152" s="69"/>
      <c r="T152" s="69"/>
      <c r="U152" s="69"/>
      <c r="W152" s="6"/>
      <c r="Z152" s="6"/>
      <c r="AM152" s="676">
        <v>531</v>
      </c>
      <c r="AN152" s="532" t="s">
        <v>207</v>
      </c>
      <c r="AO152" s="533" t="str">
        <f>IF(AP152=0,"NÃO","SIM")</f>
        <v>NÃO</v>
      </c>
      <c r="AP152" s="534">
        <f>IF(ISERROR(SUM(AP153:AP162)+'2º MR-MI'!AP153:AP162+'3º MR-MI'!AP153:AP162),SUM(AP153:AP162),SUM(AP153:AP162)+'2º MR-MI'!AP153:AP162+'3º MR-MI'!AP153:AP162)</f>
        <v>0</v>
      </c>
      <c r="AQ152" s="534"/>
      <c r="AR152" s="39"/>
      <c r="AY152" s="142" t="s">
        <v>261</v>
      </c>
      <c r="AZ152" s="6">
        <v>10000</v>
      </c>
      <c r="BA152" s="95"/>
      <c r="BB152" s="95"/>
      <c r="BC152" s="95"/>
      <c r="BL152" s="782" t="s">
        <v>601</v>
      </c>
      <c r="BM152" s="782">
        <v>16</v>
      </c>
      <c r="BN152" s="789">
        <v>54000000</v>
      </c>
      <c r="BO152" s="782" t="s">
        <v>600</v>
      </c>
      <c r="BP152" s="790">
        <v>60000000</v>
      </c>
      <c r="BQ152" s="793" t="str">
        <f t="shared" si="96"/>
        <v/>
      </c>
      <c r="BR152" s="794" t="str">
        <f t="shared" si="83"/>
        <v/>
      </c>
      <c r="BS152" s="794" t="str">
        <f t="shared" si="84"/>
        <v/>
      </c>
      <c r="BT152" s="794" t="str">
        <f t="shared" si="85"/>
        <v/>
      </c>
      <c r="BU152" s="794" t="str">
        <f t="shared" si="86"/>
        <v/>
      </c>
      <c r="BV152" s="794" t="str">
        <f t="shared" si="87"/>
        <v/>
      </c>
      <c r="BW152" s="794" t="str">
        <f t="shared" si="88"/>
        <v/>
      </c>
      <c r="BX152" s="401" t="str">
        <f t="shared" si="89"/>
        <v/>
      </c>
      <c r="BY152" s="805" t="str">
        <f>IF(BQ152="","",1900)</f>
        <v/>
      </c>
      <c r="BZ152" s="792" t="str">
        <f t="shared" ref="BZ152:CF152" si="107">IF(BR152="","",1900)</f>
        <v/>
      </c>
      <c r="CA152" s="792" t="str">
        <f t="shared" si="107"/>
        <v/>
      </c>
      <c r="CB152" s="792" t="str">
        <f t="shared" si="107"/>
        <v/>
      </c>
      <c r="CC152" s="792" t="str">
        <f t="shared" si="107"/>
        <v/>
      </c>
      <c r="CD152" s="792" t="str">
        <f t="shared" si="107"/>
        <v/>
      </c>
      <c r="CE152" s="792" t="str">
        <f t="shared" si="107"/>
        <v/>
      </c>
      <c r="CF152" s="806" t="str">
        <f t="shared" si="107"/>
        <v/>
      </c>
    </row>
    <row r="153" spans="14:84" ht="15" customHeight="1" thickBot="1">
      <c r="N153" s="17"/>
      <c r="O153" s="17"/>
      <c r="P153" s="17"/>
      <c r="Q153" s="17"/>
      <c r="R153" s="69"/>
      <c r="S153" s="69"/>
      <c r="T153" s="69"/>
      <c r="U153" s="69"/>
      <c r="Z153" s="6"/>
      <c r="AM153" s="491" t="s">
        <v>164</v>
      </c>
      <c r="AN153" s="506">
        <f>2000</f>
        <v>2000</v>
      </c>
      <c r="AO153" s="506">
        <f>0.1</f>
        <v>0.1</v>
      </c>
      <c r="AP153" s="507">
        <f t="shared" ref="AP153:AP162" si="108">IF(ISERROR(MATCH(AM153,$B$32:$B$77,0)),0,(MATCH(AM153,$B$32:$B$77,0)))+IF(ISERROR(MATCH(AM153,$C$32:$C$77,0)),0,(MATCH(AM153,$C$32:$C$77,0)))</f>
        <v>0</v>
      </c>
      <c r="AQ153" s="507"/>
      <c r="AR153" s="362">
        <f t="shared" ref="AR153:AR162" si="109">SQRT((15.88/1000)^2/3)</f>
        <v>9.1683222747312582E-3</v>
      </c>
      <c r="AY153" s="143" t="s">
        <v>262</v>
      </c>
      <c r="AZ153" s="6">
        <v>20000</v>
      </c>
      <c r="BA153" s="95"/>
      <c r="BB153" s="95"/>
      <c r="BC153" s="95"/>
      <c r="BL153" s="782" t="s">
        <v>603</v>
      </c>
      <c r="BM153" s="782">
        <v>17</v>
      </c>
      <c r="BN153" s="789">
        <v>60002000</v>
      </c>
      <c r="BO153" s="782" t="s">
        <v>602</v>
      </c>
      <c r="BP153" s="790">
        <v>69000000</v>
      </c>
      <c r="BQ153" s="793" t="str">
        <f t="shared" si="96"/>
        <v/>
      </c>
      <c r="BR153" s="794" t="str">
        <f t="shared" si="83"/>
        <v/>
      </c>
      <c r="BS153" s="794" t="str">
        <f t="shared" si="84"/>
        <v/>
      </c>
      <c r="BT153" s="794" t="str">
        <f t="shared" si="85"/>
        <v/>
      </c>
      <c r="BU153" s="794" t="str">
        <f t="shared" si="86"/>
        <v/>
      </c>
      <c r="BV153" s="794" t="str">
        <f t="shared" si="87"/>
        <v/>
      </c>
      <c r="BW153" s="794" t="str">
        <f t="shared" si="88"/>
        <v/>
      </c>
      <c r="BX153" s="401" t="str">
        <f t="shared" si="89"/>
        <v/>
      </c>
      <c r="BY153" s="805" t="str">
        <f>IF(BQ153="","",2500)</f>
        <v/>
      </c>
      <c r="BZ153" s="792" t="str">
        <f t="shared" ref="BZ153:CF153" si="110">IF(BR153="","",2500)</f>
        <v/>
      </c>
      <c r="CA153" s="792" t="str">
        <f t="shared" si="110"/>
        <v/>
      </c>
      <c r="CB153" s="792" t="str">
        <f t="shared" si="110"/>
        <v/>
      </c>
      <c r="CC153" s="792" t="str">
        <f t="shared" si="110"/>
        <v/>
      </c>
      <c r="CD153" s="792" t="str">
        <f t="shared" si="110"/>
        <v/>
      </c>
      <c r="CE153" s="792" t="str">
        <f t="shared" si="110"/>
        <v/>
      </c>
      <c r="CF153" s="806" t="str">
        <f t="shared" si="110"/>
        <v/>
      </c>
    </row>
    <row r="154" spans="14:84" ht="26.25" thickBot="1">
      <c r="N154" s="17"/>
      <c r="O154" s="17"/>
      <c r="P154" s="17"/>
      <c r="Q154" s="17"/>
      <c r="R154" s="69"/>
      <c r="S154" s="69"/>
      <c r="T154" s="69"/>
      <c r="U154" s="69"/>
      <c r="Z154" s="6"/>
      <c r="AM154" s="491" t="s">
        <v>208</v>
      </c>
      <c r="AN154" s="506">
        <f>4000</f>
        <v>4000</v>
      </c>
      <c r="AO154" s="490">
        <f>2*0.1</f>
        <v>0.2</v>
      </c>
      <c r="AP154" s="507">
        <f t="shared" si="108"/>
        <v>0</v>
      </c>
      <c r="AQ154" s="507"/>
      <c r="AR154" s="362">
        <f t="shared" si="109"/>
        <v>9.1683222747312582E-3</v>
      </c>
      <c r="AY154" s="139" t="s">
        <v>180</v>
      </c>
      <c r="AZ154" s="192" t="s">
        <v>280</v>
      </c>
      <c r="BA154" s="927" t="s">
        <v>241</v>
      </c>
      <c r="BB154" s="927"/>
      <c r="BC154" s="927"/>
      <c r="BL154" s="782" t="s">
        <v>605</v>
      </c>
      <c r="BM154" s="782">
        <v>18</v>
      </c>
      <c r="BN154" s="789">
        <v>69002000</v>
      </c>
      <c r="BO154" s="782" t="s">
        <v>604</v>
      </c>
      <c r="BP154" s="790">
        <v>80000000</v>
      </c>
      <c r="BQ154" s="795" t="str">
        <f t="shared" si="96"/>
        <v/>
      </c>
      <c r="BR154" s="796" t="str">
        <f t="shared" si="83"/>
        <v/>
      </c>
      <c r="BS154" s="796" t="str">
        <f t="shared" si="84"/>
        <v/>
      </c>
      <c r="BT154" s="796" t="str">
        <f t="shared" si="85"/>
        <v/>
      </c>
      <c r="BU154" s="796" t="str">
        <f t="shared" si="86"/>
        <v/>
      </c>
      <c r="BV154" s="796" t="str">
        <f t="shared" si="87"/>
        <v/>
      </c>
      <c r="BW154" s="796" t="str">
        <f t="shared" si="88"/>
        <v/>
      </c>
      <c r="BX154" s="797" t="str">
        <f t="shared" si="89"/>
        <v/>
      </c>
      <c r="BY154" s="807" t="str">
        <f>IF(BQ154="","",2600)</f>
        <v/>
      </c>
      <c r="BZ154" s="808" t="str">
        <f t="shared" ref="BZ154:CF154" si="111">IF(BR154="","",2600)</f>
        <v/>
      </c>
      <c r="CA154" s="808" t="str">
        <f t="shared" si="111"/>
        <v/>
      </c>
      <c r="CB154" s="808" t="str">
        <f t="shared" si="111"/>
        <v/>
      </c>
      <c r="CC154" s="808" t="str">
        <f t="shared" si="111"/>
        <v/>
      </c>
      <c r="CD154" s="808" t="str">
        <f t="shared" si="111"/>
        <v/>
      </c>
      <c r="CE154" s="808" t="str">
        <f t="shared" si="111"/>
        <v/>
      </c>
      <c r="CF154" s="809" t="str">
        <f t="shared" si="111"/>
        <v/>
      </c>
    </row>
    <row r="155" spans="14:84" ht="15" customHeight="1" thickBot="1">
      <c r="N155" s="17"/>
      <c r="O155" s="17"/>
      <c r="P155" s="17"/>
      <c r="Q155" s="17"/>
      <c r="R155" s="69"/>
      <c r="S155" s="69"/>
      <c r="T155" s="69"/>
      <c r="U155" s="69"/>
      <c r="Z155" s="6"/>
      <c r="AM155" s="491" t="s">
        <v>209</v>
      </c>
      <c r="AN155" s="506">
        <f>6000</f>
        <v>6000</v>
      </c>
      <c r="AO155" s="490">
        <f>3*0.1</f>
        <v>0.30000000000000004</v>
      </c>
      <c r="AP155" s="507">
        <f t="shared" si="108"/>
        <v>0</v>
      </c>
      <c r="AQ155" s="507"/>
      <c r="AR155" s="362">
        <f t="shared" si="109"/>
        <v>9.1683222747312582E-3</v>
      </c>
      <c r="AY155" s="140" t="s">
        <v>254</v>
      </c>
      <c r="AZ155" s="133" t="s">
        <v>251</v>
      </c>
      <c r="BA155" s="105" t="s">
        <v>248</v>
      </c>
      <c r="BB155" s="106" t="s">
        <v>249</v>
      </c>
      <c r="BC155" s="107" t="s">
        <v>250</v>
      </c>
      <c r="BM155" s="6"/>
      <c r="BN155" s="6"/>
      <c r="BO155" s="6"/>
      <c r="BP155" s="6"/>
      <c r="BQ155" s="6"/>
      <c r="BR155" s="6"/>
      <c r="BX155" s="811" t="s">
        <v>612</v>
      </c>
      <c r="BY155">
        <f>SUM(BY137:BY154)</f>
        <v>0</v>
      </c>
      <c r="BZ155">
        <f t="shared" ref="BZ155:CF155" si="112">SUM(BZ137:BZ154)</f>
        <v>0</v>
      </c>
      <c r="CA155">
        <f t="shared" si="112"/>
        <v>0</v>
      </c>
      <c r="CB155">
        <f t="shared" si="112"/>
        <v>0</v>
      </c>
      <c r="CC155">
        <f t="shared" si="112"/>
        <v>0</v>
      </c>
      <c r="CD155">
        <f t="shared" si="112"/>
        <v>0</v>
      </c>
      <c r="CE155">
        <f t="shared" si="112"/>
        <v>0</v>
      </c>
      <c r="CF155">
        <f t="shared" si="112"/>
        <v>0</v>
      </c>
    </row>
    <row r="156" spans="14:84" ht="15.75" thickBot="1">
      <c r="N156" s="17"/>
      <c r="O156" s="17"/>
      <c r="P156" s="17"/>
      <c r="Q156" s="17"/>
      <c r="R156" s="69"/>
      <c r="S156" s="69"/>
      <c r="T156" s="69"/>
      <c r="U156" s="69"/>
      <c r="Z156" s="6"/>
      <c r="AM156" s="505" t="s">
        <v>210</v>
      </c>
      <c r="AN156" s="506">
        <f>8000</f>
        <v>8000</v>
      </c>
      <c r="AO156" s="490">
        <f>4*0.1</f>
        <v>0.4</v>
      </c>
      <c r="AP156" s="507">
        <f t="shared" si="108"/>
        <v>0</v>
      </c>
      <c r="AQ156" s="507"/>
      <c r="AR156" s="362">
        <f t="shared" si="109"/>
        <v>9.1683222747312582E-3</v>
      </c>
      <c r="AY156" s="156"/>
      <c r="BA156" s="136">
        <f>1.6/0.1</f>
        <v>16</v>
      </c>
      <c r="BB156" s="135">
        <f>BA156/(4*SQRT(3))</f>
        <v>2.3094010767585034</v>
      </c>
      <c r="BC156" s="194">
        <f>(0.1*(1*1000000)*$AZ$88/$AZ$89+BA156/4)/(1*SQRT(3))</f>
        <v>10.96965511460289</v>
      </c>
      <c r="BM156" s="6"/>
      <c r="BN156" s="6"/>
      <c r="BO156" s="6"/>
      <c r="BP156" s="6"/>
      <c r="BQ156" s="6"/>
      <c r="BR156" s="6"/>
      <c r="BX156" s="811" t="s">
        <v>614</v>
      </c>
      <c r="BY156" t="str">
        <f>IF($AV$77="g",$L$34,IF($AV$77="kg",$L$34*1000,IF($AV$77="mg",$L$34*0.001,$L$34)))</f>
        <v>-------</v>
      </c>
      <c r="BZ156" t="str">
        <f>IF($AV$77="g",$L$39,IF($AV$77="kg",$L$39*1000,IF($AV$77="mg",$L$39*0.001,$L$39)))</f>
        <v>-------</v>
      </c>
      <c r="CA156" t="str">
        <f>IF($AV$77="g",$L$45,IF($AV$77="kg",$L$45*1000,IF($AV$77="mg",$L$45*0.001,$L$45)))</f>
        <v>-------</v>
      </c>
      <c r="CB156" t="str">
        <f>IF($AV$77="g",$L$51,IF($AV$77="kg",$L$51*1000,IF($AV$77="mg",$L$51*0.001,$L$51)))</f>
        <v>-------</v>
      </c>
      <c r="CC156" t="str">
        <f>IF($AV$77="g",$L$57,IF($AV$77="kg",$L$57*1000,IF($AV$77="mg",$L$57*0.001,$L$57)))</f>
        <v>-------</v>
      </c>
      <c r="CD156" t="str">
        <f>IF($AV$77="g",$L$63,IF($AV$77="kg",$L$63*1000,IF($AV$77="mg",$L$63*0.001,$L$63)))</f>
        <v>-------</v>
      </c>
      <c r="CE156" t="str">
        <f>IF($AV$77="g",$L$69,IF($AV$77="kg",$L$69*1000,IF($AV$77="mg",$L$69*0.001,$L$69)))</f>
        <v>-------</v>
      </c>
      <c r="CF156" t="str">
        <f>IF($AV$77="g",$L$75,IF($AV$77="kg",$L$75*1000,IF($AV$77="mg",$L$75*0.001,$L$75)))</f>
        <v>-------</v>
      </c>
    </row>
    <row r="157" spans="14:84" ht="15" customHeight="1" thickBot="1">
      <c r="N157" s="17"/>
      <c r="O157" s="17"/>
      <c r="P157" s="17"/>
      <c r="Q157" s="17"/>
      <c r="R157" s="69"/>
      <c r="S157" s="69"/>
      <c r="T157" s="69"/>
      <c r="U157" s="69"/>
      <c r="Z157" s="6"/>
      <c r="AM157" s="505" t="s">
        <v>211</v>
      </c>
      <c r="AN157" s="506">
        <f>10000</f>
        <v>10000</v>
      </c>
      <c r="AO157" s="490">
        <f>5*0.1</f>
        <v>0.5</v>
      </c>
      <c r="AP157" s="507">
        <f t="shared" si="108"/>
        <v>0</v>
      </c>
      <c r="AQ157" s="507"/>
      <c r="AR157" s="362">
        <f t="shared" si="109"/>
        <v>9.1683222747312582E-3</v>
      </c>
      <c r="AY157" s="139" t="s">
        <v>256</v>
      </c>
      <c r="AZ157" s="192" t="s">
        <v>280</v>
      </c>
      <c r="BA157" s="927" t="s">
        <v>242</v>
      </c>
      <c r="BB157" s="927"/>
      <c r="BC157" s="958"/>
      <c r="BG157" s="95"/>
      <c r="BH157" s="95"/>
      <c r="BI157" s="95"/>
      <c r="BJ157" s="95"/>
      <c r="BK157" s="95"/>
      <c r="BL157" s="95"/>
      <c r="BM157" s="6"/>
      <c r="BN157" s="6"/>
      <c r="BO157" s="6"/>
      <c r="BP157" s="6"/>
      <c r="BQ157" s="6"/>
      <c r="BR157" s="6"/>
      <c r="BW157" s="870" t="s">
        <v>613</v>
      </c>
      <c r="BX157" s="870"/>
      <c r="BY157" s="784" t="str">
        <f>IF(BY156&lt;BY155,BY155,BY156)</f>
        <v>-------</v>
      </c>
      <c r="BZ157" s="784" t="str">
        <f t="shared" ref="BZ157:CF157" si="113">IF(BZ156&lt;BZ155,BZ155,BZ156)</f>
        <v>-------</v>
      </c>
      <c r="CA157" s="784" t="str">
        <f t="shared" si="113"/>
        <v>-------</v>
      </c>
      <c r="CB157" s="784" t="str">
        <f t="shared" si="113"/>
        <v>-------</v>
      </c>
      <c r="CC157" s="784" t="str">
        <f t="shared" si="113"/>
        <v>-------</v>
      </c>
      <c r="CD157" s="784" t="str">
        <f t="shared" si="113"/>
        <v>-------</v>
      </c>
      <c r="CE157" s="784" t="str">
        <f t="shared" si="113"/>
        <v>-------</v>
      </c>
      <c r="CF157" s="785" t="str">
        <f t="shared" si="113"/>
        <v>-------</v>
      </c>
    </row>
    <row r="158" spans="14:84" ht="32.25" thickBot="1">
      <c r="N158" s="17"/>
      <c r="O158" s="17"/>
      <c r="P158" s="17"/>
      <c r="Q158" s="17"/>
      <c r="R158" s="69"/>
      <c r="S158" s="69"/>
      <c r="T158" s="69"/>
      <c r="U158" s="69"/>
      <c r="Z158" s="6"/>
      <c r="AM158" s="505" t="s">
        <v>213</v>
      </c>
      <c r="AN158" s="506">
        <f>12000</f>
        <v>12000</v>
      </c>
      <c r="AO158" s="490">
        <f>6*0.1</f>
        <v>0.60000000000000009</v>
      </c>
      <c r="AP158" s="507">
        <f t="shared" si="108"/>
        <v>0</v>
      </c>
      <c r="AQ158" s="507"/>
      <c r="AR158" s="362">
        <f t="shared" si="109"/>
        <v>9.1683222747312582E-3</v>
      </c>
      <c r="AY158" s="140" t="s">
        <v>254</v>
      </c>
      <c r="AZ158" s="133" t="s">
        <v>251</v>
      </c>
      <c r="BA158" s="105" t="s">
        <v>248</v>
      </c>
      <c r="BB158" s="106" t="s">
        <v>249</v>
      </c>
      <c r="BC158" s="107" t="s">
        <v>250</v>
      </c>
      <c r="BG158" s="95"/>
      <c r="BH158" s="95"/>
      <c r="BI158" s="95"/>
      <c r="BJ158" s="95"/>
      <c r="BK158" s="95"/>
      <c r="BL158" s="95"/>
      <c r="BM158" s="6"/>
      <c r="BN158" s="6"/>
      <c r="BO158" s="6"/>
      <c r="BP158" s="6"/>
      <c r="BQ158" s="6"/>
      <c r="BR158" s="6"/>
    </row>
    <row r="159" spans="14:84" ht="15" customHeight="1" thickBot="1">
      <c r="N159" s="17"/>
      <c r="O159" s="17"/>
      <c r="P159" s="17"/>
      <c r="Q159" s="17"/>
      <c r="R159" s="69"/>
      <c r="S159" s="69"/>
      <c r="T159" s="69"/>
      <c r="U159" s="69"/>
      <c r="Z159" s="6"/>
      <c r="AM159" s="505" t="s">
        <v>214</v>
      </c>
      <c r="AN159" s="506">
        <f>14000</f>
        <v>14000</v>
      </c>
      <c r="AO159" s="490">
        <f>7*0.1</f>
        <v>0.70000000000000007</v>
      </c>
      <c r="AP159" s="507">
        <f t="shared" si="108"/>
        <v>0</v>
      </c>
      <c r="AQ159" s="507"/>
      <c r="AR159" s="362">
        <f t="shared" si="109"/>
        <v>9.1683222747312582E-3</v>
      </c>
      <c r="AY159" s="157"/>
      <c r="AZ159" s="95"/>
      <c r="BA159" s="136">
        <f>5/0.1</f>
        <v>50</v>
      </c>
      <c r="BB159" s="135">
        <f>BA159/(4*SQRT(3))</f>
        <v>7.2168783648703227</v>
      </c>
      <c r="BC159" s="194">
        <f>(0.1*(1*1000000)*$AZ$88/$AZ$89+BA159/4)/(1*SQRT(3))</f>
        <v>15.877132402714709</v>
      </c>
      <c r="BG159" s="95"/>
      <c r="BH159" s="95"/>
      <c r="BI159" s="95"/>
      <c r="BJ159" s="95"/>
      <c r="BK159" s="95"/>
      <c r="BL159" s="95"/>
      <c r="BM159" s="6"/>
      <c r="BN159" s="827" t="s">
        <v>617</v>
      </c>
      <c r="BO159" s="6"/>
      <c r="BP159" s="6"/>
      <c r="BQ159" s="6"/>
      <c r="BR159" s="6"/>
      <c r="BY159" s="812"/>
    </row>
    <row r="160" spans="14:84" ht="15.75" thickBot="1">
      <c r="N160" s="17"/>
      <c r="O160" s="17"/>
      <c r="P160" s="17"/>
      <c r="Q160" s="17"/>
      <c r="R160" s="69"/>
      <c r="S160" s="69"/>
      <c r="T160" s="69"/>
      <c r="U160" s="69"/>
      <c r="Z160" s="6"/>
      <c r="AM160" s="505" t="s">
        <v>215</v>
      </c>
      <c r="AN160" s="506">
        <f>16000</f>
        <v>16000</v>
      </c>
      <c r="AO160" s="490">
        <f>8*0.1</f>
        <v>0.8</v>
      </c>
      <c r="AP160" s="507">
        <f t="shared" si="108"/>
        <v>0</v>
      </c>
      <c r="AQ160" s="507"/>
      <c r="AR160" s="362">
        <f t="shared" si="109"/>
        <v>9.1683222747312582E-3</v>
      </c>
      <c r="BM160" s="872" t="s">
        <v>611</v>
      </c>
      <c r="BN160" s="872"/>
      <c r="BO160" s="872"/>
      <c r="BP160" s="872"/>
      <c r="BQ160" s="873" t="s">
        <v>610</v>
      </c>
      <c r="BR160" s="873"/>
      <c r="BS160" s="873"/>
      <c r="BT160" s="873"/>
      <c r="BU160" s="873"/>
      <c r="BV160" s="873"/>
      <c r="BW160" s="873"/>
      <c r="BX160" s="873"/>
      <c r="BY160" s="874" t="s">
        <v>606</v>
      </c>
      <c r="BZ160" s="875"/>
      <c r="CA160" s="875"/>
      <c r="CB160" s="875"/>
      <c r="CC160" s="875"/>
      <c r="CD160" s="875"/>
      <c r="CE160" s="875"/>
      <c r="CF160" s="875"/>
    </row>
    <row r="161" spans="14:84" ht="15" customHeight="1" thickBot="1">
      <c r="N161" s="17"/>
      <c r="O161" s="17"/>
      <c r="P161" s="17"/>
      <c r="Q161" s="17"/>
      <c r="R161" s="69"/>
      <c r="S161" s="69"/>
      <c r="T161" s="69"/>
      <c r="U161" s="69"/>
      <c r="Z161" s="6"/>
      <c r="AM161" s="505" t="s">
        <v>216</v>
      </c>
      <c r="AN161" s="506">
        <f>18000</f>
        <v>18000</v>
      </c>
      <c r="AO161" s="490">
        <f>9*0.1</f>
        <v>0.9</v>
      </c>
      <c r="AP161" s="507">
        <f t="shared" si="108"/>
        <v>0</v>
      </c>
      <c r="AQ161" s="507"/>
      <c r="AR161" s="362">
        <f t="shared" si="109"/>
        <v>9.1683222747312582E-3</v>
      </c>
      <c r="BL161" s="785" t="s">
        <v>606</v>
      </c>
      <c r="BM161" s="787" t="s">
        <v>608</v>
      </c>
      <c r="BN161" s="783" t="s">
        <v>280</v>
      </c>
      <c r="BO161" s="783" t="s">
        <v>609</v>
      </c>
      <c r="BP161" s="798" t="s">
        <v>280</v>
      </c>
      <c r="BQ161" s="799">
        <v>1</v>
      </c>
      <c r="BR161" s="800">
        <v>2</v>
      </c>
      <c r="BS161" s="800">
        <v>3</v>
      </c>
      <c r="BT161" s="800">
        <v>4</v>
      </c>
      <c r="BU161" s="800">
        <v>5</v>
      </c>
      <c r="BV161" s="800">
        <v>6</v>
      </c>
      <c r="BW161" s="800">
        <v>7</v>
      </c>
      <c r="BX161" s="801">
        <v>8</v>
      </c>
      <c r="BY161" s="833">
        <v>1</v>
      </c>
      <c r="BZ161" s="834">
        <v>2</v>
      </c>
      <c r="CA161" s="834">
        <v>3</v>
      </c>
      <c r="CB161" s="834">
        <v>4</v>
      </c>
      <c r="CC161" s="834">
        <v>5</v>
      </c>
      <c r="CD161" s="834">
        <v>6</v>
      </c>
      <c r="CE161" s="834">
        <v>7</v>
      </c>
      <c r="CF161" s="835">
        <v>8</v>
      </c>
    </row>
    <row r="162" spans="14:84" ht="15.75" thickBot="1">
      <c r="N162" s="17"/>
      <c r="O162" s="17"/>
      <c r="P162" s="17"/>
      <c r="Q162" s="17"/>
      <c r="R162" s="69"/>
      <c r="S162" s="69"/>
      <c r="T162" s="69"/>
      <c r="U162" s="69"/>
      <c r="Z162" s="6"/>
      <c r="AM162" s="505" t="s">
        <v>212</v>
      </c>
      <c r="AN162" s="506">
        <f>20000</f>
        <v>20000</v>
      </c>
      <c r="AO162" s="490">
        <f>10*0.1</f>
        <v>1</v>
      </c>
      <c r="AP162" s="507">
        <f t="shared" si="108"/>
        <v>0</v>
      </c>
      <c r="AQ162" s="507"/>
      <c r="AR162" s="362">
        <f t="shared" si="109"/>
        <v>9.1683222747312582E-3</v>
      </c>
      <c r="BL162" s="786" t="s">
        <v>644</v>
      </c>
      <c r="BM162" s="782">
        <v>1</v>
      </c>
      <c r="BN162" s="782">
        <v>1E-3</v>
      </c>
      <c r="BO162" s="788" t="s">
        <v>571</v>
      </c>
      <c r="BP162" s="790">
        <f>0.005</f>
        <v>5.0000000000000001E-3</v>
      </c>
      <c r="BQ162" s="793" t="str">
        <f>IF(AND($AV$77="g",$D$32&lt;=BN163,$D$32&gt;BN162),$D$32,IF(AND($AV$77="kg",$D$32*1000&lt;=BN163,$D$32*1000&gt;BN162),$D$32*1000,IF(AND($AV$77="mg",$D$32*0.001&lt;=BN163,$D$32*0.001&gt;BN162),$D$32*0.001,"")))</f>
        <v/>
      </c>
      <c r="BR162" s="794" t="str">
        <f>IF(AND($AV$77="g",$D$37&lt;=BN163,$D$37&gt;BN162),$D$37,IF(AND($AV$77="kg",$D$37*1000&lt;=BN163,$D$37*1000&gt;BN162),$D$37*1000,IF(AND($AV$77="mg",$D$37*0.001&lt;=BN163,$D$37*0.001&gt;BN162),$D$37*0.001,"")))</f>
        <v/>
      </c>
      <c r="BS162" s="794" t="str">
        <f>IF(AND($AV$77="g",$D$43&lt;=BN163,$D$43&gt;BN162),$D$43,IF(AND($AV$77="kg",$D$43*1000&lt;=BN163,$D$43*1000&gt;BN162),$D$43*1000,IF(AND($AV$77="mg",$D$43*0.001&lt;=BN163,$D$43*0.001&gt;BN162),$D$43*0.001,"")))</f>
        <v/>
      </c>
      <c r="BT162" s="794" t="str">
        <f>IF(AND($AV$77="g",$D$49&lt;=BN163,$D$49&gt;BN162),$D$49,IF(AND($AV$77="kg",$D$49*1000&lt;=BN163,$D$49*1000&gt;BN162),$D$49*1000,IF(AND($AV$77="mg",$D$49*0.001&lt;=BN163,$D$49*0.001&gt;BN162),$D$49*0.001,"")))</f>
        <v/>
      </c>
      <c r="BU162" s="794" t="str">
        <f>IF(AND($AV$77="g",$D$55&lt;=BN163,$D$55&gt;BN162),$D$55,IF(AND($AV$77="kg",$D$55*1000&lt;=BN163,$D$55*1000&gt;BN162),$D$55*1000,IF(AND($AV$77="mg",$D$55*0.001&lt;=BN163,$D$55*0.001&gt;BN162),$D$55*0.001,"")))</f>
        <v/>
      </c>
      <c r="BV162" s="794" t="str">
        <f>IF(AND($AV$77="g",$D$61&lt;=BN163,$D$61&gt;BN162),$D$61,IF(AND($AV$77="kg",$D$61*1000&lt;=BN163,$D$61*1000&gt;BN162),$D$61*1000,IF(AND($AV$77="mg",$D$61*0.001&lt;=BN163,$D$61*0.001&gt;BN162),$D$61*0.001,"")))</f>
        <v/>
      </c>
      <c r="BW162" s="794" t="str">
        <f>IF(AND($AV$77="g",$D$67&lt;=BN163,$D$67&gt;BN162),$D$67,IF(AND($AV$77="kg",$D$67*1000&lt;=BN163,$D$67*1000&gt;BN162),$D$67*1000,IF(AND($AV$77="mg",$D$67*0.001&lt;=BN163,$D$67*0.001&gt;BN162),$D$67*0.001,"")))</f>
        <v/>
      </c>
      <c r="BX162" s="794" t="str">
        <f>IF(AND($AV$77="g",$D$73&lt;=BN163,$D$73&gt;BN162),$D$73,IF(AND($AV$77="kg",$D$73*1000&lt;=BN163,$D$73*1000&gt;BN162),$D$73*1000,IF(AND($AV$77="mg",$D$73*0.001&lt;=BN163,$D$73*0.001&gt;BN162),$D$73*0.001,"")))</f>
        <v/>
      </c>
      <c r="BY162" s="802" t="str">
        <f t="shared" ref="BY162:CF162" si="114">IF(BQ162="","",0.0051*0.001)</f>
        <v/>
      </c>
      <c r="BZ162" s="837" t="str">
        <f t="shared" si="114"/>
        <v/>
      </c>
      <c r="CA162" s="837" t="str">
        <f t="shared" si="114"/>
        <v/>
      </c>
      <c r="CB162" s="837" t="str">
        <f t="shared" si="114"/>
        <v/>
      </c>
      <c r="CC162" s="837" t="str">
        <f t="shared" si="114"/>
        <v/>
      </c>
      <c r="CD162" s="837" t="str">
        <f t="shared" si="114"/>
        <v/>
      </c>
      <c r="CE162" s="837" t="str">
        <f t="shared" si="114"/>
        <v/>
      </c>
      <c r="CF162" s="838" t="str">
        <f t="shared" si="114"/>
        <v/>
      </c>
    </row>
    <row r="163" spans="14:84" ht="24" customHeight="1" thickBot="1">
      <c r="N163" s="17"/>
      <c r="O163" s="17"/>
      <c r="P163" s="17"/>
      <c r="Q163" s="17"/>
      <c r="R163" s="69"/>
      <c r="S163" s="69"/>
      <c r="T163" s="69"/>
      <c r="U163" s="69"/>
      <c r="Z163" s="6"/>
      <c r="AM163" s="541" t="s">
        <v>383</v>
      </c>
      <c r="AN163" s="542" t="s">
        <v>217</v>
      </c>
      <c r="AO163" s="530" t="str">
        <f>IF(AP163=0,"NÃO","SIM")</f>
        <v>NÃO</v>
      </c>
      <c r="AP163" s="531">
        <f>IF(ISERROR(SUM(AP164:AP165)+'2º MR-MI'!AP164:AP165+'3º MR-MI'!AP164:AP165),SUM(AP164:AP165),SUM(AP164:AP165)+'2º MR-MI'!AP164:AP165+'3º MR-MI'!AP164:AP165)</f>
        <v>0</v>
      </c>
      <c r="AQ163" s="534"/>
      <c r="AR163" s="39"/>
      <c r="BL163" s="782" t="s">
        <v>645</v>
      </c>
      <c r="BM163" s="782">
        <v>2</v>
      </c>
      <c r="BN163" s="789">
        <f>0.006</f>
        <v>6.0000000000000001E-3</v>
      </c>
      <c r="BO163" s="782" t="s">
        <v>572</v>
      </c>
      <c r="BP163" s="790">
        <v>0.02</v>
      </c>
      <c r="BQ163" s="793" t="str">
        <f t="shared" ref="BQ163:BQ174" si="115">IF(AND($AV$77="g",$D$32&lt;=BN164,$D$32&gt;BN163),$D$32,IF(AND($AV$77="kg",$D$32*1000&lt;=BN164,$D$32*1000&gt;BN163),$D$32*1000,IF(AND($AV$77="mg",$D$32*0.001&lt;=BN164,$D$32*0.001&gt;BN163),$D$32*0.001,"")))</f>
        <v/>
      </c>
      <c r="BR163" s="794" t="str">
        <f t="shared" ref="BR163:BR174" si="116">IF(AND($AV$77="g",$D$37&lt;=BN164,$D$37&gt;BN163),$D$37,IF(AND($AV$77="kg",$D$37*1000&lt;=BN164,$D$37*1000&gt;BN163),$D$37*1000,IF(AND($AV$77="mg",$D$37*0.001&lt;=BN164,$D$37*0.001&gt;BN163),$D$37*0.001,"")))</f>
        <v/>
      </c>
      <c r="BS163" s="794" t="str">
        <f t="shared" ref="BS163:BS174" si="117">IF(AND($AV$77="g",$D$43&lt;=BN164,$D$43&gt;BN163),$D$43,IF(AND($AV$77="kg",$D$43*1000&lt;=BN164,$D$43*1000&gt;BN163),$D$43*1000,IF(AND($AV$77="mg",$D$43*0.001&lt;=BN164,$D$43*0.001&gt;BN163),$D$43*0.001,"")))</f>
        <v/>
      </c>
      <c r="BT163" s="794" t="str">
        <f t="shared" ref="BT163:BT174" si="118">IF(AND($AV$77="g",$D$49&lt;=BN164,$D$49&gt;BN163),$D$49,IF(AND($AV$77="kg",$D$49*1000&lt;=BN164,$D$49*1000&gt;BN163),$D$49*1000,IF(AND($AV$77="mg",$D$49*0.001&lt;=BN164,$D$49*0.001&gt;BN163),$D$49*0.001,"")))</f>
        <v/>
      </c>
      <c r="BU163" s="794" t="str">
        <f t="shared" ref="BU163:BU174" si="119">IF(AND($AV$77="g",$D$55&lt;=BN164,$D$55&gt;BN163),$D$55,IF(AND($AV$77="kg",$D$55*1000&lt;=BN164,$D$55*1000&gt;BN163),$D$55*1000,IF(AND($AV$77="mg",$D$55*0.001&lt;=BN164,$D$55*0.001&gt;BN163),$D$55*0.001,"")))</f>
        <v/>
      </c>
      <c r="BV163" s="794" t="str">
        <f t="shared" ref="BV163:BV174" si="120">IF(AND($AV$77="g",$D$61&lt;=BN164,$D$61&gt;BN163),$D$61,IF(AND($AV$77="kg",$D$61*1000&lt;=BN164,$D$61*1000&gt;BN163),$D$61*1000,IF(AND($AV$77="mg",$D$61*0.001&lt;=BN164,$D$61*0.001&gt;BN163),$D$61*0.001,"")))</f>
        <v/>
      </c>
      <c r="BW163" s="794" t="str">
        <f t="shared" ref="BW163:BW174" si="121">IF(AND($AV$77="g",$D$67&lt;=BN164,$D$67&gt;BN163),$D$67,IF(AND($AV$77="kg",$D$67*1000&lt;=BN164,$D$67*1000&gt;BN163),$D$67*1000,IF(AND($AV$77="mg",$D$67*0.001&lt;=BN164,$D$67*0.001&gt;BN163),$D$67*0.001,"")))</f>
        <v/>
      </c>
      <c r="BX163" s="794" t="str">
        <f t="shared" ref="BX163:BX174" si="122">IF(AND($AV$77="g",$D$73&lt;=BN164,$D$73&gt;BN163),$D$73,IF(AND($AV$77="kg",$D$73*1000&lt;=BN164,$D$73*1000&gt;BN163),$D$73*1000,IF(AND($AV$77="mg",$D$73*0.001&lt;=BN164,$D$73*0.001&gt;BN163),$D$73*0.001,"")))</f>
        <v/>
      </c>
      <c r="BY163" s="805" t="str">
        <f>IF(BQ163="","",(0.02%*BQ163+0.0048)*0.001)</f>
        <v/>
      </c>
      <c r="BZ163" s="785" t="str">
        <f t="shared" ref="BZ163:CF163" si="123">IF(BR163="","",(0.02%*BR163+0.0048)*0.001)</f>
        <v/>
      </c>
      <c r="CA163" s="785" t="str">
        <f t="shared" si="123"/>
        <v/>
      </c>
      <c r="CB163" s="785" t="str">
        <f t="shared" si="123"/>
        <v/>
      </c>
      <c r="CC163" s="785" t="str">
        <f t="shared" si="123"/>
        <v/>
      </c>
      <c r="CD163" s="785" t="str">
        <f t="shared" si="123"/>
        <v/>
      </c>
      <c r="CE163" s="785" t="str">
        <f t="shared" si="123"/>
        <v/>
      </c>
      <c r="CF163" s="836" t="str">
        <f t="shared" si="123"/>
        <v/>
      </c>
    </row>
    <row r="164" spans="14:84" ht="26.25" thickBot="1">
      <c r="N164" s="17"/>
      <c r="O164" s="17"/>
      <c r="P164" s="17"/>
      <c r="Q164" s="17"/>
      <c r="R164" s="69"/>
      <c r="S164" s="69"/>
      <c r="T164" s="69"/>
      <c r="U164" s="69"/>
      <c r="Z164" s="6"/>
      <c r="AM164" s="491" t="s">
        <v>218</v>
      </c>
      <c r="AN164" s="506">
        <v>5000</v>
      </c>
      <c r="AO164" s="490">
        <f>0.25</f>
        <v>0.25</v>
      </c>
      <c r="AP164" s="507">
        <f>IF(ISERROR(MATCH(AM164,$B$32:$B$77,0)),0,(MATCH(AM164,$B$32:$B$77,0)))+IF(ISERROR(MATCH(AM164,$C$32:$C$77,0)),0,(MATCH(AM164,$C$32:$C$77,0)))</f>
        <v>0</v>
      </c>
      <c r="AQ164" s="507"/>
      <c r="AR164" s="362">
        <f>SQRT((15.88/1000)^2/3)</f>
        <v>9.1683222747312582E-3</v>
      </c>
      <c r="AZ164" s="95"/>
      <c r="BA164" s="95"/>
      <c r="BH164" s="95"/>
      <c r="BI164" s="95"/>
      <c r="BJ164" s="95"/>
      <c r="BK164" s="95"/>
      <c r="BL164" s="782" t="s">
        <v>646</v>
      </c>
      <c r="BM164" s="782">
        <v>3</v>
      </c>
      <c r="BN164" s="782">
        <v>2.1000000000000001E-2</v>
      </c>
      <c r="BO164" s="782" t="s">
        <v>642</v>
      </c>
      <c r="BP164" s="790">
        <v>0.5</v>
      </c>
      <c r="BQ164" s="793" t="str">
        <f t="shared" si="115"/>
        <v/>
      </c>
      <c r="BR164" s="794" t="str">
        <f t="shared" si="116"/>
        <v/>
      </c>
      <c r="BS164" s="794" t="str">
        <f t="shared" si="117"/>
        <v/>
      </c>
      <c r="BT164" s="794" t="str">
        <f t="shared" si="118"/>
        <v/>
      </c>
      <c r="BU164" s="794" t="str">
        <f t="shared" si="119"/>
        <v/>
      </c>
      <c r="BV164" s="794" t="str">
        <f t="shared" si="120"/>
        <v/>
      </c>
      <c r="BW164" s="794" t="str">
        <f t="shared" si="121"/>
        <v/>
      </c>
      <c r="BX164" s="794" t="str">
        <f t="shared" si="122"/>
        <v/>
      </c>
      <c r="BY164" s="805" t="str">
        <f>IF(BQ164="","",(0.011%*BQ164+0.0068)*0.001)</f>
        <v/>
      </c>
      <c r="BZ164" s="785" t="str">
        <f t="shared" ref="BZ164:CF164" si="124">IF(BR164="","",(0.011%*BR164+0.0068)*0.001)</f>
        <v/>
      </c>
      <c r="CA164" s="785" t="str">
        <f t="shared" si="124"/>
        <v/>
      </c>
      <c r="CB164" s="785" t="str">
        <f t="shared" si="124"/>
        <v/>
      </c>
      <c r="CC164" s="785" t="str">
        <f t="shared" si="124"/>
        <v/>
      </c>
      <c r="CD164" s="785" t="str">
        <f t="shared" si="124"/>
        <v/>
      </c>
      <c r="CE164" s="785" t="str">
        <f t="shared" si="124"/>
        <v/>
      </c>
      <c r="CF164" s="836" t="str">
        <f t="shared" si="124"/>
        <v/>
      </c>
    </row>
    <row r="165" spans="14:84" ht="15" customHeight="1" thickBot="1">
      <c r="N165" s="17"/>
      <c r="O165" s="17"/>
      <c r="P165" s="17"/>
      <c r="Q165" s="17"/>
      <c r="R165" s="69"/>
      <c r="S165" s="69"/>
      <c r="T165" s="69"/>
      <c r="U165" s="69"/>
      <c r="Z165" s="6"/>
      <c r="AM165" s="491" t="s">
        <v>219</v>
      </c>
      <c r="AN165" s="506">
        <v>10000</v>
      </c>
      <c r="AO165" s="490">
        <f>2*0.25</f>
        <v>0.5</v>
      </c>
      <c r="AP165" s="507">
        <f>IF(ISERROR(MATCH(AM165,$B$32:$B$77,0)),0,(MATCH(AM165,$B$32:$B$77,0)))+IF(ISERROR(MATCH(AM165,$C$32:$C$77,0)),0,(MATCH(AM165,$C$32:$C$77,0)))</f>
        <v>0</v>
      </c>
      <c r="AQ165" s="507"/>
      <c r="AR165" s="362">
        <f>SQRT((15.88/1000)^2/3)</f>
        <v>9.1683222747312582E-3</v>
      </c>
      <c r="AZ165" s="95"/>
      <c r="BA165" s="95"/>
      <c r="BH165" s="95"/>
      <c r="BI165" s="95"/>
      <c r="BJ165" s="95"/>
      <c r="BK165" s="95"/>
      <c r="BL165" s="782" t="s">
        <v>647</v>
      </c>
      <c r="BM165" s="782">
        <v>4</v>
      </c>
      <c r="BN165" s="782">
        <v>0.501</v>
      </c>
      <c r="BO165" s="782" t="s">
        <v>643</v>
      </c>
      <c r="BP165" s="790">
        <v>20</v>
      </c>
      <c r="BQ165" s="793" t="str">
        <f t="shared" si="115"/>
        <v/>
      </c>
      <c r="BR165" s="794" t="str">
        <f t="shared" si="116"/>
        <v/>
      </c>
      <c r="BS165" s="794" t="str">
        <f t="shared" si="117"/>
        <v/>
      </c>
      <c r="BT165" s="794" t="str">
        <f t="shared" si="118"/>
        <v/>
      </c>
      <c r="BU165" s="794" t="str">
        <f t="shared" si="119"/>
        <v/>
      </c>
      <c r="BV165" s="794" t="str">
        <f t="shared" si="120"/>
        <v/>
      </c>
      <c r="BW165" s="794" t="str">
        <f t="shared" si="121"/>
        <v/>
      </c>
      <c r="BX165" s="794" t="str">
        <f t="shared" si="122"/>
        <v/>
      </c>
      <c r="BY165" s="805" t="str">
        <f>IF(BQ165="","",(0.012%*BQ165)*0.001)</f>
        <v/>
      </c>
      <c r="BZ165" s="785" t="str">
        <f t="shared" ref="BZ165:CF165" si="125">IF(BR165="","",(0.012%*BR165)*0.001)</f>
        <v/>
      </c>
      <c r="CA165" s="785" t="str">
        <f t="shared" si="125"/>
        <v/>
      </c>
      <c r="CB165" s="785" t="str">
        <f t="shared" si="125"/>
        <v/>
      </c>
      <c r="CC165" s="785" t="str">
        <f t="shared" si="125"/>
        <v/>
      </c>
      <c r="CD165" s="785" t="str">
        <f t="shared" si="125"/>
        <v/>
      </c>
      <c r="CE165" s="785" t="str">
        <f t="shared" si="125"/>
        <v/>
      </c>
      <c r="CF165" s="836" t="str">
        <f t="shared" si="125"/>
        <v/>
      </c>
    </row>
    <row r="166" spans="14:84" ht="16.5" thickBot="1">
      <c r="N166" s="17"/>
      <c r="O166" s="17"/>
      <c r="P166" s="17"/>
      <c r="Q166" s="17"/>
      <c r="R166" s="69"/>
      <c r="S166" s="69"/>
      <c r="T166" s="69"/>
      <c r="U166" s="69"/>
      <c r="Z166" s="6"/>
      <c r="AM166" s="541">
        <v>533</v>
      </c>
      <c r="AN166" s="542" t="s">
        <v>217</v>
      </c>
      <c r="AO166" s="530" t="str">
        <f>IF(AP166=0,"NÃO","SIM")</f>
        <v>NÃO</v>
      </c>
      <c r="AP166" s="531">
        <f>IF(ISERROR(SUM(AP167:AP168)+'2º MR-MI'!AP167:AP168+'3º MR-MI'!AP167:AP168),SUM(AP167:AP168),SUM(AP167:AP168)+'2º MR-MI'!AP167:AP168+'3º MR-MI'!AP167:AP168)</f>
        <v>0</v>
      </c>
      <c r="AQ166" s="534"/>
      <c r="AR166" s="39"/>
      <c r="AZ166" s="95"/>
      <c r="BA166" s="95"/>
      <c r="BH166" s="95"/>
      <c r="BI166" s="95"/>
      <c r="BJ166" s="95"/>
      <c r="BK166" s="95"/>
      <c r="BL166" s="782" t="s">
        <v>648</v>
      </c>
      <c r="BM166" s="782">
        <v>5</v>
      </c>
      <c r="BN166" s="782">
        <v>20.001000000000001</v>
      </c>
      <c r="BO166" s="782" t="s">
        <v>578</v>
      </c>
      <c r="BP166" s="790">
        <v>1000</v>
      </c>
      <c r="BQ166" s="793" t="str">
        <f t="shared" si="115"/>
        <v/>
      </c>
      <c r="BR166" s="794" t="str">
        <f t="shared" si="116"/>
        <v/>
      </c>
      <c r="BS166" s="794" t="str">
        <f t="shared" si="117"/>
        <v/>
      </c>
      <c r="BT166" s="794" t="str">
        <f t="shared" si="118"/>
        <v/>
      </c>
      <c r="BU166" s="794" t="str">
        <f t="shared" si="119"/>
        <v/>
      </c>
      <c r="BV166" s="794" t="str">
        <f t="shared" si="120"/>
        <v/>
      </c>
      <c r="BW166" s="794" t="str">
        <f t="shared" si="121"/>
        <v/>
      </c>
      <c r="BX166" s="794" t="str">
        <f t="shared" si="122"/>
        <v/>
      </c>
      <c r="BY166" s="805" t="str">
        <f>IF(BQ166="","",0.012%*BQ166)</f>
        <v/>
      </c>
      <c r="BZ166" s="785" t="str">
        <f t="shared" ref="BZ166:CF167" si="126">IF(BR166="","",0.012%*BR166)</f>
        <v/>
      </c>
      <c r="CA166" s="785" t="str">
        <f t="shared" si="126"/>
        <v/>
      </c>
      <c r="CB166" s="785" t="str">
        <f t="shared" si="126"/>
        <v/>
      </c>
      <c r="CC166" s="785" t="str">
        <f t="shared" si="126"/>
        <v/>
      </c>
      <c r="CD166" s="785" t="str">
        <f t="shared" si="126"/>
        <v/>
      </c>
      <c r="CE166" s="785" t="str">
        <f t="shared" si="126"/>
        <v/>
      </c>
      <c r="CF166" s="836" t="str">
        <f t="shared" si="126"/>
        <v/>
      </c>
    </row>
    <row r="167" spans="14:84" ht="15" customHeight="1" thickBot="1">
      <c r="N167" s="17"/>
      <c r="O167" s="17"/>
      <c r="P167" s="17"/>
      <c r="Q167" s="17"/>
      <c r="R167" s="69"/>
      <c r="S167" s="69"/>
      <c r="T167" s="69"/>
      <c r="U167" s="69"/>
      <c r="Z167" s="6"/>
      <c r="AM167" s="491" t="s">
        <v>220</v>
      </c>
      <c r="AN167" s="506">
        <v>10000</v>
      </c>
      <c r="AO167" s="490">
        <f>0.5</f>
        <v>0.5</v>
      </c>
      <c r="AP167" s="507">
        <f>IF(ISERROR(MATCH(AM167,$B$32:$B$77,0)),0,(MATCH(AM167,$B$32:$B$77,0)))+IF(ISERROR(MATCH(AM167,$C$32:$C$77,0)),0,(MATCH(AM167,$C$32:$C$77,0)))</f>
        <v>0</v>
      </c>
      <c r="AQ167" s="507"/>
      <c r="AR167" s="362">
        <f>SQRT((15.88/1000)^2/3)</f>
        <v>9.1683222747312582E-3</v>
      </c>
      <c r="AZ167" s="95"/>
      <c r="BA167" s="95"/>
      <c r="BL167" s="782" t="s">
        <v>648</v>
      </c>
      <c r="BM167" s="782">
        <v>6</v>
      </c>
      <c r="BN167" s="782">
        <v>1000.05</v>
      </c>
      <c r="BO167" s="782" t="s">
        <v>580</v>
      </c>
      <c r="BP167" s="790">
        <v>40000</v>
      </c>
      <c r="BQ167" s="793" t="str">
        <f t="shared" si="115"/>
        <v/>
      </c>
      <c r="BR167" s="794" t="str">
        <f t="shared" si="116"/>
        <v/>
      </c>
      <c r="BS167" s="794" t="str">
        <f t="shared" si="117"/>
        <v/>
      </c>
      <c r="BT167" s="794" t="str">
        <f t="shared" si="118"/>
        <v/>
      </c>
      <c r="BU167" s="794" t="str">
        <f t="shared" si="119"/>
        <v/>
      </c>
      <c r="BV167" s="794" t="str">
        <f t="shared" si="120"/>
        <v/>
      </c>
      <c r="BW167" s="794" t="str">
        <f t="shared" si="121"/>
        <v/>
      </c>
      <c r="BX167" s="794" t="str">
        <f t="shared" si="122"/>
        <v/>
      </c>
      <c r="BY167" s="805" t="str">
        <f>IF(BQ167="","",0.012%*BQ167)</f>
        <v/>
      </c>
      <c r="BZ167" s="785" t="str">
        <f t="shared" si="126"/>
        <v/>
      </c>
      <c r="CA167" s="785" t="str">
        <f t="shared" si="126"/>
        <v/>
      </c>
      <c r="CB167" s="785" t="str">
        <f t="shared" si="126"/>
        <v/>
      </c>
      <c r="CC167" s="785" t="str">
        <f t="shared" si="126"/>
        <v/>
      </c>
      <c r="CD167" s="785" t="str">
        <f t="shared" si="126"/>
        <v/>
      </c>
      <c r="CE167" s="785" t="str">
        <f t="shared" si="126"/>
        <v/>
      </c>
      <c r="CF167" s="836" t="str">
        <f t="shared" si="126"/>
        <v/>
      </c>
    </row>
    <row r="168" spans="14:84" ht="15.75" thickBot="1">
      <c r="N168" s="17"/>
      <c r="O168" s="17"/>
      <c r="P168" s="17"/>
      <c r="Q168" s="17"/>
      <c r="R168" s="69"/>
      <c r="S168" s="69"/>
      <c r="T168" s="69"/>
      <c r="U168" s="69"/>
      <c r="Z168" s="6"/>
      <c r="AM168" s="516" t="s">
        <v>221</v>
      </c>
      <c r="AN168" s="512">
        <v>20000</v>
      </c>
      <c r="AO168" s="502">
        <f>2*0.5</f>
        <v>1</v>
      </c>
      <c r="AP168" s="511">
        <f>IF(ISERROR(MATCH(AM168,$B$32:$B$77,0)),0,(MATCH(AM168,$B$32:$B$77,0)))+IF(ISERROR(MATCH(AM168,$C$32:$C$77,0)),0,(MATCH(AM168,$C$32:$C$77,0)))</f>
        <v>0</v>
      </c>
      <c r="AQ168" s="507"/>
      <c r="AR168" s="362">
        <f>SQRT((15.88/1000)^2/3)</f>
        <v>9.1683222747312582E-3</v>
      </c>
      <c r="BL168" s="782" t="s">
        <v>650</v>
      </c>
      <c r="BM168" s="782">
        <v>7</v>
      </c>
      <c r="BN168" s="782">
        <v>40000.1</v>
      </c>
      <c r="BO168" s="782" t="s">
        <v>649</v>
      </c>
      <c r="BP168" s="790">
        <v>1000000</v>
      </c>
      <c r="BQ168" s="793" t="str">
        <f t="shared" si="115"/>
        <v/>
      </c>
      <c r="BR168" s="794" t="str">
        <f t="shared" si="116"/>
        <v/>
      </c>
      <c r="BS168" s="794" t="str">
        <f t="shared" si="117"/>
        <v/>
      </c>
      <c r="BT168" s="794" t="str">
        <f t="shared" si="118"/>
        <v/>
      </c>
      <c r="BU168" s="794" t="str">
        <f t="shared" si="119"/>
        <v/>
      </c>
      <c r="BV168" s="794" t="str">
        <f t="shared" si="120"/>
        <v/>
      </c>
      <c r="BW168" s="794" t="str">
        <f t="shared" si="121"/>
        <v/>
      </c>
      <c r="BX168" s="794" t="str">
        <f t="shared" si="122"/>
        <v/>
      </c>
      <c r="BY168" s="805" t="str">
        <f>IF(BQ168="","",0.013%*BQ168)</f>
        <v/>
      </c>
      <c r="BZ168" s="785" t="str">
        <f t="shared" ref="BZ168:CF169" si="127">IF(BR168="","",0.013%*BR168)</f>
        <v/>
      </c>
      <c r="CA168" s="785" t="str">
        <f t="shared" si="127"/>
        <v/>
      </c>
      <c r="CB168" s="785" t="str">
        <f t="shared" si="127"/>
        <v/>
      </c>
      <c r="CC168" s="785" t="str">
        <f t="shared" si="127"/>
        <v/>
      </c>
      <c r="CD168" s="785" t="str">
        <f t="shared" si="127"/>
        <v/>
      </c>
      <c r="CE168" s="785" t="str">
        <f t="shared" si="127"/>
        <v/>
      </c>
      <c r="CF168" s="836" t="str">
        <f t="shared" si="127"/>
        <v/>
      </c>
    </row>
    <row r="169" spans="14:84" ht="15" customHeight="1" thickBot="1">
      <c r="N169" s="17"/>
      <c r="O169" s="17"/>
      <c r="P169" s="17"/>
      <c r="Q169" s="17"/>
      <c r="R169" s="69"/>
      <c r="S169" s="69"/>
      <c r="T169" s="69"/>
      <c r="U169" s="69"/>
      <c r="Z169" s="6"/>
      <c r="AM169" s="543" t="s">
        <v>377</v>
      </c>
      <c r="AN169" s="542" t="s">
        <v>425</v>
      </c>
      <c r="AO169" s="530" t="str">
        <f>IF(AP169=0,"NÃO","SIM")</f>
        <v>NÃO</v>
      </c>
      <c r="AP169" s="534">
        <f>IF(ISERROR(SUM(AP170:AP178)+'2º MR-MI'!AP170:AP178+'3º MR-MI'!AP170:AP178),SUM(AP170:AP178),SUM(AP170:AP178)+'2º MR-MI'!AP170:AP178+'3º MR-MI'!AP170:AP178)</f>
        <v>0</v>
      </c>
      <c r="AQ169" s="534"/>
      <c r="AR169" s="39"/>
      <c r="BL169" s="782" t="s">
        <v>650</v>
      </c>
      <c r="BM169" s="782">
        <v>8</v>
      </c>
      <c r="BN169" s="782">
        <v>1000050</v>
      </c>
      <c r="BO169" s="782" t="s">
        <v>651</v>
      </c>
      <c r="BP169" s="790">
        <v>20000000</v>
      </c>
      <c r="BQ169" s="793" t="str">
        <f t="shared" si="115"/>
        <v/>
      </c>
      <c r="BR169" s="794" t="str">
        <f t="shared" si="116"/>
        <v/>
      </c>
      <c r="BS169" s="794" t="str">
        <f t="shared" si="117"/>
        <v/>
      </c>
      <c r="BT169" s="794" t="str">
        <f t="shared" si="118"/>
        <v/>
      </c>
      <c r="BU169" s="794" t="str">
        <f t="shared" si="119"/>
        <v/>
      </c>
      <c r="BV169" s="794" t="str">
        <f t="shared" si="120"/>
        <v/>
      </c>
      <c r="BW169" s="794" t="str">
        <f t="shared" si="121"/>
        <v/>
      </c>
      <c r="BX169" s="794" t="str">
        <f t="shared" si="122"/>
        <v/>
      </c>
      <c r="BY169" s="805" t="str">
        <f>IF(BQ169="","",0.013%*BQ169)</f>
        <v/>
      </c>
      <c r="BZ169" s="785" t="str">
        <f t="shared" si="127"/>
        <v/>
      </c>
      <c r="CA169" s="785" t="str">
        <f t="shared" si="127"/>
        <v/>
      </c>
      <c r="CB169" s="785" t="str">
        <f t="shared" si="127"/>
        <v/>
      </c>
      <c r="CC169" s="785" t="str">
        <f t="shared" si="127"/>
        <v/>
      </c>
      <c r="CD169" s="785" t="str">
        <f t="shared" si="127"/>
        <v/>
      </c>
      <c r="CE169" s="785" t="str">
        <f t="shared" si="127"/>
        <v/>
      </c>
      <c r="CF169" s="836" t="str">
        <f t="shared" si="127"/>
        <v/>
      </c>
    </row>
    <row r="170" spans="14:84" ht="26.25" customHeight="1" thickBot="1">
      <c r="N170" s="17"/>
      <c r="O170" s="17"/>
      <c r="P170" s="17"/>
      <c r="Q170" s="17"/>
      <c r="R170" s="69"/>
      <c r="S170" s="69"/>
      <c r="T170" s="69"/>
      <c r="U170" s="69"/>
      <c r="AM170" s="519" t="s">
        <v>222</v>
      </c>
      <c r="AN170" s="520">
        <v>100000</v>
      </c>
      <c r="AO170" s="506">
        <f>10</f>
        <v>10</v>
      </c>
      <c r="AP170" s="507">
        <f t="shared" ref="AP170:AP178" si="128">IF(ISERROR(MATCH(AM170,$B$32:$B$77,0)),0,(MATCH(AM170,$B$32:$B$77,0)))+IF(ISERROR(MATCH(AM170,$C$32:$C$77,0)),0,(MATCH(AM170,$C$32:$C$77,0)))</f>
        <v>0</v>
      </c>
      <c r="AQ170" s="507"/>
      <c r="AR170" s="362">
        <f t="shared" ref="AR170:AR178" si="129">SQRT((15.88/1000)^2/3)</f>
        <v>9.1683222747312582E-3</v>
      </c>
      <c r="BL170" s="782" t="s">
        <v>653</v>
      </c>
      <c r="BM170" s="782">
        <v>9</v>
      </c>
      <c r="BN170" s="789">
        <v>20000100</v>
      </c>
      <c r="BO170" s="782" t="s">
        <v>652</v>
      </c>
      <c r="BP170" s="790">
        <v>23000000</v>
      </c>
      <c r="BQ170" s="793" t="str">
        <f t="shared" si="115"/>
        <v/>
      </c>
      <c r="BR170" s="794" t="str">
        <f t="shared" si="116"/>
        <v/>
      </c>
      <c r="BS170" s="794" t="str">
        <f t="shared" si="117"/>
        <v/>
      </c>
      <c r="BT170" s="794" t="str">
        <f t="shared" si="118"/>
        <v/>
      </c>
      <c r="BU170" s="794" t="str">
        <f t="shared" si="119"/>
        <v/>
      </c>
      <c r="BV170" s="794" t="str">
        <f t="shared" si="120"/>
        <v/>
      </c>
      <c r="BW170" s="794" t="str">
        <f t="shared" si="121"/>
        <v/>
      </c>
      <c r="BX170" s="794" t="str">
        <f t="shared" si="122"/>
        <v/>
      </c>
      <c r="BY170" s="805" t="str">
        <f>IF(BQ170="","",3000)</f>
        <v/>
      </c>
      <c r="BZ170" s="785" t="str">
        <f t="shared" ref="BZ170:CF170" si="130">IF(BR170="","",3000)</f>
        <v/>
      </c>
      <c r="CA170" s="785" t="str">
        <f t="shared" si="130"/>
        <v/>
      </c>
      <c r="CB170" s="785" t="str">
        <f t="shared" si="130"/>
        <v/>
      </c>
      <c r="CC170" s="785" t="str">
        <f t="shared" si="130"/>
        <v/>
      </c>
      <c r="CD170" s="785" t="str">
        <f t="shared" si="130"/>
        <v/>
      </c>
      <c r="CE170" s="785" t="str">
        <f t="shared" si="130"/>
        <v/>
      </c>
      <c r="CF170" s="836" t="str">
        <f t="shared" si="130"/>
        <v/>
      </c>
    </row>
    <row r="171" spans="14:84" ht="27" customHeight="1" thickBot="1">
      <c r="N171" s="17"/>
      <c r="O171" s="17"/>
      <c r="P171" s="17"/>
      <c r="Q171" s="17"/>
      <c r="R171" s="69"/>
      <c r="S171" s="69"/>
      <c r="T171" s="69"/>
      <c r="U171" s="69"/>
      <c r="AM171" s="519" t="s">
        <v>226</v>
      </c>
      <c r="AN171" s="520">
        <v>200000</v>
      </c>
      <c r="AO171" s="506">
        <f>2*10</f>
        <v>20</v>
      </c>
      <c r="AP171" s="507">
        <f t="shared" si="128"/>
        <v>0</v>
      </c>
      <c r="AQ171" s="507"/>
      <c r="AR171" s="362">
        <f t="shared" si="129"/>
        <v>9.1683222747312582E-3</v>
      </c>
      <c r="BL171" s="782" t="s">
        <v>654</v>
      </c>
      <c r="BM171" s="782">
        <v>10</v>
      </c>
      <c r="BN171" s="789">
        <v>23000100</v>
      </c>
      <c r="BO171" s="782" t="s">
        <v>657</v>
      </c>
      <c r="BP171" s="790">
        <v>27000000</v>
      </c>
      <c r="BQ171" s="793" t="str">
        <f t="shared" si="115"/>
        <v/>
      </c>
      <c r="BR171" s="794" t="str">
        <f t="shared" si="116"/>
        <v/>
      </c>
      <c r="BS171" s="794" t="str">
        <f t="shared" si="117"/>
        <v/>
      </c>
      <c r="BT171" s="794" t="str">
        <f t="shared" si="118"/>
        <v/>
      </c>
      <c r="BU171" s="794" t="str">
        <f t="shared" si="119"/>
        <v/>
      </c>
      <c r="BV171" s="794" t="str">
        <f t="shared" si="120"/>
        <v/>
      </c>
      <c r="BW171" s="794" t="str">
        <f t="shared" si="121"/>
        <v/>
      </c>
      <c r="BX171" s="794" t="str">
        <f t="shared" si="122"/>
        <v/>
      </c>
      <c r="BY171" s="805" t="str">
        <f>IF(BQ171="","",3100)</f>
        <v/>
      </c>
      <c r="BZ171" s="785" t="str">
        <f t="shared" ref="BZ171:CF171" si="131">IF(BR171="","",3100)</f>
        <v/>
      </c>
      <c r="CA171" s="785" t="str">
        <f t="shared" si="131"/>
        <v/>
      </c>
      <c r="CB171" s="785" t="str">
        <f t="shared" si="131"/>
        <v/>
      </c>
      <c r="CC171" s="785" t="str">
        <f t="shared" si="131"/>
        <v/>
      </c>
      <c r="CD171" s="785" t="str">
        <f t="shared" si="131"/>
        <v/>
      </c>
      <c r="CE171" s="785" t="str">
        <f t="shared" si="131"/>
        <v/>
      </c>
      <c r="CF171" s="836" t="str">
        <f t="shared" si="131"/>
        <v/>
      </c>
    </row>
    <row r="172" spans="14:84" ht="26.25" customHeight="1" thickBot="1">
      <c r="N172" s="17"/>
      <c r="O172" s="17"/>
      <c r="P172" s="17"/>
      <c r="Q172" s="17"/>
      <c r="R172" s="69"/>
      <c r="S172" s="69"/>
      <c r="T172" s="69"/>
      <c r="U172" s="69"/>
      <c r="AM172" s="521" t="s">
        <v>227</v>
      </c>
      <c r="AN172" s="520">
        <v>300000</v>
      </c>
      <c r="AO172" s="506">
        <f>3*10</f>
        <v>30</v>
      </c>
      <c r="AP172" s="507">
        <f t="shared" si="128"/>
        <v>0</v>
      </c>
      <c r="AQ172" s="507"/>
      <c r="AR172" s="362">
        <f t="shared" si="129"/>
        <v>9.1683222747312582E-3</v>
      </c>
      <c r="BL172" s="782" t="s">
        <v>655</v>
      </c>
      <c r="BM172" s="782">
        <v>11</v>
      </c>
      <c r="BN172" s="789">
        <v>27000500</v>
      </c>
      <c r="BO172" s="782" t="s">
        <v>658</v>
      </c>
      <c r="BP172" s="790">
        <v>31000000</v>
      </c>
      <c r="BQ172" s="793" t="str">
        <f t="shared" si="115"/>
        <v/>
      </c>
      <c r="BR172" s="794" t="str">
        <f t="shared" si="116"/>
        <v/>
      </c>
      <c r="BS172" s="794" t="str">
        <f t="shared" si="117"/>
        <v/>
      </c>
      <c r="BT172" s="794" t="str">
        <f t="shared" si="118"/>
        <v/>
      </c>
      <c r="BU172" s="794" t="str">
        <f t="shared" si="119"/>
        <v/>
      </c>
      <c r="BV172" s="794" t="str">
        <f t="shared" si="120"/>
        <v/>
      </c>
      <c r="BW172" s="794" t="str">
        <f t="shared" si="121"/>
        <v/>
      </c>
      <c r="BX172" s="794" t="str">
        <f t="shared" si="122"/>
        <v/>
      </c>
      <c r="BY172" s="805" t="str">
        <f>IF(BQ172="","",0.011%*BQ172+0.1)</f>
        <v/>
      </c>
      <c r="BZ172" s="785" t="str">
        <f t="shared" ref="BZ172:CF172" si="132">IF(BR172="","",0.011%*BR172+0.1)</f>
        <v/>
      </c>
      <c r="CA172" s="785" t="str">
        <f t="shared" si="132"/>
        <v/>
      </c>
      <c r="CB172" s="785" t="str">
        <f t="shared" si="132"/>
        <v/>
      </c>
      <c r="CC172" s="785" t="str">
        <f t="shared" si="132"/>
        <v/>
      </c>
      <c r="CD172" s="785" t="str">
        <f t="shared" si="132"/>
        <v/>
      </c>
      <c r="CE172" s="785" t="str">
        <f t="shared" si="132"/>
        <v/>
      </c>
      <c r="CF172" s="836" t="str">
        <f t="shared" si="132"/>
        <v/>
      </c>
    </row>
    <row r="173" spans="14:84" ht="24.75" customHeight="1" thickBot="1">
      <c r="N173" s="17"/>
      <c r="O173" s="17"/>
      <c r="P173" s="17"/>
      <c r="Q173" s="17"/>
      <c r="R173" s="69"/>
      <c r="S173" s="69"/>
      <c r="T173" s="69"/>
      <c r="U173" s="69"/>
      <c r="AM173" s="521" t="s">
        <v>228</v>
      </c>
      <c r="AN173" s="520">
        <v>400000</v>
      </c>
      <c r="AO173" s="506">
        <f>4*10</f>
        <v>40</v>
      </c>
      <c r="AP173" s="507">
        <f t="shared" si="128"/>
        <v>0</v>
      </c>
      <c r="AQ173" s="507"/>
      <c r="AR173" s="362">
        <f t="shared" si="129"/>
        <v>9.1683222747312582E-3</v>
      </c>
      <c r="BL173" s="782" t="s">
        <v>656</v>
      </c>
      <c r="BM173" s="782">
        <v>12</v>
      </c>
      <c r="BN173" s="789">
        <v>31000500</v>
      </c>
      <c r="BO173" s="782" t="s">
        <v>659</v>
      </c>
      <c r="BP173" s="790">
        <v>36000000</v>
      </c>
      <c r="BQ173" s="793" t="str">
        <f t="shared" si="115"/>
        <v/>
      </c>
      <c r="BR173" s="794" t="str">
        <f t="shared" si="116"/>
        <v/>
      </c>
      <c r="BS173" s="794" t="str">
        <f t="shared" si="117"/>
        <v/>
      </c>
      <c r="BT173" s="794" t="str">
        <f t="shared" si="118"/>
        <v/>
      </c>
      <c r="BU173" s="794" t="str">
        <f t="shared" si="119"/>
        <v/>
      </c>
      <c r="BV173" s="794" t="str">
        <f t="shared" si="120"/>
        <v/>
      </c>
      <c r="BW173" s="794" t="str">
        <f t="shared" si="121"/>
        <v/>
      </c>
      <c r="BX173" s="794" t="str">
        <f t="shared" si="122"/>
        <v/>
      </c>
      <c r="BY173" s="805" t="str">
        <f>IF(BQ173="","",0.01%*BQ173+100)</f>
        <v/>
      </c>
      <c r="BZ173" s="785" t="str">
        <f t="shared" ref="BZ173:CF173" si="133">IF(BR173="","",0.01%*BR173+100)</f>
        <v/>
      </c>
      <c r="CA173" s="785" t="str">
        <f t="shared" si="133"/>
        <v/>
      </c>
      <c r="CB173" s="785" t="str">
        <f t="shared" si="133"/>
        <v/>
      </c>
      <c r="CC173" s="785" t="str">
        <f t="shared" si="133"/>
        <v/>
      </c>
      <c r="CD173" s="785" t="str">
        <f t="shared" si="133"/>
        <v/>
      </c>
      <c r="CE173" s="785" t="str">
        <f t="shared" si="133"/>
        <v/>
      </c>
      <c r="CF173" s="836" t="str">
        <f t="shared" si="133"/>
        <v/>
      </c>
    </row>
    <row r="174" spans="14:84" ht="27" customHeight="1" thickBot="1">
      <c r="N174" s="17"/>
      <c r="O174" s="17"/>
      <c r="P174" s="17"/>
      <c r="Q174" s="17"/>
      <c r="R174" s="69"/>
      <c r="S174" s="69"/>
      <c r="T174" s="69"/>
      <c r="U174" s="69"/>
      <c r="AM174" s="521" t="s">
        <v>229</v>
      </c>
      <c r="AN174" s="506">
        <v>500000</v>
      </c>
      <c r="AO174" s="506">
        <f>5*10</f>
        <v>50</v>
      </c>
      <c r="AP174" s="507">
        <f t="shared" si="128"/>
        <v>0</v>
      </c>
      <c r="AQ174" s="507"/>
      <c r="AR174" s="362">
        <f t="shared" si="129"/>
        <v>9.1683222747312582E-3</v>
      </c>
      <c r="BL174" s="782" t="s">
        <v>661</v>
      </c>
      <c r="BM174" s="782">
        <v>13</v>
      </c>
      <c r="BN174" s="789">
        <v>36000500</v>
      </c>
      <c r="BO174" s="782" t="s">
        <v>660</v>
      </c>
      <c r="BP174" s="790">
        <v>40000000</v>
      </c>
      <c r="BQ174" s="795" t="str">
        <f t="shared" si="115"/>
        <v/>
      </c>
      <c r="BR174" s="796" t="str">
        <f t="shared" si="116"/>
        <v/>
      </c>
      <c r="BS174" s="796" t="str">
        <f t="shared" si="117"/>
        <v/>
      </c>
      <c r="BT174" s="796" t="str">
        <f t="shared" si="118"/>
        <v/>
      </c>
      <c r="BU174" s="796" t="str">
        <f t="shared" si="119"/>
        <v/>
      </c>
      <c r="BV174" s="796" t="str">
        <f t="shared" si="120"/>
        <v/>
      </c>
      <c r="BW174" s="796" t="str">
        <f t="shared" si="121"/>
        <v/>
      </c>
      <c r="BX174" s="797" t="str">
        <f t="shared" si="122"/>
        <v/>
      </c>
      <c r="BY174" s="807" t="str">
        <f>IF(BQ174="","",0.0098%*BQ174)</f>
        <v/>
      </c>
      <c r="BZ174" s="839" t="str">
        <f t="shared" ref="BZ174:CF174" si="134">IF(BR174="","",0.0098%*BR174)</f>
        <v/>
      </c>
      <c r="CA174" s="839" t="str">
        <f t="shared" si="134"/>
        <v/>
      </c>
      <c r="CB174" s="839" t="str">
        <f t="shared" si="134"/>
        <v/>
      </c>
      <c r="CC174" s="839" t="str">
        <f t="shared" si="134"/>
        <v/>
      </c>
      <c r="CD174" s="839" t="str">
        <f t="shared" si="134"/>
        <v/>
      </c>
      <c r="CE174" s="839" t="str">
        <f t="shared" si="134"/>
        <v/>
      </c>
      <c r="CF174" s="840" t="str">
        <f t="shared" si="134"/>
        <v/>
      </c>
    </row>
    <row r="175" spans="14:84" ht="15" customHeight="1">
      <c r="N175" s="17"/>
      <c r="O175" s="17"/>
      <c r="P175" s="17"/>
      <c r="Q175" s="17"/>
      <c r="R175" s="69"/>
      <c r="S175" s="69"/>
      <c r="T175" s="69"/>
      <c r="U175" s="69"/>
      <c r="AM175" s="521" t="s">
        <v>230</v>
      </c>
      <c r="AN175" s="506">
        <v>600000</v>
      </c>
      <c r="AO175" s="506">
        <f>6*10</f>
        <v>60</v>
      </c>
      <c r="AP175" s="507">
        <f t="shared" si="128"/>
        <v>0</v>
      </c>
      <c r="AQ175" s="507"/>
      <c r="AR175" s="362">
        <f t="shared" si="129"/>
        <v>9.1683222747312582E-3</v>
      </c>
      <c r="BX175" s="811" t="s">
        <v>670</v>
      </c>
      <c r="BY175">
        <f>SUM(BY162:BY174)</f>
        <v>0</v>
      </c>
      <c r="BZ175">
        <f t="shared" ref="BZ175:CF175" si="135">SUM(BZ162:BZ174)</f>
        <v>0</v>
      </c>
      <c r="CA175">
        <f t="shared" si="135"/>
        <v>0</v>
      </c>
      <c r="CB175">
        <f t="shared" si="135"/>
        <v>0</v>
      </c>
      <c r="CC175">
        <f t="shared" si="135"/>
        <v>0</v>
      </c>
      <c r="CD175">
        <f t="shared" si="135"/>
        <v>0</v>
      </c>
      <c r="CE175">
        <f t="shared" si="135"/>
        <v>0</v>
      </c>
      <c r="CF175">
        <f t="shared" si="135"/>
        <v>0</v>
      </c>
    </row>
    <row r="176" spans="14:84" ht="15" customHeight="1">
      <c r="N176" s="17"/>
      <c r="O176" s="17"/>
      <c r="P176" s="17"/>
      <c r="Q176" s="17"/>
      <c r="R176" s="69"/>
      <c r="S176" s="69"/>
      <c r="T176" s="69"/>
      <c r="U176" s="69"/>
      <c r="AM176" s="491" t="s">
        <v>223</v>
      </c>
      <c r="AN176" s="506">
        <v>200000</v>
      </c>
      <c r="AO176" s="506">
        <f>10</f>
        <v>10</v>
      </c>
      <c r="AP176" s="507">
        <f t="shared" si="128"/>
        <v>0</v>
      </c>
      <c r="AQ176" s="507"/>
      <c r="AR176" s="362">
        <f t="shared" si="129"/>
        <v>9.1683222747312582E-3</v>
      </c>
      <c r="BX176" s="811" t="s">
        <v>671</v>
      </c>
      <c r="BY176" t="str">
        <f>IF($AV$77="g",$L$34,IF($AV$77="kg",$L$34*1000,IF($AV$77="mg",$L$34*0.001,$L$34)))</f>
        <v>-------</v>
      </c>
      <c r="BZ176" t="str">
        <f>IF($AV$77="g",$L$39,IF($AV$77="kg",$L$39*1000,IF($AV$77="mg",$L$39*0.001,$L$39)))</f>
        <v>-------</v>
      </c>
      <c r="CA176" t="str">
        <f>IF($AV$77="g",$L$45,IF($AV$77="kg",$L$45*1000,IF($AV$77="mg",$L$45*0.001,$L$45)))</f>
        <v>-------</v>
      </c>
      <c r="CB176" t="str">
        <f>IF($AV$77="g",$L$51,IF($AV$77="kg",$L$51*1000,IF($AV$77="mg",$L$51*0.001,$L$51)))</f>
        <v>-------</v>
      </c>
      <c r="CC176" t="str">
        <f>IF($AV$77="g",$L$57,IF($AV$77="kg",$L$57*1000,IF($AV$77="mg",$L$57*0.001,$L$57)))</f>
        <v>-------</v>
      </c>
      <c r="CD176" t="str">
        <f>IF($AV$77="g",$L$63,IF($AV$77="kg",$L$63*1000,IF($AV$77="mg",$L$63*0.001,$L$63)))</f>
        <v>-------</v>
      </c>
      <c r="CE176" t="str">
        <f>IF($AV$77="g",$L$69,IF($AV$77="kg",$L$69*1000,IF($AV$77="mg",$L$69*0.001,$L$69)))</f>
        <v>-------</v>
      </c>
      <c r="CF176" t="str">
        <f>IF($AV$77="g",$L$75,IF($AV$77="kg",$L$75*1000,IF($AV$77="mg",$L$75*0.001,$L$75)))</f>
        <v>-------</v>
      </c>
    </row>
    <row r="177" spans="14:84" ht="15" customHeight="1" thickBot="1">
      <c r="N177" s="17"/>
      <c r="O177" s="17"/>
      <c r="P177" s="17"/>
      <c r="Q177" s="17"/>
      <c r="R177" s="69"/>
      <c r="S177" s="69"/>
      <c r="T177" s="69"/>
      <c r="U177" s="69"/>
      <c r="AM177" s="491" t="s">
        <v>224</v>
      </c>
      <c r="AN177" s="506">
        <v>400000</v>
      </c>
      <c r="AO177" s="506">
        <f>2*10</f>
        <v>20</v>
      </c>
      <c r="AP177" s="507">
        <f t="shared" si="128"/>
        <v>0</v>
      </c>
      <c r="AQ177" s="507"/>
      <c r="AR177" s="362">
        <f t="shared" si="129"/>
        <v>9.1683222747312582E-3</v>
      </c>
      <c r="BL177" s="418"/>
      <c r="BM177" s="418"/>
      <c r="BN177" s="832" t="s">
        <v>619</v>
      </c>
      <c r="BO177" s="832"/>
      <c r="BP177" s="832"/>
      <c r="BQ177" s="832"/>
      <c r="BR177" s="832"/>
      <c r="BS177" s="832"/>
      <c r="BT177" s="832"/>
      <c r="BU177" s="832"/>
      <c r="BV177" s="832"/>
      <c r="BW177" s="870" t="s">
        <v>613</v>
      </c>
      <c r="BX177" s="870"/>
      <c r="BY177" s="784" t="str">
        <f>IF(BY176&lt;BY175,BY175,BY176)</f>
        <v>-------</v>
      </c>
      <c r="BZ177" s="784" t="str">
        <f t="shared" ref="BZ177:CF177" si="136">IF(BZ176&lt;BZ175,BZ175,BZ176)</f>
        <v>-------</v>
      </c>
      <c r="CA177" s="784" t="str">
        <f t="shared" si="136"/>
        <v>-------</v>
      </c>
      <c r="CB177" s="784" t="str">
        <f t="shared" si="136"/>
        <v>-------</v>
      </c>
      <c r="CC177" s="784" t="str">
        <f t="shared" si="136"/>
        <v>-------</v>
      </c>
      <c r="CD177" s="784" t="str">
        <f t="shared" si="136"/>
        <v>-------</v>
      </c>
      <c r="CE177" s="784" t="str">
        <f t="shared" si="136"/>
        <v>-------</v>
      </c>
      <c r="CF177" s="785" t="str">
        <f t="shared" si="136"/>
        <v>-------</v>
      </c>
    </row>
    <row r="178" spans="14:84" ht="15" customHeight="1" thickBot="1">
      <c r="N178" s="17"/>
      <c r="O178" s="17"/>
      <c r="P178" s="17"/>
      <c r="Q178" s="17"/>
      <c r="R178" s="69"/>
      <c r="S178" s="69"/>
      <c r="T178" s="69"/>
      <c r="U178" s="69"/>
      <c r="AM178" s="516" t="s">
        <v>225</v>
      </c>
      <c r="AN178" s="512">
        <v>500000</v>
      </c>
      <c r="AO178" s="502">
        <f>25</f>
        <v>25</v>
      </c>
      <c r="AP178" s="511">
        <f t="shared" si="128"/>
        <v>0</v>
      </c>
      <c r="AQ178" s="507"/>
      <c r="AR178" s="362">
        <f t="shared" si="129"/>
        <v>9.1683222747312582E-3</v>
      </c>
      <c r="BL178" s="418"/>
      <c r="BM178" s="418"/>
      <c r="BN178" s="418"/>
      <c r="BO178" s="418"/>
      <c r="BP178" s="418"/>
      <c r="BQ178" s="418"/>
      <c r="BR178" s="418"/>
      <c r="BS178" s="418"/>
      <c r="BT178" s="418"/>
      <c r="BU178" s="418"/>
      <c r="BV178" s="418"/>
      <c r="BW178" s="418"/>
      <c r="BX178" s="418"/>
      <c r="BY178" s="418"/>
    </row>
    <row r="179" spans="14:84" ht="15" customHeight="1" thickBot="1">
      <c r="N179" s="17"/>
      <c r="O179" s="17"/>
      <c r="P179" s="17"/>
      <c r="Q179" s="17"/>
      <c r="R179" s="69"/>
      <c r="S179" s="69"/>
      <c r="T179" s="69"/>
      <c r="U179" s="69"/>
      <c r="AM179" s="543" t="s">
        <v>378</v>
      </c>
      <c r="AN179" s="542" t="s">
        <v>425</v>
      </c>
      <c r="AO179" s="530" t="str">
        <f>IF(AP179=0,"NÃO","SIM")</f>
        <v>NÃO</v>
      </c>
      <c r="AP179" s="534">
        <f>IF(ISERROR(SUM(AP180:AP188)+'2º MR-MI'!AP180:AP188+'3º MR-MI'!AP180:AP188),SUM(AP180:AP188),SUM(AP180:AP188)+'2º MR-MI'!AP180:AP188+'3º MR-MI'!AP180:AP188)</f>
        <v>0</v>
      </c>
      <c r="AQ179" s="534"/>
      <c r="AR179" s="39"/>
      <c r="BL179" s="828"/>
      <c r="BM179" s="828"/>
      <c r="BN179" s="876" t="s">
        <v>609</v>
      </c>
      <c r="BO179" s="876"/>
      <c r="BP179" s="876"/>
      <c r="BQ179" s="876"/>
      <c r="BR179" s="876"/>
      <c r="BS179" s="88"/>
      <c r="BT179" s="876" t="s">
        <v>620</v>
      </c>
      <c r="BU179" s="876"/>
      <c r="BV179" s="88"/>
      <c r="BW179" s="876" t="s">
        <v>621</v>
      </c>
      <c r="BX179" s="876"/>
      <c r="BY179" s="876"/>
    </row>
    <row r="180" spans="14:84" ht="15" customHeight="1">
      <c r="N180" s="17"/>
      <c r="O180" s="17"/>
      <c r="P180" s="17"/>
      <c r="Q180" s="17"/>
      <c r="R180" s="69"/>
      <c r="S180" s="69"/>
      <c r="T180" s="69"/>
      <c r="U180" s="69"/>
      <c r="AM180" s="491" t="s">
        <v>303</v>
      </c>
      <c r="AN180" s="506">
        <f>25000</f>
        <v>25000</v>
      </c>
      <c r="AO180" s="490">
        <f>(1+0.25)</f>
        <v>1.25</v>
      </c>
      <c r="AP180" s="507">
        <f t="shared" ref="AP180:AP188" si="137">IF(ISERROR(MATCH(AM180,$B$32:$B$77,0)),0,(MATCH(AM180,$B$32:$B$77,0)))+IF(ISERROR(MATCH(AM180,$C$32:$C$77,0)),0,(MATCH(AM180,$C$32:$C$77,0)))</f>
        <v>0</v>
      </c>
      <c r="AQ180" s="507"/>
      <c r="AR180" s="362">
        <f t="shared" ref="AR180:AR188" si="138">SQRT((15.88/1000)^2/3)</f>
        <v>9.1683222747312582E-3</v>
      </c>
      <c r="BL180" s="828">
        <v>1</v>
      </c>
      <c r="BM180" s="828" t="s">
        <v>255</v>
      </c>
      <c r="BN180" s="164">
        <v>1</v>
      </c>
      <c r="BO180" s="417" t="s">
        <v>0</v>
      </c>
      <c r="BP180" s="829" t="s">
        <v>622</v>
      </c>
      <c r="BQ180" s="164">
        <v>5</v>
      </c>
      <c r="BR180" s="90" t="s">
        <v>0</v>
      </c>
      <c r="BS180" s="88"/>
      <c r="BT180" s="871" t="s">
        <v>623</v>
      </c>
      <c r="BU180" s="867"/>
      <c r="BV180" s="88"/>
      <c r="BW180" s="877" t="s">
        <v>624</v>
      </c>
      <c r="BX180" s="869"/>
      <c r="BY180" s="869"/>
    </row>
    <row r="181" spans="14:84" ht="15" customHeight="1">
      <c r="N181" s="17"/>
      <c r="O181" s="17"/>
      <c r="P181" s="17"/>
      <c r="Q181" s="17"/>
      <c r="R181" s="69"/>
      <c r="S181" s="69"/>
      <c r="T181" s="69"/>
      <c r="U181" s="69"/>
      <c r="AM181" s="491" t="s">
        <v>305</v>
      </c>
      <c r="AN181" s="506">
        <v>50000</v>
      </c>
      <c r="AO181" s="490">
        <f>(1+0.25)*2</f>
        <v>2.5</v>
      </c>
      <c r="AP181" s="507">
        <f t="shared" si="137"/>
        <v>0</v>
      </c>
      <c r="AQ181" s="507"/>
      <c r="AR181" s="362">
        <f t="shared" si="138"/>
        <v>9.1683222747312582E-3</v>
      </c>
      <c r="BL181" s="828">
        <v>2</v>
      </c>
      <c r="BM181" s="828" t="s">
        <v>255</v>
      </c>
      <c r="BN181" s="164">
        <v>5</v>
      </c>
      <c r="BO181" s="417" t="s">
        <v>0</v>
      </c>
      <c r="BP181" s="829" t="s">
        <v>625</v>
      </c>
      <c r="BQ181" s="164">
        <v>20</v>
      </c>
      <c r="BR181" s="90" t="s">
        <v>0</v>
      </c>
      <c r="BS181" s="88"/>
      <c r="BT181" s="871" t="s">
        <v>623</v>
      </c>
      <c r="BU181" s="867"/>
      <c r="BV181" s="88"/>
      <c r="BW181" s="868" t="s">
        <v>626</v>
      </c>
      <c r="BX181" s="869"/>
      <c r="BY181" s="869"/>
    </row>
    <row r="182" spans="14:84" ht="15" customHeight="1">
      <c r="N182" s="17"/>
      <c r="O182" s="17"/>
      <c r="P182" s="17"/>
      <c r="Q182" s="17"/>
      <c r="R182" s="69"/>
      <c r="S182" s="69"/>
      <c r="T182" s="69"/>
      <c r="U182" s="69"/>
      <c r="AM182" s="491" t="s">
        <v>304</v>
      </c>
      <c r="AN182" s="506">
        <v>50000</v>
      </c>
      <c r="AO182" s="490">
        <v>2.5</v>
      </c>
      <c r="AP182" s="507">
        <f t="shared" si="137"/>
        <v>0</v>
      </c>
      <c r="AQ182" s="507"/>
      <c r="AR182" s="362">
        <f t="shared" si="138"/>
        <v>9.1683222747312582E-3</v>
      </c>
      <c r="BL182" s="828">
        <v>3</v>
      </c>
      <c r="BM182" s="828" t="s">
        <v>255</v>
      </c>
      <c r="BN182" s="164">
        <v>20</v>
      </c>
      <c r="BO182" s="417" t="s">
        <v>0</v>
      </c>
      <c r="BP182" s="829" t="s">
        <v>627</v>
      </c>
      <c r="BQ182" s="164">
        <v>500</v>
      </c>
      <c r="BR182" s="90" t="s">
        <v>0</v>
      </c>
      <c r="BS182" s="88"/>
      <c r="BT182" s="871" t="s">
        <v>623</v>
      </c>
      <c r="BU182" s="867"/>
      <c r="BV182" s="88"/>
      <c r="BW182" s="868" t="s">
        <v>628</v>
      </c>
      <c r="BX182" s="869"/>
      <c r="BY182" s="869"/>
    </row>
    <row r="183" spans="14:84" ht="15" customHeight="1">
      <c r="N183" s="17"/>
      <c r="O183" s="17"/>
      <c r="P183" s="17"/>
      <c r="Q183" s="17"/>
      <c r="R183" s="69"/>
      <c r="S183" s="69"/>
      <c r="T183" s="69"/>
      <c r="U183" s="69"/>
      <c r="AM183" s="491" t="s">
        <v>306</v>
      </c>
      <c r="AN183" s="506">
        <v>100000</v>
      </c>
      <c r="AO183" s="490">
        <f>2.5*2</f>
        <v>5</v>
      </c>
      <c r="AP183" s="507">
        <f t="shared" si="137"/>
        <v>0</v>
      </c>
      <c r="AQ183" s="507"/>
      <c r="AR183" s="362">
        <f t="shared" si="138"/>
        <v>9.1683222747312582E-3</v>
      </c>
      <c r="BL183" s="828">
        <v>4</v>
      </c>
      <c r="BM183" s="828" t="s">
        <v>255</v>
      </c>
      <c r="BN183" s="164">
        <v>500</v>
      </c>
      <c r="BO183" s="417" t="s">
        <v>0</v>
      </c>
      <c r="BP183" s="829" t="s">
        <v>625</v>
      </c>
      <c r="BQ183" s="164">
        <v>20000</v>
      </c>
      <c r="BR183" s="90" t="s">
        <v>0</v>
      </c>
      <c r="BS183" s="88"/>
      <c r="BT183" s="871" t="s">
        <v>623</v>
      </c>
      <c r="BU183" s="867"/>
      <c r="BV183" s="88"/>
      <c r="BW183" s="868" t="s">
        <v>629</v>
      </c>
      <c r="BX183" s="869"/>
      <c r="BY183" s="869"/>
    </row>
    <row r="184" spans="14:84" ht="15" customHeight="1">
      <c r="N184" s="17"/>
      <c r="O184" s="17"/>
      <c r="P184" s="17"/>
      <c r="Q184" s="17"/>
      <c r="R184" s="69"/>
      <c r="S184" s="69"/>
      <c r="T184" s="69"/>
      <c r="U184" s="69"/>
      <c r="AM184" s="491" t="s">
        <v>307</v>
      </c>
      <c r="AN184" s="506">
        <v>150000</v>
      </c>
      <c r="AO184" s="490">
        <f>2.5*3</f>
        <v>7.5</v>
      </c>
      <c r="AP184" s="507">
        <f t="shared" si="137"/>
        <v>0</v>
      </c>
      <c r="AQ184" s="507"/>
      <c r="AR184" s="362">
        <f t="shared" si="138"/>
        <v>9.1683222747312582E-3</v>
      </c>
      <c r="BL184" s="828">
        <v>5</v>
      </c>
      <c r="BM184" s="828" t="s">
        <v>255</v>
      </c>
      <c r="BN184" s="164">
        <v>20</v>
      </c>
      <c r="BO184" s="417" t="s">
        <v>24</v>
      </c>
      <c r="BP184" s="829" t="s">
        <v>625</v>
      </c>
      <c r="BQ184" s="164">
        <v>1000</v>
      </c>
      <c r="BR184" s="90" t="s">
        <v>24</v>
      </c>
      <c r="BS184" s="88"/>
      <c r="BT184" s="871" t="s">
        <v>623</v>
      </c>
      <c r="BU184" s="867"/>
      <c r="BV184" s="88"/>
      <c r="BW184" s="868" t="s">
        <v>630</v>
      </c>
      <c r="BX184" s="869"/>
      <c r="BY184" s="869"/>
    </row>
    <row r="185" spans="14:84" ht="15" customHeight="1">
      <c r="N185" s="17"/>
      <c r="O185" s="17"/>
      <c r="P185" s="17"/>
      <c r="Q185" s="17"/>
      <c r="R185" s="69"/>
      <c r="S185" s="69"/>
      <c r="T185" s="69"/>
      <c r="U185" s="69"/>
      <c r="AM185" s="522" t="s">
        <v>308</v>
      </c>
      <c r="AN185" s="506">
        <v>100000</v>
      </c>
      <c r="AO185" s="490">
        <v>10</v>
      </c>
      <c r="AP185" s="507">
        <f t="shared" si="137"/>
        <v>0</v>
      </c>
      <c r="AQ185" s="507"/>
      <c r="AR185" s="362">
        <f t="shared" si="138"/>
        <v>9.1683222747312582E-3</v>
      </c>
      <c r="BL185" s="828">
        <v>6</v>
      </c>
      <c r="BM185" s="828" t="s">
        <v>179</v>
      </c>
      <c r="BN185" s="164">
        <v>1000</v>
      </c>
      <c r="BO185" s="417" t="s">
        <v>24</v>
      </c>
      <c r="BP185" s="829" t="s">
        <v>625</v>
      </c>
      <c r="BQ185" s="164">
        <v>40000</v>
      </c>
      <c r="BR185" s="90" t="s">
        <v>24</v>
      </c>
      <c r="BS185" s="88"/>
      <c r="BT185" s="867" t="s">
        <v>631</v>
      </c>
      <c r="BU185" s="867"/>
      <c r="BV185" s="88"/>
      <c r="BW185" s="868" t="s">
        <v>630</v>
      </c>
      <c r="BX185" s="869"/>
      <c r="BY185" s="869"/>
    </row>
    <row r="186" spans="14:84" ht="15" customHeight="1">
      <c r="N186" s="17"/>
      <c r="O186" s="17"/>
      <c r="P186" s="17"/>
      <c r="Q186" s="17"/>
      <c r="R186" s="69"/>
      <c r="S186" s="69"/>
      <c r="T186" s="69"/>
      <c r="U186" s="69"/>
      <c r="AM186" s="522" t="s">
        <v>309</v>
      </c>
      <c r="AN186" s="506">
        <v>200000</v>
      </c>
      <c r="AO186" s="490">
        <f>10*2</f>
        <v>20</v>
      </c>
      <c r="AP186" s="507">
        <f t="shared" si="137"/>
        <v>0</v>
      </c>
      <c r="AQ186" s="507"/>
      <c r="AR186" s="362">
        <f t="shared" si="138"/>
        <v>9.1683222747312582E-3</v>
      </c>
      <c r="BL186" s="828">
        <v>7</v>
      </c>
      <c r="BM186" s="828" t="s">
        <v>256</v>
      </c>
      <c r="BN186" s="164">
        <v>40</v>
      </c>
      <c r="BO186" s="417" t="s">
        <v>22</v>
      </c>
      <c r="BP186" s="829" t="s">
        <v>625</v>
      </c>
      <c r="BQ186" s="164">
        <v>1000</v>
      </c>
      <c r="BR186" s="90" t="s">
        <v>22</v>
      </c>
      <c r="BS186" s="88"/>
      <c r="BT186" s="867" t="s">
        <v>632</v>
      </c>
      <c r="BU186" s="867"/>
      <c r="BV186" s="88"/>
      <c r="BW186" s="868" t="s">
        <v>633</v>
      </c>
      <c r="BX186" s="869"/>
      <c r="BY186" s="869"/>
    </row>
    <row r="187" spans="14:84" ht="15" customHeight="1">
      <c r="N187" s="17"/>
      <c r="O187" s="17"/>
      <c r="P187" s="17"/>
      <c r="Q187" s="17"/>
      <c r="R187" s="69"/>
      <c r="S187" s="69"/>
      <c r="T187" s="69"/>
      <c r="U187" s="69"/>
      <c r="AM187" s="522" t="s">
        <v>310</v>
      </c>
      <c r="AN187" s="506">
        <v>300000</v>
      </c>
      <c r="AO187" s="490">
        <f>10*3</f>
        <v>30</v>
      </c>
      <c r="AP187" s="507">
        <f t="shared" si="137"/>
        <v>0</v>
      </c>
      <c r="AQ187" s="507"/>
      <c r="AR187" s="362">
        <f t="shared" si="138"/>
        <v>9.1683222747312582E-3</v>
      </c>
      <c r="BL187" s="828">
        <v>8</v>
      </c>
      <c r="BM187" s="828" t="s">
        <v>256</v>
      </c>
      <c r="BN187" s="164">
        <v>1000</v>
      </c>
      <c r="BO187" s="417" t="s">
        <v>22</v>
      </c>
      <c r="BP187" s="829" t="s">
        <v>625</v>
      </c>
      <c r="BQ187" s="164">
        <v>20000</v>
      </c>
      <c r="BR187" s="90" t="s">
        <v>22</v>
      </c>
      <c r="BS187" s="88"/>
      <c r="BT187" s="867" t="s">
        <v>634</v>
      </c>
      <c r="BU187" s="867"/>
      <c r="BV187" s="88"/>
      <c r="BW187" s="868" t="s">
        <v>633</v>
      </c>
      <c r="BX187" s="869"/>
      <c r="BY187" s="869"/>
    </row>
    <row r="188" spans="14:84" ht="15" customHeight="1" thickBot="1">
      <c r="N188" s="17"/>
      <c r="O188" s="17"/>
      <c r="P188" s="17"/>
      <c r="Q188" s="17"/>
      <c r="R188" s="69"/>
      <c r="S188" s="69"/>
      <c r="T188" s="69"/>
      <c r="U188" s="69"/>
      <c r="AM188" s="523" t="s">
        <v>311</v>
      </c>
      <c r="AN188" s="512">
        <v>400000</v>
      </c>
      <c r="AO188" s="502">
        <f>10*4</f>
        <v>40</v>
      </c>
      <c r="AP188" s="511">
        <f t="shared" si="137"/>
        <v>0</v>
      </c>
      <c r="AQ188" s="507"/>
      <c r="AR188" s="362">
        <f t="shared" si="138"/>
        <v>9.1683222747312582E-3</v>
      </c>
      <c r="BL188" s="828">
        <v>9</v>
      </c>
      <c r="BM188" s="828" t="s">
        <v>256</v>
      </c>
      <c r="BN188" s="164">
        <v>20000</v>
      </c>
      <c r="BO188" s="417" t="s">
        <v>22</v>
      </c>
      <c r="BP188" s="829" t="s">
        <v>625</v>
      </c>
      <c r="BQ188" s="164">
        <v>23000</v>
      </c>
      <c r="BR188" s="90" t="s">
        <v>22</v>
      </c>
      <c r="BS188" s="88"/>
      <c r="BT188" s="867" t="s">
        <v>635</v>
      </c>
      <c r="BU188" s="867"/>
      <c r="BV188" s="88"/>
      <c r="BW188" s="868" t="s">
        <v>636</v>
      </c>
      <c r="BX188" s="868"/>
      <c r="BY188" s="868"/>
    </row>
    <row r="189" spans="14:84" ht="15" customHeight="1">
      <c r="N189" s="17"/>
      <c r="O189" s="17"/>
      <c r="P189" s="17"/>
      <c r="Q189" s="17"/>
      <c r="R189" s="69"/>
      <c r="S189" s="69"/>
      <c r="T189" s="69"/>
      <c r="U189" s="69"/>
      <c r="AM189" s="543" t="s">
        <v>520</v>
      </c>
      <c r="AN189" s="532" t="s">
        <v>497</v>
      </c>
      <c r="AO189" s="533" t="str">
        <f>IF(AP189=0,"NÃO","SIM")</f>
        <v>NÃO</v>
      </c>
      <c r="AP189" s="534">
        <f>IF(ISERROR(SUM(AP190:AP217)+'2º MR-MI'!AP248:AP275+'3º MR-MI'!AP248:AP275),SUM(AP190:AP217),SUM(AP190:AP217)+'2º MR-MI'!AP248:AP275+'3º MR-MI'!AP248:AP275)</f>
        <v>0</v>
      </c>
      <c r="AQ189" s="534"/>
      <c r="AR189" s="93"/>
      <c r="BL189" s="828">
        <v>10</v>
      </c>
      <c r="BM189" s="828" t="s">
        <v>256</v>
      </c>
      <c r="BN189" s="164">
        <v>23000</v>
      </c>
      <c r="BO189" s="417" t="s">
        <v>22</v>
      </c>
      <c r="BP189" s="829" t="s">
        <v>625</v>
      </c>
      <c r="BQ189" s="164">
        <v>27000</v>
      </c>
      <c r="BR189" s="90" t="s">
        <v>22</v>
      </c>
      <c r="BS189" s="88"/>
      <c r="BT189" s="867" t="s">
        <v>635</v>
      </c>
      <c r="BU189" s="867"/>
      <c r="BV189" s="88"/>
      <c r="BW189" s="868" t="s">
        <v>637</v>
      </c>
      <c r="BX189" s="868"/>
      <c r="BY189" s="868"/>
    </row>
    <row r="190" spans="14:84" ht="15" customHeight="1">
      <c r="N190" s="17"/>
      <c r="O190" s="17"/>
      <c r="P190" s="17"/>
      <c r="Q190" s="17"/>
      <c r="R190" s="69"/>
      <c r="S190" s="69"/>
      <c r="T190" s="69"/>
      <c r="U190" s="69"/>
      <c r="AK190" s="740"/>
      <c r="AM190" s="489" t="s">
        <v>498</v>
      </c>
      <c r="AN190" s="520">
        <f>0.0010174</f>
        <v>1.0173999999999999E-3</v>
      </c>
      <c r="AO190" s="490">
        <f>(0.2/1000)</f>
        <v>2.0000000000000001E-4</v>
      </c>
      <c r="AP190" s="507">
        <f t="shared" ref="AP190:AP217" si="139">IF(ISERROR(MATCH(AM190,$B$32:$B$77,0)),0,(MATCH(AM190,$B$32:$B$77,0)))+IF(ISERROR(MATCH(AM190,$C$32:$C$77,0)),0,(MATCH(AM190,$C$32:$C$77,0)))</f>
        <v>0</v>
      </c>
      <c r="AQ190" s="507"/>
      <c r="AR190" s="92"/>
      <c r="BL190" s="828">
        <v>11</v>
      </c>
      <c r="BM190" s="828" t="s">
        <v>256</v>
      </c>
      <c r="BN190" s="164">
        <v>27000</v>
      </c>
      <c r="BO190" s="417" t="s">
        <v>22</v>
      </c>
      <c r="BP190" s="830" t="s">
        <v>625</v>
      </c>
      <c r="BQ190" s="164">
        <v>31000</v>
      </c>
      <c r="BR190" s="90" t="s">
        <v>22</v>
      </c>
      <c r="BS190" s="90"/>
      <c r="BT190" s="867" t="s">
        <v>635</v>
      </c>
      <c r="BU190" s="867"/>
      <c r="BV190" s="831"/>
      <c r="BW190" s="868" t="s">
        <v>638</v>
      </c>
      <c r="BX190" s="868"/>
      <c r="BY190" s="868"/>
    </row>
    <row r="191" spans="14:84" ht="15" customHeight="1">
      <c r="N191" s="17"/>
      <c r="O191" s="17"/>
      <c r="P191" s="17"/>
      <c r="Q191" s="17"/>
      <c r="R191" s="69"/>
      <c r="S191" s="69"/>
      <c r="T191" s="69"/>
      <c r="U191" s="69"/>
      <c r="AJ191" s="741"/>
      <c r="AK191" s="741"/>
      <c r="AM191" s="489" t="s">
        <v>499</v>
      </c>
      <c r="AN191" s="520">
        <f>0.0020581</f>
        <v>2.0581000000000002E-3</v>
      </c>
      <c r="AO191" s="490">
        <f>(0.2/1000)</f>
        <v>2.0000000000000001E-4</v>
      </c>
      <c r="AP191" s="507">
        <f t="shared" si="139"/>
        <v>0</v>
      </c>
      <c r="AQ191" s="507"/>
      <c r="AR191" s="92"/>
      <c r="BL191" s="828">
        <v>12</v>
      </c>
      <c r="BM191" s="828" t="s">
        <v>256</v>
      </c>
      <c r="BN191" s="164">
        <v>31000</v>
      </c>
      <c r="BO191" s="417" t="s">
        <v>22</v>
      </c>
      <c r="BP191" s="829" t="s">
        <v>625</v>
      </c>
      <c r="BQ191" s="164">
        <v>36000</v>
      </c>
      <c r="BR191" s="90" t="s">
        <v>22</v>
      </c>
      <c r="BS191" s="90"/>
      <c r="BT191" s="867" t="s">
        <v>635</v>
      </c>
      <c r="BU191" s="867"/>
      <c r="BV191" s="831"/>
      <c r="BW191" s="868" t="s">
        <v>639</v>
      </c>
      <c r="BX191" s="869"/>
      <c r="BY191" s="869"/>
    </row>
    <row r="192" spans="14:84" ht="15" customHeight="1">
      <c r="N192" s="17"/>
      <c r="O192" s="17"/>
      <c r="P192" s="17"/>
      <c r="Q192" s="17"/>
      <c r="R192" s="69"/>
      <c r="S192" s="69"/>
      <c r="T192" s="69"/>
      <c r="U192" s="69"/>
      <c r="AJ192" s="741"/>
      <c r="AK192" s="741"/>
      <c r="AM192" s="491" t="s">
        <v>500</v>
      </c>
      <c r="AN192" s="520">
        <f>0.0019306</f>
        <v>1.9306E-3</v>
      </c>
      <c r="AO192" s="490">
        <f>(0.2/1000)</f>
        <v>2.0000000000000001E-4</v>
      </c>
      <c r="AP192" s="507">
        <f t="shared" si="139"/>
        <v>0</v>
      </c>
      <c r="AQ192" s="507"/>
      <c r="AR192" s="92"/>
      <c r="BL192" s="828">
        <v>13</v>
      </c>
      <c r="BM192" s="828" t="s">
        <v>256</v>
      </c>
      <c r="BN192" s="164">
        <v>36000</v>
      </c>
      <c r="BO192" s="417" t="s">
        <v>22</v>
      </c>
      <c r="BP192" s="829" t="s">
        <v>625</v>
      </c>
      <c r="BQ192" s="164">
        <v>40000</v>
      </c>
      <c r="BR192" s="90" t="s">
        <v>22</v>
      </c>
      <c r="BS192" s="90"/>
      <c r="BT192" s="867" t="s">
        <v>635</v>
      </c>
      <c r="BU192" s="867"/>
      <c r="BV192" s="831"/>
      <c r="BW192" s="868" t="s">
        <v>640</v>
      </c>
      <c r="BX192" s="869"/>
      <c r="BY192" s="869"/>
    </row>
    <row r="193" spans="14:45" ht="15" customHeight="1">
      <c r="N193" s="17"/>
      <c r="O193" s="17"/>
      <c r="P193" s="17"/>
      <c r="Q193" s="17"/>
      <c r="R193" s="69"/>
      <c r="S193" s="69"/>
      <c r="T193" s="69"/>
      <c r="U193" s="69"/>
      <c r="AJ193" s="741"/>
      <c r="AK193" s="741"/>
      <c r="AM193" s="491" t="s">
        <v>501</v>
      </c>
      <c r="AN193" s="520">
        <f>0.0049552</f>
        <v>4.9551999999999999E-3</v>
      </c>
      <c r="AO193" s="490">
        <f>(0.2/1000)</f>
        <v>2.0000000000000001E-4</v>
      </c>
      <c r="AP193" s="507">
        <f t="shared" si="139"/>
        <v>0</v>
      </c>
      <c r="AQ193" s="507"/>
      <c r="AR193" s="92"/>
      <c r="AS193" s="21"/>
    </row>
    <row r="194" spans="14:45" ht="15" customHeight="1">
      <c r="N194" s="17"/>
      <c r="O194" s="17"/>
      <c r="P194" s="17"/>
      <c r="Q194" s="17"/>
      <c r="R194" s="69"/>
      <c r="S194" s="69"/>
      <c r="T194" s="69"/>
      <c r="U194" s="69"/>
      <c r="AJ194" s="741"/>
      <c r="AK194" s="741"/>
      <c r="AM194" s="491" t="s">
        <v>502</v>
      </c>
      <c r="AN194" s="506">
        <f>0.0101426</f>
        <v>1.01426E-2</v>
      </c>
      <c r="AO194" s="490">
        <f>(0.25/1000)</f>
        <v>2.5000000000000001E-4</v>
      </c>
      <c r="AP194" s="507">
        <f t="shared" si="139"/>
        <v>0</v>
      </c>
      <c r="AQ194" s="507"/>
      <c r="AR194" s="92"/>
    </row>
    <row r="195" spans="14:45" ht="15" customHeight="1">
      <c r="N195" s="17"/>
      <c r="O195" s="17"/>
      <c r="P195" s="17"/>
      <c r="Q195" s="17"/>
      <c r="R195" s="69"/>
      <c r="S195" s="69"/>
      <c r="T195" s="69"/>
      <c r="U195" s="69"/>
      <c r="AJ195" s="741"/>
      <c r="AK195" s="741"/>
      <c r="AM195" s="491" t="s">
        <v>503</v>
      </c>
      <c r="AN195" s="506">
        <f>0.0199365</f>
        <v>1.9936499999999999E-2</v>
      </c>
      <c r="AO195" s="490">
        <f>(0.3/1000)</f>
        <v>2.9999999999999997E-4</v>
      </c>
      <c r="AP195" s="507">
        <f t="shared" si="139"/>
        <v>0</v>
      </c>
      <c r="AQ195" s="507"/>
      <c r="AR195" s="92"/>
      <c r="AS195" s="5"/>
    </row>
    <row r="196" spans="14:45" ht="15" customHeight="1">
      <c r="N196" s="17"/>
      <c r="O196" s="17"/>
      <c r="P196" s="17"/>
      <c r="Q196" s="17"/>
      <c r="R196" s="69"/>
      <c r="S196" s="69"/>
      <c r="T196" s="69"/>
      <c r="U196" s="69"/>
      <c r="AJ196" s="741"/>
      <c r="AK196" s="741"/>
      <c r="AM196" s="491" t="s">
        <v>504</v>
      </c>
      <c r="AN196" s="506">
        <f>0.019937</f>
        <v>1.9937E-2</v>
      </c>
      <c r="AO196" s="490">
        <f>(0.3/1000)</f>
        <v>2.9999999999999997E-4</v>
      </c>
      <c r="AP196" s="507">
        <f t="shared" si="139"/>
        <v>0</v>
      </c>
      <c r="AQ196" s="507"/>
      <c r="AR196" s="92"/>
      <c r="AS196" s="17"/>
    </row>
    <row r="197" spans="14:45" ht="15" customHeight="1">
      <c r="N197" s="17"/>
      <c r="O197" s="17"/>
      <c r="P197" s="17"/>
      <c r="Q197" s="17"/>
      <c r="R197" s="69"/>
      <c r="S197" s="69"/>
      <c r="T197" s="69"/>
      <c r="U197" s="69"/>
      <c r="AJ197" s="741"/>
      <c r="AK197" s="741"/>
      <c r="AM197" s="491" t="s">
        <v>505</v>
      </c>
      <c r="AN197" s="506">
        <f>0.0498004</f>
        <v>4.9800400000000002E-2</v>
      </c>
      <c r="AO197" s="490">
        <f>(0.4/1000)</f>
        <v>4.0000000000000002E-4</v>
      </c>
      <c r="AP197" s="507">
        <f t="shared" si="139"/>
        <v>0</v>
      </c>
      <c r="AQ197" s="507"/>
      <c r="AR197" s="92"/>
      <c r="AS197" s="17"/>
    </row>
    <row r="198" spans="14:45" ht="15" customHeight="1">
      <c r="N198" s="17"/>
      <c r="O198" s="17"/>
      <c r="P198" s="17"/>
      <c r="Q198" s="17"/>
      <c r="R198" s="69"/>
      <c r="S198" s="69"/>
      <c r="T198" s="69"/>
      <c r="U198" s="69"/>
      <c r="AJ198" s="741"/>
      <c r="AK198" s="741"/>
      <c r="AM198" s="494" t="s">
        <v>487</v>
      </c>
      <c r="AN198" s="506">
        <f>0.099907</f>
        <v>9.9906999999999996E-2</v>
      </c>
      <c r="AO198" s="490">
        <f>(0.5/1000)</f>
        <v>5.0000000000000001E-4</v>
      </c>
      <c r="AP198" s="507">
        <f t="shared" si="139"/>
        <v>0</v>
      </c>
      <c r="AQ198" s="507"/>
      <c r="AR198" s="361">
        <f>0.07/1000</f>
        <v>7.0000000000000007E-5</v>
      </c>
      <c r="AS198" s="17"/>
    </row>
    <row r="199" spans="14:45" ht="15" customHeight="1">
      <c r="N199" s="17"/>
      <c r="O199" s="17"/>
      <c r="P199" s="17"/>
      <c r="Q199" s="17"/>
      <c r="R199" s="69"/>
      <c r="S199" s="69"/>
      <c r="T199" s="69"/>
      <c r="U199" s="69"/>
      <c r="AJ199" s="741"/>
      <c r="AK199" s="741"/>
      <c r="AM199" s="494" t="s">
        <v>486</v>
      </c>
      <c r="AN199" s="506">
        <f>0.20016</f>
        <v>0.20016</v>
      </c>
      <c r="AO199" s="490">
        <f>(0.6/1000)</f>
        <v>5.9999999999999995E-4</v>
      </c>
      <c r="AP199" s="507">
        <f t="shared" si="139"/>
        <v>0</v>
      </c>
      <c r="AQ199" s="507"/>
      <c r="AR199" s="361">
        <f>0.09/1000</f>
        <v>8.9999999999999992E-5</v>
      </c>
      <c r="AS199" s="17"/>
    </row>
    <row r="200" spans="14:45" ht="15" customHeight="1">
      <c r="N200" s="17"/>
      <c r="O200" s="17"/>
      <c r="P200" s="17"/>
      <c r="Q200" s="17"/>
      <c r="R200" s="69"/>
      <c r="S200" s="69"/>
      <c r="T200" s="69"/>
      <c r="U200" s="69"/>
      <c r="AJ200" s="741"/>
      <c r="AK200" s="741"/>
      <c r="AM200" s="494" t="s">
        <v>506</v>
      </c>
      <c r="AN200" s="506">
        <f>0.200219</f>
        <v>0.20021900000000001</v>
      </c>
      <c r="AO200" s="490">
        <f>(0.6/1000)</f>
        <v>5.9999999999999995E-4</v>
      </c>
      <c r="AP200" s="507">
        <f t="shared" si="139"/>
        <v>0</v>
      </c>
      <c r="AQ200" s="507"/>
      <c r="AR200" s="361">
        <f>0.09/1000</f>
        <v>8.9999999999999992E-5</v>
      </c>
      <c r="AS200" s="21"/>
    </row>
    <row r="201" spans="14:45" ht="15" customHeight="1">
      <c r="N201" s="17"/>
      <c r="O201" s="17"/>
      <c r="P201" s="17"/>
      <c r="Q201" s="17"/>
      <c r="R201" s="69"/>
      <c r="S201" s="69"/>
      <c r="T201" s="69"/>
      <c r="U201" s="69"/>
      <c r="AJ201" s="741"/>
      <c r="AK201" s="741"/>
      <c r="AM201" s="495" t="s">
        <v>485</v>
      </c>
      <c r="AN201" s="757">
        <f>0.499883</f>
        <v>0.49988300000000002</v>
      </c>
      <c r="AO201" s="493">
        <f>(0.8/1000)</f>
        <v>8.0000000000000004E-4</v>
      </c>
      <c r="AP201" s="535">
        <f t="shared" si="139"/>
        <v>0</v>
      </c>
      <c r="AQ201" s="507"/>
      <c r="AR201" s="361">
        <f>0.12/1000</f>
        <v>1.1999999999999999E-4</v>
      </c>
      <c r="AS201" s="17"/>
    </row>
    <row r="202" spans="14:45" ht="15" customHeight="1">
      <c r="N202" s="17"/>
      <c r="O202" s="17"/>
      <c r="P202" s="17"/>
      <c r="Q202" s="17"/>
      <c r="R202" s="69"/>
      <c r="S202" s="69"/>
      <c r="T202" s="69"/>
      <c r="U202" s="69"/>
      <c r="AJ202" s="741"/>
      <c r="AK202" s="741"/>
      <c r="AM202" s="496" t="s">
        <v>256</v>
      </c>
      <c r="AN202" s="506">
        <f>1.000336</f>
        <v>1.0003359999999999</v>
      </c>
      <c r="AO202" s="490">
        <f>(1/1000)</f>
        <v>1E-3</v>
      </c>
      <c r="AP202" s="507">
        <f t="shared" si="139"/>
        <v>0</v>
      </c>
      <c r="AQ202" s="507"/>
      <c r="AR202" s="361">
        <f>0.15/1000</f>
        <v>1.4999999999999999E-4</v>
      </c>
      <c r="AS202" s="17"/>
    </row>
    <row r="203" spans="14:45" ht="23.25" customHeight="1">
      <c r="N203" s="17"/>
      <c r="O203" s="17"/>
      <c r="P203" s="17"/>
      <c r="Q203" s="17"/>
      <c r="R203" s="69"/>
      <c r="S203" s="69"/>
      <c r="T203" s="69"/>
      <c r="U203" s="69"/>
      <c r="AJ203" s="741"/>
      <c r="AK203" s="741"/>
      <c r="AM203" s="496" t="s">
        <v>484</v>
      </c>
      <c r="AN203" s="506">
        <f>2.000185</f>
        <v>2.0001850000000001</v>
      </c>
      <c r="AO203" s="490">
        <f>(1.2/1000)</f>
        <v>1.1999999999999999E-3</v>
      </c>
      <c r="AP203" s="507">
        <f t="shared" si="139"/>
        <v>0</v>
      </c>
      <c r="AQ203" s="507"/>
      <c r="AR203" s="361">
        <f>0.19/1000</f>
        <v>1.9000000000000001E-4</v>
      </c>
      <c r="AS203" s="17"/>
    </row>
    <row r="204" spans="14:45" ht="22.5" customHeight="1">
      <c r="N204" s="17"/>
      <c r="O204" s="17"/>
      <c r="P204" s="17"/>
      <c r="Q204" s="17"/>
      <c r="R204" s="69"/>
      <c r="S204" s="69"/>
      <c r="T204" s="69"/>
      <c r="U204" s="69"/>
      <c r="AJ204" s="741"/>
      <c r="AK204" s="741"/>
      <c r="AM204" s="494" t="s">
        <v>507</v>
      </c>
      <c r="AN204" s="506">
        <f>2.000474</f>
        <v>2.0004740000000001</v>
      </c>
      <c r="AO204" s="490">
        <f>(1.2/1000)</f>
        <v>1.1999999999999999E-3</v>
      </c>
      <c r="AP204" s="507">
        <f t="shared" si="139"/>
        <v>0</v>
      </c>
      <c r="AQ204" s="507"/>
      <c r="AR204" s="361">
        <f>0.19/1000</f>
        <v>1.9000000000000001E-4</v>
      </c>
      <c r="AS204" s="17"/>
    </row>
    <row r="205" spans="14:45" ht="22.5" customHeight="1">
      <c r="N205" s="17"/>
      <c r="O205" s="17"/>
      <c r="P205" s="17"/>
      <c r="Q205" s="17"/>
      <c r="R205" s="69"/>
      <c r="S205" s="69"/>
      <c r="T205" s="69"/>
      <c r="U205" s="69"/>
      <c r="AJ205" s="741"/>
      <c r="AK205" s="741"/>
      <c r="AM205" s="496" t="s">
        <v>483</v>
      </c>
      <c r="AN205" s="506">
        <f>5.000711</f>
        <v>5.0007109999999999</v>
      </c>
      <c r="AO205" s="490">
        <f>(1.6/1000)</f>
        <v>1.6000000000000001E-3</v>
      </c>
      <c r="AP205" s="507">
        <f t="shared" si="139"/>
        <v>0</v>
      </c>
      <c r="AQ205" s="507"/>
      <c r="AR205" s="361">
        <f>0.27/1000</f>
        <v>2.7E-4</v>
      </c>
      <c r="AS205" s="21"/>
    </row>
    <row r="206" spans="14:45" ht="25.5" customHeight="1">
      <c r="N206" s="17"/>
      <c r="O206" s="17"/>
      <c r="P206" s="17"/>
      <c r="Q206" s="17"/>
      <c r="R206" s="69"/>
      <c r="S206" s="69"/>
      <c r="T206" s="69"/>
      <c r="U206" s="69"/>
      <c r="AJ206" s="741"/>
      <c r="AK206" s="741"/>
      <c r="AM206" s="496" t="s">
        <v>482</v>
      </c>
      <c r="AN206" s="506">
        <f>10.000483</f>
        <v>10.000482999999999</v>
      </c>
      <c r="AO206" s="490">
        <f>(2/1000)</f>
        <v>2E-3</v>
      </c>
      <c r="AP206" s="507">
        <f t="shared" si="139"/>
        <v>0</v>
      </c>
      <c r="AQ206" s="507"/>
      <c r="AR206" s="361">
        <f>0.38/1000</f>
        <v>3.8000000000000002E-4</v>
      </c>
      <c r="AS206" s="17"/>
    </row>
    <row r="207" spans="14:45" ht="21.75" customHeight="1">
      <c r="N207" s="17"/>
      <c r="O207" s="17"/>
      <c r="P207" s="17"/>
      <c r="Q207" s="17"/>
      <c r="R207" s="69"/>
      <c r="S207" s="69"/>
      <c r="T207" s="69"/>
      <c r="U207" s="69"/>
      <c r="AJ207" s="741"/>
      <c r="AK207" s="741"/>
      <c r="AM207" s="496" t="s">
        <v>481</v>
      </c>
      <c r="AN207" s="506">
        <f>20.000994</f>
        <v>20.000993999999999</v>
      </c>
      <c r="AO207" s="490">
        <f>(2.5/1000)</f>
        <v>2.5000000000000001E-3</v>
      </c>
      <c r="AP207" s="507">
        <f t="shared" si="139"/>
        <v>0</v>
      </c>
      <c r="AQ207" s="507"/>
      <c r="AR207" s="361">
        <f>0.53/1000</f>
        <v>5.2999999999999998E-4</v>
      </c>
      <c r="AS207" s="17"/>
    </row>
    <row r="208" spans="14:45" ht="19.5" customHeight="1">
      <c r="N208" s="17"/>
      <c r="O208" s="17"/>
      <c r="P208" s="17"/>
      <c r="Q208" s="17"/>
      <c r="R208" s="69"/>
      <c r="S208" s="69"/>
      <c r="T208" s="69"/>
      <c r="U208" s="69"/>
      <c r="AJ208" s="741"/>
      <c r="AK208" s="741"/>
      <c r="AM208" s="494" t="s">
        <v>508</v>
      </c>
      <c r="AN208" s="506">
        <f>20.000158</f>
        <v>20.000157999999999</v>
      </c>
      <c r="AO208" s="490">
        <f>(2.5/1000)</f>
        <v>2.5000000000000001E-3</v>
      </c>
      <c r="AP208" s="507">
        <f t="shared" si="139"/>
        <v>0</v>
      </c>
      <c r="AQ208" s="507"/>
      <c r="AR208" s="361">
        <f>0.53/1000</f>
        <v>5.2999999999999998E-4</v>
      </c>
      <c r="AS208" s="17">
        <f>SUM(AP164:AP188)</f>
        <v>0</v>
      </c>
    </row>
    <row r="209" spans="14:46" ht="15" customHeight="1">
      <c r="N209" s="17"/>
      <c r="O209" s="17"/>
      <c r="P209" s="17"/>
      <c r="Q209" s="17"/>
      <c r="R209" s="69"/>
      <c r="S209" s="69"/>
      <c r="T209" s="69"/>
      <c r="U209" s="69"/>
      <c r="AJ209" s="742"/>
      <c r="AK209" s="741"/>
      <c r="AM209" s="496" t="s">
        <v>480</v>
      </c>
      <c r="AN209" s="506">
        <f>50.000753</f>
        <v>50.000753000000003</v>
      </c>
      <c r="AO209" s="490">
        <f>(3/1000)</f>
        <v>3.0000000000000001E-3</v>
      </c>
      <c r="AP209" s="507">
        <f t="shared" si="139"/>
        <v>0</v>
      </c>
      <c r="AQ209" s="507"/>
      <c r="AR209" s="361">
        <f>0.87/1000</f>
        <v>8.7000000000000001E-4</v>
      </c>
      <c r="AS209" s="17"/>
    </row>
    <row r="210" spans="14:46" ht="15" customHeight="1">
      <c r="N210" s="17"/>
      <c r="O210" s="17"/>
      <c r="P210" s="17"/>
      <c r="Q210" s="17"/>
      <c r="R210" s="69"/>
      <c r="S210" s="69"/>
      <c r="T210" s="69"/>
      <c r="U210" s="69"/>
      <c r="AJ210" s="742"/>
      <c r="AK210" s="741"/>
      <c r="AM210" s="498" t="s">
        <v>509</v>
      </c>
      <c r="AN210" s="506">
        <f>100.00147</f>
        <v>100.00147</v>
      </c>
      <c r="AO210" s="490">
        <f>(5/1000)</f>
        <v>5.0000000000000001E-3</v>
      </c>
      <c r="AP210" s="507">
        <f t="shared" si="139"/>
        <v>0</v>
      </c>
      <c r="AQ210" s="507"/>
      <c r="AR210" s="362">
        <f>SQRT((15.88/1000)^2/3)</f>
        <v>9.1683222747312582E-3</v>
      </c>
      <c r="AS210" s="21"/>
    </row>
    <row r="211" spans="14:46" ht="15" customHeight="1">
      <c r="N211" s="17"/>
      <c r="O211" s="17"/>
      <c r="P211" s="17"/>
      <c r="Q211" s="17"/>
      <c r="R211" s="69"/>
      <c r="S211" s="69"/>
      <c r="T211" s="69"/>
      <c r="U211" s="69"/>
      <c r="AJ211" s="742"/>
      <c r="AK211" s="741"/>
      <c r="AM211" s="498" t="s">
        <v>510</v>
      </c>
      <c r="AN211" s="506">
        <f>200.00201</f>
        <v>200.00201000000001</v>
      </c>
      <c r="AO211" s="490">
        <f>(10/1000)</f>
        <v>0.01</v>
      </c>
      <c r="AP211" s="507">
        <f t="shared" si="139"/>
        <v>0</v>
      </c>
      <c r="AQ211" s="507"/>
      <c r="AR211" s="362">
        <f t="shared" ref="AR211:AR216" si="140">SQRT((15.88/1000)^2/3)</f>
        <v>9.1683222747312582E-3</v>
      </c>
      <c r="AS211" s="17"/>
    </row>
    <row r="212" spans="14:46" ht="15" customHeight="1">
      <c r="N212" s="17"/>
      <c r="O212" s="17"/>
      <c r="P212" s="17"/>
      <c r="Q212" s="17"/>
      <c r="R212" s="69"/>
      <c r="S212" s="69"/>
      <c r="T212" s="69"/>
      <c r="U212" s="69"/>
      <c r="AM212" s="498" t="s">
        <v>511</v>
      </c>
      <c r="AN212" s="506">
        <f>200.00273</f>
        <v>200.00273000000001</v>
      </c>
      <c r="AO212" s="490">
        <f>(10/1000)</f>
        <v>0.01</v>
      </c>
      <c r="AP212" s="507">
        <f t="shared" si="139"/>
        <v>0</v>
      </c>
      <c r="AQ212" s="507"/>
      <c r="AR212" s="362">
        <f t="shared" si="140"/>
        <v>9.1683222747312582E-3</v>
      </c>
      <c r="AS212" s="17"/>
      <c r="AT212" s="8"/>
    </row>
    <row r="213" spans="14:46" ht="15" customHeight="1">
      <c r="N213" s="17"/>
      <c r="O213" s="17"/>
      <c r="P213" s="17"/>
      <c r="Q213" s="17"/>
      <c r="R213" s="69"/>
      <c r="S213" s="69"/>
      <c r="T213" s="69"/>
      <c r="U213" s="69"/>
      <c r="AM213" s="498" t="s">
        <v>512</v>
      </c>
      <c r="AN213" s="506">
        <f>500.00176</f>
        <v>500.00175999999999</v>
      </c>
      <c r="AO213" s="490">
        <f>(25/1000)</f>
        <v>2.5000000000000001E-2</v>
      </c>
      <c r="AP213" s="536">
        <f t="shared" si="139"/>
        <v>0</v>
      </c>
      <c r="AQ213" s="536"/>
      <c r="AR213" s="362">
        <f t="shared" si="140"/>
        <v>9.1683222747312582E-3</v>
      </c>
      <c r="AS213" s="17"/>
      <c r="AT213" s="8"/>
    </row>
    <row r="214" spans="14:46" ht="15" customHeight="1">
      <c r="N214" s="17"/>
      <c r="O214" s="17"/>
      <c r="P214" s="17"/>
      <c r="Q214" s="17"/>
      <c r="R214" s="69"/>
      <c r="S214" s="69"/>
      <c r="T214" s="69"/>
      <c r="U214" s="69"/>
      <c r="AM214" s="498" t="s">
        <v>513</v>
      </c>
      <c r="AN214" s="506">
        <f>1000.0162</f>
        <v>1000.0162</v>
      </c>
      <c r="AO214" s="490">
        <f>(50/1000)</f>
        <v>0.05</v>
      </c>
      <c r="AP214" s="537">
        <f t="shared" si="139"/>
        <v>0</v>
      </c>
      <c r="AQ214" s="537"/>
      <c r="AR214" s="362">
        <f t="shared" si="140"/>
        <v>9.1683222747312582E-3</v>
      </c>
      <c r="AS214" s="17"/>
      <c r="AT214" s="8"/>
    </row>
    <row r="215" spans="14:46" ht="15" customHeight="1">
      <c r="N215" s="17"/>
      <c r="O215" s="17"/>
      <c r="P215" s="17"/>
      <c r="Q215" s="17"/>
      <c r="R215" s="69"/>
      <c r="S215" s="69"/>
      <c r="T215" s="69"/>
      <c r="U215" s="69"/>
      <c r="AM215" s="739" t="s">
        <v>514</v>
      </c>
      <c r="AN215" s="506">
        <f>2000.0253</f>
        <v>2000.0253</v>
      </c>
      <c r="AO215" s="490">
        <f>0.1</f>
        <v>0.1</v>
      </c>
      <c r="AP215" s="507">
        <f t="shared" si="139"/>
        <v>0</v>
      </c>
      <c r="AQ215" s="507"/>
      <c r="AR215" s="362">
        <f t="shared" si="140"/>
        <v>9.1683222747312582E-3</v>
      </c>
      <c r="AS215" s="21"/>
      <c r="AT215" s="8"/>
    </row>
    <row r="216" spans="14:46" ht="15" customHeight="1">
      <c r="N216" s="17"/>
      <c r="O216" s="17"/>
      <c r="P216" s="17"/>
      <c r="Q216" s="17"/>
      <c r="R216" s="69"/>
      <c r="S216" s="69"/>
      <c r="T216" s="69"/>
      <c r="U216" s="69"/>
      <c r="AM216" s="498" t="s">
        <v>515</v>
      </c>
      <c r="AN216" s="506">
        <f>2000.0238</f>
        <v>2000.0237999999999</v>
      </c>
      <c r="AO216" s="490">
        <f>0.1</f>
        <v>0.1</v>
      </c>
      <c r="AP216" s="507">
        <f t="shared" si="139"/>
        <v>0</v>
      </c>
      <c r="AQ216" s="507"/>
      <c r="AR216" s="362">
        <f t="shared" si="140"/>
        <v>9.1683222747312582E-3</v>
      </c>
      <c r="AS216" s="17">
        <f>SUM(AP315:AP320)</f>
        <v>0</v>
      </c>
      <c r="AT216" s="8"/>
    </row>
    <row r="217" spans="14:46" ht="15" customHeight="1" thickBot="1">
      <c r="N217" s="17"/>
      <c r="O217" s="17"/>
      <c r="P217" s="17"/>
      <c r="Q217" s="17"/>
      <c r="R217" s="69"/>
      <c r="S217" s="69"/>
      <c r="T217" s="69"/>
      <c r="U217" s="69"/>
      <c r="AM217" s="504" t="s">
        <v>516</v>
      </c>
      <c r="AN217" s="512">
        <f>5000.0462</f>
        <v>5000.0461999999998</v>
      </c>
      <c r="AO217" s="502">
        <f>0.25</f>
        <v>0.25</v>
      </c>
      <c r="AP217" s="538">
        <f t="shared" si="139"/>
        <v>0</v>
      </c>
      <c r="AQ217" s="536"/>
      <c r="AR217" s="362">
        <f>SQRT((15.88/1000)^2/3)</f>
        <v>9.1683222747312582E-3</v>
      </c>
      <c r="AS217" s="17"/>
      <c r="AT217" s="8"/>
    </row>
    <row r="218" spans="14:46" ht="15" customHeight="1">
      <c r="N218" s="17"/>
      <c r="O218" s="17"/>
      <c r="P218" s="17"/>
      <c r="Q218" s="17"/>
      <c r="R218" s="69"/>
      <c r="S218" s="69"/>
      <c r="T218" s="69"/>
      <c r="U218" s="69"/>
      <c r="AM218" s="543" t="s">
        <v>521</v>
      </c>
      <c r="AN218" s="532" t="s">
        <v>497</v>
      </c>
      <c r="AO218" s="533" t="str">
        <f>IF(AP218=0,"NÃO","SIM")</f>
        <v>NÃO</v>
      </c>
      <c r="AP218" s="534">
        <f>IF(ISERROR(SUM(AP219:AP246)+'2º MR-MI'!AP277:AP304+'3º MR-MI'!AP277:AP304),SUM(AP219:AP246),SUM(AP219:AP246)+'2º MR-MI'!AP277:AP304+'3º MR-MI'!AP277:AP304)</f>
        <v>0</v>
      </c>
      <c r="AQ218" s="534"/>
      <c r="AR218" s="93"/>
      <c r="AS218" s="17"/>
      <c r="AT218" s="8"/>
    </row>
    <row r="219" spans="14:46" ht="15" customHeight="1">
      <c r="N219" s="17"/>
      <c r="O219" s="17"/>
      <c r="P219" s="17"/>
      <c r="Q219" s="17"/>
      <c r="R219" s="69"/>
      <c r="S219" s="69"/>
      <c r="T219" s="69"/>
      <c r="U219" s="69"/>
      <c r="AM219" s="489" t="s">
        <v>526</v>
      </c>
      <c r="AN219" s="520">
        <v>1.0013999999999999E-3</v>
      </c>
      <c r="AO219" s="490">
        <f>(0.2/1000)</f>
        <v>2.0000000000000001E-4</v>
      </c>
      <c r="AP219" s="507">
        <f t="shared" ref="AP219:AP246" si="141">IF(ISERROR(MATCH(AM219,$B$32:$B$77,0)),0,(MATCH(AM219,$B$32:$B$77,0)))+IF(ISERROR(MATCH(AM219,$C$32:$C$77,0)),0,(MATCH(AM219,$C$32:$C$77,0)))</f>
        <v>0</v>
      </c>
      <c r="AQ219" s="507"/>
      <c r="AR219" s="92"/>
      <c r="AS219" s="17"/>
      <c r="AT219" s="8"/>
    </row>
    <row r="220" spans="14:46" ht="15" customHeight="1">
      <c r="N220" s="17"/>
      <c r="O220" s="17"/>
      <c r="P220" s="17"/>
      <c r="Q220" s="17"/>
      <c r="R220" s="69"/>
      <c r="S220" s="69"/>
      <c r="T220" s="69"/>
      <c r="U220" s="69"/>
      <c r="AM220" s="489" t="s">
        <v>527</v>
      </c>
      <c r="AN220" s="520">
        <v>2.0395999999999999E-3</v>
      </c>
      <c r="AO220" s="490">
        <f>(0.2/1000)</f>
        <v>2.0000000000000001E-4</v>
      </c>
      <c r="AP220" s="507">
        <f t="shared" si="141"/>
        <v>0</v>
      </c>
      <c r="AQ220" s="507"/>
      <c r="AR220" s="92"/>
      <c r="AS220" s="17"/>
      <c r="AT220" s="8"/>
    </row>
    <row r="221" spans="14:46" ht="15" customHeight="1">
      <c r="N221" s="17"/>
      <c r="O221" s="17"/>
      <c r="P221" s="17"/>
      <c r="Q221" s="17"/>
      <c r="R221" s="69"/>
      <c r="S221" s="69"/>
      <c r="T221" s="69"/>
      <c r="U221" s="69"/>
      <c r="AM221" s="491" t="s">
        <v>528</v>
      </c>
      <c r="AN221" s="520">
        <v>2.0176E-3</v>
      </c>
      <c r="AO221" s="490">
        <f>(0.2/1000)</f>
        <v>2.0000000000000001E-4</v>
      </c>
      <c r="AP221" s="507">
        <f t="shared" si="141"/>
        <v>0</v>
      </c>
      <c r="AQ221" s="507"/>
      <c r="AR221" s="92"/>
      <c r="AS221" s="17"/>
      <c r="AT221" s="8"/>
    </row>
    <row r="222" spans="14:46" ht="15" customHeight="1">
      <c r="N222" s="17"/>
      <c r="O222" s="17"/>
      <c r="P222" s="17"/>
      <c r="Q222" s="17"/>
      <c r="R222" s="69"/>
      <c r="S222" s="69"/>
      <c r="T222" s="69"/>
      <c r="U222" s="69"/>
      <c r="AM222" s="491" t="s">
        <v>529</v>
      </c>
      <c r="AN222" s="520">
        <v>4.9881999999999999E-3</v>
      </c>
      <c r="AO222" s="490">
        <f>(0.2/1000)</f>
        <v>2.0000000000000001E-4</v>
      </c>
      <c r="AP222" s="507">
        <f t="shared" si="141"/>
        <v>0</v>
      </c>
      <c r="AQ222" s="507"/>
      <c r="AR222" s="92"/>
      <c r="AS222" s="17"/>
      <c r="AT222" s="8"/>
    </row>
    <row r="223" spans="14:46" ht="15" customHeight="1">
      <c r="N223" s="17"/>
      <c r="O223" s="17"/>
      <c r="P223" s="17"/>
      <c r="Q223" s="17"/>
      <c r="R223" s="69"/>
      <c r="S223" s="69"/>
      <c r="T223" s="69"/>
      <c r="U223" s="69"/>
      <c r="AM223" s="491" t="s">
        <v>530</v>
      </c>
      <c r="AN223" s="506">
        <v>1.00366E-2</v>
      </c>
      <c r="AO223" s="490">
        <f>(0.25/1000)</f>
        <v>2.5000000000000001E-4</v>
      </c>
      <c r="AP223" s="507">
        <f t="shared" si="141"/>
        <v>0</v>
      </c>
      <c r="AQ223" s="507"/>
      <c r="AR223" s="92"/>
      <c r="AS223" s="17"/>
      <c r="AT223" s="8"/>
    </row>
    <row r="224" spans="14:46" ht="15" customHeight="1">
      <c r="N224" s="17"/>
      <c r="O224" s="17"/>
      <c r="P224" s="17"/>
      <c r="Q224" s="17"/>
      <c r="R224" s="69"/>
      <c r="S224" s="69"/>
      <c r="T224" s="69"/>
      <c r="U224" s="69"/>
      <c r="AM224" s="491" t="s">
        <v>531</v>
      </c>
      <c r="AN224" s="506">
        <v>2.0005499999999999E-2</v>
      </c>
      <c r="AO224" s="490">
        <f>(0.3/1000)</f>
        <v>2.9999999999999997E-4</v>
      </c>
      <c r="AP224" s="507">
        <f t="shared" si="141"/>
        <v>0</v>
      </c>
      <c r="AQ224" s="507"/>
      <c r="AR224" s="92"/>
      <c r="AS224" s="17"/>
      <c r="AT224" s="8"/>
    </row>
    <row r="225" spans="14:46" ht="15" customHeight="1">
      <c r="N225" s="17"/>
      <c r="O225" s="17"/>
      <c r="P225" s="17"/>
      <c r="Q225" s="17"/>
      <c r="R225" s="69"/>
      <c r="S225" s="69"/>
      <c r="T225" s="69"/>
      <c r="U225" s="69"/>
      <c r="AM225" s="491" t="s">
        <v>532</v>
      </c>
      <c r="AN225" s="506">
        <v>1.9958500000000001E-2</v>
      </c>
      <c r="AO225" s="490">
        <f>(0.3/1000)</f>
        <v>2.9999999999999997E-4</v>
      </c>
      <c r="AP225" s="507">
        <f t="shared" si="141"/>
        <v>0</v>
      </c>
      <c r="AQ225" s="507"/>
      <c r="AR225" s="92"/>
      <c r="AS225" s="17"/>
      <c r="AT225" s="8"/>
    </row>
    <row r="226" spans="14:46" ht="15" customHeight="1">
      <c r="N226" s="17"/>
      <c r="O226" s="17"/>
      <c r="P226" s="17"/>
      <c r="Q226" s="17"/>
      <c r="R226" s="69"/>
      <c r="S226" s="69"/>
      <c r="T226" s="69"/>
      <c r="U226" s="69"/>
      <c r="AM226" s="491" t="s">
        <v>533</v>
      </c>
      <c r="AN226" s="506">
        <v>5.01179E-2</v>
      </c>
      <c r="AO226" s="490">
        <f>(0.4/1000)</f>
        <v>4.0000000000000002E-4</v>
      </c>
      <c r="AP226" s="507">
        <f t="shared" si="141"/>
        <v>0</v>
      </c>
      <c r="AQ226" s="507"/>
      <c r="AR226" s="92"/>
      <c r="AS226" s="17"/>
      <c r="AT226" s="8"/>
    </row>
    <row r="227" spans="14:46" ht="15" customHeight="1">
      <c r="N227" s="17"/>
      <c r="O227" s="17"/>
      <c r="P227" s="17"/>
      <c r="Q227" s="17"/>
      <c r="R227" s="69"/>
      <c r="S227" s="69"/>
      <c r="T227" s="69"/>
      <c r="U227" s="69"/>
      <c r="AM227" s="494" t="s">
        <v>534</v>
      </c>
      <c r="AN227" s="506">
        <v>0.100188</v>
      </c>
      <c r="AO227" s="490">
        <f>(0.5/1000)</f>
        <v>5.0000000000000001E-4</v>
      </c>
      <c r="AP227" s="507">
        <f t="shared" si="141"/>
        <v>0</v>
      </c>
      <c r="AQ227" s="507"/>
      <c r="AR227" s="361">
        <f>0.07/1000</f>
        <v>7.0000000000000007E-5</v>
      </c>
      <c r="AS227" s="17"/>
      <c r="AT227" s="8"/>
    </row>
    <row r="228" spans="14:46" ht="15" customHeight="1">
      <c r="N228" s="17"/>
      <c r="O228" s="17"/>
      <c r="P228" s="17"/>
      <c r="Q228" s="17"/>
      <c r="R228" s="69"/>
      <c r="S228" s="69"/>
      <c r="T228" s="69"/>
      <c r="U228" s="69"/>
      <c r="AM228" s="494" t="s">
        <v>535</v>
      </c>
      <c r="AN228" s="506">
        <v>0.200068</v>
      </c>
      <c r="AO228" s="490">
        <f>(0.6/1000)</f>
        <v>5.9999999999999995E-4</v>
      </c>
      <c r="AP228" s="507">
        <f t="shared" si="141"/>
        <v>0</v>
      </c>
      <c r="AQ228" s="507"/>
      <c r="AR228" s="361">
        <f>0.09/1000</f>
        <v>8.9999999999999992E-5</v>
      </c>
      <c r="AS228" s="17"/>
      <c r="AT228" s="8"/>
    </row>
    <row r="229" spans="14:46" ht="15" customHeight="1">
      <c r="N229" s="17"/>
      <c r="O229" s="17"/>
      <c r="P229" s="17"/>
      <c r="Q229" s="17"/>
      <c r="R229" s="69"/>
      <c r="S229" s="69"/>
      <c r="T229" s="69"/>
      <c r="U229" s="69"/>
      <c r="AM229" s="494" t="s">
        <v>536</v>
      </c>
      <c r="AN229" s="506">
        <v>0.20014999999999999</v>
      </c>
      <c r="AO229" s="490">
        <f>(0.6/1000)</f>
        <v>5.9999999999999995E-4</v>
      </c>
      <c r="AP229" s="507">
        <f t="shared" si="141"/>
        <v>0</v>
      </c>
      <c r="AQ229" s="507"/>
      <c r="AR229" s="361">
        <f>0.09/1000</f>
        <v>8.9999999999999992E-5</v>
      </c>
      <c r="AS229" s="17"/>
      <c r="AT229" s="8"/>
    </row>
    <row r="230" spans="14:46" ht="15" customHeight="1">
      <c r="N230" s="17"/>
      <c r="O230" s="17"/>
      <c r="P230" s="17"/>
      <c r="Q230" s="17"/>
      <c r="R230" s="69"/>
      <c r="S230" s="69"/>
      <c r="T230" s="69"/>
      <c r="U230" s="69"/>
      <c r="AM230" s="495" t="s">
        <v>537</v>
      </c>
      <c r="AN230" s="757">
        <v>0.49984800000000001</v>
      </c>
      <c r="AO230" s="493">
        <f>(0.8/1000)</f>
        <v>8.0000000000000004E-4</v>
      </c>
      <c r="AP230" s="535">
        <f t="shared" si="141"/>
        <v>0</v>
      </c>
      <c r="AQ230" s="507"/>
      <c r="AR230" s="361">
        <f>0.12/1000</f>
        <v>1.1999999999999999E-4</v>
      </c>
      <c r="AS230" s="17"/>
      <c r="AT230" s="8"/>
    </row>
    <row r="231" spans="14:46" ht="15" customHeight="1">
      <c r="N231" s="17"/>
      <c r="O231" s="17"/>
      <c r="P231" s="17"/>
      <c r="Q231" s="17"/>
      <c r="R231" s="69"/>
      <c r="S231" s="69"/>
      <c r="T231" s="69"/>
      <c r="U231" s="69"/>
      <c r="AM231" s="496" t="s">
        <v>538</v>
      </c>
      <c r="AN231" s="506">
        <v>1.000178</v>
      </c>
      <c r="AO231" s="490">
        <f>(1/1000)</f>
        <v>1E-3</v>
      </c>
      <c r="AP231" s="507">
        <f t="shared" si="141"/>
        <v>0</v>
      </c>
      <c r="AQ231" s="507"/>
      <c r="AR231" s="361">
        <f>0.15/1000</f>
        <v>1.4999999999999999E-4</v>
      </c>
      <c r="AS231" s="17"/>
      <c r="AT231" s="8"/>
    </row>
    <row r="232" spans="14:46" ht="15" customHeight="1">
      <c r="N232" s="17"/>
      <c r="O232" s="17"/>
      <c r="P232" s="17"/>
      <c r="Q232" s="17"/>
      <c r="R232" s="69"/>
      <c r="S232" s="69"/>
      <c r="T232" s="69"/>
      <c r="U232" s="69"/>
      <c r="AM232" s="496" t="s">
        <v>539</v>
      </c>
      <c r="AN232" s="506">
        <v>2.0002589999999998</v>
      </c>
      <c r="AO232" s="490">
        <f>(1.2/1000)</f>
        <v>1.1999999999999999E-3</v>
      </c>
      <c r="AP232" s="507">
        <f t="shared" si="141"/>
        <v>0</v>
      </c>
      <c r="AQ232" s="507"/>
      <c r="AR232" s="361">
        <f>0.19/1000</f>
        <v>1.9000000000000001E-4</v>
      </c>
      <c r="AS232" s="17"/>
      <c r="AT232" s="8"/>
    </row>
    <row r="233" spans="14:46" ht="15" customHeight="1">
      <c r="N233" s="17"/>
      <c r="O233" s="17"/>
      <c r="P233" s="17"/>
      <c r="Q233" s="17"/>
      <c r="R233" s="69"/>
      <c r="S233" s="69"/>
      <c r="T233" s="69"/>
      <c r="U233" s="69"/>
      <c r="AM233" s="494" t="s">
        <v>540</v>
      </c>
      <c r="AN233" s="506">
        <v>2.0003660000000001</v>
      </c>
      <c r="AO233" s="490">
        <f>(1.2/1000)</f>
        <v>1.1999999999999999E-3</v>
      </c>
      <c r="AP233" s="507">
        <f t="shared" si="141"/>
        <v>0</v>
      </c>
      <c r="AQ233" s="507"/>
      <c r="AR233" s="361">
        <f>0.19/1000</f>
        <v>1.9000000000000001E-4</v>
      </c>
      <c r="AS233" s="17"/>
      <c r="AT233" s="8"/>
    </row>
    <row r="234" spans="14:46" ht="15" customHeight="1">
      <c r="N234" s="17"/>
      <c r="O234" s="17"/>
      <c r="P234" s="17"/>
      <c r="Q234" s="17"/>
      <c r="R234" s="69"/>
      <c r="S234" s="69"/>
      <c r="T234" s="69"/>
      <c r="U234" s="69"/>
      <c r="AM234" s="496" t="s">
        <v>541</v>
      </c>
      <c r="AN234" s="506">
        <v>5.0006529999999998</v>
      </c>
      <c r="AO234" s="490">
        <f>(1.6/1000)</f>
        <v>1.6000000000000001E-3</v>
      </c>
      <c r="AP234" s="507">
        <f t="shared" si="141"/>
        <v>0</v>
      </c>
      <c r="AQ234" s="507"/>
      <c r="AR234" s="361">
        <f>0.27/1000</f>
        <v>2.7E-4</v>
      </c>
      <c r="AS234" s="17"/>
      <c r="AT234" s="8"/>
    </row>
    <row r="235" spans="14:46" ht="15" customHeight="1">
      <c r="N235" s="17"/>
      <c r="O235" s="17"/>
      <c r="P235" s="17"/>
      <c r="Q235" s="17"/>
      <c r="R235" s="69"/>
      <c r="S235" s="69"/>
      <c r="T235" s="69"/>
      <c r="U235" s="69"/>
      <c r="AM235" s="496" t="s">
        <v>542</v>
      </c>
      <c r="AN235" s="506">
        <v>10.000673000000001</v>
      </c>
      <c r="AO235" s="490">
        <f>(2/1000)</f>
        <v>2E-3</v>
      </c>
      <c r="AP235" s="507">
        <f t="shared" si="141"/>
        <v>0</v>
      </c>
      <c r="AQ235" s="507"/>
      <c r="AR235" s="361">
        <f>0.38/1000</f>
        <v>3.8000000000000002E-4</v>
      </c>
      <c r="AS235" s="17"/>
      <c r="AT235" s="8"/>
    </row>
    <row r="236" spans="14:46" ht="15" customHeight="1">
      <c r="N236" s="17"/>
      <c r="O236" s="17"/>
      <c r="P236" s="17"/>
      <c r="Q236" s="17"/>
      <c r="R236" s="69"/>
      <c r="S236" s="69"/>
      <c r="T236" s="69"/>
      <c r="U236" s="69"/>
      <c r="AM236" s="496" t="s">
        <v>543</v>
      </c>
      <c r="AN236" s="506">
        <v>20.00074</v>
      </c>
      <c r="AO236" s="490">
        <f>(2.5/1000)</f>
        <v>2.5000000000000001E-3</v>
      </c>
      <c r="AP236" s="507">
        <f t="shared" si="141"/>
        <v>0</v>
      </c>
      <c r="AQ236" s="507"/>
      <c r="AR236" s="361">
        <f>0.53/1000</f>
        <v>5.2999999999999998E-4</v>
      </c>
      <c r="AS236" s="17"/>
      <c r="AT236" s="8"/>
    </row>
    <row r="237" spans="14:46" ht="15" customHeight="1">
      <c r="N237" s="17"/>
      <c r="O237" s="17"/>
      <c r="P237" s="17"/>
      <c r="Q237" s="17"/>
      <c r="R237" s="69"/>
      <c r="S237" s="69"/>
      <c r="T237" s="69"/>
      <c r="U237" s="69"/>
      <c r="AM237" s="494" t="s">
        <v>544</v>
      </c>
      <c r="AN237" s="506">
        <v>20.000961</v>
      </c>
      <c r="AO237" s="490">
        <f>(2.5/1000)</f>
        <v>2.5000000000000001E-3</v>
      </c>
      <c r="AP237" s="507">
        <f t="shared" si="141"/>
        <v>0</v>
      </c>
      <c r="AQ237" s="507"/>
      <c r="AR237" s="361">
        <f>0.53/1000</f>
        <v>5.2999999999999998E-4</v>
      </c>
      <c r="AS237" s="17"/>
      <c r="AT237" s="8"/>
    </row>
    <row r="238" spans="14:46" ht="15" customHeight="1">
      <c r="N238" s="17"/>
      <c r="O238" s="17"/>
      <c r="P238" s="17"/>
      <c r="Q238" s="17"/>
      <c r="R238" s="69"/>
      <c r="S238" s="69"/>
      <c r="T238" s="69"/>
      <c r="U238" s="69"/>
      <c r="AM238" s="496" t="s">
        <v>545</v>
      </c>
      <c r="AN238" s="506">
        <v>50.000734999999999</v>
      </c>
      <c r="AO238" s="490">
        <f>(3/1000)</f>
        <v>3.0000000000000001E-3</v>
      </c>
      <c r="AP238" s="507">
        <f t="shared" si="141"/>
        <v>0</v>
      </c>
      <c r="AQ238" s="507"/>
      <c r="AR238" s="361">
        <f>0.87/1000</f>
        <v>8.7000000000000001E-4</v>
      </c>
      <c r="AS238" s="17"/>
      <c r="AT238" s="8"/>
    </row>
    <row r="239" spans="14:46" ht="15" customHeight="1">
      <c r="N239" s="17"/>
      <c r="O239" s="17"/>
      <c r="P239" s="17"/>
      <c r="Q239" s="17"/>
      <c r="R239" s="69"/>
      <c r="S239" s="69"/>
      <c r="T239" s="69"/>
      <c r="U239" s="69"/>
      <c r="AM239" s="498" t="s">
        <v>546</v>
      </c>
      <c r="AN239" s="506">
        <v>100.00136000000001</v>
      </c>
      <c r="AO239" s="490">
        <f>(5/1000)</f>
        <v>5.0000000000000001E-3</v>
      </c>
      <c r="AP239" s="507">
        <f t="shared" si="141"/>
        <v>0</v>
      </c>
      <c r="AQ239" s="507"/>
      <c r="AR239" s="362">
        <f>SQRT((15.88/1000)^2/3)</f>
        <v>9.1683222747312582E-3</v>
      </c>
      <c r="AS239" s="17"/>
      <c r="AT239" s="8"/>
    </row>
    <row r="240" spans="14:46" ht="15" customHeight="1">
      <c r="N240" s="17"/>
      <c r="O240" s="17"/>
      <c r="P240" s="17"/>
      <c r="Q240" s="17"/>
      <c r="R240" s="69"/>
      <c r="S240" s="69"/>
      <c r="T240" s="69"/>
      <c r="U240" s="69"/>
      <c r="AM240" s="498" t="s">
        <v>547</v>
      </c>
      <c r="AN240" s="506">
        <v>200.00282999999999</v>
      </c>
      <c r="AO240" s="490">
        <f>(10/1000)</f>
        <v>0.01</v>
      </c>
      <c r="AP240" s="507">
        <f t="shared" si="141"/>
        <v>0</v>
      </c>
      <c r="AQ240" s="507"/>
      <c r="AR240" s="362">
        <f t="shared" ref="AR240:AR245" si="142">SQRT((15.88/1000)^2/3)</f>
        <v>9.1683222747312582E-3</v>
      </c>
      <c r="AS240" s="17"/>
      <c r="AT240" s="8"/>
    </row>
    <row r="241" spans="14:46" ht="15" customHeight="1">
      <c r="N241" s="17"/>
      <c r="O241" s="17"/>
      <c r="P241" s="17"/>
      <c r="Q241" s="17"/>
      <c r="R241" s="69"/>
      <c r="S241" s="69"/>
      <c r="T241" s="69"/>
      <c r="U241" s="69"/>
      <c r="AM241" s="498" t="s">
        <v>548</v>
      </c>
      <c r="AN241" s="506">
        <v>200.00221999999999</v>
      </c>
      <c r="AO241" s="490">
        <f>(10/1000)</f>
        <v>0.01</v>
      </c>
      <c r="AP241" s="507">
        <f t="shared" si="141"/>
        <v>0</v>
      </c>
      <c r="AQ241" s="507"/>
      <c r="AR241" s="362">
        <f t="shared" si="142"/>
        <v>9.1683222747312582E-3</v>
      </c>
      <c r="AS241" s="17"/>
      <c r="AT241" s="8"/>
    </row>
    <row r="242" spans="14:46" ht="15" customHeight="1">
      <c r="N242" s="17"/>
      <c r="O242" s="17"/>
      <c r="P242" s="17"/>
      <c r="Q242" s="17"/>
      <c r="R242" s="69"/>
      <c r="S242" s="69"/>
      <c r="T242" s="69"/>
      <c r="U242" s="69"/>
      <c r="AM242" s="498" t="s">
        <v>549</v>
      </c>
      <c r="AN242" s="506">
        <v>500.00295999999997</v>
      </c>
      <c r="AO242" s="490">
        <f>(25/1000)</f>
        <v>2.5000000000000001E-2</v>
      </c>
      <c r="AP242" s="536">
        <f t="shared" si="141"/>
        <v>0</v>
      </c>
      <c r="AQ242" s="536"/>
      <c r="AR242" s="362">
        <f t="shared" si="142"/>
        <v>9.1683222747312582E-3</v>
      </c>
      <c r="AS242" s="17"/>
      <c r="AT242" s="8"/>
    </row>
    <row r="243" spans="14:46" ht="15" customHeight="1">
      <c r="N243" s="17"/>
      <c r="O243" s="17"/>
      <c r="P243" s="17"/>
      <c r="Q243" s="17"/>
      <c r="R243" s="69"/>
      <c r="S243" s="69"/>
      <c r="T243" s="69"/>
      <c r="U243" s="69"/>
      <c r="AM243" s="498" t="s">
        <v>550</v>
      </c>
      <c r="AN243" s="506">
        <v>1000.0106</v>
      </c>
      <c r="AO243" s="490">
        <f>(50/1000)</f>
        <v>0.05</v>
      </c>
      <c r="AP243" s="537">
        <f t="shared" si="141"/>
        <v>0</v>
      </c>
      <c r="AQ243" s="537"/>
      <c r="AR243" s="362">
        <f t="shared" si="142"/>
        <v>9.1683222747312582E-3</v>
      </c>
      <c r="AS243" s="17"/>
      <c r="AT243" s="8"/>
    </row>
    <row r="244" spans="14:46" ht="15" customHeight="1">
      <c r="N244" s="17"/>
      <c r="O244" s="17"/>
      <c r="P244" s="17"/>
      <c r="Q244" s="17"/>
      <c r="R244" s="69"/>
      <c r="S244" s="69"/>
      <c r="T244" s="69"/>
      <c r="U244" s="69"/>
      <c r="AM244" s="739" t="s">
        <v>551</v>
      </c>
      <c r="AN244" s="758">
        <v>2000.0255999999999</v>
      </c>
      <c r="AO244" s="490">
        <f>0.1</f>
        <v>0.1</v>
      </c>
      <c r="AP244" s="507">
        <f t="shared" si="141"/>
        <v>0</v>
      </c>
      <c r="AQ244" s="507"/>
      <c r="AR244" s="362">
        <f t="shared" si="142"/>
        <v>9.1683222747312582E-3</v>
      </c>
      <c r="AS244" s="17"/>
      <c r="AT244" s="8"/>
    </row>
    <row r="245" spans="14:46" ht="15" customHeight="1">
      <c r="N245" s="17"/>
      <c r="O245" s="17"/>
      <c r="P245" s="17"/>
      <c r="Q245" s="17"/>
      <c r="R245" s="69"/>
      <c r="S245" s="69"/>
      <c r="T245" s="69"/>
      <c r="U245" s="69"/>
      <c r="AM245" s="498" t="s">
        <v>552</v>
      </c>
      <c r="AN245" s="758">
        <v>2000.0272</v>
      </c>
      <c r="AO245" s="490">
        <f>0.1</f>
        <v>0.1</v>
      </c>
      <c r="AP245" s="507">
        <f t="shared" si="141"/>
        <v>0</v>
      </c>
      <c r="AQ245" s="507"/>
      <c r="AR245" s="362">
        <f t="shared" si="142"/>
        <v>9.1683222747312582E-3</v>
      </c>
      <c r="AS245" s="17"/>
      <c r="AT245" s="8"/>
    </row>
    <row r="246" spans="14:46" ht="15" customHeight="1" thickBot="1">
      <c r="N246" s="17"/>
      <c r="O246" s="17"/>
      <c r="P246" s="17"/>
      <c r="Q246" s="17"/>
      <c r="R246" s="69"/>
      <c r="S246" s="69"/>
      <c r="T246" s="69"/>
      <c r="U246" s="69"/>
      <c r="AM246" s="504" t="s">
        <v>553</v>
      </c>
      <c r="AN246" s="512">
        <v>5000.0600000000004</v>
      </c>
      <c r="AO246" s="502">
        <f>0.25</f>
        <v>0.25</v>
      </c>
      <c r="AP246" s="538">
        <f t="shared" si="141"/>
        <v>0</v>
      </c>
      <c r="AQ246" s="536"/>
      <c r="AR246" s="362">
        <f>SQRT((15.88/1000)^2/3)</f>
        <v>9.1683222747312582E-3</v>
      </c>
      <c r="AS246" s="17"/>
      <c r="AT246" s="8"/>
    </row>
    <row r="247" spans="14:46" ht="15" customHeight="1">
      <c r="N247" s="17"/>
      <c r="O247" s="17"/>
      <c r="P247" s="17"/>
      <c r="Q247" s="17"/>
      <c r="R247" s="69"/>
      <c r="S247" s="69"/>
      <c r="T247" s="69"/>
      <c r="U247" s="69"/>
      <c r="AM247" s="524" t="s">
        <v>121</v>
      </c>
      <c r="AN247" s="546"/>
      <c r="AO247" s="530" t="str">
        <f>IF(AP247=0,"NÃO","SIM")</f>
        <v>NÃO</v>
      </c>
      <c r="AP247" s="531">
        <f>IF(ISERROR(SUM(AP248:AP255+'2º MR-MI'!AP248:AP255+'3º MR-MI'!AP248:AP255)),SUM(AP248:AP255),SUM(AP248:AP255)+'2º MR-MI'!AP248:AP255+'3º MR-MI'!AP248:AP255)</f>
        <v>0</v>
      </c>
      <c r="AQ247" s="534"/>
      <c r="AR247" s="39"/>
      <c r="AS247" s="17"/>
      <c r="AT247" s="8"/>
    </row>
    <row r="248" spans="14:46" ht="15" customHeight="1">
      <c r="N248" s="17"/>
      <c r="O248" s="17"/>
      <c r="P248" s="17"/>
      <c r="Q248" s="17"/>
      <c r="R248" s="69"/>
      <c r="S248" s="69"/>
      <c r="T248" s="69"/>
      <c r="U248" s="69"/>
      <c r="AM248" s="540" t="str">
        <f>IF(AN248=0,"","L1")</f>
        <v/>
      </c>
      <c r="AN248" s="603">
        <f>E34*1000</f>
        <v>0</v>
      </c>
      <c r="AO248" s="749">
        <f>SQRT((X34^2+X35^2+X36^2)+2*($X$29^2+$X$30^2+X31^2+X32^2+X33^2))/$AV$78</f>
        <v>0</v>
      </c>
      <c r="AP248" s="507">
        <f t="shared" ref="AP248:AP255" si="143">IF(ISERROR(MATCH(AM248,$B$32:$B$77,0)),0,(MATCH(AM248,$B$32:$B$77,0)))+IF(ISERROR(MATCH(AM248,$C$32:$C$77,0)),0,(MATCH(AM248,$C$32:$C$77,0)))</f>
        <v>0</v>
      </c>
      <c r="AQ248" s="507"/>
      <c r="AR248" s="362"/>
      <c r="AT248" s="8"/>
    </row>
    <row r="249" spans="14:46" ht="15" customHeight="1">
      <c r="N249" s="17"/>
      <c r="O249" s="17"/>
      <c r="P249" s="17"/>
      <c r="Q249" s="17"/>
      <c r="R249" s="69"/>
      <c r="S249" s="69"/>
      <c r="T249" s="69"/>
      <c r="U249" s="69"/>
      <c r="AM249" s="540" t="str">
        <f>IF(AN249=0,"",IF(AN248=0,"L1","L2"))</f>
        <v/>
      </c>
      <c r="AN249" s="603">
        <f>E39*1000</f>
        <v>0</v>
      </c>
      <c r="AO249" s="749">
        <f>SQRT((X34^2+X35^2+X36^2)+2*($X$29^2+$X$30^2+X31^2+X32^2+X33^2))/$AV$78</f>
        <v>0</v>
      </c>
      <c r="AP249" s="507">
        <f t="shared" si="143"/>
        <v>0</v>
      </c>
      <c r="AQ249" s="507"/>
      <c r="AR249" s="362"/>
      <c r="AT249" s="8"/>
    </row>
    <row r="250" spans="14:46" ht="15" customHeight="1">
      <c r="N250" s="17"/>
      <c r="O250" s="17"/>
      <c r="P250" s="17"/>
      <c r="Q250" s="17"/>
      <c r="R250" s="69"/>
      <c r="S250" s="69"/>
      <c r="T250" s="69"/>
      <c r="U250" s="69"/>
      <c r="AM250" s="540" t="str">
        <f>IF(AN250=0,"",IF(AND(AM248="",AM249=""),"L1","L2"))</f>
        <v/>
      </c>
      <c r="AN250" s="603">
        <f>E45*1000</f>
        <v>0</v>
      </c>
      <c r="AO250" s="749">
        <f>SQRT((X40^2+X41^2+X42^2)+2*($X$29^2+$X$30^2+X37^2+X38^2+X39^2))/$AV$78</f>
        <v>0</v>
      </c>
      <c r="AP250" s="536">
        <f t="shared" si="143"/>
        <v>0</v>
      </c>
      <c r="AQ250" s="536"/>
      <c r="AR250" s="362"/>
      <c r="AT250" s="8"/>
    </row>
    <row r="251" spans="14:46" ht="15" customHeight="1">
      <c r="N251" s="17"/>
      <c r="O251" s="17"/>
      <c r="P251" s="17"/>
      <c r="Q251" s="17"/>
      <c r="R251" s="69"/>
      <c r="S251" s="69"/>
      <c r="T251" s="69"/>
      <c r="U251" s="69"/>
      <c r="AM251" s="540" t="str">
        <f>IF(AN251=0,"",IF(AND(AM248="",AM249="",AM250=""),"L1",IF(AND(AM248&lt;&gt;"L2",AM249&lt;&gt;"L2",AM250&lt;&gt;"L2"),"L2","L3")))</f>
        <v/>
      </c>
      <c r="AN251" s="603">
        <f>E51*1000</f>
        <v>0</v>
      </c>
      <c r="AO251" s="749">
        <f>SQRT((X46^2+X47^2+X48^2)+2*($X$29^2+$X$30^2+X43^2+X44^2+X45^2))/$AV$78</f>
        <v>0</v>
      </c>
      <c r="AP251" s="536">
        <f t="shared" si="143"/>
        <v>0</v>
      </c>
      <c r="AQ251" s="536"/>
      <c r="AR251" s="362"/>
      <c r="AT251" s="8"/>
    </row>
    <row r="252" spans="14:46" ht="15" customHeight="1">
      <c r="N252" s="17"/>
      <c r="O252" s="17"/>
      <c r="P252" s="17"/>
      <c r="Q252" s="17"/>
      <c r="R252" s="69"/>
      <c r="S252" s="69"/>
      <c r="T252" s="69"/>
      <c r="U252" s="69"/>
      <c r="AM252" s="540" t="str">
        <f>IF(AN252=0,"",IF(AND(AM248="",AM249="",AM250="",AM251=""),"L1",IF(AND(AM248&lt;&gt;"L2",AM249&lt;&gt;"L2",AM250&lt;&gt;"L2",AM251&lt;&gt;"L2"),"L2",IF(AND(AM250&lt;&gt;"L3",AM251&lt;&gt;"L3"),"L3","L4"))))</f>
        <v/>
      </c>
      <c r="AN252" s="603">
        <f>E57*1000</f>
        <v>0</v>
      </c>
      <c r="AO252" s="749">
        <f>SQRT((X52^2+X53^2+X54^2)+2*($X$29^2+$X$30^2+X49^2+X50^2+X51^2))/$AV$78</f>
        <v>0</v>
      </c>
      <c r="AP252" s="507">
        <f t="shared" si="143"/>
        <v>0</v>
      </c>
      <c r="AQ252" s="507"/>
      <c r="AR252" s="362"/>
      <c r="AT252" s="8"/>
    </row>
    <row r="253" spans="14:46" ht="15" customHeight="1">
      <c r="N253" s="17"/>
      <c r="O253" s="17"/>
      <c r="P253" s="17"/>
      <c r="Q253" s="17"/>
      <c r="R253" s="69"/>
      <c r="S253" s="69"/>
      <c r="T253" s="69"/>
      <c r="U253" s="69"/>
      <c r="AM253" s="540" t="str">
        <f>IF(AN253=0,"",IF(AND(AM248="",AM249="",AM250="",AM251="",AM252=""),"L1",IF(AND(AM248&lt;&gt;"L2",AM249&lt;&gt;"L2",AM250&lt;&gt;"L2",AM251&lt;&gt;"L2",AM252&lt;&gt;"L2"),"L2",IF(AND(AM250&lt;&gt;"L3",AM251&lt;&gt;"L3",AM252&lt;&gt;"L3"),"L3",IF(AND(AM250&lt;&gt;"L4",AM251&lt;&gt;"L4",AM252&lt;&gt;"L4"),"L4","L5")))))</f>
        <v/>
      </c>
      <c r="AN253" s="603">
        <f>E63*1000</f>
        <v>0</v>
      </c>
      <c r="AO253" s="749">
        <f>SQRT((X58^2+X59^2+X60^2)+2*($X$29^2+$X$30^2+X55^2+X56^2+X57^2))/$AV$78</f>
        <v>0</v>
      </c>
      <c r="AP253" s="507">
        <f t="shared" si="143"/>
        <v>0</v>
      </c>
      <c r="AQ253" s="507"/>
      <c r="AR253" s="362"/>
    </row>
    <row r="254" spans="14:46" ht="15" customHeight="1">
      <c r="N254" s="17"/>
      <c r="O254" s="17"/>
      <c r="P254" s="17"/>
      <c r="Q254" s="17"/>
      <c r="R254" s="69"/>
      <c r="S254" s="69"/>
      <c r="T254" s="69"/>
      <c r="U254" s="69"/>
      <c r="AM254" s="540" t="str">
        <f>IF(AN254=0,"",IF(AND(AM248="",AM249="",AM250="",AM251="",AM252="",AM253=""),"L1",IF(AND(AM249&lt;&gt;"L2",AM250&lt;&gt;"L2",AM251&lt;&gt;"L2",AM252&lt;&gt;"L2",AM253&lt;&gt;"L2"),"L2",IF(AND(AM250&lt;&gt;"L3",AM251&lt;&gt;"L3",AM252&lt;&gt;"L3",AM253&lt;&gt;"L3"),"L3",IF(AND(AM251&lt;&gt;"L4",AM252&lt;&gt;"L4",AM253&lt;&gt;"L4"),"L4","L5")))))</f>
        <v/>
      </c>
      <c r="AN254" s="603">
        <f>E69*1000</f>
        <v>0</v>
      </c>
      <c r="AO254" s="749">
        <f>SQRT((X64^2+X65^2+X66^2)+2*($X$29^2+$X$30^2+X61^2+X62^2+X63^2))/$AV$78</f>
        <v>0</v>
      </c>
      <c r="AP254" s="507">
        <f t="shared" si="143"/>
        <v>0</v>
      </c>
      <c r="AQ254" s="507"/>
      <c r="AR254" s="362"/>
    </row>
    <row r="255" spans="14:46" ht="15" customHeight="1" thickBot="1">
      <c r="N255" s="17"/>
      <c r="O255" s="17"/>
      <c r="P255" s="17"/>
      <c r="Q255" s="17"/>
      <c r="R255" s="69"/>
      <c r="S255" s="69"/>
      <c r="T255" s="69"/>
      <c r="U255" s="69"/>
      <c r="AM255" s="666" t="str">
        <f>IF(AN255=0,"",IF(AND(AM249="",AM250="",AM251="",AM252="",AM253="",AM254=""),"L1",IF(AND(AM250&lt;&gt;"L2",AM251&lt;&gt;"L2",AM252&lt;&gt;"L2",AM253&lt;&gt;"L2",AM254&lt;&gt;"L2"),"L2",IF(AND(AM251&lt;&gt;"L3",AM252&lt;&gt;"L3",AM253&lt;&gt;"L3",AM254&lt;&gt;"L3"),"L3",IF(AND(AM252&lt;&gt;"L4",AM253&lt;&gt;"L4",AM254&lt;&gt;"L4"),"L4","L5")))))</f>
        <v/>
      </c>
      <c r="AN255" s="604">
        <f>E75*1000</f>
        <v>0</v>
      </c>
      <c r="AO255" s="752">
        <f>SQRT((X70^2+X71^2+X72^2)+2*($X$29^2+$X$30^2+X67^2+X68^2+X69^2))/$AV$78</f>
        <v>0</v>
      </c>
      <c r="AP255" s="511">
        <f t="shared" si="143"/>
        <v>0</v>
      </c>
      <c r="AQ255" s="511"/>
      <c r="AR255" s="605"/>
    </row>
    <row r="256" spans="14:46" ht="15" customHeight="1">
      <c r="N256" s="17"/>
      <c r="O256" s="17"/>
      <c r="P256" s="17"/>
      <c r="Q256" s="17"/>
      <c r="R256" s="69"/>
      <c r="S256" s="69"/>
      <c r="T256" s="69"/>
      <c r="U256" s="69"/>
    </row>
    <row r="257" spans="14:43" ht="15" customHeight="1">
      <c r="N257" s="17"/>
      <c r="O257" s="17"/>
      <c r="P257" s="17"/>
      <c r="Q257" s="17"/>
      <c r="R257" s="69"/>
      <c r="S257" s="69"/>
      <c r="T257" s="69"/>
      <c r="U257" s="69"/>
    </row>
    <row r="258" spans="14:43" ht="15" customHeight="1" thickBot="1">
      <c r="N258" s="17"/>
      <c r="O258" s="17"/>
      <c r="P258" s="17"/>
      <c r="Q258" s="17"/>
      <c r="R258" s="69"/>
      <c r="S258" s="69"/>
      <c r="T258" s="69"/>
      <c r="U258" s="69"/>
      <c r="AQ258" s="751"/>
    </row>
    <row r="259" spans="14:43" ht="15" customHeight="1">
      <c r="N259" s="17"/>
      <c r="O259" s="17"/>
      <c r="P259" s="17"/>
      <c r="Q259" s="17"/>
      <c r="R259" s="69"/>
      <c r="S259" s="69"/>
      <c r="T259" s="69"/>
      <c r="U259" s="69"/>
      <c r="AL259" s="553" t="s">
        <v>434</v>
      </c>
      <c r="AM259" s="554"/>
      <c r="AN259" s="554"/>
      <c r="AO259" s="561" t="s">
        <v>435</v>
      </c>
      <c r="AP259" s="560"/>
      <c r="AQ259" s="87"/>
    </row>
    <row r="260" spans="14:43" ht="15" customHeight="1">
      <c r="N260" s="17"/>
      <c r="O260" s="17"/>
      <c r="P260" s="17"/>
      <c r="Q260" s="17"/>
      <c r="R260" s="69"/>
      <c r="S260" s="69"/>
      <c r="T260" s="69"/>
      <c r="U260" s="69"/>
      <c r="AL260" s="555" t="s">
        <v>436</v>
      </c>
      <c r="AM260"/>
      <c r="AN260"/>
      <c r="AO260" s="87"/>
      <c r="AP260" s="556"/>
      <c r="AQ260" s="87"/>
    </row>
    <row r="261" spans="14:43" ht="15" customHeight="1">
      <c r="N261" s="17"/>
      <c r="O261" s="17"/>
      <c r="P261" s="17"/>
      <c r="Q261" s="17"/>
      <c r="R261" s="69"/>
      <c r="S261" s="69"/>
      <c r="T261" s="69"/>
      <c r="U261" s="69"/>
      <c r="AL261" s="562" t="s">
        <v>437</v>
      </c>
      <c r="AM261"/>
      <c r="AN261"/>
      <c r="AO261" s="564"/>
      <c r="AP261" s="565"/>
      <c r="AQ261" s="376"/>
    </row>
    <row r="262" spans="14:43" ht="15" customHeight="1">
      <c r="N262" s="17"/>
      <c r="O262" s="17"/>
      <c r="P262" s="17"/>
      <c r="Q262" s="17"/>
      <c r="R262" s="69"/>
      <c r="S262" s="69"/>
      <c r="T262" s="69"/>
      <c r="U262" s="69"/>
      <c r="AL262" s="555" t="s">
        <v>439</v>
      </c>
      <c r="AM262"/>
      <c r="AN262"/>
      <c r="AO262" s="551" t="s">
        <v>441</v>
      </c>
      <c r="AP262" s="557"/>
      <c r="AQ262" s="679"/>
    </row>
    <row r="263" spans="14:43" ht="15" customHeight="1">
      <c r="N263" s="17"/>
      <c r="O263" s="17"/>
      <c r="P263" s="17"/>
      <c r="Q263" s="17"/>
      <c r="R263" s="69"/>
      <c r="S263" s="69"/>
      <c r="T263" s="69"/>
      <c r="U263" s="69"/>
      <c r="AL263" s="555" t="s">
        <v>440</v>
      </c>
      <c r="AM263"/>
      <c r="AN263"/>
      <c r="AO263" s="551" t="s">
        <v>442</v>
      </c>
      <c r="AP263" s="557"/>
      <c r="AQ263" s="679"/>
    </row>
    <row r="264" spans="14:43" ht="15" customHeight="1" thickBot="1">
      <c r="N264" s="17"/>
      <c r="O264" s="17"/>
      <c r="P264" s="17"/>
      <c r="Q264" s="17"/>
      <c r="R264" s="69"/>
      <c r="S264" s="69"/>
      <c r="T264" s="69"/>
      <c r="U264" s="69"/>
      <c r="AL264" s="563" t="s">
        <v>444</v>
      </c>
      <c r="AM264" s="558"/>
      <c r="AN264" s="558"/>
      <c r="AO264" s="552" t="s">
        <v>443</v>
      </c>
      <c r="AP264" s="559"/>
      <c r="AQ264" s="679"/>
    </row>
    <row r="265" spans="14:43" ht="15" customHeight="1">
      <c r="N265" s="17"/>
      <c r="O265" s="17"/>
      <c r="P265" s="17"/>
      <c r="Q265" s="17"/>
      <c r="R265" s="69"/>
      <c r="S265" s="69"/>
      <c r="T265" s="69"/>
      <c r="U265" s="69"/>
      <c r="AQ265" s="751"/>
    </row>
    <row r="266" spans="14:43" ht="15" customHeight="1">
      <c r="N266" s="17"/>
      <c r="O266" s="17"/>
      <c r="P266" s="17"/>
      <c r="Q266" s="17"/>
      <c r="R266" s="69"/>
      <c r="S266" s="69"/>
      <c r="T266" s="69"/>
      <c r="U266" s="69"/>
    </row>
    <row r="267" spans="14:43" ht="15" customHeight="1">
      <c r="N267" s="17"/>
      <c r="O267" s="17"/>
      <c r="P267" s="17"/>
      <c r="Q267" s="17"/>
      <c r="R267" s="69"/>
      <c r="S267" s="69"/>
      <c r="T267" s="69"/>
      <c r="U267" s="69"/>
    </row>
    <row r="268" spans="14:43" ht="15" customHeight="1">
      <c r="N268" s="17"/>
      <c r="O268" s="17"/>
      <c r="P268" s="17"/>
      <c r="Q268" s="17"/>
      <c r="R268" s="69"/>
      <c r="S268" s="69"/>
      <c r="T268" s="69"/>
      <c r="U268" s="69"/>
    </row>
    <row r="269" spans="14:43" ht="15" customHeight="1">
      <c r="N269" s="17"/>
      <c r="O269" s="17"/>
      <c r="P269" s="17"/>
      <c r="Q269" s="17"/>
      <c r="R269" s="69"/>
      <c r="S269" s="69"/>
      <c r="T269" s="69"/>
      <c r="U269" s="69"/>
    </row>
    <row r="270" spans="14:43" ht="15" customHeight="1">
      <c r="N270" s="17"/>
      <c r="O270" s="17"/>
      <c r="P270" s="17"/>
      <c r="Q270" s="17"/>
      <c r="R270" s="69"/>
      <c r="S270" s="69"/>
      <c r="T270" s="69"/>
      <c r="U270" s="69"/>
    </row>
    <row r="271" spans="14:43" ht="15" customHeight="1">
      <c r="N271" s="17"/>
      <c r="O271" s="17"/>
      <c r="P271" s="17"/>
      <c r="Q271" s="17"/>
      <c r="R271" s="69"/>
      <c r="S271" s="69"/>
      <c r="T271" s="69"/>
      <c r="U271" s="69"/>
    </row>
    <row r="272" spans="14:43" ht="15" customHeight="1">
      <c r="N272" s="17"/>
      <c r="O272" s="17"/>
      <c r="P272" s="17"/>
      <c r="Q272" s="17"/>
      <c r="R272" s="69"/>
      <c r="S272" s="69"/>
      <c r="T272" s="69"/>
      <c r="U272" s="69"/>
    </row>
    <row r="273" spans="14:21" ht="15" customHeight="1">
      <c r="N273" s="17"/>
      <c r="O273" s="17"/>
      <c r="P273" s="17"/>
      <c r="Q273" s="17"/>
      <c r="R273" s="69"/>
      <c r="S273" s="69"/>
      <c r="T273" s="69"/>
      <c r="U273" s="69"/>
    </row>
    <row r="274" spans="14:21" ht="15" customHeight="1">
      <c r="N274" s="17"/>
      <c r="O274" s="17"/>
      <c r="P274" s="17"/>
      <c r="Q274" s="17"/>
      <c r="R274" s="69"/>
      <c r="S274" s="69"/>
      <c r="T274" s="69"/>
      <c r="U274" s="69"/>
    </row>
    <row r="275" spans="14:21" ht="15" customHeight="1">
      <c r="N275" s="17"/>
      <c r="O275" s="17"/>
      <c r="P275" s="17"/>
      <c r="Q275" s="17"/>
      <c r="R275" s="69"/>
      <c r="S275" s="69"/>
      <c r="T275" s="69"/>
      <c r="U275" s="69"/>
    </row>
    <row r="276" spans="14:21" ht="15" customHeight="1">
      <c r="N276" s="17"/>
      <c r="O276" s="17"/>
      <c r="P276" s="17"/>
      <c r="Q276" s="17"/>
      <c r="R276" s="69"/>
      <c r="S276" s="69"/>
      <c r="T276" s="69"/>
      <c r="U276" s="69"/>
    </row>
    <row r="277" spans="14:21" ht="15" customHeight="1">
      <c r="N277" s="17"/>
      <c r="O277" s="17"/>
      <c r="P277" s="17"/>
      <c r="Q277" s="17"/>
      <c r="R277" s="69"/>
      <c r="S277" s="69"/>
      <c r="T277" s="69"/>
      <c r="U277" s="69"/>
    </row>
    <row r="278" spans="14:21" ht="15" customHeight="1">
      <c r="N278" s="17"/>
      <c r="O278" s="17"/>
      <c r="P278" s="17"/>
      <c r="Q278" s="17"/>
      <c r="R278" s="69"/>
      <c r="S278" s="69"/>
      <c r="T278" s="69"/>
      <c r="U278" s="69"/>
    </row>
    <row r="279" spans="14:21" ht="15" customHeight="1">
      <c r="N279" s="17"/>
      <c r="O279" s="17"/>
      <c r="P279" s="17"/>
      <c r="Q279" s="17"/>
      <c r="R279" s="69"/>
      <c r="S279" s="69"/>
      <c r="T279" s="69"/>
      <c r="U279" s="69"/>
    </row>
    <row r="280" spans="14:21" ht="15" customHeight="1">
      <c r="N280" s="17"/>
      <c r="O280" s="17"/>
      <c r="P280" s="17"/>
      <c r="Q280" s="17"/>
      <c r="R280" s="69"/>
      <c r="S280" s="69"/>
      <c r="T280" s="69"/>
      <c r="U280" s="69"/>
    </row>
    <row r="281" spans="14:21" ht="15" customHeight="1">
      <c r="N281" s="17"/>
      <c r="O281" s="17"/>
      <c r="P281" s="17"/>
      <c r="Q281" s="17"/>
      <c r="R281" s="69"/>
      <c r="S281" s="69"/>
      <c r="T281" s="69"/>
      <c r="U281" s="69"/>
    </row>
    <row r="282" spans="14:21" ht="15" customHeight="1">
      <c r="N282" s="17"/>
      <c r="O282" s="17"/>
      <c r="P282" s="17"/>
      <c r="Q282" s="17"/>
      <c r="R282" s="69"/>
      <c r="S282" s="69"/>
      <c r="T282" s="69"/>
      <c r="U282" s="69"/>
    </row>
    <row r="283" spans="14:21" ht="15" customHeight="1">
      <c r="N283" s="17"/>
      <c r="O283" s="17"/>
      <c r="P283" s="17"/>
      <c r="Q283" s="17"/>
      <c r="R283" s="69"/>
      <c r="S283" s="69"/>
      <c r="T283" s="69"/>
      <c r="U283" s="69"/>
    </row>
    <row r="284" spans="14:21" ht="15" customHeight="1">
      <c r="N284" s="17"/>
      <c r="O284" s="17"/>
      <c r="P284" s="17"/>
      <c r="Q284" s="17"/>
      <c r="R284" s="69"/>
      <c r="S284" s="69"/>
      <c r="T284" s="69"/>
      <c r="U284" s="69"/>
    </row>
    <row r="285" spans="14:21" ht="15" customHeight="1">
      <c r="N285" s="17"/>
      <c r="O285" s="17"/>
      <c r="P285" s="17"/>
      <c r="Q285" s="17"/>
      <c r="R285" s="69"/>
      <c r="S285" s="69"/>
      <c r="T285" s="69"/>
      <c r="U285" s="69"/>
    </row>
    <row r="286" spans="14:21" ht="15" customHeight="1">
      <c r="N286" s="17"/>
      <c r="O286" s="17"/>
      <c r="P286" s="17"/>
      <c r="Q286" s="17"/>
      <c r="R286" s="69"/>
      <c r="S286" s="69"/>
      <c r="T286" s="69"/>
      <c r="U286" s="69"/>
    </row>
    <row r="287" spans="14:21" ht="15" customHeight="1">
      <c r="N287" s="17"/>
      <c r="O287" s="17"/>
      <c r="P287" s="17"/>
      <c r="Q287" s="17"/>
      <c r="R287" s="69"/>
      <c r="S287" s="69"/>
      <c r="T287" s="69"/>
      <c r="U287" s="69"/>
    </row>
    <row r="288" spans="14:21" ht="15" customHeight="1">
      <c r="N288" s="17"/>
      <c r="O288" s="17"/>
      <c r="P288" s="17"/>
      <c r="Q288" s="17"/>
      <c r="R288" s="69"/>
      <c r="S288" s="69"/>
      <c r="T288" s="69"/>
      <c r="U288" s="69"/>
    </row>
    <row r="289" spans="14:21" ht="15" customHeight="1">
      <c r="N289" s="17"/>
      <c r="O289" s="17"/>
      <c r="P289" s="17"/>
      <c r="Q289" s="17"/>
      <c r="R289" s="69"/>
      <c r="S289" s="69"/>
      <c r="T289" s="69"/>
      <c r="U289" s="69"/>
    </row>
    <row r="290" spans="14:21" ht="15" customHeight="1">
      <c r="N290" s="17"/>
      <c r="O290" s="17"/>
      <c r="P290" s="17"/>
      <c r="Q290" s="17"/>
      <c r="R290" s="69"/>
      <c r="S290" s="69"/>
      <c r="T290" s="69"/>
      <c r="U290" s="69"/>
    </row>
    <row r="291" spans="14:21" ht="15" customHeight="1">
      <c r="N291" s="17"/>
      <c r="O291" s="17"/>
      <c r="P291" s="17"/>
      <c r="Q291" s="17"/>
      <c r="R291" s="69"/>
      <c r="S291" s="69"/>
      <c r="T291" s="69"/>
      <c r="U291" s="69"/>
    </row>
    <row r="292" spans="14:21" ht="15" customHeight="1">
      <c r="N292" s="17"/>
      <c r="O292" s="17"/>
      <c r="P292" s="17"/>
      <c r="Q292" s="17"/>
      <c r="R292" s="69"/>
      <c r="S292" s="69"/>
      <c r="T292" s="69"/>
      <c r="U292" s="69"/>
    </row>
    <row r="293" spans="14:21" ht="15" customHeight="1">
      <c r="N293" s="17"/>
      <c r="O293" s="17"/>
      <c r="P293" s="17"/>
      <c r="Q293" s="17"/>
      <c r="R293" s="69"/>
      <c r="S293" s="69"/>
      <c r="T293" s="69"/>
      <c r="U293" s="69"/>
    </row>
    <row r="294" spans="14:21" ht="15" customHeight="1">
      <c r="N294" s="17"/>
      <c r="O294" s="17"/>
      <c r="P294" s="17"/>
      <c r="Q294" s="17"/>
      <c r="R294" s="69"/>
      <c r="S294" s="69"/>
      <c r="T294" s="69"/>
      <c r="U294" s="69"/>
    </row>
    <row r="295" spans="14:21" ht="15" customHeight="1">
      <c r="N295" s="17"/>
      <c r="O295" s="17"/>
      <c r="P295" s="17"/>
      <c r="Q295" s="17"/>
      <c r="R295" s="69"/>
      <c r="S295" s="69"/>
      <c r="T295" s="69"/>
      <c r="U295" s="69"/>
    </row>
    <row r="296" spans="14:21" ht="15" customHeight="1">
      <c r="N296" s="17"/>
      <c r="O296" s="17"/>
      <c r="P296" s="17"/>
      <c r="Q296" s="17"/>
      <c r="R296" s="69"/>
      <c r="S296" s="69"/>
      <c r="T296" s="69"/>
    </row>
    <row r="297" spans="14:21" ht="15" customHeight="1">
      <c r="N297" s="17"/>
      <c r="O297" s="17"/>
      <c r="P297" s="17"/>
      <c r="Q297" s="17"/>
      <c r="R297" s="69"/>
      <c r="S297" s="69"/>
      <c r="T297" s="69"/>
    </row>
    <row r="298" spans="14:21" ht="15" customHeight="1">
      <c r="N298" s="17"/>
      <c r="O298" s="17"/>
      <c r="P298" s="17"/>
      <c r="Q298" s="17"/>
      <c r="R298" s="69"/>
      <c r="S298" s="69"/>
      <c r="T298" s="69"/>
    </row>
    <row r="299" spans="14:21" ht="15" customHeight="1">
      <c r="N299" s="17"/>
      <c r="O299" s="17"/>
      <c r="P299" s="17"/>
      <c r="Q299" s="17"/>
      <c r="R299" s="69"/>
      <c r="S299" s="69"/>
      <c r="T299" s="69"/>
    </row>
    <row r="300" spans="14:21" ht="15" customHeight="1">
      <c r="N300" s="17"/>
      <c r="O300" s="17"/>
      <c r="P300" s="17"/>
      <c r="Q300" s="17"/>
      <c r="R300" s="69"/>
      <c r="S300" s="69"/>
      <c r="T300" s="69"/>
    </row>
    <row r="301" spans="14:21" ht="15" customHeight="1">
      <c r="N301" s="17"/>
      <c r="O301" s="17"/>
      <c r="P301" s="17"/>
      <c r="Q301" s="17"/>
      <c r="R301" s="69"/>
      <c r="S301" s="69"/>
      <c r="T301" s="69"/>
    </row>
    <row r="302" spans="14:21" ht="15" customHeight="1">
      <c r="N302" s="17"/>
      <c r="O302" s="17"/>
      <c r="P302" s="17"/>
      <c r="Q302" s="17"/>
      <c r="R302" s="69"/>
      <c r="S302" s="69"/>
      <c r="T302" s="69"/>
    </row>
    <row r="303" spans="14:21" ht="15" customHeight="1">
      <c r="O303" s="17"/>
      <c r="P303" s="17"/>
      <c r="Q303" s="17"/>
      <c r="R303" s="69"/>
      <c r="S303" s="69"/>
      <c r="T303" s="69"/>
    </row>
    <row r="304" spans="14:21" ht="15" customHeight="1">
      <c r="O304" s="17"/>
      <c r="P304" s="17"/>
      <c r="Q304" s="17"/>
      <c r="R304" s="69"/>
      <c r="S304" s="69"/>
      <c r="T304" s="69"/>
    </row>
  </sheetData>
  <mergeCells count="202">
    <mergeCell ref="J7:K8"/>
    <mergeCell ref="C19:D19"/>
    <mergeCell ref="A10:B10"/>
    <mergeCell ref="J2:J3"/>
    <mergeCell ref="A22:L22"/>
    <mergeCell ref="U22:AF22"/>
    <mergeCell ref="AI2:AK2"/>
    <mergeCell ref="AI4:AK4"/>
    <mergeCell ref="AI5:AK5"/>
    <mergeCell ref="L7:L8"/>
    <mergeCell ref="AI6:AK6"/>
    <mergeCell ref="AI8:AK8"/>
    <mergeCell ref="AI9:AK9"/>
    <mergeCell ref="AI12:AK12"/>
    <mergeCell ref="C18:D18"/>
    <mergeCell ref="G3:H3"/>
    <mergeCell ref="A4:B4"/>
    <mergeCell ref="C2:F2"/>
    <mergeCell ref="C3:F3"/>
    <mergeCell ref="A2:B2"/>
    <mergeCell ref="A3:B3"/>
    <mergeCell ref="G2:H2"/>
    <mergeCell ref="Q10:Q11"/>
    <mergeCell ref="G12:H13"/>
    <mergeCell ref="AD2:AF2"/>
    <mergeCell ref="N6:P6"/>
    <mergeCell ref="A16:L16"/>
    <mergeCell ref="A6:B6"/>
    <mergeCell ref="G5:L5"/>
    <mergeCell ref="N12:Q12"/>
    <mergeCell ref="O13:Q13"/>
    <mergeCell ref="O14:Q14"/>
    <mergeCell ref="N15:Q15"/>
    <mergeCell ref="O7:P7"/>
    <mergeCell ref="A9:B9"/>
    <mergeCell ref="A8:B8"/>
    <mergeCell ref="A7:B7"/>
    <mergeCell ref="I7:I8"/>
    <mergeCell ref="H11:I11"/>
    <mergeCell ref="I12:J12"/>
    <mergeCell ref="A5:B5"/>
    <mergeCell ref="A11:B11"/>
    <mergeCell ref="C5:F5"/>
    <mergeCell ref="A13:B13"/>
    <mergeCell ref="A14:B14"/>
    <mergeCell ref="A12:C12"/>
    <mergeCell ref="I13:J13"/>
    <mergeCell ref="I14:J14"/>
    <mergeCell ref="A49:A54"/>
    <mergeCell ref="A55:A60"/>
    <mergeCell ref="A61:A66"/>
    <mergeCell ref="A67:A72"/>
    <mergeCell ref="A29:A30"/>
    <mergeCell ref="A32:A36"/>
    <mergeCell ref="G29:I29"/>
    <mergeCell ref="B31:C31"/>
    <mergeCell ref="B29:D29"/>
    <mergeCell ref="B30:C30"/>
    <mergeCell ref="A37:A42"/>
    <mergeCell ref="A43:A48"/>
    <mergeCell ref="AI18:AK18"/>
    <mergeCell ref="C10:F10"/>
    <mergeCell ref="C9:F9"/>
    <mergeCell ref="C11:F11"/>
    <mergeCell ref="BD19:BD20"/>
    <mergeCell ref="AU59:AV59"/>
    <mergeCell ref="AT26:AU26"/>
    <mergeCell ref="AT28:AU28"/>
    <mergeCell ref="AT29:AU29"/>
    <mergeCell ref="O31:P31"/>
    <mergeCell ref="O30:P30"/>
    <mergeCell ref="O29:P29"/>
    <mergeCell ref="S29:T29"/>
    <mergeCell ref="S30:T30"/>
    <mergeCell ref="S31:T31"/>
    <mergeCell ref="Q31:R31"/>
    <mergeCell ref="G7:H9"/>
    <mergeCell ref="H10:I10"/>
    <mergeCell ref="J19:J20"/>
    <mergeCell ref="G23:H23"/>
    <mergeCell ref="C20:D20"/>
    <mergeCell ref="E18:F18"/>
    <mergeCell ref="C7:F7"/>
    <mergeCell ref="C8:F8"/>
    <mergeCell ref="AT114:AV114"/>
    <mergeCell ref="AT118:AU118"/>
    <mergeCell ref="BE19:BE20"/>
    <mergeCell ref="L23:L25"/>
    <mergeCell ref="AI23:AJ23"/>
    <mergeCell ref="AI24:AJ24"/>
    <mergeCell ref="M29:M30"/>
    <mergeCell ref="BA154:BC154"/>
    <mergeCell ref="BA157:BC157"/>
    <mergeCell ref="AT20:AU20"/>
    <mergeCell ref="AD25:AF25"/>
    <mergeCell ref="AI20:AK20"/>
    <mergeCell ref="BA91:BC91"/>
    <mergeCell ref="BA102:BC102"/>
    <mergeCell ref="BA136:BC136"/>
    <mergeCell ref="BA142:BC142"/>
    <mergeCell ref="BA113:BC113"/>
    <mergeCell ref="BA19:BA20"/>
    <mergeCell ref="BB19:BB20"/>
    <mergeCell ref="BC19:BC20"/>
    <mergeCell ref="AK26:AL26"/>
    <mergeCell ref="AI26:AJ26"/>
    <mergeCell ref="AY135:BI135"/>
    <mergeCell ref="AM4:AO4"/>
    <mergeCell ref="C4:F4"/>
    <mergeCell ref="N4:P4"/>
    <mergeCell ref="C6:F6"/>
    <mergeCell ref="G6:L6"/>
    <mergeCell ref="AT5:AU5"/>
    <mergeCell ref="BO114:BQ114"/>
    <mergeCell ref="BA124:BC124"/>
    <mergeCell ref="AY56:BB56"/>
    <mergeCell ref="AT101:AV101"/>
    <mergeCell ref="AI21:AK21"/>
    <mergeCell ref="Q29:R29"/>
    <mergeCell ref="Q30:R30"/>
    <mergeCell ref="AB27:AF27"/>
    <mergeCell ref="AT94:AV94"/>
    <mergeCell ref="AT98:AU98"/>
    <mergeCell ref="AT112:AU112"/>
    <mergeCell ref="AT27:AU27"/>
    <mergeCell ref="AW26:AW27"/>
    <mergeCell ref="BF88:BH89"/>
    <mergeCell ref="BK7:BK8"/>
    <mergeCell ref="BL7:BL8"/>
    <mergeCell ref="BF19:BF20"/>
    <mergeCell ref="BB18:BD18"/>
    <mergeCell ref="BH6:BJ6"/>
    <mergeCell ref="BA7:BA8"/>
    <mergeCell ref="BB7:BB8"/>
    <mergeCell ref="BC7:BC8"/>
    <mergeCell ref="BD7:BD8"/>
    <mergeCell ref="BE7:BE8"/>
    <mergeCell ref="BF7:BF8"/>
    <mergeCell ref="BG7:BG8"/>
    <mergeCell ref="BH7:BH8"/>
    <mergeCell ref="BI7:BI8"/>
    <mergeCell ref="BJ7:BJ8"/>
    <mergeCell ref="BB6:BD6"/>
    <mergeCell ref="BM135:BP135"/>
    <mergeCell ref="BQ135:BX135"/>
    <mergeCell ref="BY135:CF135"/>
    <mergeCell ref="BW157:BX157"/>
    <mergeCell ref="AQ4:AR4"/>
    <mergeCell ref="AQ5:AR5"/>
    <mergeCell ref="A73:A78"/>
    <mergeCell ref="A1:M1"/>
    <mergeCell ref="AT30:AU30"/>
    <mergeCell ref="AT31:AU31"/>
    <mergeCell ref="AT32:AU32"/>
    <mergeCell ref="AT33:AU33"/>
    <mergeCell ref="AT34:AU34"/>
    <mergeCell ref="I18:J18"/>
    <mergeCell ref="I19:I20"/>
    <mergeCell ref="D12:F12"/>
    <mergeCell ref="N9:Q9"/>
    <mergeCell ref="N10:P11"/>
    <mergeCell ref="AT21:AU21"/>
    <mergeCell ref="AT22:AU22"/>
    <mergeCell ref="AT23:AU23"/>
    <mergeCell ref="AT24:AU24"/>
    <mergeCell ref="AT25:AU25"/>
    <mergeCell ref="G4:L4"/>
    <mergeCell ref="BW184:BY184"/>
    <mergeCell ref="BT185:BU185"/>
    <mergeCell ref="BW185:BY185"/>
    <mergeCell ref="BM160:BP160"/>
    <mergeCell ref="BQ160:BX160"/>
    <mergeCell ref="BY160:CF160"/>
    <mergeCell ref="BN179:BR179"/>
    <mergeCell ref="BT179:BU179"/>
    <mergeCell ref="BW179:BY179"/>
    <mergeCell ref="BT180:BU180"/>
    <mergeCell ref="BW180:BY180"/>
    <mergeCell ref="N16:Q16"/>
    <mergeCell ref="O17:Q17"/>
    <mergeCell ref="BT191:BU191"/>
    <mergeCell ref="BW191:BY191"/>
    <mergeCell ref="BT192:BU192"/>
    <mergeCell ref="BW192:BY192"/>
    <mergeCell ref="BW177:BX177"/>
    <mergeCell ref="BT186:BU186"/>
    <mergeCell ref="BW186:BY186"/>
    <mergeCell ref="BT187:BU187"/>
    <mergeCell ref="BW187:BY187"/>
    <mergeCell ref="BT188:BU188"/>
    <mergeCell ref="BW188:BY188"/>
    <mergeCell ref="BT189:BU189"/>
    <mergeCell ref="BW189:BY189"/>
    <mergeCell ref="BT190:BU190"/>
    <mergeCell ref="BW190:BY190"/>
    <mergeCell ref="BT181:BU181"/>
    <mergeCell ref="BW181:BY181"/>
    <mergeCell ref="BT182:BU182"/>
    <mergeCell ref="BW182:BY182"/>
    <mergeCell ref="BT183:BU183"/>
    <mergeCell ref="BW183:BY183"/>
    <mergeCell ref="BT184:BU184"/>
  </mergeCells>
  <phoneticPr fontId="0" type="noConversion"/>
  <conditionalFormatting sqref="G3:H3">
    <cfRule type="cellIs" dxfId="5" priority="1" operator="equal">
      <formula>$G$3</formula>
    </cfRule>
    <cfRule type="cellIs" dxfId="4" priority="2" stopIfTrue="1" operator="equal">
      <formula>"»»» Verifique a Data"</formula>
    </cfRule>
  </conditionalFormatting>
  <printOptions horizontalCentered="1" verticalCentered="1"/>
  <pageMargins left="0.35433070866141736" right="0.35433070866141736" top="0.59055118110236227" bottom="0.39370078740157483" header="0.31496062992125984" footer="0.31496062992125984"/>
  <pageSetup paperSize="9" scale="27" orientation="landscape" r:id="rId1"/>
  <headerFooter alignWithMargins="0">
    <oddFooter>&amp;RPág. 1 de &amp;N</oddFooter>
  </headerFooter>
  <drawing r:id="rId2"/>
  <legacyDrawing r:id="rId3"/>
  <oleObjects>
    <mc:AlternateContent xmlns:mc="http://schemas.openxmlformats.org/markup-compatibility/2006">
      <mc:Choice Requires="x14">
        <oleObject progId="Equation.3" shapeId="29699" r:id="rId4">
          <objectPr defaultSize="0" autoPict="0" r:id="rId5">
            <anchor moveWithCells="1" sizeWithCells="1">
              <from>
                <xdr:col>27</xdr:col>
                <xdr:colOff>38100</xdr:colOff>
                <xdr:row>28</xdr:row>
                <xdr:rowOff>76200</xdr:rowOff>
              </from>
              <to>
                <xdr:col>29</xdr:col>
                <xdr:colOff>28575</xdr:colOff>
                <xdr:row>29</xdr:row>
                <xdr:rowOff>333375</xdr:rowOff>
              </to>
            </anchor>
          </objectPr>
        </oleObject>
      </mc:Choice>
      <mc:Fallback>
        <oleObject progId="Equation.3" shapeId="29699" r:id="rId4"/>
      </mc:Fallback>
    </mc:AlternateContent>
    <mc:AlternateContent xmlns:mc="http://schemas.openxmlformats.org/markup-compatibility/2006">
      <mc:Choice Requires="x14">
        <oleObject progId="Equation.3" shapeId="29701" r:id="rId6">
          <objectPr defaultSize="0" autoPict="0" r:id="rId7">
            <anchor moveWithCells="1" sizeWithCells="1">
              <from>
                <xdr:col>29</xdr:col>
                <xdr:colOff>219075</xdr:colOff>
                <xdr:row>28</xdr:row>
                <xdr:rowOff>76200</xdr:rowOff>
              </from>
              <to>
                <xdr:col>29</xdr:col>
                <xdr:colOff>1304925</xdr:colOff>
                <xdr:row>30</xdr:row>
                <xdr:rowOff>114300</xdr:rowOff>
              </to>
            </anchor>
          </objectPr>
        </oleObject>
      </mc:Choice>
      <mc:Fallback>
        <oleObject progId="Equation.3" shapeId="29701" r:id="rId6"/>
      </mc:Fallback>
    </mc:AlternateContent>
    <mc:AlternateContent xmlns:mc="http://schemas.openxmlformats.org/markup-compatibility/2006">
      <mc:Choice Requires="x14">
        <oleObject progId="Equation.DSMT4" shapeId="30185" r:id="rId8">
          <objectPr defaultSize="0" autoPict="0" r:id="rId9">
            <anchor moveWithCells="1" sizeWithCells="1">
              <from>
                <xdr:col>20</xdr:col>
                <xdr:colOff>723900</xdr:colOff>
                <xdr:row>33</xdr:row>
                <xdr:rowOff>28575</xdr:rowOff>
              </from>
              <to>
                <xdr:col>20</xdr:col>
                <xdr:colOff>2295525</xdr:colOff>
                <xdr:row>33</xdr:row>
                <xdr:rowOff>600075</xdr:rowOff>
              </to>
            </anchor>
          </objectPr>
        </oleObject>
      </mc:Choice>
      <mc:Fallback>
        <oleObject progId="Equation.DSMT4" shapeId="30185" r:id="rId8"/>
      </mc:Fallback>
    </mc:AlternateContent>
    <mc:AlternateContent xmlns:mc="http://schemas.openxmlformats.org/markup-compatibility/2006">
      <mc:Choice Requires="x14">
        <oleObject progId="Equation.DSMT4" shapeId="30188" r:id="rId10">
          <objectPr defaultSize="0" autoPict="0" r:id="rId11">
            <anchor moveWithCells="1" sizeWithCells="1">
              <from>
                <xdr:col>20</xdr:col>
                <xdr:colOff>609600</xdr:colOff>
                <xdr:row>35</xdr:row>
                <xdr:rowOff>47625</xdr:rowOff>
              </from>
              <to>
                <xdr:col>20</xdr:col>
                <xdr:colOff>2724150</xdr:colOff>
                <xdr:row>35</xdr:row>
                <xdr:rowOff>428625</xdr:rowOff>
              </to>
            </anchor>
          </objectPr>
        </oleObject>
      </mc:Choice>
      <mc:Fallback>
        <oleObject progId="Equation.DSMT4" shapeId="30188" r:id="rId10"/>
      </mc:Fallback>
    </mc:AlternateContent>
    <mc:AlternateContent xmlns:mc="http://schemas.openxmlformats.org/markup-compatibility/2006">
      <mc:Choice Requires="x14">
        <oleObject progId="Equation.DSMT4" shapeId="30189" r:id="rId12">
          <objectPr defaultSize="0" autoPict="0" r:id="rId13">
            <anchor moveWithCells="1" sizeWithCells="1">
              <from>
                <xdr:col>22</xdr:col>
                <xdr:colOff>933450</xdr:colOff>
                <xdr:row>24</xdr:row>
                <xdr:rowOff>76200</xdr:rowOff>
              </from>
              <to>
                <xdr:col>31</xdr:col>
                <xdr:colOff>361950</xdr:colOff>
                <xdr:row>25</xdr:row>
                <xdr:rowOff>219075</xdr:rowOff>
              </to>
            </anchor>
          </objectPr>
        </oleObject>
      </mc:Choice>
      <mc:Fallback>
        <oleObject progId="Equation.DSMT4" shapeId="30189" r:id="rId12"/>
      </mc:Fallback>
    </mc:AlternateContent>
    <mc:AlternateContent xmlns:mc="http://schemas.openxmlformats.org/markup-compatibility/2006">
      <mc:Choice Requires="x14">
        <oleObject progId="Equation.DSMT4" shapeId="30190" r:id="rId14">
          <objectPr defaultSize="0" autoPict="0" r:id="rId15">
            <anchor moveWithCells="1" sizeWithCells="1">
              <from>
                <xdr:col>20</xdr:col>
                <xdr:colOff>600075</xdr:colOff>
                <xdr:row>31</xdr:row>
                <xdr:rowOff>28575</xdr:rowOff>
              </from>
              <to>
                <xdr:col>20</xdr:col>
                <xdr:colOff>2133600</xdr:colOff>
                <xdr:row>31</xdr:row>
                <xdr:rowOff>342900</xdr:rowOff>
              </to>
            </anchor>
          </objectPr>
        </oleObject>
      </mc:Choice>
      <mc:Fallback>
        <oleObject progId="Equation.DSMT4" shapeId="30190" r:id="rId14"/>
      </mc:Fallback>
    </mc:AlternateContent>
    <mc:AlternateContent xmlns:mc="http://schemas.openxmlformats.org/markup-compatibility/2006">
      <mc:Choice Requires="x14">
        <oleObject progId="Equation.DSMT4" shapeId="30191" r:id="rId16">
          <objectPr defaultSize="0" autoPict="0" r:id="rId17">
            <anchor moveWithCells="1" sizeWithCells="1">
              <from>
                <xdr:col>20</xdr:col>
                <xdr:colOff>152400</xdr:colOff>
                <xdr:row>30</xdr:row>
                <xdr:rowOff>47625</xdr:rowOff>
              </from>
              <to>
                <xdr:col>20</xdr:col>
                <xdr:colOff>2752725</xdr:colOff>
                <xdr:row>31</xdr:row>
                <xdr:rowOff>28575</xdr:rowOff>
              </to>
            </anchor>
          </objectPr>
        </oleObject>
      </mc:Choice>
      <mc:Fallback>
        <oleObject progId="Equation.DSMT4" shapeId="30191" r:id="rId16"/>
      </mc:Fallback>
    </mc:AlternateContent>
    <mc:AlternateContent xmlns:mc="http://schemas.openxmlformats.org/markup-compatibility/2006">
      <mc:Choice Requires="x14">
        <oleObject progId="Equation.DSMT4" shapeId="30192" r:id="rId18">
          <objectPr defaultSize="0" autoPict="0" r:id="rId19">
            <anchor moveWithCells="1" sizeWithCells="1">
              <from>
                <xdr:col>20</xdr:col>
                <xdr:colOff>104775</xdr:colOff>
                <xdr:row>22</xdr:row>
                <xdr:rowOff>295275</xdr:rowOff>
              </from>
              <to>
                <xdr:col>20</xdr:col>
                <xdr:colOff>1905000</xdr:colOff>
                <xdr:row>23</xdr:row>
                <xdr:rowOff>228600</xdr:rowOff>
              </to>
            </anchor>
          </objectPr>
        </oleObject>
      </mc:Choice>
      <mc:Fallback>
        <oleObject progId="Equation.DSMT4" shapeId="30192" r:id="rId18"/>
      </mc:Fallback>
    </mc:AlternateContent>
    <mc:AlternateContent xmlns:mc="http://schemas.openxmlformats.org/markup-compatibility/2006">
      <mc:Choice Requires="x14">
        <oleObject progId="Equation.DSMT4" shapeId="30193" r:id="rId20">
          <objectPr defaultSize="0" autoPict="0" r:id="rId21">
            <anchor moveWithCells="1" sizeWithCells="1">
              <from>
                <xdr:col>20</xdr:col>
                <xdr:colOff>1781175</xdr:colOff>
                <xdr:row>22</xdr:row>
                <xdr:rowOff>38100</xdr:rowOff>
              </from>
              <to>
                <xdr:col>20</xdr:col>
                <xdr:colOff>3028950</xdr:colOff>
                <xdr:row>22</xdr:row>
                <xdr:rowOff>295275</xdr:rowOff>
              </to>
            </anchor>
          </objectPr>
        </oleObject>
      </mc:Choice>
      <mc:Fallback>
        <oleObject progId="Equation.DSMT4" shapeId="30193" r:id="rId20"/>
      </mc:Fallback>
    </mc:AlternateContent>
    <mc:AlternateContent xmlns:mc="http://schemas.openxmlformats.org/markup-compatibility/2006">
      <mc:Choice Requires="x14">
        <oleObject progId="Equation.DSMT4" shapeId="30194" r:id="rId22">
          <objectPr defaultSize="0" autoPict="0" r:id="rId23">
            <anchor moveWithCells="1" sizeWithCells="1">
              <from>
                <xdr:col>20</xdr:col>
                <xdr:colOff>76200</xdr:colOff>
                <xdr:row>21</xdr:row>
                <xdr:rowOff>371475</xdr:rowOff>
              </from>
              <to>
                <xdr:col>20</xdr:col>
                <xdr:colOff>1609725</xdr:colOff>
                <xdr:row>22</xdr:row>
                <xdr:rowOff>314325</xdr:rowOff>
              </to>
            </anchor>
          </objectPr>
        </oleObject>
      </mc:Choice>
      <mc:Fallback>
        <oleObject progId="Equation.DSMT4" shapeId="30194" r:id="rId22"/>
      </mc:Fallback>
    </mc:AlternateContent>
    <mc:AlternateContent xmlns:mc="http://schemas.openxmlformats.org/markup-compatibility/2006">
      <mc:Choice Requires="x14">
        <oleObject progId="Equation.DSMT4" shapeId="30195" r:id="rId24">
          <objectPr defaultSize="0" autoPict="0" r:id="rId25">
            <anchor moveWithCells="1" sizeWithCells="1">
              <from>
                <xdr:col>20</xdr:col>
                <xdr:colOff>28575</xdr:colOff>
                <xdr:row>32</xdr:row>
                <xdr:rowOff>209550</xdr:rowOff>
              </from>
              <to>
                <xdr:col>20</xdr:col>
                <xdr:colOff>2971800</xdr:colOff>
                <xdr:row>33</xdr:row>
                <xdr:rowOff>0</xdr:rowOff>
              </to>
            </anchor>
          </objectPr>
        </oleObject>
      </mc:Choice>
      <mc:Fallback>
        <oleObject progId="Equation.DSMT4" shapeId="30195" r:id="rId24"/>
      </mc:Fallback>
    </mc:AlternateContent>
    <mc:AlternateContent xmlns:mc="http://schemas.openxmlformats.org/markup-compatibility/2006">
      <mc:Choice Requires="x14">
        <oleObject progId="Equation.DSMT4" shapeId="30196" r:id="rId26">
          <objectPr defaultSize="0" autoPict="0" r:id="rId27">
            <anchor moveWithCells="1" sizeWithCells="1">
              <from>
                <xdr:col>20</xdr:col>
                <xdr:colOff>457200</xdr:colOff>
                <xdr:row>31</xdr:row>
                <xdr:rowOff>485775</xdr:rowOff>
              </from>
              <to>
                <xdr:col>20</xdr:col>
                <xdr:colOff>2552700</xdr:colOff>
                <xdr:row>32</xdr:row>
                <xdr:rowOff>285750</xdr:rowOff>
              </to>
            </anchor>
          </objectPr>
        </oleObject>
      </mc:Choice>
      <mc:Fallback>
        <oleObject progId="Equation.DSMT4" shapeId="30196" r:id="rId26"/>
      </mc:Fallback>
    </mc:AlternateContent>
    <mc:AlternateContent xmlns:mc="http://schemas.openxmlformats.org/markup-compatibility/2006">
      <mc:Choice Requires="x14">
        <oleObject progId="Equation.DSMT4" shapeId="30197" r:id="rId28">
          <objectPr defaultSize="0" autoPict="0" r:id="rId29">
            <anchor moveWithCells="1" sizeWithCells="1">
              <from>
                <xdr:col>20</xdr:col>
                <xdr:colOff>485775</xdr:colOff>
                <xdr:row>33</xdr:row>
                <xdr:rowOff>542925</xdr:rowOff>
              </from>
              <to>
                <xdr:col>20</xdr:col>
                <xdr:colOff>2476500</xdr:colOff>
                <xdr:row>34</xdr:row>
                <xdr:rowOff>361950</xdr:rowOff>
              </to>
            </anchor>
          </objectPr>
        </oleObject>
      </mc:Choice>
      <mc:Fallback>
        <oleObject progId="Equation.DSMT4" shapeId="30197" r:id="rId28"/>
      </mc:Fallback>
    </mc:AlternateContent>
    <mc:AlternateContent xmlns:mc="http://schemas.openxmlformats.org/markup-compatibility/2006">
      <mc:Choice Requires="x14">
        <oleObject progId="Equation.DSMT4" shapeId="30198" r:id="rId30">
          <objectPr defaultSize="0" autoPict="0" r:id="rId31">
            <anchor moveWithCells="1" sizeWithCells="1">
              <from>
                <xdr:col>20</xdr:col>
                <xdr:colOff>123825</xdr:colOff>
                <xdr:row>34</xdr:row>
                <xdr:rowOff>314325</xdr:rowOff>
              </from>
              <to>
                <xdr:col>20</xdr:col>
                <xdr:colOff>2752725</xdr:colOff>
                <xdr:row>35</xdr:row>
                <xdr:rowOff>0</xdr:rowOff>
              </to>
            </anchor>
          </objectPr>
        </oleObject>
      </mc:Choice>
      <mc:Fallback>
        <oleObject progId="Equation.DSMT4" shapeId="30198" r:id="rId30"/>
      </mc:Fallback>
    </mc:AlternateContent>
    <mc:AlternateContent xmlns:mc="http://schemas.openxmlformats.org/markup-compatibility/2006">
      <mc:Choice Requires="x14">
        <oleObject progId="Equation.DSMT4" shapeId="30199" r:id="rId32">
          <objectPr defaultSize="0" autoPict="0" r:id="rId33">
            <anchor moveWithCells="1" sizeWithCells="1">
              <from>
                <xdr:col>14</xdr:col>
                <xdr:colOff>504825</xdr:colOff>
                <xdr:row>29</xdr:row>
                <xdr:rowOff>180975</xdr:rowOff>
              </from>
              <to>
                <xdr:col>15</xdr:col>
                <xdr:colOff>447675</xdr:colOff>
                <xdr:row>30</xdr:row>
                <xdr:rowOff>9525</xdr:rowOff>
              </to>
            </anchor>
          </objectPr>
        </oleObject>
      </mc:Choice>
      <mc:Fallback>
        <oleObject progId="Equation.DSMT4" shapeId="30199" r:id="rId32"/>
      </mc:Fallback>
    </mc:AlternateContent>
    <mc:AlternateContent xmlns:mc="http://schemas.openxmlformats.org/markup-compatibility/2006">
      <mc:Choice Requires="x14">
        <oleObject progId="Equation.DSMT4" shapeId="30200" r:id="rId34">
          <objectPr defaultSize="0" autoPict="0" r:id="rId35">
            <anchor moveWithCells="1" sizeWithCells="1">
              <from>
                <xdr:col>21</xdr:col>
                <xdr:colOff>257175</xdr:colOff>
                <xdr:row>22</xdr:row>
                <xdr:rowOff>76200</xdr:rowOff>
              </from>
              <to>
                <xdr:col>24</xdr:col>
                <xdr:colOff>514350</xdr:colOff>
                <xdr:row>23</xdr:row>
                <xdr:rowOff>66675</xdr:rowOff>
              </to>
            </anchor>
          </objectPr>
        </oleObject>
      </mc:Choice>
      <mc:Fallback>
        <oleObject progId="Equation.DSMT4" shapeId="30200" r:id="rId34"/>
      </mc:Fallback>
    </mc:AlternateContent>
    <mc:AlternateContent xmlns:mc="http://schemas.openxmlformats.org/markup-compatibility/2006">
      <mc:Choice Requires="x14">
        <oleObject progId="Equation.DSMT4" shapeId="30201" r:id="rId36">
          <objectPr defaultSize="0" autoPict="0" r:id="rId37">
            <anchor moveWithCells="1" sizeWithCells="1">
              <from>
                <xdr:col>24</xdr:col>
                <xdr:colOff>990600</xdr:colOff>
                <xdr:row>22</xdr:row>
                <xdr:rowOff>66675</xdr:rowOff>
              </from>
              <to>
                <xdr:col>31</xdr:col>
                <xdr:colOff>371475</xdr:colOff>
                <xdr:row>23</xdr:row>
                <xdr:rowOff>57150</xdr:rowOff>
              </to>
            </anchor>
          </objectPr>
        </oleObject>
      </mc:Choice>
      <mc:Fallback>
        <oleObject progId="Equation.DSMT4" shapeId="30201" r:id="rId36"/>
      </mc:Fallback>
    </mc:AlternateContent>
    <mc:AlternateContent xmlns:mc="http://schemas.openxmlformats.org/markup-compatibility/2006">
      <mc:Choice Requires="x14">
        <oleObject progId="Equation.DSMT4" shapeId="30202" r:id="rId38">
          <objectPr defaultSize="0" autoPict="0" r:id="rId39">
            <anchor moveWithCells="1" sizeWithCells="1">
              <from>
                <xdr:col>20</xdr:col>
                <xdr:colOff>38100</xdr:colOff>
                <xdr:row>23</xdr:row>
                <xdr:rowOff>152400</xdr:rowOff>
              </from>
              <to>
                <xdr:col>20</xdr:col>
                <xdr:colOff>2009775</xdr:colOff>
                <xdr:row>24</xdr:row>
                <xdr:rowOff>228600</xdr:rowOff>
              </to>
            </anchor>
          </objectPr>
        </oleObject>
      </mc:Choice>
      <mc:Fallback>
        <oleObject progId="Equation.DSMT4" shapeId="30202" r:id="rId38"/>
      </mc:Fallback>
    </mc:AlternateContent>
    <mc:AlternateContent xmlns:mc="http://schemas.openxmlformats.org/markup-compatibility/2006">
      <mc:Choice Requires="x14">
        <oleObject progId="Equation.DSMT4" shapeId="30203" r:id="rId40">
          <objectPr defaultSize="0" autoPict="0" r:id="rId41">
            <anchor moveWithCells="1" sizeWithCells="1">
              <from>
                <xdr:col>20</xdr:col>
                <xdr:colOff>104775</xdr:colOff>
                <xdr:row>24</xdr:row>
                <xdr:rowOff>190500</xdr:rowOff>
              </from>
              <to>
                <xdr:col>20</xdr:col>
                <xdr:colOff>1695450</xdr:colOff>
                <xdr:row>25</xdr:row>
                <xdr:rowOff>219075</xdr:rowOff>
              </to>
            </anchor>
          </objectPr>
        </oleObject>
      </mc:Choice>
      <mc:Fallback>
        <oleObject progId="Equation.DSMT4" shapeId="30203" r:id="rId40"/>
      </mc:Fallback>
    </mc:AlternateContent>
    <mc:AlternateContent xmlns:mc="http://schemas.openxmlformats.org/markup-compatibility/2006">
      <mc:Choice Requires="x14">
        <oleObject progId="Equation.DSMT4" shapeId="30363" r:id="rId42">
          <objectPr defaultSize="0" autoPict="0" r:id="rId43">
            <anchor moveWithCells="1" sizeWithCells="1">
              <from>
                <xdr:col>38</xdr:col>
                <xdr:colOff>1543050</xdr:colOff>
                <xdr:row>255</xdr:row>
                <xdr:rowOff>114300</xdr:rowOff>
              </from>
              <to>
                <xdr:col>40</xdr:col>
                <xdr:colOff>1028700</xdr:colOff>
                <xdr:row>257</xdr:row>
                <xdr:rowOff>171450</xdr:rowOff>
              </to>
            </anchor>
          </objectPr>
        </oleObject>
      </mc:Choice>
      <mc:Fallback>
        <oleObject progId="Equation.DSMT4" shapeId="30363" r:id="rId42"/>
      </mc:Fallback>
    </mc:AlternateContent>
    <mc:AlternateContent xmlns:mc="http://schemas.openxmlformats.org/markup-compatibility/2006">
      <mc:Choice Requires="x14">
        <oleObject progId="Equation.DSMT4" shapeId="30374" r:id="rId44">
          <objectPr defaultSize="0" autoPict="0" r:id="rId45">
            <anchor moveWithCells="1" sizeWithCells="1">
              <from>
                <xdr:col>20</xdr:col>
                <xdr:colOff>628650</xdr:colOff>
                <xdr:row>82</xdr:row>
                <xdr:rowOff>180975</xdr:rowOff>
              </from>
              <to>
                <xdr:col>20</xdr:col>
                <xdr:colOff>2762250</xdr:colOff>
                <xdr:row>84</xdr:row>
                <xdr:rowOff>104775</xdr:rowOff>
              </to>
            </anchor>
          </objectPr>
        </oleObject>
      </mc:Choice>
      <mc:Fallback>
        <oleObject progId="Equation.DSMT4" shapeId="30374" r:id="rId44"/>
      </mc:Fallback>
    </mc:AlternateContent>
    <mc:AlternateContent xmlns:mc="http://schemas.openxmlformats.org/markup-compatibility/2006">
      <mc:Choice Requires="x14">
        <oleObject progId="Equation.DSMT4" shapeId="30381" r:id="rId46">
          <objectPr defaultSize="0" autoPict="0" r:id="rId47">
            <anchor moveWithCells="1" sizeWithCells="1">
              <from>
                <xdr:col>20</xdr:col>
                <xdr:colOff>704850</xdr:colOff>
                <xdr:row>91</xdr:row>
                <xdr:rowOff>152400</xdr:rowOff>
              </from>
              <to>
                <xdr:col>20</xdr:col>
                <xdr:colOff>2295525</xdr:colOff>
                <xdr:row>92</xdr:row>
                <xdr:rowOff>123825</xdr:rowOff>
              </to>
            </anchor>
          </objectPr>
        </oleObject>
      </mc:Choice>
      <mc:Fallback>
        <oleObject progId="Equation.DSMT4" shapeId="30381" r:id="rId4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8" name="Drop Down 9">
              <controlPr defaultSize="0" autoLine="0" autoPict="0">
                <anchor moveWithCells="1">
                  <from>
                    <xdr:col>4</xdr:col>
                    <xdr:colOff>66675</xdr:colOff>
                    <xdr:row>12</xdr:row>
                    <xdr:rowOff>66675</xdr:rowOff>
                  </from>
                  <to>
                    <xdr:col>4</xdr:col>
                    <xdr:colOff>1000125</xdr:colOff>
                    <xdr:row>12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9" name="Check Box 10">
              <controlPr defaultSize="0" autoFill="0" autoLine="0" autoPict="0">
                <anchor moveWithCells="1">
                  <from>
                    <xdr:col>8</xdr:col>
                    <xdr:colOff>123825</xdr:colOff>
                    <xdr:row>18</xdr:row>
                    <xdr:rowOff>57150</xdr:rowOff>
                  </from>
                  <to>
                    <xdr:col>8</xdr:col>
                    <xdr:colOff>485775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0" name="Drop Down 16">
              <controlPr defaultSize="0" autoLine="0" autoPict="0">
                <anchor moveWithCells="1">
                  <from>
                    <xdr:col>15</xdr:col>
                    <xdr:colOff>323850</xdr:colOff>
                    <xdr:row>3</xdr:row>
                    <xdr:rowOff>238125</xdr:rowOff>
                  </from>
                  <to>
                    <xdr:col>16</xdr:col>
                    <xdr:colOff>828675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1" name="Drop Down 1026">
              <controlPr defaultSize="0" autoLine="0" autoPict="0">
                <anchor moveWithCells="1">
                  <from>
                    <xdr:col>10</xdr:col>
                    <xdr:colOff>190500</xdr:colOff>
                    <xdr:row>1</xdr:row>
                    <xdr:rowOff>200025</xdr:rowOff>
                  </from>
                  <to>
                    <xdr:col>11</xdr:col>
                    <xdr:colOff>676275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16" r:id="rId52" name="Check Box 1344">
              <controlPr defaultSize="0" autoFill="0" autoLine="0" autoPict="0">
                <anchor moveWithCells="1">
                  <from>
                    <xdr:col>11</xdr:col>
                    <xdr:colOff>123825</xdr:colOff>
                    <xdr:row>6</xdr:row>
                    <xdr:rowOff>57150</xdr:rowOff>
                  </from>
                  <to>
                    <xdr:col>11</xdr:col>
                    <xdr:colOff>428625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53" r:id="rId53" name="Check Box 1481">
              <controlPr defaultSize="0" autoFill="0" autoLine="0" autoPict="0">
                <anchor moveWithCells="1">
                  <from>
                    <xdr:col>8</xdr:col>
                    <xdr:colOff>123825</xdr:colOff>
                    <xdr:row>6</xdr:row>
                    <xdr:rowOff>57150</xdr:rowOff>
                  </from>
                  <to>
                    <xdr:col>8</xdr:col>
                    <xdr:colOff>428625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81" r:id="rId54" name="Check Box 1509">
              <controlPr defaultSize="0" autoFill="0" autoLine="0" autoPict="0">
                <anchor moveWithCells="1">
                  <from>
                    <xdr:col>6</xdr:col>
                    <xdr:colOff>123825</xdr:colOff>
                    <xdr:row>13</xdr:row>
                    <xdr:rowOff>57150</xdr:rowOff>
                  </from>
                  <to>
                    <xdr:col>6</xdr:col>
                    <xdr:colOff>428625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73" r:id="rId55" name="Drop Down 1701">
              <controlPr defaultSize="0" autoLine="0" autoPict="0">
                <anchor moveWithCells="1">
                  <from>
                    <xdr:col>10</xdr:col>
                    <xdr:colOff>57150</xdr:colOff>
                    <xdr:row>16</xdr:row>
                    <xdr:rowOff>95250</xdr:rowOff>
                  </from>
                  <to>
                    <xdr:col>11</xdr:col>
                    <xdr:colOff>533400</xdr:colOff>
                    <xdr:row>16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BB964-CBE8-4F66-8B2B-21896584E4F9}">
  <sheetPr codeName="Sheet2">
    <tabColor rgb="FFFFFF00"/>
    <pageSetUpPr fitToPage="1"/>
  </sheetPr>
  <dimension ref="A1:CT304"/>
  <sheetViews>
    <sheetView showGridLines="0" zoomScale="85" zoomScaleNormal="85" workbookViewId="0">
      <selection activeCell="G43" sqref="G43"/>
    </sheetView>
  </sheetViews>
  <sheetFormatPr defaultRowHeight="15" customHeight="1"/>
  <cols>
    <col min="1" max="1" width="10.85546875" customWidth="1"/>
    <col min="2" max="2" width="15.28515625" customWidth="1"/>
    <col min="3" max="3" width="13" customWidth="1"/>
    <col min="4" max="4" width="16" style="33" bestFit="1" customWidth="1"/>
    <col min="5" max="5" width="16.42578125" style="6" bestFit="1" customWidth="1"/>
    <col min="6" max="6" width="16.140625" customWidth="1"/>
    <col min="7" max="7" width="14.42578125" customWidth="1"/>
    <col min="8" max="8" width="13.140625" customWidth="1"/>
    <col min="9" max="9" width="14.42578125" customWidth="1"/>
    <col min="10" max="10" width="15.28515625" customWidth="1"/>
    <col min="11" max="11" width="14.5703125" bestFit="1" customWidth="1"/>
    <col min="12" max="12" width="15.85546875" style="6" customWidth="1"/>
    <col min="13" max="13" width="15.85546875" style="89" customWidth="1"/>
    <col min="14" max="14" width="13.85546875" customWidth="1"/>
    <col min="15" max="15" width="13.5703125" customWidth="1"/>
    <col min="16" max="16" width="15.28515625" customWidth="1"/>
    <col min="17" max="17" width="15" customWidth="1"/>
    <col min="18" max="20" width="15" style="87" customWidth="1"/>
    <col min="21" max="21" width="45.5703125" style="87" customWidth="1"/>
    <col min="22" max="22" width="15.85546875" bestFit="1" customWidth="1"/>
    <col min="23" max="23" width="18.28515625" bestFit="1" customWidth="1"/>
    <col min="24" max="24" width="18.5703125" bestFit="1" customWidth="1"/>
    <col min="25" max="25" width="17.7109375" bestFit="1" customWidth="1"/>
    <col min="26" max="26" width="13.5703125" customWidth="1"/>
    <col min="27" max="28" width="15.85546875" bestFit="1" customWidth="1"/>
    <col min="29" max="29" width="11.5703125" customWidth="1"/>
    <col min="30" max="30" width="21" customWidth="1"/>
    <col min="31" max="31" width="10.85546875" bestFit="1" customWidth="1"/>
    <col min="32" max="32" width="11.140625" customWidth="1"/>
    <col min="33" max="33" width="11.7109375" hidden="1" customWidth="1"/>
    <col min="34" max="34" width="7.85546875" customWidth="1"/>
    <col min="35" max="35" width="21.28515625" style="7" customWidth="1"/>
    <col min="36" max="36" width="15.85546875" style="7" customWidth="1"/>
    <col min="37" max="37" width="21" style="8" customWidth="1"/>
    <col min="38" max="38" width="16" style="8" customWidth="1"/>
    <col min="39" max="39" width="27.42578125" style="525" customWidth="1"/>
    <col min="40" max="40" width="49.28515625" style="525" customWidth="1"/>
    <col min="41" max="41" width="18.42578125" style="525" bestFit="1" customWidth="1"/>
    <col min="42" max="43" width="7.28515625" style="525" customWidth="1"/>
    <col min="44" max="44" width="17.7109375" customWidth="1"/>
    <col min="45" max="45" width="6.28515625" customWidth="1"/>
    <col min="46" max="46" width="12.140625" customWidth="1"/>
    <col min="47" max="47" width="20" customWidth="1"/>
    <col min="48" max="48" width="18.5703125" customWidth="1"/>
    <col min="49" max="49" width="72.85546875" customWidth="1"/>
    <col min="50" max="50" width="27.7109375" customWidth="1"/>
    <col min="51" max="51" width="9.85546875" customWidth="1"/>
    <col min="52" max="52" width="11.7109375" customWidth="1"/>
    <col min="53" max="53" width="14" customWidth="1"/>
    <col min="54" max="54" width="12.85546875" bestFit="1" customWidth="1"/>
    <col min="55" max="55" width="9.85546875" bestFit="1" customWidth="1"/>
    <col min="56" max="56" width="12" customWidth="1"/>
    <col min="57" max="57" width="12.140625" customWidth="1"/>
    <col min="58" max="58" width="12.5703125" customWidth="1"/>
    <col min="59" max="59" width="12" customWidth="1"/>
    <col min="60" max="60" width="12.85546875" bestFit="1" customWidth="1"/>
    <col min="61" max="62" width="13.5703125" customWidth="1"/>
    <col min="63" max="63" width="12.7109375" customWidth="1"/>
    <col min="64" max="64" width="22.7109375" customWidth="1"/>
    <col min="67" max="67" width="23.140625" customWidth="1"/>
    <col min="85" max="85" width="11" bestFit="1" customWidth="1"/>
  </cols>
  <sheetData>
    <row r="1" spans="1:83" ht="42.75" customHeight="1" thickBot="1">
      <c r="A1" s="885" t="s">
        <v>464</v>
      </c>
      <c r="B1" s="885"/>
      <c r="C1" s="885"/>
      <c r="D1" s="885"/>
      <c r="E1" s="885"/>
      <c r="F1" s="885"/>
      <c r="G1" s="885"/>
      <c r="H1" s="885"/>
      <c r="I1" s="885"/>
      <c r="J1" s="885"/>
      <c r="K1" s="885"/>
      <c r="L1" s="885"/>
      <c r="M1" s="885"/>
    </row>
    <row r="2" spans="1:83" ht="34.5" customHeight="1">
      <c r="A2" s="1165" t="s">
        <v>282</v>
      </c>
      <c r="B2" s="1165"/>
      <c r="C2" s="1166"/>
      <c r="D2" s="1167"/>
      <c r="E2" s="1167"/>
      <c r="F2" s="1168"/>
      <c r="G2" s="1169" t="str">
        <f>IF(C2="","",CONCATENATE(RIGHT(YEAR(C3),4),"-",C2))</f>
        <v/>
      </c>
      <c r="H2" s="1169"/>
      <c r="I2" s="681"/>
      <c r="J2" s="1108" t="s">
        <v>328</v>
      </c>
      <c r="K2" s="681"/>
      <c r="L2" s="681"/>
      <c r="M2" s="87"/>
      <c r="AD2" s="969" t="s">
        <v>325</v>
      </c>
      <c r="AE2" s="970"/>
      <c r="AF2" s="971"/>
      <c r="AI2" s="969" t="s">
        <v>320</v>
      </c>
      <c r="AJ2" s="970"/>
      <c r="AK2" s="971"/>
    </row>
    <row r="3" spans="1:83" ht="18.75" customHeight="1" thickBot="1">
      <c r="A3" s="1108" t="s">
        <v>268</v>
      </c>
      <c r="B3" s="1108"/>
      <c r="C3" s="1179"/>
      <c r="D3" s="1180"/>
      <c r="E3" s="1180"/>
      <c r="F3" s="1181"/>
      <c r="G3" s="1182" t="str">
        <f ca="1">IF(C3="","",IF(NOW()-C3&gt;30,"-&gt; Verifique a Data",""))</f>
        <v/>
      </c>
      <c r="H3" s="1182"/>
      <c r="I3" s="681"/>
      <c r="J3" s="1170"/>
      <c r="K3" s="681"/>
      <c r="L3" s="681"/>
      <c r="M3" s="87"/>
      <c r="AD3" s="398" t="b">
        <v>0</v>
      </c>
      <c r="AE3" s="399" t="s">
        <v>62</v>
      </c>
      <c r="AF3" s="400" t="str">
        <f>IF(AD3,"SiM","NÃO")</f>
        <v>NÃO</v>
      </c>
      <c r="AH3" s="3"/>
      <c r="AI3" s="48" t="b">
        <v>0</v>
      </c>
      <c r="AJ3" s="42" t="s">
        <v>62</v>
      </c>
      <c r="AK3" s="43" t="str">
        <f>IF(AI3,"SiM","NÃO")</f>
        <v>NÃO</v>
      </c>
      <c r="AL3" s="3"/>
      <c r="AP3" s="488"/>
      <c r="AQ3" s="488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</row>
    <row r="4" spans="1:83" ht="31.5" customHeight="1" thickBot="1">
      <c r="A4" s="1183" t="s">
        <v>65</v>
      </c>
      <c r="B4" s="1184"/>
      <c r="C4" s="1185"/>
      <c r="D4" s="1186"/>
      <c r="E4" s="1186"/>
      <c r="F4" s="1187"/>
      <c r="G4" s="1188" t="s">
        <v>327</v>
      </c>
      <c r="H4" s="1189"/>
      <c r="I4" s="1189"/>
      <c r="J4" s="1189"/>
      <c r="K4" s="1189"/>
      <c r="L4" s="1190"/>
      <c r="M4" s="569"/>
      <c r="N4" s="917" t="s">
        <v>329</v>
      </c>
      <c r="O4" s="918"/>
      <c r="P4" s="918"/>
      <c r="Q4" s="401"/>
      <c r="AH4" s="3"/>
      <c r="AI4" s="1075" t="s">
        <v>68</v>
      </c>
      <c r="AJ4" s="910"/>
      <c r="AK4" s="1076"/>
      <c r="AL4" s="3"/>
      <c r="AM4" s="911" t="s">
        <v>423</v>
      </c>
      <c r="AN4" s="912"/>
      <c r="AO4" s="913"/>
      <c r="AP4" s="488"/>
      <c r="AQ4" s="878" t="s">
        <v>316</v>
      </c>
      <c r="AR4" s="879"/>
      <c r="AS4" s="3"/>
      <c r="AT4" s="3"/>
      <c r="AU4" s="3"/>
      <c r="AV4" s="3"/>
      <c r="AW4" s="3"/>
      <c r="AX4" s="3"/>
      <c r="AY4" s="3"/>
      <c r="AZ4" s="3"/>
      <c r="BA4" s="3"/>
      <c r="BB4" s="3">
        <f>2/(2*SQRT(3))</f>
        <v>0.57735026918962584</v>
      </c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</row>
    <row r="5" spans="1:83" ht="34.5" customHeight="1" thickBot="1">
      <c r="A5" s="1171" t="s">
        <v>77</v>
      </c>
      <c r="B5" s="1172"/>
      <c r="C5" s="1173"/>
      <c r="D5" s="1174"/>
      <c r="E5" s="1174"/>
      <c r="F5" s="1175"/>
      <c r="G5" s="1176"/>
      <c r="H5" s="1177"/>
      <c r="I5" s="1177"/>
      <c r="J5" s="1177"/>
      <c r="K5" s="1177"/>
      <c r="L5" s="1178"/>
      <c r="M5" s="570"/>
      <c r="N5" s="402"/>
      <c r="Q5" s="403"/>
      <c r="AH5" s="3"/>
      <c r="AI5" s="1077" t="str">
        <f>IF(AK3="sim","Equipamento calibrado nas instalações fixas do laboratório.","")</f>
        <v/>
      </c>
      <c r="AJ5" s="1078"/>
      <c r="AK5" s="1079"/>
      <c r="AL5" s="3"/>
      <c r="AM5" s="526" t="s">
        <v>313</v>
      </c>
      <c r="AN5" s="527" t="s">
        <v>424</v>
      </c>
      <c r="AO5" s="528" t="s">
        <v>517</v>
      </c>
      <c r="AP5" s="488"/>
      <c r="AQ5" s="880" t="s">
        <v>315</v>
      </c>
      <c r="AR5" s="881"/>
      <c r="AS5" s="3"/>
      <c r="AT5" s="925" t="s">
        <v>382</v>
      </c>
      <c r="AU5" s="926"/>
      <c r="AV5" s="280" t="s">
        <v>375</v>
      </c>
      <c r="AW5" s="434" t="s">
        <v>379</v>
      </c>
      <c r="AX5" s="434" t="s">
        <v>376</v>
      </c>
      <c r="AY5" s="434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</row>
    <row r="6" spans="1:83" ht="21" customHeight="1" thickBot="1">
      <c r="A6" s="1157" t="s">
        <v>367</v>
      </c>
      <c r="B6" s="1158"/>
      <c r="C6" s="1159"/>
      <c r="D6" s="1160"/>
      <c r="E6" s="1160"/>
      <c r="F6" s="1161"/>
      <c r="G6" s="1162"/>
      <c r="H6" s="1163"/>
      <c r="I6" s="1163"/>
      <c r="J6" s="1163"/>
      <c r="K6" s="1163"/>
      <c r="L6" s="1164"/>
      <c r="M6" s="570"/>
      <c r="N6" s="1020" t="s">
        <v>350</v>
      </c>
      <c r="O6" s="1021"/>
      <c r="P6" s="1021"/>
      <c r="Q6" s="403"/>
      <c r="AI6" s="969" t="s">
        <v>162</v>
      </c>
      <c r="AJ6" s="970"/>
      <c r="AK6" s="971"/>
      <c r="AM6" s="543" t="s">
        <v>522</v>
      </c>
      <c r="AN6" s="529" t="s">
        <v>524</v>
      </c>
      <c r="AO6" s="530" t="str">
        <f>IF(AP6=0,"NÃO","SIM")</f>
        <v>NÃO</v>
      </c>
      <c r="AP6" s="531">
        <f>IF(ISERROR(SUM(AP7:AP31)),SUM(AP7:AP31),SUM(AP7:AP31))</f>
        <v>0</v>
      </c>
      <c r="AQ6" s="746" t="s">
        <v>234</v>
      </c>
      <c r="AR6" s="361" t="s">
        <v>157</v>
      </c>
      <c r="AS6" t="str">
        <f t="shared" ref="AS6:AS18" si="0">IF(AT6="","",1)</f>
        <v/>
      </c>
      <c r="AT6" s="446" t="str">
        <f>IF(AO189="sim",AM189,"")</f>
        <v/>
      </c>
      <c r="AU6" s="59"/>
      <c r="AV6" s="226" t="str">
        <f>AM189</f>
        <v>713</v>
      </c>
      <c r="AW6" s="445" t="s">
        <v>560</v>
      </c>
      <c r="AX6" s="229" t="s">
        <v>561</v>
      </c>
      <c r="AY6" s="228">
        <v>1</v>
      </c>
      <c r="AZ6" s="45"/>
      <c r="BA6" s="241"/>
      <c r="BB6" s="907" t="s">
        <v>291</v>
      </c>
      <c r="BC6" s="907"/>
      <c r="BD6" s="907"/>
      <c r="BE6" s="240" t="s">
        <v>4</v>
      </c>
      <c r="BF6" s="235">
        <f>IF($E$14="",$C$14,$E$14)</f>
        <v>0</v>
      </c>
      <c r="BG6" s="242"/>
      <c r="BH6" s="907" t="s">
        <v>292</v>
      </c>
      <c r="BI6" s="907"/>
      <c r="BJ6" s="907"/>
      <c r="BK6" s="240" t="s">
        <v>4</v>
      </c>
      <c r="BL6" s="236" t="e">
        <f>#REF!</f>
        <v>#REF!</v>
      </c>
      <c r="BM6" s="3"/>
      <c r="BN6" s="45"/>
      <c r="BO6" s="45"/>
      <c r="BP6" s="45"/>
      <c r="BQ6" s="45"/>
      <c r="BR6" s="45"/>
      <c r="BS6" s="45"/>
      <c r="BT6" s="45"/>
      <c r="BU6" s="45"/>
      <c r="BV6" s="45"/>
    </row>
    <row r="7" spans="1:83" ht="19.5" customHeight="1">
      <c r="A7" s="1128" t="s">
        <v>358</v>
      </c>
      <c r="B7" s="1129"/>
      <c r="C7" s="1143"/>
      <c r="D7" s="1144"/>
      <c r="E7" s="1144"/>
      <c r="F7" s="1145"/>
      <c r="G7" s="1137" t="s">
        <v>269</v>
      </c>
      <c r="H7" s="1146"/>
      <c r="I7" s="1149" t="s">
        <v>80</v>
      </c>
      <c r="J7" s="1151" t="s">
        <v>279</v>
      </c>
      <c r="K7" s="1152"/>
      <c r="L7" s="1149" t="s">
        <v>80</v>
      </c>
      <c r="M7" s="571"/>
      <c r="N7" s="402"/>
      <c r="O7" s="1035"/>
      <c r="P7" s="1035"/>
      <c r="Q7" s="403"/>
      <c r="AI7" s="48" t="b">
        <v>0</v>
      </c>
      <c r="AJ7" s="42" t="s">
        <v>62</v>
      </c>
      <c r="AK7" s="43" t="str">
        <f>IF(AI7,"SiM","NÃO")</f>
        <v>NÃO</v>
      </c>
      <c r="AM7" s="489" t="s">
        <v>49</v>
      </c>
      <c r="AN7" s="506">
        <v>1.0009000000000001E-3</v>
      </c>
      <c r="AO7" s="743">
        <f>0.000006</f>
        <v>6.0000000000000002E-6</v>
      </c>
      <c r="AP7" s="489">
        <f t="shared" ref="AP7:AP31" si="1">IF(ISERROR(MATCH(AM7,$B$32:$B$77,0)),0,(MATCH(AM7,$B$32:$B$77,0)))+IF(ISERROR(MATCH(AM7,$C$32:$C$77,0)),0,(MATCH(AM7,$C$32:$C$77,0)))</f>
        <v>0</v>
      </c>
      <c r="AQ7" s="489"/>
      <c r="AR7" s="91"/>
      <c r="AS7" t="str">
        <f t="shared" si="0"/>
        <v/>
      </c>
      <c r="AT7" s="447" t="str">
        <f>IF(AO218="sim",AM218,"")</f>
        <v/>
      </c>
      <c r="AU7" s="38"/>
      <c r="AV7" s="226" t="str">
        <f>AM218</f>
        <v>714</v>
      </c>
      <c r="AW7" s="445" t="s">
        <v>560</v>
      </c>
      <c r="AX7" s="229" t="s">
        <v>561</v>
      </c>
      <c r="AY7" s="228">
        <v>2</v>
      </c>
      <c r="AZ7" s="45"/>
      <c r="BA7" s="908" t="s">
        <v>299</v>
      </c>
      <c r="BB7" s="909" t="s">
        <v>293</v>
      </c>
      <c r="BC7" s="909" t="s">
        <v>294</v>
      </c>
      <c r="BD7" s="909" t="s">
        <v>295</v>
      </c>
      <c r="BE7" s="909" t="s">
        <v>79</v>
      </c>
      <c r="BF7" s="909" t="s">
        <v>296</v>
      </c>
      <c r="BG7" s="910" t="s">
        <v>46</v>
      </c>
      <c r="BH7" s="909" t="s">
        <v>293</v>
      </c>
      <c r="BI7" s="909" t="s">
        <v>294</v>
      </c>
      <c r="BJ7" s="909" t="s">
        <v>295</v>
      </c>
      <c r="BK7" s="909" t="s">
        <v>79</v>
      </c>
      <c r="BL7" s="909" t="s">
        <v>296</v>
      </c>
      <c r="BM7" s="3"/>
      <c r="BN7" s="45"/>
      <c r="BO7" s="45"/>
      <c r="BP7" s="45"/>
      <c r="BQ7" s="45"/>
      <c r="BR7" s="45"/>
      <c r="BS7" s="45"/>
      <c r="BT7" s="45"/>
      <c r="BU7" s="45"/>
      <c r="BV7" s="45"/>
    </row>
    <row r="8" spans="1:83" ht="20.25" customHeight="1" thickBot="1">
      <c r="A8" s="1128" t="s">
        <v>359</v>
      </c>
      <c r="B8" s="1129"/>
      <c r="C8" s="1109"/>
      <c r="D8" s="1110"/>
      <c r="E8" s="1110"/>
      <c r="F8" s="1111"/>
      <c r="G8" s="1139"/>
      <c r="H8" s="1147"/>
      <c r="I8" s="1150"/>
      <c r="J8" s="1153"/>
      <c r="K8" s="1154"/>
      <c r="L8" s="1150"/>
      <c r="M8" s="571"/>
      <c r="N8" s="402"/>
      <c r="O8" s="404"/>
      <c r="P8" s="404"/>
      <c r="Q8" s="403"/>
      <c r="AI8" s="1075" t="s">
        <v>68</v>
      </c>
      <c r="AJ8" s="910"/>
      <c r="AK8" s="1076"/>
      <c r="AM8" s="489" t="s">
        <v>50</v>
      </c>
      <c r="AN8" s="506">
        <v>1.9997000000000001E-3</v>
      </c>
      <c r="AO8" s="743">
        <f>0.000006</f>
        <v>6.0000000000000002E-6</v>
      </c>
      <c r="AP8" s="507">
        <f t="shared" si="1"/>
        <v>0</v>
      </c>
      <c r="AQ8" s="507"/>
      <c r="AR8" s="92"/>
      <c r="AS8" t="str">
        <f t="shared" si="0"/>
        <v/>
      </c>
      <c r="AT8" s="447" t="str">
        <f>IF(AO6="sim",AM6,"")</f>
        <v/>
      </c>
      <c r="AU8" s="38"/>
      <c r="AV8" s="226" t="str">
        <f>AM6</f>
        <v>715</v>
      </c>
      <c r="AW8" s="445" t="s">
        <v>557</v>
      </c>
      <c r="AX8" s="229" t="s">
        <v>561</v>
      </c>
      <c r="AY8" s="228">
        <v>3</v>
      </c>
      <c r="AZ8" s="45"/>
      <c r="BA8" s="908"/>
      <c r="BB8" s="909"/>
      <c r="BC8" s="909"/>
      <c r="BD8" s="909"/>
      <c r="BE8" s="909"/>
      <c r="BF8" s="909"/>
      <c r="BG8" s="910"/>
      <c r="BH8" s="909"/>
      <c r="BI8" s="909"/>
      <c r="BJ8" s="909"/>
      <c r="BK8" s="909"/>
      <c r="BL8" s="909"/>
      <c r="BM8" s="3"/>
      <c r="BN8" s="45"/>
      <c r="BO8" s="45"/>
      <c r="BP8" s="45"/>
      <c r="BQ8" s="45"/>
      <c r="BR8" s="45"/>
      <c r="BS8" s="45"/>
      <c r="BT8" s="45"/>
      <c r="BU8" s="45"/>
      <c r="BV8" s="45"/>
    </row>
    <row r="9" spans="1:83" ht="21.75" customHeight="1" thickBot="1">
      <c r="A9" s="1107" t="s">
        <v>266</v>
      </c>
      <c r="B9" s="1108"/>
      <c r="C9" s="1109"/>
      <c r="D9" s="1110"/>
      <c r="E9" s="1110"/>
      <c r="F9" s="1111"/>
      <c r="G9" s="1139"/>
      <c r="H9" s="1148"/>
      <c r="I9" s="682" t="str">
        <f>AK3</f>
        <v>NÃO</v>
      </c>
      <c r="J9" s="1155"/>
      <c r="K9" s="1156"/>
      <c r="L9" s="683" t="str">
        <f>AK7</f>
        <v>NÃO</v>
      </c>
      <c r="M9" s="439"/>
      <c r="N9" s="895" t="s">
        <v>163</v>
      </c>
      <c r="O9" s="896"/>
      <c r="P9" s="896"/>
      <c r="Q9" s="897"/>
      <c r="AB9" s="9"/>
      <c r="AC9" s="10"/>
      <c r="AD9" s="10"/>
      <c r="AE9" s="11"/>
      <c r="AF9" s="12"/>
      <c r="AG9" s="13"/>
      <c r="AH9" s="13"/>
      <c r="AI9" s="1077" t="str">
        <f>IF(AK3="Não","",IF(AK7="SIM",CONCATENATE("Equipamento com compensação da gravidade e calibração válida para o local de utilização: ", G5," ", G6, "."),CONCATENATE("Efeito da gravidade incluído na avaliação da incerteza da medição. A calibração do equipamento é válida para o local de utilização: ",G5," ", G6, ".")))</f>
        <v/>
      </c>
      <c r="AJ9" s="1078"/>
      <c r="AK9" s="1079"/>
      <c r="AL9" s="14"/>
      <c r="AM9" s="491" t="s">
        <v>51</v>
      </c>
      <c r="AN9" s="506">
        <v>1.9967000000000001E-3</v>
      </c>
      <c r="AO9" s="743">
        <f>0.000006</f>
        <v>6.0000000000000002E-6</v>
      </c>
      <c r="AP9" s="507">
        <f t="shared" si="1"/>
        <v>0</v>
      </c>
      <c r="AQ9" s="507"/>
      <c r="AR9" s="92"/>
      <c r="AS9" t="str">
        <f t="shared" si="0"/>
        <v/>
      </c>
      <c r="AT9" s="447" t="str">
        <f>IF(AO32="sim",AM32,"")</f>
        <v/>
      </c>
      <c r="AU9" s="38"/>
      <c r="AV9" s="226">
        <f>AM32</f>
        <v>716</v>
      </c>
      <c r="AW9" s="445" t="s">
        <v>558</v>
      </c>
      <c r="AX9" s="229" t="s">
        <v>561</v>
      </c>
      <c r="AY9" s="228">
        <v>4</v>
      </c>
      <c r="AZ9" s="45"/>
      <c r="BA9" s="237">
        <v>0</v>
      </c>
      <c r="BB9" s="234">
        <f>(BF6/(2*SQRT(3)))*2</f>
        <v>0</v>
      </c>
      <c r="BC9" s="234">
        <f t="shared" ref="BC9:BC17" si="2">IF(BB9&lt;0.00001,0.00000001,IF(BB9&lt;0.0001,0.0000001,IF(BB9&lt;0.001,0.000001,IF(BB9&lt;0.01,0.00001,IF(BB9&lt;0.1,0.0001,IF(BB9&lt;1,0.01,IF(BB9&lt;10,0.1,1)))))))</f>
        <v>1E-8</v>
      </c>
      <c r="BD9" s="234">
        <f t="shared" ref="BD9:BD17" si="3">CEILING(BB9,BC9)</f>
        <v>0</v>
      </c>
      <c r="BE9" s="234">
        <f t="shared" ref="BE9:BE17" si="4">IF(BD9&lt;0.00001,7,IF(BD9&lt;0.0001,6,IF(BD9&lt;0.001,5,IF(BD9&lt;0.01,4,IF(BD9&lt;0.1,3,IF(BD9&lt;1,2,IF(BD9&lt;10,1,0)))))))</f>
        <v>7</v>
      </c>
      <c r="BF9" s="238" t="str">
        <f t="shared" ref="BF9:BF17" si="5">FIXED(BD9,BE9,TRUE)</f>
        <v>0,0000000</v>
      </c>
      <c r="BG9" s="238">
        <v>0</v>
      </c>
      <c r="BH9" s="234" t="e">
        <f>(BL6/(2*SQRT(3)))*2</f>
        <v>#REF!</v>
      </c>
      <c r="BI9" s="234" t="e">
        <f t="shared" ref="BI9:BI17" si="6">IF(BH9&lt;0.00001,0.00000001,IF(BH9&lt;0.0001,0.0000001,IF(BH9&lt;0.001,0.000001,IF(BH9&lt;0.01,0.00001,IF(BH9&lt;0.1,0.0001,IF(BH9&lt;1,0.01,IF(BH9&lt;10,0.1,1)))))))</f>
        <v>#REF!</v>
      </c>
      <c r="BJ9" s="234" t="e">
        <f t="shared" ref="BJ9:BJ17" si="7">CEILING(BH9,BI9)</f>
        <v>#REF!</v>
      </c>
      <c r="BK9" s="234" t="e">
        <f t="shared" ref="BK9:BK17" si="8">IF(BJ9&lt;0.00001,7,IF(BJ9&lt;0.0001,6,IF(BJ9&lt;0.001,5,IF(BJ9&lt;0.01,4,IF(BJ9&lt;0.1,3,IF(BJ9&lt;1,2,IF(BJ9&lt;10,1,0)))))))</f>
        <v>#REF!</v>
      </c>
      <c r="BL9" s="238" t="e">
        <f t="shared" ref="BL9:BL17" si="9">FIXED(BJ9,BK9)</f>
        <v>#REF!</v>
      </c>
      <c r="BM9" s="3"/>
      <c r="BN9" s="45"/>
      <c r="BO9" s="45"/>
      <c r="BP9" s="45"/>
      <c r="BQ9" s="45"/>
      <c r="BR9" s="45"/>
      <c r="BS9" s="45"/>
      <c r="BT9" s="45"/>
      <c r="BU9" s="45"/>
      <c r="BV9" s="45"/>
    </row>
    <row r="10" spans="1:83" ht="23.25" customHeight="1" thickBot="1">
      <c r="A10" s="1107" t="s">
        <v>153</v>
      </c>
      <c r="B10" s="1108"/>
      <c r="C10" s="1109"/>
      <c r="D10" s="1110"/>
      <c r="E10" s="1110"/>
      <c r="F10" s="1111"/>
      <c r="G10" s="684" t="s">
        <v>277</v>
      </c>
      <c r="H10" s="1112">
        <f>9.780318*(1+0.0053024*(SIN(42*PI()/180))^2-0.0000058*(SIN(2*42*PI()/180))^2)-0.000003085*462</f>
        <v>9.8020558239805222</v>
      </c>
      <c r="I10" s="1113"/>
      <c r="J10" s="685" t="s">
        <v>272</v>
      </c>
      <c r="K10" s="686" t="s">
        <v>270</v>
      </c>
      <c r="L10" s="687" t="s">
        <v>271</v>
      </c>
      <c r="M10" s="572"/>
      <c r="N10" s="1118" t="str">
        <f>IF($AV$98=1,"",IF($AV$98=2,CONCATENATE("2.ª Via ao Certificado Nº ",G2," emitido em"),CONCATENATE("Correcção ao Certificado Nº ",G2," emitido em ")))</f>
        <v/>
      </c>
      <c r="O10" s="1119"/>
      <c r="P10" s="1119"/>
      <c r="Q10" s="1097" t="str">
        <f>IF(N10="","",O7)</f>
        <v/>
      </c>
      <c r="AB10" s="13"/>
      <c r="AC10" s="13"/>
      <c r="AD10" s="13"/>
      <c r="AE10" s="13"/>
      <c r="AF10" s="13"/>
      <c r="AG10" s="13"/>
      <c r="AH10" s="13"/>
      <c r="AL10" s="14"/>
      <c r="AM10" s="492" t="s">
        <v>52</v>
      </c>
      <c r="AN10" s="757">
        <v>4.9959999999999996E-3</v>
      </c>
      <c r="AO10" s="744">
        <f>0.000006</f>
        <v>6.0000000000000002E-6</v>
      </c>
      <c r="AP10" s="507">
        <f t="shared" si="1"/>
        <v>0</v>
      </c>
      <c r="AQ10" s="507"/>
      <c r="AR10" s="92"/>
      <c r="AS10" t="str">
        <f t="shared" si="0"/>
        <v/>
      </c>
      <c r="AT10" s="447" t="str">
        <f>IF(AO61="sim",AM61,"")</f>
        <v/>
      </c>
      <c r="AU10" s="38"/>
      <c r="AV10" s="226" t="str">
        <f>AM61</f>
        <v>717</v>
      </c>
      <c r="AW10" s="445" t="s">
        <v>559</v>
      </c>
      <c r="AX10" s="229" t="s">
        <v>561</v>
      </c>
      <c r="AY10" s="228">
        <v>5</v>
      </c>
      <c r="AZ10" s="45"/>
      <c r="BA10" s="237">
        <v>1</v>
      </c>
      <c r="BB10" s="234" t="e">
        <f>IF($I$9="Sim",BY$177*AV78,BY$157*AV78)</f>
        <v>#VALUE!</v>
      </c>
      <c r="BC10" s="234" t="e">
        <f t="shared" si="2"/>
        <v>#VALUE!</v>
      </c>
      <c r="BD10" s="234" t="e">
        <f t="shared" si="3"/>
        <v>#VALUE!</v>
      </c>
      <c r="BE10" s="234" t="e">
        <f t="shared" si="4"/>
        <v>#VALUE!</v>
      </c>
      <c r="BF10" s="238" t="e">
        <f t="shared" si="5"/>
        <v>#VALUE!</v>
      </c>
      <c r="BG10" s="238">
        <v>1</v>
      </c>
      <c r="BH10" s="234" t="e">
        <f>#REF!</f>
        <v>#REF!</v>
      </c>
      <c r="BI10" s="234" t="e">
        <f t="shared" si="6"/>
        <v>#REF!</v>
      </c>
      <c r="BJ10" s="234" t="e">
        <f t="shared" si="7"/>
        <v>#REF!</v>
      </c>
      <c r="BK10" s="234" t="e">
        <f t="shared" si="8"/>
        <v>#REF!</v>
      </c>
      <c r="BL10" s="238" t="e">
        <f t="shared" si="9"/>
        <v>#REF!</v>
      </c>
      <c r="BM10" s="3"/>
      <c r="BN10" s="45"/>
      <c r="BO10" s="45"/>
      <c r="BP10" s="45"/>
      <c r="BQ10" s="45"/>
      <c r="BR10" s="45"/>
      <c r="BS10" s="45"/>
      <c r="BT10" s="45"/>
      <c r="BU10" s="45"/>
      <c r="BV10" s="45"/>
    </row>
    <row r="11" spans="1:83" ht="22.5" customHeight="1" thickBot="1">
      <c r="A11" s="1122" t="s">
        <v>364</v>
      </c>
      <c r="B11" s="1123"/>
      <c r="C11" s="1130"/>
      <c r="D11" s="1131"/>
      <c r="E11" s="1131"/>
      <c r="F11" s="1132"/>
      <c r="G11" s="684" t="s">
        <v>278</v>
      </c>
      <c r="H11" s="1133"/>
      <c r="I11" s="1134"/>
      <c r="J11" s="688">
        <f>C13*2/3</f>
        <v>0</v>
      </c>
      <c r="K11" s="689" t="str">
        <f>FIXED(ROUND(($J11*($H$11-$H$10)/$H$10),$AI$15+2),$AI$15+2)</f>
        <v>0,00</v>
      </c>
      <c r="L11" s="690" t="str">
        <f>K11</f>
        <v>0,00</v>
      </c>
      <c r="M11" s="573"/>
      <c r="N11" s="1120"/>
      <c r="O11" s="1121"/>
      <c r="P11" s="1121"/>
      <c r="Q11" s="1098"/>
      <c r="AB11" s="13"/>
      <c r="AC11" s="13"/>
      <c r="AD11" s="13"/>
      <c r="AE11" s="13"/>
      <c r="AF11" s="13"/>
      <c r="AG11" s="13"/>
      <c r="AH11" s="13"/>
      <c r="AL11" s="14"/>
      <c r="AM11" s="491" t="s">
        <v>53</v>
      </c>
      <c r="AN11" s="506">
        <v>9.9967000000000007E-3</v>
      </c>
      <c r="AO11" s="490">
        <f>0.000008</f>
        <v>7.9999999999999996E-6</v>
      </c>
      <c r="AP11" s="507">
        <f t="shared" si="1"/>
        <v>0</v>
      </c>
      <c r="AQ11" s="507"/>
      <c r="AR11" s="92"/>
      <c r="AS11" t="str">
        <f t="shared" si="0"/>
        <v/>
      </c>
      <c r="AT11" s="447" t="str">
        <f>IF(AO64="sim",AM64,"")</f>
        <v/>
      </c>
      <c r="AU11" s="38"/>
      <c r="AV11" s="226" t="str">
        <f>AM64</f>
        <v>534, 536, 542, 548 a 552, 663, 681, 682  e 708</v>
      </c>
      <c r="AW11" s="445" t="s">
        <v>385</v>
      </c>
      <c r="AX11" s="229" t="s">
        <v>561</v>
      </c>
      <c r="AY11" s="228">
        <v>6</v>
      </c>
      <c r="AZ11" s="45"/>
      <c r="BA11" s="237">
        <v>2</v>
      </c>
      <c r="BB11" s="234" t="e">
        <f>IF($I$9="Sim",BZ$177*AV78,BZ$157*AV78)</f>
        <v>#VALUE!</v>
      </c>
      <c r="BC11" s="234" t="e">
        <f t="shared" si="2"/>
        <v>#VALUE!</v>
      </c>
      <c r="BD11" s="234" t="e">
        <f t="shared" si="3"/>
        <v>#VALUE!</v>
      </c>
      <c r="BE11" s="234" t="e">
        <f t="shared" si="4"/>
        <v>#VALUE!</v>
      </c>
      <c r="BF11" s="238" t="e">
        <f t="shared" si="5"/>
        <v>#VALUE!</v>
      </c>
      <c r="BG11" s="238">
        <v>2</v>
      </c>
      <c r="BH11" s="234" t="e">
        <f>#REF!</f>
        <v>#REF!</v>
      </c>
      <c r="BI11" s="234" t="e">
        <f t="shared" si="6"/>
        <v>#REF!</v>
      </c>
      <c r="BJ11" s="234" t="e">
        <f t="shared" si="7"/>
        <v>#REF!</v>
      </c>
      <c r="BK11" s="234" t="e">
        <f t="shared" si="8"/>
        <v>#REF!</v>
      </c>
      <c r="BL11" s="238" t="e">
        <f t="shared" si="9"/>
        <v>#REF!</v>
      </c>
      <c r="BM11" s="3"/>
      <c r="BN11" s="45"/>
      <c r="BO11" s="45"/>
      <c r="BP11" s="45"/>
      <c r="BQ11" s="45"/>
      <c r="BR11" s="45"/>
      <c r="BS11" s="45"/>
      <c r="BT11" s="45"/>
      <c r="BU11" s="45"/>
      <c r="BV11" s="45"/>
    </row>
    <row r="12" spans="1:83" ht="26.25" customHeight="1" thickBot="1">
      <c r="A12" s="1135" t="s">
        <v>273</v>
      </c>
      <c r="B12" s="893"/>
      <c r="C12" s="1136"/>
      <c r="D12" s="892" t="s">
        <v>63</v>
      </c>
      <c r="E12" s="893"/>
      <c r="F12" s="894"/>
      <c r="G12" s="1137" t="s">
        <v>323</v>
      </c>
      <c r="H12" s="1138"/>
      <c r="I12" s="1141" t="s">
        <v>275</v>
      </c>
      <c r="J12" s="1142"/>
      <c r="K12" s="691" t="s">
        <v>274</v>
      </c>
      <c r="L12" s="692" t="s">
        <v>165</v>
      </c>
      <c r="M12" s="439"/>
      <c r="AB12" s="13"/>
      <c r="AC12" s="13"/>
      <c r="AD12" s="13"/>
      <c r="AE12" s="13"/>
      <c r="AF12" s="13"/>
      <c r="AG12" s="13"/>
      <c r="AH12" s="13"/>
      <c r="AI12" s="1080" t="s">
        <v>319</v>
      </c>
      <c r="AJ12" s="1081"/>
      <c r="AK12" s="1082"/>
      <c r="AL12" s="14"/>
      <c r="AM12" s="491" t="s">
        <v>54</v>
      </c>
      <c r="AN12" s="506">
        <v>2.00006E-2</v>
      </c>
      <c r="AO12" s="490">
        <f>0.00001</f>
        <v>1.0000000000000001E-5</v>
      </c>
      <c r="AP12" s="507">
        <f t="shared" si="1"/>
        <v>0</v>
      </c>
      <c r="AQ12" s="507"/>
      <c r="AR12" s="92"/>
      <c r="AS12" t="str">
        <f t="shared" si="0"/>
        <v/>
      </c>
      <c r="AT12" s="447" t="str">
        <f>IF(AO120="sim",AM120,"")</f>
        <v/>
      </c>
      <c r="AU12" s="38"/>
      <c r="AV12" s="226">
        <f>AM120</f>
        <v>529</v>
      </c>
      <c r="AW12" s="445" t="s">
        <v>386</v>
      </c>
      <c r="AX12" s="229" t="s">
        <v>562</v>
      </c>
      <c r="AY12" s="228">
        <v>7</v>
      </c>
      <c r="AZ12" s="45"/>
      <c r="BA12" s="237">
        <v>3</v>
      </c>
      <c r="BB12" s="234" t="e">
        <f>IF($I$9="Sim",CA$177*AV78,CA$157*AV78)</f>
        <v>#VALUE!</v>
      </c>
      <c r="BC12" s="234" t="e">
        <f t="shared" si="2"/>
        <v>#VALUE!</v>
      </c>
      <c r="BD12" s="234" t="e">
        <f t="shared" si="3"/>
        <v>#VALUE!</v>
      </c>
      <c r="BE12" s="234" t="e">
        <f t="shared" si="4"/>
        <v>#VALUE!</v>
      </c>
      <c r="BF12" s="238" t="e">
        <f t="shared" si="5"/>
        <v>#VALUE!</v>
      </c>
      <c r="BG12" s="238">
        <v>3</v>
      </c>
      <c r="BH12" s="234" t="e">
        <f>#REF!</f>
        <v>#REF!</v>
      </c>
      <c r="BI12" s="234" t="e">
        <f t="shared" si="6"/>
        <v>#REF!</v>
      </c>
      <c r="BJ12" s="234" t="e">
        <f t="shared" si="7"/>
        <v>#REF!</v>
      </c>
      <c r="BK12" s="234" t="e">
        <f t="shared" si="8"/>
        <v>#REF!</v>
      </c>
      <c r="BL12" s="238" t="e">
        <f t="shared" si="9"/>
        <v>#REF!</v>
      </c>
      <c r="BM12" s="3"/>
      <c r="BN12" s="45"/>
      <c r="BO12" s="45"/>
      <c r="BP12" s="45"/>
      <c r="BQ12" s="45"/>
      <c r="BR12" s="45"/>
      <c r="BS12" s="45"/>
      <c r="BT12" s="45"/>
      <c r="BU12" s="45"/>
      <c r="BV12" s="45"/>
    </row>
    <row r="13" spans="1:83" ht="31.5" customHeight="1" thickBot="1">
      <c r="A13" s="1124" t="s">
        <v>459</v>
      </c>
      <c r="B13" s="1125"/>
      <c r="C13" s="197"/>
      <c r="D13" s="693"/>
      <c r="E13" s="694"/>
      <c r="F13" s="681"/>
      <c r="G13" s="1139"/>
      <c r="H13" s="1140"/>
      <c r="I13" s="1126" t="s">
        <v>267</v>
      </c>
      <c r="J13" s="1127"/>
      <c r="K13" s="695"/>
      <c r="L13" s="696"/>
      <c r="M13" s="574"/>
      <c r="S13" s="298"/>
      <c r="T13" s="298"/>
      <c r="U13"/>
      <c r="AC13" s="13"/>
      <c r="AF13" s="13"/>
      <c r="AG13" s="13"/>
      <c r="AH13" s="13"/>
      <c r="AI13" s="856" t="str">
        <f>IF(E$14="",IF(ISERROR(SEARCH(",",$C$14)),"N/A",SEARCH(",",$C$14)),IF(ISERROR(SEARCH(",",$E$14)),"N/A",SEARCH(",",$E$14)))</f>
        <v>N/A</v>
      </c>
      <c r="AJ13" s="274" t="s">
        <v>160</v>
      </c>
      <c r="AK13" s="275"/>
      <c r="AL13" s="14"/>
      <c r="AM13" s="491" t="s">
        <v>55</v>
      </c>
      <c r="AN13" s="506">
        <v>1.9998800000000001E-2</v>
      </c>
      <c r="AO13" s="490">
        <f>0.00001</f>
        <v>1.0000000000000001E-5</v>
      </c>
      <c r="AP13" s="507">
        <f t="shared" si="1"/>
        <v>0</v>
      </c>
      <c r="AQ13" s="507"/>
      <c r="AR13" s="92"/>
      <c r="AS13" t="str">
        <f t="shared" si="0"/>
        <v/>
      </c>
      <c r="AT13" s="447" t="str">
        <f>IF(AO141="sim",AM141,"")</f>
        <v/>
      </c>
      <c r="AU13" s="38"/>
      <c r="AV13" s="226">
        <f>AM141</f>
        <v>530</v>
      </c>
      <c r="AW13" s="445" t="s">
        <v>387</v>
      </c>
      <c r="AX13" s="229" t="s">
        <v>561</v>
      </c>
      <c r="AY13" s="228">
        <v>8</v>
      </c>
      <c r="AZ13" s="45"/>
      <c r="BA13" s="237">
        <v>4</v>
      </c>
      <c r="BB13" s="234" t="e">
        <f>IF($I$9="Sim",CB$177*AV78,CB$157*AV78)</f>
        <v>#VALUE!</v>
      </c>
      <c r="BC13" s="234" t="e">
        <f t="shared" si="2"/>
        <v>#VALUE!</v>
      </c>
      <c r="BD13" s="234" t="e">
        <f t="shared" si="3"/>
        <v>#VALUE!</v>
      </c>
      <c r="BE13" s="234" t="e">
        <f t="shared" si="4"/>
        <v>#VALUE!</v>
      </c>
      <c r="BF13" s="238" t="e">
        <f t="shared" si="5"/>
        <v>#VALUE!</v>
      </c>
      <c r="BG13" s="238">
        <v>4</v>
      </c>
      <c r="BH13" s="234" t="e">
        <f>#REF!</f>
        <v>#REF!</v>
      </c>
      <c r="BI13" s="234" t="e">
        <f t="shared" si="6"/>
        <v>#REF!</v>
      </c>
      <c r="BJ13" s="234" t="e">
        <f t="shared" si="7"/>
        <v>#REF!</v>
      </c>
      <c r="BK13" s="234" t="e">
        <f t="shared" si="8"/>
        <v>#REF!</v>
      </c>
      <c r="BL13" s="238" t="e">
        <f t="shared" si="9"/>
        <v>#REF!</v>
      </c>
      <c r="BM13" s="3"/>
      <c r="BN13" s="45"/>
      <c r="BO13" s="45"/>
      <c r="BP13" s="45"/>
      <c r="BQ13" s="45"/>
      <c r="BR13" s="45"/>
      <c r="BS13" s="45"/>
      <c r="BT13" s="45"/>
      <c r="BU13" s="45"/>
      <c r="BV13" s="45"/>
    </row>
    <row r="14" spans="1:83" s="13" customFormat="1" ht="27" customHeight="1" thickBot="1">
      <c r="A14" s="1114" t="s">
        <v>460</v>
      </c>
      <c r="B14" s="1115"/>
      <c r="C14" s="198"/>
      <c r="D14" s="697" t="s">
        <v>416</v>
      </c>
      <c r="E14" s="585"/>
      <c r="F14" s="698"/>
      <c r="G14" s="699" t="s">
        <v>324</v>
      </c>
      <c r="H14" s="700" t="str">
        <f>AF3</f>
        <v>NÃO</v>
      </c>
      <c r="I14" s="1116" t="s">
        <v>64</v>
      </c>
      <c r="J14" s="1117"/>
      <c r="K14" s="701"/>
      <c r="L14" s="702"/>
      <c r="M14" s="574"/>
      <c r="S14" s="298"/>
      <c r="T14" s="298"/>
      <c r="U14"/>
      <c r="V14"/>
      <c r="W14"/>
      <c r="AI14" s="856">
        <f>IF($E$14="",LEN($C$14),LEN($E$14))</f>
        <v>0</v>
      </c>
      <c r="AJ14" s="274" t="s">
        <v>161</v>
      </c>
      <c r="AK14" s="275"/>
      <c r="AL14" s="14"/>
      <c r="AM14" s="492" t="s">
        <v>56</v>
      </c>
      <c r="AN14" s="757">
        <v>5.0003899999999997E-2</v>
      </c>
      <c r="AO14" s="493">
        <f>0.000012</f>
        <v>1.2E-5</v>
      </c>
      <c r="AP14" s="507">
        <f t="shared" si="1"/>
        <v>0</v>
      </c>
      <c r="AQ14" s="507"/>
      <c r="AR14" s="92"/>
      <c r="AS14" t="str">
        <f t="shared" si="0"/>
        <v/>
      </c>
      <c r="AT14" s="447" t="str">
        <f>IF(AO152="sim",AM152,"")</f>
        <v/>
      </c>
      <c r="AU14" s="38"/>
      <c r="AV14" s="230">
        <f>AM152</f>
        <v>531</v>
      </c>
      <c r="AW14" s="445" t="s">
        <v>388</v>
      </c>
      <c r="AX14" s="229" t="s">
        <v>561</v>
      </c>
      <c r="AY14" s="228">
        <v>9</v>
      </c>
      <c r="AZ14" s="45"/>
      <c r="BA14" s="237">
        <v>5</v>
      </c>
      <c r="BB14" s="234" t="e">
        <f>IF($I$9="Sim",CC$177*AV78,CC$157*AV78)</f>
        <v>#VALUE!</v>
      </c>
      <c r="BC14" s="234" t="e">
        <f t="shared" si="2"/>
        <v>#VALUE!</v>
      </c>
      <c r="BD14" s="234" t="e">
        <f t="shared" si="3"/>
        <v>#VALUE!</v>
      </c>
      <c r="BE14" s="234" t="e">
        <f t="shared" si="4"/>
        <v>#VALUE!</v>
      </c>
      <c r="BF14" s="238" t="e">
        <f t="shared" si="5"/>
        <v>#VALUE!</v>
      </c>
      <c r="BG14" s="238">
        <v>5</v>
      </c>
      <c r="BH14" s="234" t="e">
        <f>#REF!</f>
        <v>#REF!</v>
      </c>
      <c r="BI14" s="234" t="e">
        <f t="shared" si="6"/>
        <v>#REF!</v>
      </c>
      <c r="BJ14" s="234" t="e">
        <f t="shared" si="7"/>
        <v>#REF!</v>
      </c>
      <c r="BK14" s="234" t="e">
        <f t="shared" si="8"/>
        <v>#REF!</v>
      </c>
      <c r="BL14" s="238" t="e">
        <f t="shared" si="9"/>
        <v>#REF!</v>
      </c>
      <c r="BM14" s="3"/>
      <c r="BN14" s="45"/>
      <c r="BO14" s="45"/>
      <c r="BP14" s="45"/>
      <c r="BQ14" s="45"/>
      <c r="BR14" s="45"/>
      <c r="BS14" s="45"/>
      <c r="BT14" s="45"/>
      <c r="BU14" s="45"/>
      <c r="BV14" s="45"/>
    </row>
    <row r="15" spans="1:83" ht="25.5" customHeight="1">
      <c r="A15" s="13"/>
      <c r="B15" s="13"/>
      <c r="C15" s="13"/>
      <c r="D15" s="13"/>
      <c r="E15" s="10"/>
      <c r="F15" s="13"/>
      <c r="G15" s="13"/>
      <c r="H15" s="13"/>
      <c r="I15" s="13"/>
      <c r="J15" s="13"/>
      <c r="K15" s="13"/>
      <c r="L15" s="13"/>
      <c r="M15" s="293"/>
      <c r="W15" s="32"/>
      <c r="X15" s="71"/>
      <c r="AC15" s="13"/>
      <c r="AF15" s="13"/>
      <c r="AG15" s="13"/>
      <c r="AH15" s="13"/>
      <c r="AI15" s="276">
        <f>IF(AI13="N/A",0,AI14-AI13)</f>
        <v>0</v>
      </c>
      <c r="AJ15" s="274" t="s">
        <v>413</v>
      </c>
      <c r="AK15" s="275"/>
      <c r="AL15" s="14"/>
      <c r="AM15" s="494" t="s">
        <v>57</v>
      </c>
      <c r="AN15" s="506">
        <v>0.1000038</v>
      </c>
      <c r="AO15" s="490">
        <f>0.000016</f>
        <v>1.5999999999999999E-5</v>
      </c>
      <c r="AP15" s="507">
        <f t="shared" si="1"/>
        <v>0</v>
      </c>
      <c r="AQ15" s="746"/>
      <c r="AR15" s="361">
        <f>0.003/1000</f>
        <v>3.0000000000000001E-6</v>
      </c>
      <c r="AS15" t="str">
        <f t="shared" si="0"/>
        <v/>
      </c>
      <c r="AT15" s="447" t="str">
        <f>IF(AO163="sim",AM163,"")</f>
        <v/>
      </c>
      <c r="AU15" s="38"/>
      <c r="AV15" s="230" t="str">
        <f>AM163</f>
        <v>532</v>
      </c>
      <c r="AW15" s="445" t="s">
        <v>389</v>
      </c>
      <c r="AX15" s="229" t="s">
        <v>561</v>
      </c>
      <c r="AY15" s="228">
        <v>10</v>
      </c>
      <c r="AZ15" s="45"/>
      <c r="BA15" s="237">
        <v>6</v>
      </c>
      <c r="BB15" s="234" t="e">
        <f>IF($I$9="Sim",CD$177*AV78,CD$157*AV78)</f>
        <v>#VALUE!</v>
      </c>
      <c r="BC15" s="234" t="e">
        <f t="shared" si="2"/>
        <v>#VALUE!</v>
      </c>
      <c r="BD15" s="234" t="e">
        <f t="shared" si="3"/>
        <v>#VALUE!</v>
      </c>
      <c r="BE15" s="234" t="e">
        <f t="shared" si="4"/>
        <v>#VALUE!</v>
      </c>
      <c r="BF15" s="238" t="e">
        <f t="shared" si="5"/>
        <v>#VALUE!</v>
      </c>
      <c r="BG15" s="238">
        <v>6</v>
      </c>
      <c r="BH15" s="234" t="e">
        <f>#REF!</f>
        <v>#REF!</v>
      </c>
      <c r="BI15" s="234" t="e">
        <f t="shared" si="6"/>
        <v>#REF!</v>
      </c>
      <c r="BJ15" s="234" t="e">
        <f t="shared" si="7"/>
        <v>#REF!</v>
      </c>
      <c r="BK15" s="234" t="e">
        <f t="shared" si="8"/>
        <v>#REF!</v>
      </c>
      <c r="BL15" s="238" t="e">
        <f t="shared" si="9"/>
        <v>#REF!</v>
      </c>
      <c r="BM15" s="3"/>
      <c r="BN15" s="45"/>
      <c r="BO15" s="45"/>
      <c r="BP15" s="45"/>
      <c r="BQ15" s="45"/>
      <c r="BR15" s="45"/>
      <c r="BS15" s="45"/>
      <c r="BT15" s="45"/>
      <c r="BU15" s="45"/>
      <c r="BV15" s="45"/>
    </row>
    <row r="16" spans="1:83" ht="31.5" customHeight="1" thickBot="1">
      <c r="A16" s="1022" t="s">
        <v>283</v>
      </c>
      <c r="B16" s="1023"/>
      <c r="C16" s="1023"/>
      <c r="D16" s="1023"/>
      <c r="E16" s="1023"/>
      <c r="F16" s="1023"/>
      <c r="G16" s="1023"/>
      <c r="H16" s="1023"/>
      <c r="I16" s="1023"/>
      <c r="J16" s="1023"/>
      <c r="K16" s="1023"/>
      <c r="L16" s="1023"/>
      <c r="M16" s="575"/>
      <c r="X16" s="71"/>
      <c r="AC16" s="13"/>
      <c r="AE16" s="13"/>
      <c r="AF16" s="13"/>
      <c r="AG16" s="13"/>
      <c r="AH16" s="13"/>
      <c r="AI16" s="277">
        <f>AI15+1</f>
        <v>1</v>
      </c>
      <c r="AJ16" s="278" t="s">
        <v>414</v>
      </c>
      <c r="AK16" s="279"/>
      <c r="AL16" s="14"/>
      <c r="AM16" s="494" t="s">
        <v>58</v>
      </c>
      <c r="AN16" s="506">
        <v>0.20000009999999999</v>
      </c>
      <c r="AO16" s="490">
        <f>0.00002</f>
        <v>2.0000000000000002E-5</v>
      </c>
      <c r="AP16" s="507">
        <f t="shared" si="1"/>
        <v>0</v>
      </c>
      <c r="AQ16" s="746"/>
      <c r="AR16" s="361">
        <f>0.005/1000</f>
        <v>5.0000000000000004E-6</v>
      </c>
      <c r="AS16" t="str">
        <f t="shared" si="0"/>
        <v/>
      </c>
      <c r="AT16" s="447" t="str">
        <f>IF(AO166="sim",AM166,"")</f>
        <v/>
      </c>
      <c r="AU16" s="38"/>
      <c r="AV16" s="230">
        <f>AM166</f>
        <v>533</v>
      </c>
      <c r="AW16" s="445" t="s">
        <v>390</v>
      </c>
      <c r="AX16" s="229" t="s">
        <v>561</v>
      </c>
      <c r="AY16" s="228">
        <v>11</v>
      </c>
      <c r="AZ16" s="45"/>
      <c r="BA16" s="237">
        <v>7</v>
      </c>
      <c r="BB16" s="234" t="e">
        <f>IF($I$9="Sim",CE$177*AV78,CE$157*AV78)</f>
        <v>#VALUE!</v>
      </c>
      <c r="BC16" s="234" t="e">
        <f t="shared" si="2"/>
        <v>#VALUE!</v>
      </c>
      <c r="BD16" s="234" t="e">
        <f t="shared" si="3"/>
        <v>#VALUE!</v>
      </c>
      <c r="BE16" s="234" t="e">
        <f t="shared" si="4"/>
        <v>#VALUE!</v>
      </c>
      <c r="BF16" s="238" t="e">
        <f t="shared" si="5"/>
        <v>#VALUE!</v>
      </c>
      <c r="BG16" s="238">
        <v>7</v>
      </c>
      <c r="BH16" s="234" t="e">
        <f>#REF!</f>
        <v>#REF!</v>
      </c>
      <c r="BI16" s="234" t="e">
        <f t="shared" si="6"/>
        <v>#REF!</v>
      </c>
      <c r="BJ16" s="234" t="e">
        <f t="shared" si="7"/>
        <v>#REF!</v>
      </c>
      <c r="BK16" s="234" t="e">
        <f t="shared" si="8"/>
        <v>#REF!</v>
      </c>
      <c r="BL16" s="238" t="e">
        <f t="shared" si="9"/>
        <v>#REF!</v>
      </c>
      <c r="BM16" s="3"/>
      <c r="BN16" s="45"/>
      <c r="BO16" s="45"/>
      <c r="BP16" s="45"/>
      <c r="BQ16" s="45"/>
      <c r="BR16" s="45"/>
      <c r="BS16" s="45"/>
      <c r="BT16" s="45"/>
      <c r="BU16" s="45"/>
      <c r="BV16" s="45"/>
    </row>
    <row r="17" spans="1:98" ht="36" customHeight="1" thickBot="1">
      <c r="AB17" s="13"/>
      <c r="AC17" s="379"/>
      <c r="AD17" s="286"/>
      <c r="AE17" s="286"/>
      <c r="AF17" s="87"/>
      <c r="AG17" s="13"/>
      <c r="AH17" s="13"/>
      <c r="AL17" s="14"/>
      <c r="AM17" s="494" t="s">
        <v>59</v>
      </c>
      <c r="AN17" s="506">
        <v>0.19999149999999999</v>
      </c>
      <c r="AO17" s="490">
        <f>0.00002</f>
        <v>2.0000000000000002E-5</v>
      </c>
      <c r="AP17" s="507">
        <f t="shared" si="1"/>
        <v>0</v>
      </c>
      <c r="AQ17" s="746"/>
      <c r="AR17" s="361">
        <f>0.005/1000</f>
        <v>5.0000000000000004E-6</v>
      </c>
      <c r="AS17" t="str">
        <f t="shared" si="0"/>
        <v/>
      </c>
      <c r="AT17" s="447" t="str">
        <f>IF(AO169="sim",AM169,"")</f>
        <v/>
      </c>
      <c r="AU17" s="38"/>
      <c r="AV17" s="843" t="str">
        <f>AM169</f>
        <v>633 a 641</v>
      </c>
      <c r="AW17" s="229" t="s">
        <v>391</v>
      </c>
      <c r="AX17" s="227" t="s">
        <v>667</v>
      </c>
      <c r="AY17" s="228">
        <v>12</v>
      </c>
      <c r="BA17" s="237">
        <v>8</v>
      </c>
      <c r="BB17" s="234" t="e">
        <f>IF($I$9="Sim",CF$177*AV78,CF$157*AV78)</f>
        <v>#VALUE!</v>
      </c>
      <c r="BC17" s="234" t="e">
        <f t="shared" si="2"/>
        <v>#VALUE!</v>
      </c>
      <c r="BD17" s="234" t="e">
        <f t="shared" si="3"/>
        <v>#VALUE!</v>
      </c>
      <c r="BE17" s="234" t="e">
        <f t="shared" si="4"/>
        <v>#VALUE!</v>
      </c>
      <c r="BF17" s="238" t="e">
        <f t="shared" si="5"/>
        <v>#VALUE!</v>
      </c>
      <c r="BG17" s="238">
        <v>8</v>
      </c>
      <c r="BH17" s="234" t="e">
        <f>#REF!</f>
        <v>#REF!</v>
      </c>
      <c r="BI17" s="234" t="e">
        <f t="shared" si="6"/>
        <v>#REF!</v>
      </c>
      <c r="BJ17" s="234" t="e">
        <f t="shared" si="7"/>
        <v>#REF!</v>
      </c>
      <c r="BK17" s="234" t="e">
        <f t="shared" si="8"/>
        <v>#REF!</v>
      </c>
      <c r="BL17" s="238" t="e">
        <f t="shared" si="9"/>
        <v>#REF!</v>
      </c>
      <c r="BM17" s="3"/>
    </row>
    <row r="18" spans="1:98" ht="29.25" customHeight="1" thickBot="1">
      <c r="B18" s="288" t="s">
        <v>284</v>
      </c>
      <c r="C18" s="1083" t="s">
        <v>326</v>
      </c>
      <c r="D18" s="1084"/>
      <c r="E18" s="999" t="s">
        <v>412</v>
      </c>
      <c r="F18" s="1000"/>
      <c r="G18" s="289" t="s">
        <v>9</v>
      </c>
      <c r="I18" s="888" t="s">
        <v>276</v>
      </c>
      <c r="J18" s="889"/>
      <c r="K18" s="776" t="s">
        <v>570</v>
      </c>
      <c r="L18" s="777" t="s">
        <v>565</v>
      </c>
      <c r="M18" s="571"/>
      <c r="U18" s="86"/>
      <c r="Z18" s="375"/>
      <c r="AA18" s="293"/>
      <c r="AB18" s="13"/>
      <c r="AC18" s="379"/>
      <c r="AD18" s="332"/>
      <c r="AE18" s="376"/>
      <c r="AF18" s="87"/>
      <c r="AG18" s="13"/>
      <c r="AH18" s="13"/>
      <c r="AI18" s="969" t="s">
        <v>61</v>
      </c>
      <c r="AJ18" s="970"/>
      <c r="AK18" s="971"/>
      <c r="AL18" s="14"/>
      <c r="AM18" s="495" t="s">
        <v>60</v>
      </c>
      <c r="AN18" s="757">
        <v>0.5000021</v>
      </c>
      <c r="AO18" s="493">
        <f>0.000025</f>
        <v>2.5000000000000001E-5</v>
      </c>
      <c r="AP18" s="507">
        <f t="shared" si="1"/>
        <v>0</v>
      </c>
      <c r="AQ18" s="746"/>
      <c r="AR18" s="361">
        <f>0.008/1000</f>
        <v>7.9999999999999996E-6</v>
      </c>
      <c r="AS18" t="str">
        <f t="shared" si="0"/>
        <v/>
      </c>
      <c r="AT18" s="447" t="str">
        <f>IF(AO179="sim",AM179,"")</f>
        <v/>
      </c>
      <c r="AU18" s="38"/>
      <c r="AV18" s="843" t="str">
        <f>AM179</f>
        <v>642 a 650</v>
      </c>
      <c r="AW18" s="229" t="s">
        <v>392</v>
      </c>
      <c r="AX18" s="227" t="s">
        <v>667</v>
      </c>
      <c r="AY18" s="228">
        <v>13</v>
      </c>
      <c r="BA18" s="239"/>
      <c r="BB18" s="907" t="s">
        <v>297</v>
      </c>
      <c r="BC18" s="907"/>
      <c r="BD18" s="907"/>
      <c r="BE18" s="240" t="s">
        <v>4</v>
      </c>
      <c r="BF18" s="236" t="e">
        <f>#REF!</f>
        <v>#REF!</v>
      </c>
    </row>
    <row r="19" spans="1:98" ht="27" customHeight="1" thickBot="1">
      <c r="B19" s="199"/>
      <c r="C19" s="1068" t="str">
        <f>IF(B19="","",IF(B19=1,D34,IF(B19=2,D39,IF(B19=3,D45,IF(B19=4,D51,IF(B19=5,D57,IF(B19=6,D63,IF(B19=7,D69,IF(B19=8,D75,Erro)))))))))</f>
        <v/>
      </c>
      <c r="D19" s="1069"/>
      <c r="E19" s="471" t="str">
        <f>IF(F19&lt;&gt;"",FIXED(MROUND(F19,$C$14),$AI$15,TRUE),"------")</f>
        <v>------</v>
      </c>
      <c r="F19" s="181"/>
      <c r="G19" s="182" t="str">
        <f>IF(F19="","",FIXED(ROUND((E19-C19),$AI$15),$AI$15,TRUE))</f>
        <v/>
      </c>
      <c r="I19" s="890" t="s">
        <v>80</v>
      </c>
      <c r="J19" s="994" t="str">
        <f>AK19</f>
        <v>NÃO</v>
      </c>
      <c r="K19" s="775"/>
      <c r="L19" s="778"/>
      <c r="M19" s="571"/>
      <c r="Z19" s="293"/>
      <c r="AA19" s="293"/>
      <c r="AC19" s="377"/>
      <c r="AD19" s="332"/>
      <c r="AE19" s="376"/>
      <c r="AF19" s="378"/>
      <c r="AI19" s="48" t="b">
        <v>0</v>
      </c>
      <c r="AJ19" s="42" t="s">
        <v>62</v>
      </c>
      <c r="AK19" s="43" t="str">
        <f>IF(AI19,"SiM","NÃO")</f>
        <v>NÃO</v>
      </c>
      <c r="AM19" s="496">
        <v>1</v>
      </c>
      <c r="AN19" s="506">
        <v>1.0000009999999999</v>
      </c>
      <c r="AO19" s="490">
        <f>0.00003</f>
        <v>3.0000000000000001E-5</v>
      </c>
      <c r="AP19" s="507">
        <f t="shared" si="1"/>
        <v>0</v>
      </c>
      <c r="AQ19" s="746"/>
      <c r="AR19" s="361">
        <f>0.013/1000</f>
        <v>1.2999999999999999E-5</v>
      </c>
      <c r="AS19" t="str">
        <f>IF(AT19="","",1)</f>
        <v/>
      </c>
      <c r="AT19" s="447" t="str">
        <f>IF(AO247="sim",AM247,"")</f>
        <v/>
      </c>
      <c r="AU19" s="41"/>
      <c r="AV19" s="760" t="str">
        <f>AM247</f>
        <v>Cargas de substituição</v>
      </c>
      <c r="AW19" s="229" t="s">
        <v>426</v>
      </c>
      <c r="AX19" s="229"/>
      <c r="AY19" s="228">
        <v>14</v>
      </c>
      <c r="BA19" s="908" t="s">
        <v>298</v>
      </c>
      <c r="BB19" s="909" t="s">
        <v>293</v>
      </c>
      <c r="BC19" s="909" t="s">
        <v>294</v>
      </c>
      <c r="BD19" s="909" t="s">
        <v>295</v>
      </c>
      <c r="BE19" s="909" t="s">
        <v>79</v>
      </c>
      <c r="BF19" s="909" t="s">
        <v>296</v>
      </c>
    </row>
    <row r="20" spans="1:98" ht="24.75" customHeight="1" thickBot="1">
      <c r="B20" s="200"/>
      <c r="C20" s="997" t="str">
        <f>IF(B20="","",IF(B20=1,D34,IF(B20=2,D39,IF(B20=3,D45,IF(B20=4,D51,IF(B20=5,D57,IF(B20=6,D63,IF(B20=7,D69,IF(B20=8,D75,Erro)))))))))</f>
        <v/>
      </c>
      <c r="D20" s="998"/>
      <c r="E20" s="183" t="str">
        <f>IF(F20&lt;&gt;"",FIXED(MROUND(F20,$C$14),$AI$15,TRUE),"------")</f>
        <v>------</v>
      </c>
      <c r="F20" s="184"/>
      <c r="G20" s="185" t="str">
        <f>IF(F20="","",FIXED(ROUND((E20-C20),$AI$15),$AI$15,TRUE))</f>
        <v/>
      </c>
      <c r="I20" s="891"/>
      <c r="J20" s="995"/>
      <c r="M20" s="571"/>
      <c r="Z20" s="293"/>
      <c r="AA20" s="293"/>
      <c r="AC20" s="377"/>
      <c r="AD20" s="332"/>
      <c r="AE20" s="376"/>
      <c r="AF20" s="378"/>
      <c r="AI20" s="960" t="s">
        <v>68</v>
      </c>
      <c r="AJ20" s="961"/>
      <c r="AK20" s="962"/>
      <c r="AM20" s="496">
        <v>2</v>
      </c>
      <c r="AN20" s="506">
        <v>1.999987</v>
      </c>
      <c r="AO20" s="490">
        <f>0.00004</f>
        <v>4.0000000000000003E-5</v>
      </c>
      <c r="AP20" s="507">
        <f t="shared" si="1"/>
        <v>0</v>
      </c>
      <c r="AQ20" s="746"/>
      <c r="AR20" s="361">
        <f>0.023/1000</f>
        <v>2.3E-5</v>
      </c>
      <c r="AT20" s="925" t="s">
        <v>69</v>
      </c>
      <c r="AU20" s="926"/>
      <c r="AV20" s="230" t="s">
        <v>70</v>
      </c>
      <c r="AW20" s="229"/>
      <c r="AX20" s="52"/>
      <c r="AY20" s="228">
        <v>15</v>
      </c>
      <c r="BA20" s="908"/>
      <c r="BB20" s="909"/>
      <c r="BC20" s="909"/>
      <c r="BD20" s="909"/>
      <c r="BE20" s="909"/>
      <c r="BF20" s="909"/>
    </row>
    <row r="21" spans="1:98" ht="21.75" customHeight="1" thickBot="1">
      <c r="O21" s="440"/>
      <c r="P21" s="87"/>
      <c r="Q21" s="678"/>
      <c r="R21" s="679"/>
      <c r="AI21" s="934" t="str">
        <f>IF(F19="","Ensaio Prévio aplicável somente a equipamento com possibilidade de se aceder ao ajuste interno.",IF(AND(AK19="sim",AV118=1),"Foi realizado o ensaio prévio conforme indicado na tabela e o equipamento foi ajustado conforme especificações do fabricante com peso padrão interno da balança.",IF(AND(AK19="sim",AV118=2),CONCATENATE("Foi realizado o ensaio prévio conforme indicado na tabela e o equipamento foi ajustado conforme especificações do fabricante com peso(s) padrão do cliente, de ",K19," ", AV77,", com a(s) referência(s) n.º"," ",L19,"."),IF(AND(AK19="sim",AV118=3),CONCATENATE("Foi realizado o ensaio prévio conforme indicado na tabela e o equipamento foi ajustado conforme especificações do fabricante com peso(s) padrão do laboratório, de ",K19," ", AV77,", com a(s) referência(s) n.º"," ",L19,"."),"Ensaio prévio realizado conforme indicado na tabela. Não se realizou o ajuste interno do equipamento."))))</f>
        <v>Ensaio Prévio aplicável somente a equipamento com possibilidade de se aceder ao ajuste interno.</v>
      </c>
      <c r="AJ21" s="935"/>
      <c r="AK21" s="936"/>
      <c r="AM21" s="494" t="s">
        <v>46</v>
      </c>
      <c r="AN21" s="506">
        <v>2.0000179999999999</v>
      </c>
      <c r="AO21" s="490">
        <f>0.00004</f>
        <v>4.0000000000000003E-5</v>
      </c>
      <c r="AP21" s="507">
        <f t="shared" si="1"/>
        <v>0</v>
      </c>
      <c r="AQ21" s="746"/>
      <c r="AR21" s="361">
        <f>0.023/1000</f>
        <v>2.3E-5</v>
      </c>
      <c r="AT21" s="902" t="str">
        <f>IF(AT6="","",AW6)</f>
        <v/>
      </c>
      <c r="AU21" s="903"/>
      <c r="AV21" s="230" t="s">
        <v>70</v>
      </c>
      <c r="AW21" s="445"/>
      <c r="AX21" s="229"/>
      <c r="AY21" s="37"/>
      <c r="BA21" s="238">
        <v>0</v>
      </c>
      <c r="BB21" s="234" t="e">
        <f>(BF18/(2*SQRT(3)))*2</f>
        <v>#REF!</v>
      </c>
      <c r="BC21" s="234" t="e">
        <f t="shared" ref="BC21:BC29" si="10">IF(BB21&lt;0.00001,0.00000001,IF(BB21&lt;0.0001,0.0000001,IF(BB21&lt;0.001,0.000001,IF(BB21&lt;0.01,0.00001,IF(BB21&lt;0.1,0.0001,IF(BB21&lt;1,0.01,IF(BB21&lt;10,0.1,1)))))))</f>
        <v>#REF!</v>
      </c>
      <c r="BD21" s="234" t="e">
        <f t="shared" ref="BD21:BD29" si="11">CEILING(BB21,BC21)</f>
        <v>#REF!</v>
      </c>
      <c r="BE21" s="234" t="e">
        <f t="shared" ref="BE21:BE29" si="12">IF(BD21&lt;0.00001,7,IF(BD21&lt;0.0001,6,IF(BD21&lt;0.001,5,IF(BD21&lt;0.01,4,IF(BD21&lt;0.1,3,IF(BD21&lt;1,2,IF(BD21&lt;10,1,0)))))))</f>
        <v>#REF!</v>
      </c>
      <c r="BF21" s="238" t="e">
        <f t="shared" ref="BF21:BF29" si="13">FIXED(BD21,BE21)</f>
        <v>#REF!</v>
      </c>
    </row>
    <row r="22" spans="1:98" ht="30" customHeight="1" thickBot="1">
      <c r="A22" s="1023" t="s">
        <v>286</v>
      </c>
      <c r="B22" s="1023"/>
      <c r="C22" s="1023"/>
      <c r="D22" s="1023"/>
      <c r="E22" s="1023"/>
      <c r="F22" s="1023"/>
      <c r="G22" s="1023"/>
      <c r="H22" s="1023"/>
      <c r="I22" s="1023"/>
      <c r="J22" s="1023"/>
      <c r="K22" s="1023"/>
      <c r="L22" s="1023"/>
      <c r="M22" s="550" t="str">
        <f>IF(F23="","",IF(F23&lt;=4,ROUNDUP(C13/3,0),ROUNDUP((1/(F23-1))*C13,0)))</f>
        <v/>
      </c>
      <c r="U22" s="1072" t="s">
        <v>5</v>
      </c>
      <c r="V22" s="1073"/>
      <c r="W22" s="1073"/>
      <c r="X22" s="1073"/>
      <c r="Y22" s="1073"/>
      <c r="Z22" s="1073"/>
      <c r="AA22" s="1073"/>
      <c r="AB22" s="1073"/>
      <c r="AC22" s="1073"/>
      <c r="AD22" s="1073"/>
      <c r="AE22" s="1073"/>
      <c r="AF22" s="1074"/>
      <c r="AM22" s="497">
        <v>5</v>
      </c>
      <c r="AN22" s="757">
        <v>5.000019</v>
      </c>
      <c r="AO22" s="493">
        <f>0.00005</f>
        <v>5.0000000000000002E-5</v>
      </c>
      <c r="AP22" s="507">
        <f t="shared" si="1"/>
        <v>0</v>
      </c>
      <c r="AQ22" s="746"/>
      <c r="AR22" s="361">
        <f>0.051/1000</f>
        <v>5.1E-5</v>
      </c>
      <c r="AT22" s="886" t="str">
        <f>IF(AT7="","",AW7)</f>
        <v/>
      </c>
      <c r="AU22" s="887"/>
      <c r="AV22" s="230" t="s">
        <v>70</v>
      </c>
      <c r="AW22" s="445"/>
      <c r="AX22" s="229"/>
      <c r="AY22" s="37"/>
      <c r="BA22" s="238">
        <v>1</v>
      </c>
      <c r="BB22" s="234" t="e">
        <f>#REF!</f>
        <v>#REF!</v>
      </c>
      <c r="BC22" s="234" t="e">
        <f t="shared" si="10"/>
        <v>#REF!</v>
      </c>
      <c r="BD22" s="234" t="e">
        <f t="shared" si="11"/>
        <v>#REF!</v>
      </c>
      <c r="BE22" s="234" t="e">
        <f t="shared" si="12"/>
        <v>#REF!</v>
      </c>
      <c r="BF22" s="238" t="e">
        <f t="shared" si="13"/>
        <v>#REF!</v>
      </c>
    </row>
    <row r="23" spans="1:98" ht="33" customHeight="1" thickBot="1">
      <c r="E23" s="583" t="s">
        <v>289</v>
      </c>
      <c r="F23" s="215"/>
      <c r="G23" s="996" t="s">
        <v>287</v>
      </c>
      <c r="H23" s="996"/>
      <c r="I23" s="176"/>
      <c r="J23" s="177" t="str">
        <f>AV77</f>
        <v>g</v>
      </c>
      <c r="L23" s="949" t="s">
        <v>288</v>
      </c>
      <c r="M23" s="576"/>
      <c r="T23" s="294"/>
      <c r="U23" s="616"/>
      <c r="AI23" s="952" t="s">
        <v>158</v>
      </c>
      <c r="AJ23" s="953"/>
      <c r="AK23" s="284" t="str">
        <f>$AV$77</f>
        <v>g</v>
      </c>
      <c r="AL23"/>
      <c r="AM23" s="496">
        <v>10</v>
      </c>
      <c r="AN23" s="506">
        <v>10.000014</v>
      </c>
      <c r="AO23" s="490">
        <f>0.00006</f>
        <v>6.0000000000000002E-5</v>
      </c>
      <c r="AP23" s="507">
        <f t="shared" si="1"/>
        <v>0</v>
      </c>
      <c r="AQ23" s="746"/>
      <c r="AR23" s="361">
        <f>0.095/1000</f>
        <v>9.5000000000000005E-5</v>
      </c>
      <c r="AT23" s="886" t="str">
        <f t="shared" ref="AT23:AT34" si="14">IF(AT8="","",AW8)</f>
        <v/>
      </c>
      <c r="AU23" s="887"/>
      <c r="AV23" s="230" t="s">
        <v>70</v>
      </c>
      <c r="AW23" s="52"/>
      <c r="AX23" s="52"/>
      <c r="AY23" s="37"/>
      <c r="BA23" s="238">
        <v>2</v>
      </c>
      <c r="BB23" s="234" t="e">
        <f>#REF!</f>
        <v>#REF!</v>
      </c>
      <c r="BC23" s="234" t="e">
        <f t="shared" si="10"/>
        <v>#REF!</v>
      </c>
      <c r="BD23" s="234" t="e">
        <f t="shared" si="11"/>
        <v>#REF!</v>
      </c>
      <c r="BE23" s="234" t="e">
        <f t="shared" si="12"/>
        <v>#REF!</v>
      </c>
      <c r="BF23" s="238" t="e">
        <f t="shared" si="13"/>
        <v>#REF!</v>
      </c>
    </row>
    <row r="24" spans="1:98" ht="19.5" customHeight="1" thickBot="1">
      <c r="A24" s="317" t="s">
        <v>122</v>
      </c>
      <c r="B24" s="178">
        <v>2</v>
      </c>
      <c r="C24" s="178">
        <v>3</v>
      </c>
      <c r="D24" s="179">
        <v>4</v>
      </c>
      <c r="E24" s="179">
        <v>5</v>
      </c>
      <c r="F24" s="179">
        <v>6</v>
      </c>
      <c r="G24" s="179">
        <v>7</v>
      </c>
      <c r="H24" s="179">
        <v>8</v>
      </c>
      <c r="I24" s="179">
        <v>9</v>
      </c>
      <c r="J24" s="179">
        <v>10</v>
      </c>
      <c r="K24" s="214">
        <v>11</v>
      </c>
      <c r="L24" s="950"/>
      <c r="M24" s="576"/>
      <c r="N24" s="37"/>
      <c r="T24" s="295"/>
      <c r="U24" s="616"/>
      <c r="AF24" s="9"/>
      <c r="AG24" s="5"/>
      <c r="AI24" s="954" t="s">
        <v>159</v>
      </c>
      <c r="AJ24" s="955"/>
      <c r="AK24" s="285">
        <f>AV78</f>
        <v>1</v>
      </c>
      <c r="AM24" s="496">
        <v>20</v>
      </c>
      <c r="AN24" s="506">
        <v>20.000043999999999</v>
      </c>
      <c r="AO24" s="490">
        <f>0.00008</f>
        <v>8.0000000000000007E-5</v>
      </c>
      <c r="AP24" s="507">
        <f t="shared" si="1"/>
        <v>0</v>
      </c>
      <c r="AQ24" s="746"/>
      <c r="AR24" s="361">
        <f>0.185/1000</f>
        <v>1.85E-4</v>
      </c>
      <c r="AT24" s="886" t="str">
        <f t="shared" si="14"/>
        <v/>
      </c>
      <c r="AU24" s="887"/>
      <c r="AY24" s="37"/>
      <c r="BA24" s="238">
        <v>3</v>
      </c>
      <c r="BB24" s="234" t="e">
        <f>#REF!</f>
        <v>#REF!</v>
      </c>
      <c r="BC24" s="234" t="e">
        <f t="shared" si="10"/>
        <v>#REF!</v>
      </c>
      <c r="BD24" s="234" t="e">
        <f t="shared" si="11"/>
        <v>#REF!</v>
      </c>
      <c r="BE24" s="234" t="e">
        <f t="shared" si="12"/>
        <v>#REF!</v>
      </c>
      <c r="BF24" s="238" t="e">
        <f t="shared" si="13"/>
        <v>#REF!</v>
      </c>
      <c r="BN24" s="5"/>
      <c r="BO24" s="5"/>
      <c r="BP24" s="5"/>
      <c r="BQ24" s="5"/>
      <c r="BR24" s="5"/>
      <c r="BS24" s="5"/>
      <c r="BT24" s="5"/>
    </row>
    <row r="25" spans="1:98" ht="23.25" customHeight="1" thickBot="1">
      <c r="A25" s="180" t="str">
        <f>IF($F$23&lt;2,"",$I$23)</f>
        <v/>
      </c>
      <c r="B25" s="180" t="str">
        <f>IF($F$23&lt;2,"",$I$23)</f>
        <v/>
      </c>
      <c r="C25" s="180" t="str">
        <f>IF($F$23&lt;2,"",$I$23)</f>
        <v/>
      </c>
      <c r="D25" s="180" t="str">
        <f>IF($F$23&lt;4,"",$I$23)</f>
        <v/>
      </c>
      <c r="E25" s="180" t="str">
        <f>IF($F$23&lt;4,"",$I$23)</f>
        <v/>
      </c>
      <c r="F25" s="180" t="str">
        <f>IF($F$23&lt;5,"",$I$23)</f>
        <v/>
      </c>
      <c r="G25" s="180" t="str">
        <f>IF($F$23&lt;6,"",$I$23)</f>
        <v/>
      </c>
      <c r="H25" s="180" t="str">
        <f>IF($F$23&lt;=7,"",$I$23)</f>
        <v/>
      </c>
      <c r="I25" s="180" t="str">
        <f>IF($F$23&lt;=7,"",$I$23)</f>
        <v/>
      </c>
      <c r="J25" s="180" t="str">
        <f>IF($F$23&lt;=9,"",$I$23)</f>
        <v/>
      </c>
      <c r="K25" s="180" t="str">
        <f>IF($F$23&lt;=9,"",$I$23)</f>
        <v/>
      </c>
      <c r="L25" s="951"/>
      <c r="T25" s="295"/>
      <c r="U25" s="616"/>
      <c r="AD25" s="959"/>
      <c r="AE25" s="959"/>
      <c r="AF25" s="959"/>
      <c r="AG25" s="5"/>
      <c r="AH25" s="5"/>
      <c r="AI25"/>
      <c r="AJ25"/>
      <c r="AK25"/>
      <c r="AL25"/>
      <c r="AM25" s="494" t="s">
        <v>47</v>
      </c>
      <c r="AN25" s="506">
        <v>20.000026999999999</v>
      </c>
      <c r="AO25" s="490">
        <f>0.00008</f>
        <v>8.0000000000000007E-5</v>
      </c>
      <c r="AP25" s="507">
        <f t="shared" si="1"/>
        <v>0</v>
      </c>
      <c r="AQ25" s="746"/>
      <c r="AR25" s="361">
        <f>0.185/1000</f>
        <v>1.85E-4</v>
      </c>
      <c r="AT25" s="886" t="str">
        <f t="shared" si="14"/>
        <v/>
      </c>
      <c r="AU25" s="887"/>
      <c r="AV25" s="37"/>
      <c r="AW25" s="231" t="s">
        <v>78</v>
      </c>
      <c r="AY25" s="37"/>
      <c r="AZ25" s="5"/>
      <c r="BA25" s="238">
        <v>4</v>
      </c>
      <c r="BB25" s="234" t="e">
        <f>#REF!</f>
        <v>#REF!</v>
      </c>
      <c r="BC25" s="234" t="e">
        <f t="shared" si="10"/>
        <v>#REF!</v>
      </c>
      <c r="BD25" s="234" t="e">
        <f t="shared" si="11"/>
        <v>#REF!</v>
      </c>
      <c r="BE25" s="234" t="e">
        <f t="shared" si="12"/>
        <v>#REF!</v>
      </c>
      <c r="BF25" s="238" t="e">
        <f t="shared" si="13"/>
        <v>#REF!</v>
      </c>
      <c r="BN25" s="5"/>
      <c r="BO25" s="5"/>
      <c r="BP25" s="5"/>
      <c r="BQ25" s="5"/>
      <c r="BR25" s="5"/>
      <c r="BS25" s="5"/>
      <c r="BT25" s="5"/>
    </row>
    <row r="26" spans="1:98" ht="23.25" customHeight="1" thickBot="1">
      <c r="A26" s="211" t="str">
        <f>IF(A25&lt;&gt;"",FIXED(A25,$AI$15,TRUE),"-------")</f>
        <v>-------</v>
      </c>
      <c r="B26" s="212" t="str">
        <f>IF($A$25&lt;&gt;"",FIXED(B25,$AI$15,TRUE),"-------")</f>
        <v>-------</v>
      </c>
      <c r="C26" s="212" t="str">
        <f>IF($A$25&lt;&gt;"",FIXED(C25,$AI$15,TRUE),"-------")</f>
        <v>-------</v>
      </c>
      <c r="D26" s="212" t="str">
        <f>IF($A$25&lt;&gt;"",FIXED(D25,$AI$15,TRUE),"-------")</f>
        <v>-------</v>
      </c>
      <c r="E26" s="213" t="str">
        <f>IF($F$23&lt;4,"-------",FIXED(E25,$AI$15,TRUE))</f>
        <v>-------</v>
      </c>
      <c r="F26" s="213" t="str">
        <f>IF($F$23&lt;5,"-------",FIXED(F25,$AI$15,TRUE))</f>
        <v>-------</v>
      </c>
      <c r="G26" s="213" t="str">
        <f>IF($F$23&lt;6,"-------",FIXED(G25,$AI$15,TRUE))</f>
        <v>-------</v>
      </c>
      <c r="H26" s="213" t="str">
        <f>IF($F$23&lt;=7,"-------",FIXED(H25,$AI$15,TRUE))</f>
        <v>-------</v>
      </c>
      <c r="I26" s="213" t="str">
        <f>IF($F$23&lt;=7,"-------",FIXED(I25,$AI$15,TRUE))</f>
        <v>-------</v>
      </c>
      <c r="J26" s="213" t="str">
        <f>IF($F$23&lt;=9,"-------",FIXED(J25,$AI$15,TRUE))</f>
        <v>-------</v>
      </c>
      <c r="K26" s="213" t="str">
        <f>IF($F$23&lt;10,"-------",FIXED(K25,$AI$15,TRUE))</f>
        <v>-------</v>
      </c>
      <c r="L26" s="270" t="str">
        <f>IF(F23&lt;=1,"",IF(ABS(MAX(B25:K25)-A25)&lt;ABS(MIN(B25:K25)-A25),FIXED(MIN(B25:K25)-A25,$AI$15),FIXED(MAX(B25:K25)-A25,$AI$15)))</f>
        <v/>
      </c>
      <c r="M26" s="169" t="str">
        <f>$AV$77</f>
        <v>g</v>
      </c>
      <c r="T26" s="296"/>
      <c r="U26" s="616"/>
      <c r="AG26" s="18"/>
      <c r="AH26" s="18"/>
      <c r="AI26" s="966" t="s">
        <v>312</v>
      </c>
      <c r="AJ26" s="967"/>
      <c r="AK26" s="964" t="s">
        <v>314</v>
      </c>
      <c r="AL26" s="965"/>
      <c r="AM26" s="497">
        <v>50</v>
      </c>
      <c r="AN26" s="757">
        <v>50.000022999999999</v>
      </c>
      <c r="AO26" s="493">
        <f>0.0001</f>
        <v>1E-4</v>
      </c>
      <c r="AP26" s="507">
        <f t="shared" si="1"/>
        <v>0</v>
      </c>
      <c r="AQ26" s="746"/>
      <c r="AR26" s="361">
        <f>0.447/1000</f>
        <v>4.4700000000000002E-4</v>
      </c>
      <c r="AT26" s="886" t="str">
        <f t="shared" si="14"/>
        <v/>
      </c>
      <c r="AU26" s="887"/>
      <c r="AV26" s="37"/>
      <c r="AW26" s="947" t="s">
        <v>477</v>
      </c>
      <c r="AX26" s="300"/>
      <c r="AY26" s="233"/>
      <c r="AZ26" s="51"/>
      <c r="BA26" s="238">
        <v>5</v>
      </c>
      <c r="BB26" s="234" t="e">
        <f>#REF!</f>
        <v>#REF!</v>
      </c>
      <c r="BC26" s="234" t="e">
        <f t="shared" si="10"/>
        <v>#REF!</v>
      </c>
      <c r="BD26" s="234" t="e">
        <f t="shared" si="11"/>
        <v>#REF!</v>
      </c>
      <c r="BE26" s="234" t="e">
        <f t="shared" si="12"/>
        <v>#REF!</v>
      </c>
      <c r="BF26" s="238" t="e">
        <f t="shared" si="13"/>
        <v>#REF!</v>
      </c>
      <c r="BN26" s="51"/>
      <c r="BO26" s="51"/>
      <c r="BP26" s="51"/>
      <c r="BQ26" s="51"/>
      <c r="BR26" s="51"/>
      <c r="BS26" s="51"/>
      <c r="BT26" s="51"/>
      <c r="BU26" s="51"/>
      <c r="BV26" s="51"/>
      <c r="BW26" s="51"/>
      <c r="BX26" s="51"/>
      <c r="BY26" s="51"/>
      <c r="BZ26" s="51"/>
      <c r="CA26" s="51"/>
      <c r="CB26" s="51"/>
      <c r="CC26" s="51"/>
      <c r="CD26" s="51"/>
      <c r="CE26" s="51"/>
      <c r="CF26" s="51"/>
      <c r="CG26" s="51"/>
      <c r="CH26" s="51"/>
      <c r="CI26" s="51"/>
      <c r="CJ26" s="51"/>
      <c r="CK26" s="51"/>
      <c r="CL26" s="51"/>
      <c r="CM26" s="51"/>
      <c r="CN26" s="51"/>
      <c r="CO26" s="51"/>
      <c r="CP26" s="51"/>
      <c r="CQ26" s="51"/>
      <c r="CR26" s="51"/>
      <c r="CS26" s="51"/>
      <c r="CT26" s="51"/>
    </row>
    <row r="27" spans="1:98" ht="41.25" customHeight="1" thickBot="1">
      <c r="B27" s="15"/>
      <c r="C27" s="15"/>
      <c r="D27" s="15"/>
      <c r="H27" s="16"/>
      <c r="I27" s="821"/>
      <c r="J27" s="821"/>
      <c r="K27" s="821" t="s">
        <v>616</v>
      </c>
      <c r="L27" s="37" t="s">
        <v>615</v>
      </c>
      <c r="M27" s="774" t="s">
        <v>564</v>
      </c>
      <c r="N27" s="5"/>
      <c r="T27" s="296"/>
      <c r="U27" s="368" t="s">
        <v>348</v>
      </c>
      <c r="V27" s="617" t="s">
        <v>149</v>
      </c>
      <c r="W27" s="618" t="s">
        <v>10</v>
      </c>
      <c r="X27" s="618" t="s">
        <v>336</v>
      </c>
      <c r="Y27" s="618" t="s">
        <v>156</v>
      </c>
      <c r="Z27" s="618" t="s">
        <v>337</v>
      </c>
      <c r="AA27" s="619" t="s">
        <v>453</v>
      </c>
      <c r="AB27" s="941" t="s">
        <v>322</v>
      </c>
      <c r="AC27" s="942"/>
      <c r="AD27" s="942"/>
      <c r="AE27" s="942"/>
      <c r="AF27" s="943"/>
      <c r="AG27" s="18"/>
      <c r="AH27" s="19"/>
      <c r="AI27" s="72" t="s">
        <v>154</v>
      </c>
      <c r="AJ27" s="72" t="s">
        <v>155</v>
      </c>
      <c r="AK27" s="72" t="s">
        <v>154</v>
      </c>
      <c r="AL27" s="72" t="s">
        <v>155</v>
      </c>
      <c r="AM27" s="498">
        <v>100</v>
      </c>
      <c r="AN27" s="506">
        <v>100.00005299999999</v>
      </c>
      <c r="AO27" s="490">
        <f>0.00016</f>
        <v>1.6000000000000001E-4</v>
      </c>
      <c r="AP27" s="507">
        <f t="shared" si="1"/>
        <v>0</v>
      </c>
      <c r="AQ27" s="746"/>
      <c r="AR27" s="362">
        <f>SQRT((8.89/1000)^2/3)</f>
        <v>5.1326438930957728E-3</v>
      </c>
      <c r="AT27" s="886" t="str">
        <f t="shared" si="14"/>
        <v/>
      </c>
      <c r="AU27" s="887"/>
      <c r="AV27" s="37"/>
      <c r="AW27" s="947"/>
      <c r="AX27" s="300"/>
      <c r="AY27" s="233"/>
      <c r="AZ27" s="51"/>
      <c r="BA27" s="238">
        <v>6</v>
      </c>
      <c r="BB27" s="234" t="e">
        <f>#REF!</f>
        <v>#REF!</v>
      </c>
      <c r="BC27" s="234" t="e">
        <f t="shared" si="10"/>
        <v>#REF!</v>
      </c>
      <c r="BD27" s="234" t="e">
        <f t="shared" si="11"/>
        <v>#REF!</v>
      </c>
      <c r="BE27" s="234" t="e">
        <f t="shared" si="12"/>
        <v>#REF!</v>
      </c>
      <c r="BF27" s="238" t="e">
        <f t="shared" si="13"/>
        <v>#REF!</v>
      </c>
      <c r="BN27" s="51"/>
      <c r="BO27" s="51"/>
      <c r="BP27" s="51"/>
      <c r="BQ27" s="51"/>
      <c r="BR27" s="51"/>
      <c r="BS27" s="51"/>
      <c r="BT27" s="51"/>
      <c r="BU27" s="51"/>
      <c r="BV27" s="51"/>
      <c r="BW27" s="51"/>
      <c r="BX27" s="51"/>
      <c r="BY27" s="51"/>
      <c r="BZ27" s="51"/>
      <c r="CA27" s="51"/>
      <c r="CB27" s="51"/>
      <c r="CC27" s="51"/>
      <c r="CD27" s="51"/>
      <c r="CE27" s="51"/>
      <c r="CF27" s="51"/>
      <c r="CG27" s="51"/>
      <c r="CH27" s="51"/>
      <c r="CI27" s="51"/>
      <c r="CJ27" s="51"/>
      <c r="CK27" s="51"/>
      <c r="CL27" s="51"/>
      <c r="CM27" s="51"/>
      <c r="CN27" s="51"/>
      <c r="CO27" s="51"/>
      <c r="CP27" s="51"/>
      <c r="CQ27" s="51"/>
      <c r="CR27" s="51"/>
      <c r="CS27" s="51"/>
      <c r="CT27" s="51"/>
    </row>
    <row r="28" spans="1:98" ht="21" customHeight="1" thickBot="1">
      <c r="A28" s="772" t="s">
        <v>419</v>
      </c>
      <c r="B28" s="299"/>
      <c r="C28" s="299"/>
      <c r="D28" s="299"/>
      <c r="E28" s="584"/>
      <c r="F28" s="299"/>
      <c r="G28" s="299"/>
      <c r="H28" s="299"/>
      <c r="I28" s="825"/>
      <c r="J28" s="825"/>
      <c r="K28" s="825"/>
      <c r="L28" s="771"/>
      <c r="M28" s="773">
        <f>IF(AND(L28&lt;&gt;"",I28&lt;&gt;""),"",IF(I28&lt;&gt;"",STDEV(I28:K28),IF(L28=1,STDEV(G32:G36),IF(L28=2,STDEV(G37:G41),IF(L28=3,STDEV(G43:G47),IF(L28=4,STDEV(G49:G53),IF(L28=5,STDEV(G55:G59),IF(L28=6,STDEV(G61:G65),IF(L28=7,STDEV(G67:G71),STDEV(G73:G77))))))))))</f>
        <v>0</v>
      </c>
      <c r="U28" s="369" t="s">
        <v>349</v>
      </c>
      <c r="V28" s="324" t="s">
        <v>334</v>
      </c>
      <c r="W28" s="325" t="s">
        <v>347</v>
      </c>
      <c r="X28" s="328" t="s">
        <v>335</v>
      </c>
      <c r="Y28" s="326" t="s">
        <v>317</v>
      </c>
      <c r="Z28" s="325" t="s">
        <v>318</v>
      </c>
      <c r="AA28" s="607" t="s">
        <v>454</v>
      </c>
      <c r="AB28" s="393" t="s">
        <v>150</v>
      </c>
      <c r="AC28" s="318" t="s">
        <v>321</v>
      </c>
      <c r="AD28" s="392" t="s">
        <v>318</v>
      </c>
      <c r="AE28" s="319" t="s">
        <v>6</v>
      </c>
      <c r="AF28" s="391" t="s">
        <v>332</v>
      </c>
      <c r="AG28" s="6"/>
      <c r="AH28" s="19" t="s">
        <v>11</v>
      </c>
      <c r="AI28" s="670">
        <f t="shared" ref="AI28:AI37" si="15">IF(ISERROR(VLOOKUP(B32,$AM$7:$AO$255,2,FALSE)),0,(VLOOKUP(B32,$AM$7:$AO$255,2,FALSE)*$AV$78))</f>
        <v>0</v>
      </c>
      <c r="AJ28" s="671">
        <f t="shared" ref="AJ28:AJ37" si="16">IF(ISERROR(VLOOKUP(C32,$AM$7:$AO$255,2,FALSE)),0,(VLOOKUP(C32,$AM$7:$AO$255,2,FALSE)*$AV$78))</f>
        <v>0</v>
      </c>
      <c r="AK28" s="271">
        <f t="shared" ref="AK28:AK37" si="17">IF(ISERROR(VLOOKUP(B32,$AM$7:$AO$255,3,FALSE)),0,(VLOOKUP(B32,$AM$7:$AO$255,3,FALSE)*$AV$78))</f>
        <v>0</v>
      </c>
      <c r="AL28" s="54">
        <f t="shared" ref="AL28:AL37" si="18">IF(ISERROR(VLOOKUP(C32,$AM$7:$AO$255,3,FALSE)),0,(VLOOKUP(C32,$AM$7:$AO$255,3,FALSE)*$AV$78))</f>
        <v>0</v>
      </c>
      <c r="AM28" s="499">
        <v>200</v>
      </c>
      <c r="AN28" s="506">
        <v>199.99995999999999</v>
      </c>
      <c r="AO28" s="490">
        <f>0.0003</f>
        <v>2.9999999999999997E-4</v>
      </c>
      <c r="AP28" s="507">
        <f t="shared" si="1"/>
        <v>0</v>
      </c>
      <c r="AQ28" s="746"/>
      <c r="AR28" s="362">
        <f>SQRT((8.89/1000)^2/3)</f>
        <v>5.1326438930957728E-3</v>
      </c>
      <c r="AT28" s="886" t="str">
        <f t="shared" si="14"/>
        <v/>
      </c>
      <c r="AU28" s="887"/>
      <c r="AW28" s="947"/>
      <c r="AX28" s="300"/>
      <c r="AY28" s="51"/>
      <c r="AZ28" s="51"/>
      <c r="BA28" s="238">
        <v>7</v>
      </c>
      <c r="BB28" s="234" t="e">
        <f>#REF!</f>
        <v>#REF!</v>
      </c>
      <c r="BC28" s="234" t="e">
        <f t="shared" si="10"/>
        <v>#REF!</v>
      </c>
      <c r="BD28" s="234" t="e">
        <f t="shared" si="11"/>
        <v>#REF!</v>
      </c>
      <c r="BE28" s="234" t="e">
        <f t="shared" si="12"/>
        <v>#REF!</v>
      </c>
      <c r="BF28" s="238" t="e">
        <f t="shared" si="13"/>
        <v>#REF!</v>
      </c>
      <c r="BN28" s="51"/>
      <c r="BO28" s="51"/>
      <c r="BP28" s="51"/>
      <c r="BQ28" s="51"/>
      <c r="BR28" s="51"/>
      <c r="BS28" s="51"/>
      <c r="BT28" s="51"/>
      <c r="BU28" s="51"/>
      <c r="BV28" s="51"/>
      <c r="BW28" s="51"/>
      <c r="BX28" s="51"/>
      <c r="BY28" s="51"/>
      <c r="BZ28" s="51"/>
      <c r="CA28" s="51"/>
      <c r="CB28" s="51"/>
      <c r="CC28" s="51"/>
      <c r="CD28" s="51"/>
      <c r="CE28" s="51"/>
      <c r="CF28" s="51"/>
      <c r="CG28" s="51"/>
      <c r="CH28" s="51"/>
      <c r="CI28" s="51"/>
      <c r="CJ28" s="51"/>
      <c r="CK28" s="51"/>
      <c r="CL28" s="51"/>
      <c r="CM28" s="51"/>
      <c r="CN28" s="51"/>
      <c r="CO28" s="51"/>
      <c r="CP28" s="51"/>
      <c r="CQ28" s="51"/>
      <c r="CR28" s="51"/>
      <c r="CS28" s="51"/>
      <c r="CT28" s="51"/>
    </row>
    <row r="29" spans="1:98" s="21" customFormat="1" ht="29.25" customHeight="1" thickBot="1">
      <c r="A29" s="1004" t="s">
        <v>340</v>
      </c>
      <c r="B29" s="1014" t="s">
        <v>285</v>
      </c>
      <c r="C29" s="1010"/>
      <c r="D29" s="1015"/>
      <c r="E29" s="566" t="s">
        <v>447</v>
      </c>
      <c r="F29" s="566" t="s">
        <v>451</v>
      </c>
      <c r="G29" s="1009" t="s">
        <v>412</v>
      </c>
      <c r="H29" s="1010"/>
      <c r="I29" s="1105"/>
      <c r="J29" s="201" t="s">
        <v>318</v>
      </c>
      <c r="K29" s="202" t="s">
        <v>6</v>
      </c>
      <c r="L29" s="203" t="s">
        <v>446</v>
      </c>
      <c r="M29" s="1106" t="s">
        <v>330</v>
      </c>
      <c r="O29" s="983" t="s">
        <v>346</v>
      </c>
      <c r="P29" s="984"/>
      <c r="Q29" s="937" t="s">
        <v>152</v>
      </c>
      <c r="R29" s="938"/>
      <c r="S29" s="985" t="s">
        <v>263</v>
      </c>
      <c r="T29" s="986"/>
      <c r="U29" s="602" t="s">
        <v>456</v>
      </c>
      <c r="V29" s="394">
        <f>IF($H$14="Sim", $C$14/4,IF($E$14="",$C$14/2,$E$14/2))</f>
        <v>0</v>
      </c>
      <c r="W29" s="395">
        <f>V29^2/3</f>
        <v>0</v>
      </c>
      <c r="X29" s="396">
        <f t="shared" ref="X29:X34" si="19">SQRT(W29)</f>
        <v>0</v>
      </c>
      <c r="Y29" s="396">
        <v>1</v>
      </c>
      <c r="Z29" s="396">
        <v>50</v>
      </c>
      <c r="AA29" s="397">
        <f>(X29*Y29)^2</f>
        <v>0</v>
      </c>
      <c r="AF29" s="389"/>
      <c r="AG29" s="327" t="s">
        <v>333</v>
      </c>
      <c r="AH29" s="19"/>
      <c r="AI29" s="672">
        <f t="shared" si="15"/>
        <v>0</v>
      </c>
      <c r="AJ29" s="673">
        <f t="shared" si="16"/>
        <v>0</v>
      </c>
      <c r="AK29" s="272">
        <f t="shared" si="17"/>
        <v>0</v>
      </c>
      <c r="AL29" s="56">
        <f t="shared" si="18"/>
        <v>0</v>
      </c>
      <c r="AM29" s="499" t="s">
        <v>48</v>
      </c>
      <c r="AN29" s="506">
        <v>199.99997999999999</v>
      </c>
      <c r="AO29" s="490">
        <f>0.0003</f>
        <v>2.9999999999999997E-4</v>
      </c>
      <c r="AP29" s="507">
        <f t="shared" si="1"/>
        <v>0</v>
      </c>
      <c r="AQ29" s="746"/>
      <c r="AR29" s="362">
        <f>SQRT((8.89/1000)^2/3)</f>
        <v>5.1326438930957728E-3</v>
      </c>
      <c r="AS29"/>
      <c r="AT29" s="886" t="str">
        <f t="shared" si="14"/>
        <v/>
      </c>
      <c r="AU29" s="887"/>
      <c r="AV29" s="50"/>
      <c r="AW29" s="947"/>
      <c r="AX29" s="300"/>
      <c r="AY29" s="51"/>
      <c r="AZ29" s="51"/>
      <c r="BA29" s="238">
        <v>8</v>
      </c>
      <c r="BB29" s="234" t="e">
        <f>#REF!</f>
        <v>#REF!</v>
      </c>
      <c r="BC29" s="234" t="e">
        <f t="shared" si="10"/>
        <v>#REF!</v>
      </c>
      <c r="BD29" s="234" t="e">
        <f t="shared" si="11"/>
        <v>#REF!</v>
      </c>
      <c r="BE29" s="234" t="e">
        <f t="shared" si="12"/>
        <v>#REF!</v>
      </c>
      <c r="BF29" s="238" t="e">
        <f t="shared" si="13"/>
        <v>#REF!</v>
      </c>
      <c r="BG29"/>
      <c r="BH29"/>
      <c r="BI29"/>
      <c r="BJ29"/>
      <c r="BK29"/>
      <c r="BL29"/>
      <c r="BM29"/>
      <c r="BN29" s="51"/>
      <c r="BO29" s="51"/>
      <c r="BP29" s="51"/>
      <c r="BQ29" s="51"/>
      <c r="BR29" s="51"/>
      <c r="BS29" s="51"/>
      <c r="BT29" s="51"/>
      <c r="BU29" s="51"/>
      <c r="BV29" s="51"/>
      <c r="BW29" s="51"/>
      <c r="BX29" s="51"/>
      <c r="BY29" s="51"/>
      <c r="BZ29" s="51"/>
      <c r="CA29" s="51"/>
      <c r="CB29" s="51"/>
      <c r="CC29" s="51"/>
      <c r="CD29" s="51"/>
      <c r="CE29" s="51"/>
      <c r="CF29" s="51"/>
      <c r="CG29" s="51"/>
      <c r="CH29" s="51"/>
      <c r="CI29" s="51"/>
      <c r="CJ29" s="51"/>
      <c r="CK29" s="51"/>
      <c r="CL29" s="51"/>
      <c r="CM29" s="51"/>
      <c r="CN29" s="51"/>
      <c r="CO29" s="51"/>
      <c r="CP29" s="51"/>
      <c r="CQ29" s="51"/>
      <c r="CR29" s="51"/>
      <c r="CS29" s="51"/>
      <c r="CT29" s="51"/>
    </row>
    <row r="30" spans="1:98" s="21" customFormat="1" ht="39.75" customHeight="1" thickBot="1">
      <c r="A30" s="1005"/>
      <c r="B30" s="1016" t="s">
        <v>438</v>
      </c>
      <c r="C30" s="1017"/>
      <c r="D30" s="568" t="s">
        <v>449</v>
      </c>
      <c r="E30" s="568" t="s">
        <v>448</v>
      </c>
      <c r="F30" s="581" t="s">
        <v>457</v>
      </c>
      <c r="G30" s="577" t="s">
        <v>450</v>
      </c>
      <c r="H30" s="204" t="s">
        <v>8</v>
      </c>
      <c r="I30" s="578" t="s">
        <v>9</v>
      </c>
      <c r="J30" s="308" t="s">
        <v>331</v>
      </c>
      <c r="K30" s="205"/>
      <c r="L30" s="206" t="s">
        <v>3</v>
      </c>
      <c r="M30" s="957"/>
      <c r="O30" s="981"/>
      <c r="P30" s="982"/>
      <c r="Q30" s="939" t="s">
        <v>339</v>
      </c>
      <c r="R30" s="940"/>
      <c r="S30" s="981"/>
      <c r="T30" s="982"/>
      <c r="U30" s="653" t="s">
        <v>455</v>
      </c>
      <c r="V30" s="654">
        <f>IF($E$14="",$C$14/2,$E$14/2)</f>
        <v>0</v>
      </c>
      <c r="W30" s="655">
        <f>V30^2/3</f>
        <v>0</v>
      </c>
      <c r="X30" s="655">
        <f t="shared" si="19"/>
        <v>0</v>
      </c>
      <c r="Y30" s="655">
        <v>1</v>
      </c>
      <c r="Z30" s="655">
        <v>50</v>
      </c>
      <c r="AA30" s="656">
        <f>(X30*Y30)^2</f>
        <v>0</v>
      </c>
      <c r="AB30" s="77"/>
      <c r="AC30" s="18"/>
      <c r="AD30" s="18"/>
      <c r="AE30" s="18"/>
      <c r="AF30" s="78"/>
      <c r="AG30" s="6">
        <f>IF(I34&gt;0,$C$14,-$C$14)</f>
        <v>0</v>
      </c>
      <c r="AI30" s="672">
        <f t="shared" si="15"/>
        <v>0</v>
      </c>
      <c r="AJ30" s="673">
        <f t="shared" si="16"/>
        <v>0</v>
      </c>
      <c r="AK30" s="272">
        <f t="shared" si="17"/>
        <v>0</v>
      </c>
      <c r="AL30" s="56">
        <f t="shared" si="18"/>
        <v>0</v>
      </c>
      <c r="AM30" s="500">
        <v>500</v>
      </c>
      <c r="AN30" s="757">
        <v>499.99968999999999</v>
      </c>
      <c r="AO30" s="493">
        <f>0.0008</f>
        <v>8.0000000000000004E-4</v>
      </c>
      <c r="AP30" s="507">
        <f t="shared" si="1"/>
        <v>0</v>
      </c>
      <c r="AQ30" s="746"/>
      <c r="AR30" s="362">
        <f>SQRT((8.89/1000)^2/3)</f>
        <v>5.1326438930957728E-3</v>
      </c>
      <c r="AS30"/>
      <c r="AT30" s="886" t="str">
        <f t="shared" si="14"/>
        <v/>
      </c>
      <c r="AU30" s="887"/>
      <c r="AV30"/>
      <c r="AW30" s="947"/>
      <c r="AX30" s="300"/>
      <c r="AY30"/>
      <c r="AZ30" s="17"/>
      <c r="BA30" s="243"/>
      <c r="BB30" s="244"/>
      <c r="BC30" s="244"/>
      <c r="BD30" s="244"/>
      <c r="BE30" s="244"/>
      <c r="BF30" s="245"/>
      <c r="BG30"/>
      <c r="BH30"/>
      <c r="BI30"/>
      <c r="BJ30"/>
      <c r="BK30"/>
      <c r="BL30"/>
      <c r="BM30"/>
      <c r="BN30" s="17"/>
      <c r="BO30" s="17"/>
      <c r="BP30" s="17"/>
      <c r="BQ30" s="17"/>
      <c r="BR30" s="17"/>
      <c r="BS30" s="17"/>
      <c r="BT30" s="17"/>
      <c r="BU30" s="17"/>
    </row>
    <row r="31" spans="1:98" s="21" customFormat="1" ht="30.75" customHeight="1" thickBot="1">
      <c r="A31" s="593" t="s">
        <v>452</v>
      </c>
      <c r="B31" s="1012">
        <v>0</v>
      </c>
      <c r="C31" s="1013"/>
      <c r="D31" s="594">
        <v>0</v>
      </c>
      <c r="E31" s="595" t="str">
        <f>$AV$77</f>
        <v>g</v>
      </c>
      <c r="F31" s="595" t="str">
        <f>FIXED(MROUND(D31,$C$14/10),$AI$15+1,TRUE)</f>
        <v>0,0</v>
      </c>
      <c r="G31" s="307">
        <v>0</v>
      </c>
      <c r="H31" s="216" t="str">
        <f>FIXED(G31,$AI$15,TRUE)</f>
        <v>0</v>
      </c>
      <c r="I31" s="217" t="str">
        <f>FIXED((H31-0),$AI$15)</f>
        <v>0</v>
      </c>
      <c r="J31" s="218" t="str">
        <f>"&gt; 500"</f>
        <v>&gt; 500</v>
      </c>
      <c r="K31" s="219">
        <v>2</v>
      </c>
      <c r="L31" s="309" t="str">
        <f>BF9</f>
        <v>0,0000000</v>
      </c>
      <c r="M31" s="311"/>
      <c r="O31" s="981" t="s">
        <v>281</v>
      </c>
      <c r="P31" s="982"/>
      <c r="Q31" s="981" t="s">
        <v>281</v>
      </c>
      <c r="R31" s="982"/>
      <c r="S31" s="1103" t="s">
        <v>281</v>
      </c>
      <c r="T31" s="1104"/>
      <c r="U31" s="658"/>
      <c r="V31" s="613" t="str">
        <f>IF($I$23&lt;&gt;0,ABS($L$26*(F34/(2*$I$23))),IF('Registo Calibração'!$I$23&lt;&gt;0,ABS('Registo Calibração'!$L$26*(F34/(2*'Registo Calibração'!$I$23))),IF('3º MR-MI'!$I$23&lt;&gt;0,ABS('3º MR-MI'!$L$26*(F34/(2*'3º MR-MI'!$I$23))),"")))</f>
        <v/>
      </c>
      <c r="W31" s="614">
        <f>IF(V31="",0,(V31)^2/3)</f>
        <v>0</v>
      </c>
      <c r="X31" s="614">
        <f t="shared" si="19"/>
        <v>0</v>
      </c>
      <c r="Y31" s="614">
        <v>1</v>
      </c>
      <c r="Z31" s="614">
        <v>50</v>
      </c>
      <c r="AA31" s="615">
        <f>IF(V31="",0,(X31*Y31)^2)</f>
        <v>0</v>
      </c>
      <c r="AB31" s="79"/>
      <c r="AC31" s="17"/>
      <c r="AD31" s="22"/>
      <c r="AE31" s="23"/>
      <c r="AF31" s="80"/>
      <c r="AG31" s="6"/>
      <c r="AH31" s="19"/>
      <c r="AI31" s="672">
        <f t="shared" si="15"/>
        <v>0</v>
      </c>
      <c r="AJ31" s="673">
        <f t="shared" si="16"/>
        <v>0</v>
      </c>
      <c r="AK31" s="272">
        <f t="shared" si="17"/>
        <v>0</v>
      </c>
      <c r="AL31" s="56">
        <f t="shared" si="18"/>
        <v>0</v>
      </c>
      <c r="AM31" s="501">
        <v>1000</v>
      </c>
      <c r="AN31" s="512">
        <v>1000.00082</v>
      </c>
      <c r="AO31" s="502">
        <f>0.0016</f>
        <v>1.6000000000000001E-3</v>
      </c>
      <c r="AP31" s="511">
        <f t="shared" si="1"/>
        <v>0</v>
      </c>
      <c r="AQ31" s="746"/>
      <c r="AR31" s="362">
        <f>SQRT((8.89/1000)^2/3)</f>
        <v>5.1326438930957728E-3</v>
      </c>
      <c r="AS31"/>
      <c r="AT31" s="886" t="str">
        <f t="shared" si="14"/>
        <v/>
      </c>
      <c r="AU31" s="887"/>
      <c r="AV31"/>
      <c r="AW31" s="232" t="s">
        <v>123</v>
      </c>
      <c r="AX31" s="232"/>
      <c r="AY31"/>
      <c r="AZ31" s="17"/>
      <c r="BA31" s="243"/>
      <c r="BB31" s="244"/>
      <c r="BC31" s="244"/>
      <c r="BD31" s="244"/>
      <c r="BE31" s="244"/>
      <c r="BF31" s="245"/>
      <c r="BG31"/>
      <c r="BH31"/>
      <c r="BI31"/>
      <c r="BJ31"/>
      <c r="BK31"/>
      <c r="BL31"/>
      <c r="BM31"/>
      <c r="BN31" s="17"/>
      <c r="BO31" s="17"/>
      <c r="BP31" s="17"/>
      <c r="BQ31" s="17"/>
      <c r="BR31" s="17"/>
      <c r="BS31" s="17"/>
      <c r="BT31" s="17"/>
      <c r="BU31" s="17"/>
    </row>
    <row r="32" spans="1:98" s="21" customFormat="1" ht="42" customHeight="1" thickBot="1">
      <c r="A32" s="1006">
        <v>1</v>
      </c>
      <c r="B32" s="596"/>
      <c r="C32" s="336"/>
      <c r="D32" s="590">
        <f>SUM(AI28:AI32,AJ28:AJ32)</f>
        <v>0</v>
      </c>
      <c r="E32" s="244"/>
      <c r="F32" s="567"/>
      <c r="G32" s="579"/>
      <c r="H32" s="207"/>
      <c r="I32" s="208"/>
      <c r="J32" s="208"/>
      <c r="K32" s="209"/>
      <c r="L32" s="209"/>
      <c r="M32" s="312"/>
      <c r="O32" s="356">
        <f t="shared" ref="O32:P41" si="20">AK28</f>
        <v>0</v>
      </c>
      <c r="P32" s="358">
        <f t="shared" si="20"/>
        <v>0</v>
      </c>
      <c r="Q32" s="259">
        <f t="shared" ref="Q32:Q41" si="21">IF(ABS($L$13-$K$13)&gt;3,IF(ISERROR(VLOOKUP(B32,$AY$58:$BB$80,3,FALSE)),0,(VLOOKUP(B32,$AY$58:$BB$80,3,FALSE)*$AV$78)),IF(ISERROR(VLOOKUP(B32,$AY$58:$BB$80,4,FALSE)),0,(VLOOKUP(B32,$AY$58:$BB$80,4,FALSE)*$AV$78)))</f>
        <v>0</v>
      </c>
      <c r="R32" s="260">
        <f t="shared" ref="R32:R41" si="22">IF(ABS($L$13-$K$13)&gt;3,IF(ISERROR(VLOOKUP(C32,$AY$58:$BB$80,3,FALSE)),0,(VLOOKUP(C32,$AY$58:$BB$80,3,FALSE)*$AV$78)),IF(ISERROR(VLOOKUP(C32,$AY$58:$BB$80,4,FALSE)),0,(VLOOKUP(C32,$AY$58:$BB$80,4,FALSE)*$AV$78)))</f>
        <v>0</v>
      </c>
      <c r="S32" s="667">
        <f t="shared" ref="S32:S41" si="23">IF($L$19="Não",IF(ISERROR(VLOOKUP(B32,$AM$15:$AR$255,5,FALSE)),0,(VLOOKUP(B32,$AM$15:$AR$255,5,FALSE)*$AV$78)),0)</f>
        <v>0</v>
      </c>
      <c r="T32" s="158">
        <f t="shared" ref="T32:T41" si="24">IF($L$19="Não",IF(ISERROR(VLOOKUP(C32,$AM$15:$AR$255,5,FALSE)),0,(VLOOKUP(C32,$AM$15:$AR$255,5,FALSE)*$AV$78)),0)</f>
        <v>0</v>
      </c>
      <c r="U32" s="657"/>
      <c r="V32" s="826">
        <f>IF(G33&lt;&gt;"",STDEV(G32:G36),$M$28)</f>
        <v>0</v>
      </c>
      <c r="W32" s="330">
        <f>IF(G33="",V32^2,V32^2/(Z32+1))</f>
        <v>0</v>
      </c>
      <c r="X32" s="330">
        <f t="shared" si="19"/>
        <v>0</v>
      </c>
      <c r="Y32" s="330">
        <v>1</v>
      </c>
      <c r="Z32" s="330">
        <f>IF(G33="",2,COUNT(G32:G36)-1)</f>
        <v>3</v>
      </c>
      <c r="AA32" s="331">
        <f>(Y32*X32)^2</f>
        <v>0</v>
      </c>
      <c r="AB32" s="79"/>
      <c r="AC32" s="17"/>
      <c r="AD32" s="22"/>
      <c r="AE32" s="23"/>
      <c r="AF32" s="80"/>
      <c r="AG32" s="6"/>
      <c r="AH32" s="27"/>
      <c r="AI32" s="674">
        <f t="shared" si="15"/>
        <v>0</v>
      </c>
      <c r="AJ32" s="675">
        <f t="shared" si="16"/>
        <v>0</v>
      </c>
      <c r="AK32" s="273">
        <f t="shared" si="17"/>
        <v>0</v>
      </c>
      <c r="AL32" s="58">
        <f t="shared" si="18"/>
        <v>0</v>
      </c>
      <c r="AM32" s="543">
        <v>716</v>
      </c>
      <c r="AN32" s="532" t="s">
        <v>525</v>
      </c>
      <c r="AO32" s="533" t="str">
        <f>IF(AP32=0,"NÃO","SIM")</f>
        <v>NÃO</v>
      </c>
      <c r="AP32" s="534">
        <f>IF(ISERROR(SUM(AP33:AP60)),SUM(AP33:AP60),SUM(AP33:AP60))</f>
        <v>0</v>
      </c>
      <c r="AQ32" s="534"/>
      <c r="AR32" s="93"/>
      <c r="AS32"/>
      <c r="AT32" s="886" t="str">
        <f t="shared" si="14"/>
        <v/>
      </c>
      <c r="AU32" s="887"/>
      <c r="AV32"/>
      <c r="AX32"/>
      <c r="BA32" s="244"/>
      <c r="BB32" s="244"/>
      <c r="BC32" s="244"/>
      <c r="BD32" s="244"/>
      <c r="BE32" s="245"/>
      <c r="BF32"/>
      <c r="BG32"/>
      <c r="BH32"/>
      <c r="BI32"/>
      <c r="BJ32"/>
      <c r="BK32"/>
      <c r="BL32"/>
    </row>
    <row r="33" spans="1:85" s="21" customFormat="1" ht="47.25" customHeight="1" thickBot="1">
      <c r="A33" s="1007"/>
      <c r="B33" s="597"/>
      <c r="C33" s="337"/>
      <c r="D33" s="587"/>
      <c r="E33" s="244"/>
      <c r="F33" s="567"/>
      <c r="G33" s="580">
        <f>G32</f>
        <v>0</v>
      </c>
      <c r="H33" s="207"/>
      <c r="I33" s="208"/>
      <c r="J33" s="208"/>
      <c r="K33" s="209"/>
      <c r="L33" s="209"/>
      <c r="M33" s="312"/>
      <c r="O33" s="355">
        <f t="shared" si="20"/>
        <v>0</v>
      </c>
      <c r="P33" s="359">
        <f t="shared" si="20"/>
        <v>0</v>
      </c>
      <c r="Q33" s="261">
        <f t="shared" si="21"/>
        <v>0</v>
      </c>
      <c r="R33" s="262">
        <f t="shared" si="22"/>
        <v>0</v>
      </c>
      <c r="S33" s="668">
        <f t="shared" si="23"/>
        <v>0</v>
      </c>
      <c r="T33" s="159">
        <f t="shared" si="24"/>
        <v>0</v>
      </c>
      <c r="U33" s="382" t="s">
        <v>338</v>
      </c>
      <c r="V33" s="366" t="str">
        <f>IF($H$11="","",IF($L$9="SIM",IF(L$11&lt;&gt;K$11,ABS(L$11-K$11)*($D32/J$11),0),ABS($M34)))</f>
        <v/>
      </c>
      <c r="W33" s="363">
        <f>IF(V33="",0,V33^2/3)</f>
        <v>0</v>
      </c>
      <c r="X33" s="363">
        <f t="shared" si="19"/>
        <v>0</v>
      </c>
      <c r="Y33" s="364">
        <v>1</v>
      </c>
      <c r="Z33" s="365">
        <v>50</v>
      </c>
      <c r="AA33" s="367">
        <f>IF(V33="",0,(X33*Y33)^2)</f>
        <v>0</v>
      </c>
      <c r="AB33" s="387"/>
      <c r="AF33" s="388"/>
      <c r="AG33" s="6"/>
      <c r="AH33" s="19" t="s">
        <v>12</v>
      </c>
      <c r="AI33" s="53">
        <f t="shared" si="15"/>
        <v>0</v>
      </c>
      <c r="AJ33" s="60">
        <f t="shared" si="16"/>
        <v>0</v>
      </c>
      <c r="AK33" s="271">
        <f t="shared" si="17"/>
        <v>0</v>
      </c>
      <c r="AL33" s="54">
        <f t="shared" si="18"/>
        <v>0</v>
      </c>
      <c r="AM33" s="489" t="s">
        <v>167</v>
      </c>
      <c r="AN33" s="520">
        <v>1.0034E-3</v>
      </c>
      <c r="AO33" s="490">
        <f>(0.02/1000)</f>
        <v>2.0000000000000002E-5</v>
      </c>
      <c r="AP33" s="507">
        <f t="shared" ref="AP33:AP60" si="25">IF(ISERROR(MATCH(AM33,$B$32:$B$77,0)),0,(MATCH(AM33,$B$32:$B$77,0)))+IF(ISERROR(MATCH(AM33,$C$32:$C$77,0)),0,(MATCH(AM33,$C$32:$C$77,0)))</f>
        <v>0</v>
      </c>
      <c r="AQ33" s="507"/>
      <c r="AR33" s="92"/>
      <c r="AS33"/>
      <c r="AT33" s="886" t="str">
        <f t="shared" si="14"/>
        <v/>
      </c>
      <c r="AU33" s="887"/>
      <c r="AV33"/>
      <c r="AW33"/>
      <c r="AX33"/>
      <c r="AY33" s="17"/>
      <c r="AZ33" s="17"/>
      <c r="BF33"/>
      <c r="BG33"/>
      <c r="BH33"/>
      <c r="BI33"/>
      <c r="BJ33"/>
      <c r="BK33"/>
      <c r="BL33"/>
      <c r="BM33" s="17"/>
      <c r="BN33" s="17"/>
      <c r="BO33" s="17"/>
      <c r="BP33" s="17"/>
      <c r="BQ33" s="17"/>
      <c r="BR33" s="17"/>
      <c r="BS33" s="17"/>
      <c r="BT33" s="17"/>
    </row>
    <row r="34" spans="1:85" s="21" customFormat="1" ht="48.75" customHeight="1" thickBot="1">
      <c r="A34" s="1007"/>
      <c r="B34" s="597"/>
      <c r="C34" s="337"/>
      <c r="D34" s="592" t="str">
        <f>FIXED(MROUND(D32,IF($E$14&lt;&gt;0,$E$14/10,$C$14/10)),$AI$15+1,TRUE)</f>
        <v>0,0</v>
      </c>
      <c r="E34" s="599"/>
      <c r="F34" s="600" t="str">
        <f>FIXED(MROUND(D34,$C$14/10),$AI$15+1,TRUE)</f>
        <v>0,0</v>
      </c>
      <c r="G34" s="580">
        <f>G33</f>
        <v>0</v>
      </c>
      <c r="H34" s="223" t="str">
        <f>IF(OR(D32&lt;&gt;0,E34&lt;&gt;0),AVERAGE(G32:G36),"-------")</f>
        <v>-------</v>
      </c>
      <c r="I34" s="224" t="str">
        <f>IF(OR(D32&lt;&gt;0,E34&lt;&gt;0),(H36-F34),"-------")</f>
        <v>-------</v>
      </c>
      <c r="J34" s="224" t="str">
        <f>IF(OR(B32&lt;&gt;"",E34&lt;&gt;""),ROUNDDOWN(AD34,0),"-------")</f>
        <v>-------</v>
      </c>
      <c r="K34" s="225" t="e">
        <f>IF(G32="===","------",AE34)</f>
        <v>#DIV/0!</v>
      </c>
      <c r="L34" s="225" t="str">
        <f>IF(OR(B32&lt;&gt;"",E34&lt;&gt;""),AF34,"-------")</f>
        <v>-------</v>
      </c>
      <c r="M34" s="313" t="str">
        <f>IF($H$11&lt;&gt;"",FIXED(ROUND((D32*($H$11-$H$10)/$H$10),$AI$15),$AI$15),"")</f>
        <v/>
      </c>
      <c r="O34" s="355">
        <f t="shared" si="20"/>
        <v>0</v>
      </c>
      <c r="P34" s="359">
        <f t="shared" si="20"/>
        <v>0</v>
      </c>
      <c r="Q34" s="261">
        <f t="shared" si="21"/>
        <v>0</v>
      </c>
      <c r="R34" s="262">
        <f t="shared" si="22"/>
        <v>0</v>
      </c>
      <c r="S34" s="668">
        <f t="shared" si="23"/>
        <v>0</v>
      </c>
      <c r="T34" s="159">
        <f t="shared" si="24"/>
        <v>0</v>
      </c>
      <c r="U34" s="383"/>
      <c r="V34" s="606">
        <f>(SUM(O32:O36,P32:P36))</f>
        <v>0</v>
      </c>
      <c r="W34" s="370">
        <f>V34^2/3</f>
        <v>0</v>
      </c>
      <c r="X34" s="370">
        <f t="shared" si="19"/>
        <v>0</v>
      </c>
      <c r="Y34" s="370">
        <v>1</v>
      </c>
      <c r="Z34" s="370">
        <v>50</v>
      </c>
      <c r="AA34" s="371">
        <f>IF(V34="","",(X34*Y34)^2)</f>
        <v>0</v>
      </c>
      <c r="AB34" s="386">
        <f>SUM(AA29:AA36,AA81,AA92)</f>
        <v>0</v>
      </c>
      <c r="AC34" s="17">
        <f>SQRT(AB34)</f>
        <v>0</v>
      </c>
      <c r="AD34" s="283" t="e">
        <f>(AC34^4)/(((($X$29*$Y$29)^4)/$Z$29)+((($X$30*$Y$30)^4)/$Z$30)+((($X$31*$Y$31)^4)/$Z$31)+(((X32*Y32)^4)/Z32)+(((X33*Y33)^4)/Z33)+(((X34*Y34)^4)/Z34)+(((X35*Y35)^4)/Z35)+(((X36*Y36)^4)/Z36)+(((X81*Y81)^4)/Z81)+(((X92*Y92)^4)/Z92))</f>
        <v>#DIV/0!</v>
      </c>
      <c r="AE34" s="23" t="e">
        <f>TINV(0.0455,AD34)</f>
        <v>#DIV/0!</v>
      </c>
      <c r="AF34" s="390" t="e">
        <f>CEILING((AE34*AC34),$C$14/100)</f>
        <v>#DIV/0!</v>
      </c>
      <c r="AG34" s="6"/>
      <c r="AH34" s="19"/>
      <c r="AI34" s="55">
        <f t="shared" si="15"/>
        <v>0</v>
      </c>
      <c r="AJ34" s="61">
        <f t="shared" si="16"/>
        <v>0</v>
      </c>
      <c r="AK34" s="272">
        <f t="shared" si="17"/>
        <v>0</v>
      </c>
      <c r="AL34" s="56">
        <f t="shared" si="18"/>
        <v>0</v>
      </c>
      <c r="AM34" s="489" t="s">
        <v>168</v>
      </c>
      <c r="AN34" s="520">
        <v>2.0011E-3</v>
      </c>
      <c r="AO34" s="490">
        <f>(0.02/1000)</f>
        <v>2.0000000000000002E-5</v>
      </c>
      <c r="AP34" s="507">
        <f t="shared" si="25"/>
        <v>0</v>
      </c>
      <c r="AQ34" s="507"/>
      <c r="AR34" s="92"/>
      <c r="AS34"/>
      <c r="AT34" s="886" t="str">
        <f t="shared" si="14"/>
        <v/>
      </c>
      <c r="AU34" s="887"/>
      <c r="AV34"/>
      <c r="AW34"/>
      <c r="AX34"/>
      <c r="AY34" s="17"/>
      <c r="AZ34" s="17"/>
      <c r="BF34"/>
      <c r="BG34"/>
      <c r="BH34"/>
      <c r="BI34"/>
      <c r="BJ34"/>
      <c r="BK34"/>
      <c r="BL34"/>
      <c r="BM34" s="17"/>
      <c r="BN34" s="17"/>
      <c r="BO34" s="17"/>
      <c r="BP34" s="17"/>
      <c r="BQ34" s="17"/>
      <c r="BR34" s="17"/>
      <c r="BS34" s="17"/>
    </row>
    <row r="35" spans="1:85" s="21" customFormat="1" ht="42.75" customHeight="1" thickBot="1">
      <c r="A35" s="1007"/>
      <c r="B35" s="597"/>
      <c r="C35" s="337"/>
      <c r="D35" s="587"/>
      <c r="E35" s="244"/>
      <c r="F35" s="848" t="s">
        <v>674</v>
      </c>
      <c r="G35" s="580">
        <f>G34</f>
        <v>0</v>
      </c>
      <c r="H35" s="207"/>
      <c r="I35" s="315"/>
      <c r="J35" s="208"/>
      <c r="K35" s="210"/>
      <c r="L35" s="209"/>
      <c r="M35" s="312"/>
      <c r="O35" s="355">
        <f t="shared" si="20"/>
        <v>0</v>
      </c>
      <c r="P35" s="359">
        <f t="shared" si="20"/>
        <v>0</v>
      </c>
      <c r="Q35" s="261">
        <f t="shared" si="21"/>
        <v>0</v>
      </c>
      <c r="R35" s="262">
        <f t="shared" si="22"/>
        <v>0</v>
      </c>
      <c r="S35" s="668">
        <f t="shared" si="23"/>
        <v>0</v>
      </c>
      <c r="T35" s="159">
        <f t="shared" si="24"/>
        <v>0</v>
      </c>
      <c r="U35" s="384" t="s">
        <v>338</v>
      </c>
      <c r="V35" s="333">
        <f>IF($L$19="sim",SUM(O32:P36)/4,SUM(S32:T36))</f>
        <v>0</v>
      </c>
      <c r="W35" s="334">
        <f>IF(V35="","",V35^2/3)</f>
        <v>0</v>
      </c>
      <c r="X35" s="334">
        <f>IF($L$19="Sim",SQRT(W35),SUM(S32:T36))</f>
        <v>0</v>
      </c>
      <c r="Y35" s="334">
        <v>1</v>
      </c>
      <c r="Z35" s="334">
        <v>50</v>
      </c>
      <c r="AA35" s="335">
        <f>(X35*Y35)^2</f>
        <v>0</v>
      </c>
      <c r="AB35" s="76"/>
      <c r="AC35" s="17"/>
      <c r="AD35" s="22"/>
      <c r="AE35" s="23"/>
      <c r="AF35" s="80"/>
      <c r="AG35" s="6"/>
      <c r="AI35" s="55">
        <f t="shared" si="15"/>
        <v>0</v>
      </c>
      <c r="AJ35" s="61">
        <f t="shared" si="16"/>
        <v>0</v>
      </c>
      <c r="AK35" s="272">
        <f t="shared" si="17"/>
        <v>0</v>
      </c>
      <c r="AL35" s="56">
        <f t="shared" si="18"/>
        <v>0</v>
      </c>
      <c r="AM35" s="491" t="s">
        <v>169</v>
      </c>
      <c r="AN35" s="520">
        <v>2.0046E-3</v>
      </c>
      <c r="AO35" s="490">
        <f>(0.02/1000)</f>
        <v>2.0000000000000002E-5</v>
      </c>
      <c r="AP35" s="507">
        <f t="shared" si="25"/>
        <v>0</v>
      </c>
      <c r="AQ35" s="507"/>
      <c r="AR35" s="92"/>
      <c r="AT35" s="40" t="s">
        <v>71</v>
      </c>
      <c r="AU35" s="41">
        <f>SUM(AS6:AS25)</f>
        <v>0</v>
      </c>
      <c r="AV35"/>
      <c r="AW35"/>
      <c r="AX35"/>
      <c r="AY35" s="17"/>
      <c r="AZ35" s="17"/>
      <c r="BF35"/>
      <c r="BG35"/>
      <c r="BH35"/>
      <c r="BI35"/>
      <c r="BJ35"/>
      <c r="BK35"/>
      <c r="BL35"/>
      <c r="BM35" s="17"/>
      <c r="BN35" s="17"/>
      <c r="BO35" s="17"/>
      <c r="BP35" s="17"/>
      <c r="BQ35" s="17"/>
      <c r="BR35" s="17"/>
      <c r="BS35" s="17"/>
    </row>
    <row r="36" spans="1:85" s="21" customFormat="1" ht="28.5" customHeight="1" thickBot="1">
      <c r="A36" s="1008"/>
      <c r="B36" s="598"/>
      <c r="C36" s="338"/>
      <c r="D36" s="591"/>
      <c r="E36" s="601"/>
      <c r="F36" s="847"/>
      <c r="G36" s="846">
        <f>G35</f>
        <v>0</v>
      </c>
      <c r="H36" s="306" t="str">
        <f>IF(H34&lt;&gt;"-------",FIXED(IF($E$14&lt;&gt;0,MROUND(H34,$E$14),MROUND(H34,$C$14)),LEN(L36)-2,TRUE),"------")</f>
        <v>------</v>
      </c>
      <c r="I36" s="220" t="str">
        <f>IF(I34&lt;&gt;"-------",FIXED(ROUND(I34,$AI$15),LEN(L36)-2,TRUE),"------")</f>
        <v>------</v>
      </c>
      <c r="J36" s="221" t="str">
        <f>IF(G32="===","------",IF(J34&gt;500,"&gt; 500",J34))</f>
        <v>&gt; 500</v>
      </c>
      <c r="K36" s="222" t="e">
        <f>K34</f>
        <v>#DIV/0!</v>
      </c>
      <c r="L36" s="310" t="str">
        <f>IF(L34&lt;&gt;"-------",BF10,"------")</f>
        <v>------</v>
      </c>
      <c r="M36" s="314"/>
      <c r="O36" s="357">
        <f t="shared" si="20"/>
        <v>0</v>
      </c>
      <c r="P36" s="360">
        <f t="shared" si="20"/>
        <v>0</v>
      </c>
      <c r="Q36" s="263">
        <f t="shared" si="21"/>
        <v>0</v>
      </c>
      <c r="R36" s="264">
        <f t="shared" si="22"/>
        <v>0</v>
      </c>
      <c r="S36" s="669">
        <f t="shared" si="23"/>
        <v>0</v>
      </c>
      <c r="T36" s="160">
        <f t="shared" si="24"/>
        <v>0</v>
      </c>
      <c r="U36" s="385"/>
      <c r="V36" s="372">
        <f>SUM(Q32:R36)</f>
        <v>0</v>
      </c>
      <c r="W36" s="373">
        <f>IF(V36="","",V36^2/3)</f>
        <v>0</v>
      </c>
      <c r="X36" s="373">
        <f>SQRT(W36)</f>
        <v>0</v>
      </c>
      <c r="Y36" s="373">
        <v>1</v>
      </c>
      <c r="Z36" s="373">
        <v>50</v>
      </c>
      <c r="AA36" s="374">
        <f>IF(V36="","",(X36*Y36)^2)</f>
        <v>0</v>
      </c>
      <c r="AB36" s="320"/>
      <c r="AC36" s="73"/>
      <c r="AD36" s="74"/>
      <c r="AE36" s="75"/>
      <c r="AF36" s="321"/>
      <c r="AG36" s="6">
        <f>IF(I39&gt;0,$C$14,-$C$14)</f>
        <v>0</v>
      </c>
      <c r="AH36" s="19"/>
      <c r="AI36" s="55">
        <f t="shared" si="15"/>
        <v>0</v>
      </c>
      <c r="AJ36" s="61">
        <f t="shared" si="16"/>
        <v>0</v>
      </c>
      <c r="AK36" s="272">
        <f t="shared" si="17"/>
        <v>0</v>
      </c>
      <c r="AL36" s="56">
        <f t="shared" si="18"/>
        <v>0</v>
      </c>
      <c r="AM36" s="491" t="s">
        <v>170</v>
      </c>
      <c r="AN36" s="520">
        <v>5.0032000000000002E-3</v>
      </c>
      <c r="AO36" s="490">
        <f>(0.02/1000)</f>
        <v>2.0000000000000002E-5</v>
      </c>
      <c r="AP36" s="507">
        <f t="shared" si="25"/>
        <v>0</v>
      </c>
      <c r="AQ36" s="507"/>
      <c r="AR36" s="92"/>
      <c r="AS36"/>
      <c r="AT36"/>
      <c r="AU36"/>
      <c r="AV36"/>
      <c r="AW36"/>
      <c r="AX36"/>
      <c r="AY36" s="17"/>
      <c r="AZ36" s="17"/>
      <c r="BF36"/>
      <c r="BG36"/>
      <c r="BH36"/>
      <c r="BI36"/>
      <c r="BJ36"/>
      <c r="BK36"/>
      <c r="BL36"/>
      <c r="BM36" s="17"/>
      <c r="BN36" s="17"/>
      <c r="BO36" s="17"/>
      <c r="BP36" s="17"/>
      <c r="BQ36" s="17"/>
      <c r="BR36" s="17"/>
      <c r="BS36" s="17"/>
    </row>
    <row r="37" spans="1:85" s="21" customFormat="1" ht="15" customHeight="1" thickBot="1">
      <c r="A37" s="882">
        <v>2</v>
      </c>
      <c r="B37" s="596"/>
      <c r="C37" s="659"/>
      <c r="D37" s="588">
        <f>IF(E39="",SUM(AI33:AI37,AJ33:AJ37),SUM(AI33:AI37,AJ33:AJ37)-I34)</f>
        <v>0</v>
      </c>
      <c r="E37" s="244"/>
      <c r="F37" s="567"/>
      <c r="G37" s="579"/>
      <c r="H37" s="207"/>
      <c r="I37" s="208"/>
      <c r="J37" s="208"/>
      <c r="K37" s="210"/>
      <c r="L37" s="209"/>
      <c r="M37" s="312"/>
      <c r="O37" s="356">
        <f t="shared" si="20"/>
        <v>0</v>
      </c>
      <c r="P37" s="358">
        <f t="shared" si="20"/>
        <v>0</v>
      </c>
      <c r="Q37" s="261">
        <f t="shared" si="21"/>
        <v>0</v>
      </c>
      <c r="R37" s="262">
        <f t="shared" si="22"/>
        <v>0</v>
      </c>
      <c r="S37" s="667">
        <f t="shared" si="23"/>
        <v>0</v>
      </c>
      <c r="T37" s="158">
        <f t="shared" si="24"/>
        <v>0</v>
      </c>
      <c r="U37" s="612"/>
      <c r="V37" s="613" t="str">
        <f>IF($I$23&lt;&gt;0,ABS($L$26*(F39/(2*$I$23))),IF('Registo Calibração'!$I$23&lt;&gt;0,ABS('Registo Calibração'!$L$26*(F39/(2*'Registo Calibração'!$I$23))),IF('3º MR-MI'!$I$23&lt;&gt;0,ABS('3º MR-MI'!$L$26*(F39/(2*'3º MR-MI'!$I$23))),"")))</f>
        <v/>
      </c>
      <c r="W37" s="614">
        <f>IF(V37="",0,(V37)^2/3)</f>
        <v>0</v>
      </c>
      <c r="X37" s="614">
        <f>SQRT(W37)</f>
        <v>0</v>
      </c>
      <c r="Y37" s="614">
        <v>1</v>
      </c>
      <c r="Z37" s="614">
        <v>50</v>
      </c>
      <c r="AA37" s="615">
        <f>IF(V37="",0,(X37*Y37)^2)</f>
        <v>0</v>
      </c>
      <c r="AB37" s="608"/>
      <c r="AC37" s="27"/>
      <c r="AD37" s="609"/>
      <c r="AE37" s="610"/>
      <c r="AF37" s="611"/>
      <c r="AG37" s="6"/>
      <c r="AH37" s="27"/>
      <c r="AI37" s="57">
        <f t="shared" si="15"/>
        <v>0</v>
      </c>
      <c r="AJ37" s="62">
        <f t="shared" si="16"/>
        <v>0</v>
      </c>
      <c r="AK37" s="273">
        <f t="shared" si="17"/>
        <v>0</v>
      </c>
      <c r="AL37" s="58">
        <f t="shared" si="18"/>
        <v>0</v>
      </c>
      <c r="AM37" s="491" t="s">
        <v>171</v>
      </c>
      <c r="AN37" s="506">
        <v>9.9980999999999993E-3</v>
      </c>
      <c r="AO37" s="490">
        <f>(0.025/1000)</f>
        <v>2.5000000000000001E-5</v>
      </c>
      <c r="AP37" s="507">
        <f t="shared" si="25"/>
        <v>0</v>
      </c>
      <c r="AQ37" s="507"/>
      <c r="AR37" s="92"/>
      <c r="AS37" s="5"/>
      <c r="AV37"/>
      <c r="AW37"/>
      <c r="AX37"/>
      <c r="BF37"/>
      <c r="BG37"/>
      <c r="BH37"/>
      <c r="BI37"/>
      <c r="BJ37"/>
      <c r="BK37"/>
      <c r="BL37"/>
    </row>
    <row r="38" spans="1:85" s="21" customFormat="1" ht="15" customHeight="1" thickBot="1">
      <c r="A38" s="883"/>
      <c r="B38" s="597"/>
      <c r="C38" s="660"/>
      <c r="D38" s="587"/>
      <c r="E38" s="244"/>
      <c r="F38" s="567"/>
      <c r="G38" s="580">
        <f>G37</f>
        <v>0</v>
      </c>
      <c r="H38" s="207"/>
      <c r="I38" s="208"/>
      <c r="J38" s="208"/>
      <c r="K38" s="210"/>
      <c r="L38" s="209"/>
      <c r="M38" s="312"/>
      <c r="O38" s="355">
        <f t="shared" si="20"/>
        <v>0</v>
      </c>
      <c r="P38" s="359">
        <f t="shared" si="20"/>
        <v>0</v>
      </c>
      <c r="Q38" s="261">
        <f t="shared" si="21"/>
        <v>0</v>
      </c>
      <c r="R38" s="262">
        <f t="shared" si="22"/>
        <v>0</v>
      </c>
      <c r="S38" s="668">
        <f t="shared" si="23"/>
        <v>0</v>
      </c>
      <c r="T38" s="159">
        <f t="shared" si="24"/>
        <v>0</v>
      </c>
      <c r="U38"/>
      <c r="V38" s="329">
        <f>IF(G38&lt;&gt;"",STDEV(G37:G41),$M$28)</f>
        <v>0</v>
      </c>
      <c r="W38" s="330">
        <f>IF(G38="",V38^2,V38^2/(Z38+1))</f>
        <v>0</v>
      </c>
      <c r="X38" s="330">
        <f>SQRT(W38)</f>
        <v>0</v>
      </c>
      <c r="Y38" s="330">
        <v>1</v>
      </c>
      <c r="Z38" s="330">
        <f>IF(G38="",2,COUNT(G37:G41)-1)</f>
        <v>3</v>
      </c>
      <c r="AA38" s="331">
        <f>(Y38*X38)^2</f>
        <v>0</v>
      </c>
      <c r="AB38" s="79"/>
      <c r="AC38" s="17"/>
      <c r="AD38" s="22"/>
      <c r="AE38" s="23"/>
      <c r="AF38" s="80"/>
      <c r="AG38" s="6"/>
      <c r="AH38" s="19" t="s">
        <v>13</v>
      </c>
      <c r="AI38" s="53">
        <f t="shared" ref="AI38:AJ42" si="26">IF(ISERROR(VLOOKUP(B43,$AM$7:$AO$255,2,FALSE)),0,(VLOOKUP(B43,$AM$7:$AO$255,2,FALSE)*$AV$78))</f>
        <v>0</v>
      </c>
      <c r="AJ38" s="60">
        <f t="shared" si="26"/>
        <v>0</v>
      </c>
      <c r="AK38" s="271">
        <f t="shared" ref="AK38:AL42" si="27">IF(ISERROR(VLOOKUP(B43,$AM$7:$AO$255,3,FALSE)),0,(VLOOKUP(B43,$AM$7:$AO$255,3,FALSE)*$AV$78))</f>
        <v>0</v>
      </c>
      <c r="AL38" s="54">
        <f t="shared" si="27"/>
        <v>0</v>
      </c>
      <c r="AM38" s="491" t="s">
        <v>172</v>
      </c>
      <c r="AN38" s="506">
        <v>2.0011000000000001E-2</v>
      </c>
      <c r="AO38" s="490">
        <f>(0.03/1000)</f>
        <v>2.9999999999999997E-5</v>
      </c>
      <c r="AP38" s="507">
        <f t="shared" si="25"/>
        <v>0</v>
      </c>
      <c r="AQ38" s="507"/>
      <c r="AR38" s="92"/>
      <c r="AS38" s="17"/>
      <c r="AT38" s="443" t="s">
        <v>66</v>
      </c>
      <c r="AU38"/>
      <c r="AV38"/>
      <c r="AW38"/>
      <c r="AX38"/>
      <c r="AY38" s="17"/>
      <c r="AZ38" s="17"/>
      <c r="BF38"/>
      <c r="BG38"/>
      <c r="BH38"/>
      <c r="BI38"/>
      <c r="BJ38"/>
      <c r="BK38"/>
      <c r="BL38"/>
      <c r="BM38" s="17"/>
      <c r="BN38" s="17"/>
      <c r="BO38" s="17"/>
      <c r="BP38" s="17"/>
      <c r="BQ38" s="17"/>
      <c r="BR38" s="17"/>
      <c r="BS38" s="17"/>
    </row>
    <row r="39" spans="1:85" s="21" customFormat="1" ht="15.75" customHeight="1" thickBot="1">
      <c r="A39" s="883"/>
      <c r="B39" s="597"/>
      <c r="C39" s="660"/>
      <c r="D39" s="592" t="str">
        <f>FIXED(MROUND(D37,IF($E$14&lt;&gt;0,$E$14/10,$C$14/10)),$AI$15+1,TRUE)</f>
        <v>0,0</v>
      </c>
      <c r="E39" s="599"/>
      <c r="F39" s="600" t="str">
        <f>FIXED(MROUND(D39,$C$14/10),$AI$15+1,TRUE)</f>
        <v>0,0</v>
      </c>
      <c r="G39" s="580">
        <f>G38</f>
        <v>0</v>
      </c>
      <c r="H39" s="223" t="str">
        <f>IF(OR(D37&lt;&gt;0,E39&lt;&gt;0),AVERAGE(G37:G41),"-------")</f>
        <v>-------</v>
      </c>
      <c r="I39" s="224" t="str">
        <f>IF(OR(D37&lt;&gt;0,E39&lt;&gt;0),(H41-F39),"-------")</f>
        <v>-------</v>
      </c>
      <c r="J39" s="224" t="str">
        <f>IF(OR(B37&lt;&gt;"",E39&lt;&gt;""),ROUNDDOWN(AD40,0),"-------")</f>
        <v>-------</v>
      </c>
      <c r="K39" s="225" t="e">
        <f>IF(G37="===","------",AE40)</f>
        <v>#DIV/0!</v>
      </c>
      <c r="L39" s="225" t="str">
        <f>IF(OR(B37&lt;&gt;"",E39&lt;&gt;""),AF40,"-------")</f>
        <v>-------</v>
      </c>
      <c r="M39" s="313" t="str">
        <f>IF($H$11&lt;&gt;"",FIXED(ROUND((D37*($H$11-$H$10)/$H$10),$AI$15),$AI$15),"")</f>
        <v/>
      </c>
      <c r="O39" s="355">
        <f t="shared" si="20"/>
        <v>0</v>
      </c>
      <c r="P39" s="359">
        <f t="shared" si="20"/>
        <v>0</v>
      </c>
      <c r="Q39" s="261">
        <f t="shared" si="21"/>
        <v>0</v>
      </c>
      <c r="R39" s="262">
        <f t="shared" si="22"/>
        <v>0</v>
      </c>
      <c r="S39" s="668">
        <f t="shared" si="23"/>
        <v>0</v>
      </c>
      <c r="T39" s="159">
        <f t="shared" si="24"/>
        <v>0</v>
      </c>
      <c r="U39"/>
      <c r="V39" s="366" t="str">
        <f>IF($H$11="","",IF($L$9="SIM",IF(L$11&lt;&gt;K$11,ABS(L$11-K$11)*($D37/J$11),0),ABS($M39)))</f>
        <v/>
      </c>
      <c r="W39" s="363">
        <f>IF(V39="",0,V39^2/3)</f>
        <v>0</v>
      </c>
      <c r="X39" s="363">
        <f>SQRT(W39)</f>
        <v>0</v>
      </c>
      <c r="Y39" s="364">
        <v>1</v>
      </c>
      <c r="Z39" s="365">
        <v>50</v>
      </c>
      <c r="AA39" s="367">
        <f>IF(V39="",0,(X39*Y39)^2)</f>
        <v>0</v>
      </c>
      <c r="AB39" s="79"/>
      <c r="AC39" s="17"/>
      <c r="AD39" s="22"/>
      <c r="AE39" s="23"/>
      <c r="AF39" s="80"/>
      <c r="AG39" s="6"/>
      <c r="AH39" s="19"/>
      <c r="AI39" s="55">
        <f t="shared" si="26"/>
        <v>0</v>
      </c>
      <c r="AJ39" s="61">
        <f t="shared" si="26"/>
        <v>0</v>
      </c>
      <c r="AK39" s="272">
        <f t="shared" si="27"/>
        <v>0</v>
      </c>
      <c r="AL39" s="56">
        <f t="shared" si="27"/>
        <v>0</v>
      </c>
      <c r="AM39" s="491" t="s">
        <v>173</v>
      </c>
      <c r="AN39" s="506">
        <v>2.001E-2</v>
      </c>
      <c r="AO39" s="490">
        <f>(0.03/1000)</f>
        <v>2.9999999999999997E-5</v>
      </c>
      <c r="AP39" s="507">
        <f t="shared" si="25"/>
        <v>0</v>
      </c>
      <c r="AQ39" s="507"/>
      <c r="AR39" s="92"/>
      <c r="AS39" s="17"/>
      <c r="AT39" s="17"/>
      <c r="AU39"/>
      <c r="AV39"/>
      <c r="AW39"/>
      <c r="AX39"/>
      <c r="AY39" s="17"/>
      <c r="AZ39" s="17"/>
      <c r="BF39"/>
      <c r="BG39"/>
      <c r="BH39"/>
      <c r="BI39"/>
      <c r="BJ39"/>
      <c r="BK39"/>
      <c r="BL39"/>
      <c r="BM39" s="17"/>
      <c r="BN39" s="17"/>
      <c r="BO39" s="17"/>
      <c r="BP39" s="17"/>
      <c r="BQ39" s="17"/>
      <c r="BR39" s="17"/>
      <c r="BS39" s="17"/>
    </row>
    <row r="40" spans="1:85" s="21" customFormat="1" ht="15" customHeight="1">
      <c r="A40" s="883"/>
      <c r="B40" s="597"/>
      <c r="C40" s="660"/>
      <c r="D40" s="587"/>
      <c r="E40" s="244"/>
      <c r="F40" s="567"/>
      <c r="G40" s="580">
        <f>G39</f>
        <v>0</v>
      </c>
      <c r="H40" s="207"/>
      <c r="I40" s="315"/>
      <c r="J40" s="208"/>
      <c r="K40" s="210"/>
      <c r="L40" s="209"/>
      <c r="M40" s="312"/>
      <c r="O40" s="355">
        <f t="shared" si="20"/>
        <v>0</v>
      </c>
      <c r="P40" s="359">
        <f t="shared" si="20"/>
        <v>0</v>
      </c>
      <c r="Q40" s="261">
        <f t="shared" si="21"/>
        <v>0</v>
      </c>
      <c r="R40" s="262">
        <f t="shared" si="22"/>
        <v>0</v>
      </c>
      <c r="S40" s="668">
        <f t="shared" si="23"/>
        <v>0</v>
      </c>
      <c r="T40" s="159">
        <f t="shared" si="24"/>
        <v>0</v>
      </c>
      <c r="U40" s="297"/>
      <c r="V40" s="606">
        <f>(SUM(O37:O41,P37:P41))</f>
        <v>0</v>
      </c>
      <c r="W40" s="370">
        <f>V40^2/3</f>
        <v>0</v>
      </c>
      <c r="X40" s="370">
        <f>SQRT(W40)</f>
        <v>0</v>
      </c>
      <c r="Y40" s="370">
        <v>1</v>
      </c>
      <c r="Z40" s="370">
        <v>50</v>
      </c>
      <c r="AA40" s="371">
        <f>IF(V40="","",(X40*Y40)^2)</f>
        <v>0</v>
      </c>
      <c r="AB40" s="386">
        <f>SUM($AA$29:$AA$30,AA37:AA42,AA82,AA93)</f>
        <v>0</v>
      </c>
      <c r="AC40" s="17">
        <f>SQRT(AB40)</f>
        <v>0</v>
      </c>
      <c r="AD40" s="283" t="e">
        <f>(AC40^4)/(((($X$29*$Y$29)^4)/$Z$29)+((($X$30*$Y$30)^4)/$Z$30)+((($X$31*$Y$31)^4)/$Z$31)+(((X38*Y38)^4)/Z38)+(((X39*Y39)^4)/Z39)+(((X40*Y40)^4)/Z40)+(((X41*Y41)^4)/Z41)+(((X42*Y42)^4)/Z42)+(((X82*Y82)^4)/Z82)+(((X93*Y93)^4)/Z93))</f>
        <v>#DIV/0!</v>
      </c>
      <c r="AE40" s="23" t="e">
        <f>TINV(0.0455,AD40)</f>
        <v>#DIV/0!</v>
      </c>
      <c r="AF40" s="390" t="e">
        <f>CEILING((AE40*AC40),$C$14/100)</f>
        <v>#DIV/0!</v>
      </c>
      <c r="AG40" s="6"/>
      <c r="AI40" s="55">
        <f t="shared" si="26"/>
        <v>0</v>
      </c>
      <c r="AJ40" s="61">
        <f t="shared" si="26"/>
        <v>0</v>
      </c>
      <c r="AK40" s="272">
        <f t="shared" si="27"/>
        <v>0</v>
      </c>
      <c r="AL40" s="56">
        <f t="shared" si="27"/>
        <v>0</v>
      </c>
      <c r="AM40" s="491" t="s">
        <v>174</v>
      </c>
      <c r="AN40" s="506">
        <v>5.0004399999999997E-2</v>
      </c>
      <c r="AO40" s="490">
        <f>(0.04/1000)</f>
        <v>4.0000000000000003E-5</v>
      </c>
      <c r="AP40" s="507">
        <f t="shared" si="25"/>
        <v>0</v>
      </c>
      <c r="AQ40" s="507"/>
      <c r="AR40" s="92"/>
      <c r="AS40" s="17"/>
      <c r="AT40" s="17"/>
      <c r="AU40"/>
      <c r="AV40"/>
      <c r="AW40"/>
      <c r="AX40"/>
      <c r="AY40" s="17"/>
      <c r="AZ40" s="17"/>
      <c r="BF40"/>
      <c r="BG40"/>
      <c r="BH40"/>
      <c r="BI40"/>
      <c r="BJ40"/>
      <c r="BK40"/>
      <c r="BL40"/>
      <c r="BM40" s="17"/>
      <c r="BN40" s="17"/>
      <c r="BO40" s="17"/>
      <c r="BP40" s="17"/>
      <c r="BQ40" s="17"/>
      <c r="BR40" s="17"/>
      <c r="BS40" s="17"/>
    </row>
    <row r="41" spans="1:85" s="21" customFormat="1" ht="15" customHeight="1" thickBot="1">
      <c r="A41" s="883"/>
      <c r="B41" s="661"/>
      <c r="C41" s="662"/>
      <c r="D41" s="582"/>
      <c r="E41" s="244"/>
      <c r="F41" s="567"/>
      <c r="G41" s="623">
        <f>G40</f>
        <v>0</v>
      </c>
      <c r="H41" s="306" t="str">
        <f>IF(H39&lt;&gt;"-------",FIXED(IF($E$14&lt;&gt;0,MROUND(H39,$E$14),MROUND(H39,$C$14)),LEN(L41)-2,TRUE),"------")</f>
        <v>------</v>
      </c>
      <c r="I41" s="220" t="str">
        <f>IF(I39&lt;&gt;"-------",FIXED(ROUND(I39,$AI$15),LEN(L41)-2,TRUE),"------")</f>
        <v>------</v>
      </c>
      <c r="J41" s="620" t="str">
        <f>IF(G37="===","------",IF(J39&gt;500,"&gt; 500",J39))</f>
        <v>&gt; 500</v>
      </c>
      <c r="K41" s="624" t="e">
        <f>K39</f>
        <v>#DIV/0!</v>
      </c>
      <c r="L41" s="621" t="str">
        <f>IF(L39&lt;&gt;"-------",BF11,"------")</f>
        <v>------</v>
      </c>
      <c r="M41" s="312"/>
      <c r="O41" s="355">
        <f t="shared" si="20"/>
        <v>0</v>
      </c>
      <c r="P41" s="359">
        <f t="shared" si="20"/>
        <v>0</v>
      </c>
      <c r="Q41" s="261">
        <f t="shared" si="21"/>
        <v>0</v>
      </c>
      <c r="R41" s="262">
        <f t="shared" si="22"/>
        <v>0</v>
      </c>
      <c r="S41" s="668">
        <f t="shared" si="23"/>
        <v>0</v>
      </c>
      <c r="T41" s="159">
        <f t="shared" si="24"/>
        <v>0</v>
      </c>
      <c r="U41" s="297"/>
      <c r="V41" s="333">
        <f>IF($L$19="sim",SUM(O37:P41)/4,SUM(S37:T41))</f>
        <v>0</v>
      </c>
      <c r="W41" s="334">
        <f>IF(V41="","",V41^2/3)</f>
        <v>0</v>
      </c>
      <c r="X41" s="334">
        <f>IF($L$19="Sim",SQRT(W41),SUM(S37:T41))</f>
        <v>0</v>
      </c>
      <c r="Y41" s="334">
        <v>1</v>
      </c>
      <c r="Z41" s="334">
        <v>50</v>
      </c>
      <c r="AA41" s="335">
        <f>(X41*Y41)^2</f>
        <v>0</v>
      </c>
      <c r="AB41" s="79"/>
      <c r="AC41" s="17"/>
      <c r="AD41" s="22"/>
      <c r="AE41" s="23"/>
      <c r="AF41" s="80"/>
      <c r="AG41" s="6">
        <f>IF(I45&gt;0,$C$14,-$C$14)</f>
        <v>0</v>
      </c>
      <c r="AH41" s="19"/>
      <c r="AI41" s="55">
        <f t="shared" si="26"/>
        <v>0</v>
      </c>
      <c r="AJ41" s="61">
        <f t="shared" si="26"/>
        <v>0</v>
      </c>
      <c r="AK41" s="272">
        <f t="shared" si="27"/>
        <v>0</v>
      </c>
      <c r="AL41" s="56">
        <f t="shared" si="27"/>
        <v>0</v>
      </c>
      <c r="AM41" s="494" t="s">
        <v>175</v>
      </c>
      <c r="AN41" s="506">
        <v>0.100021</v>
      </c>
      <c r="AO41" s="490">
        <f>(0.05/1000)</f>
        <v>5.0000000000000002E-5</v>
      </c>
      <c r="AP41" s="507">
        <f t="shared" si="25"/>
        <v>0</v>
      </c>
      <c r="AQ41" s="746"/>
      <c r="AR41" s="361">
        <f>0.008/1000</f>
        <v>7.9999999999999996E-6</v>
      </c>
      <c r="AS41" s="17"/>
      <c r="AT41" s="444" t="s">
        <v>67</v>
      </c>
      <c r="AU41"/>
      <c r="AV41"/>
      <c r="AW41"/>
      <c r="AX41"/>
      <c r="AY41" s="17"/>
      <c r="AZ41" s="17"/>
      <c r="BF41"/>
      <c r="BG41"/>
      <c r="BH41"/>
      <c r="BI41"/>
      <c r="BJ41"/>
      <c r="BK41"/>
      <c r="BL41"/>
      <c r="BM41" s="17"/>
      <c r="BN41" s="17"/>
      <c r="BO41" s="17"/>
      <c r="BP41" s="17"/>
      <c r="BQ41" s="17"/>
      <c r="BR41" s="17"/>
      <c r="BS41" s="17"/>
    </row>
    <row r="42" spans="1:85" s="21" customFormat="1" ht="15" customHeight="1" thickBot="1">
      <c r="A42" s="1018"/>
      <c r="B42" s="625"/>
      <c r="C42" s="626"/>
      <c r="D42" s="591"/>
      <c r="E42" s="627"/>
      <c r="F42" s="847"/>
      <c r="G42" s="628"/>
      <c r="H42" s="629"/>
      <c r="I42" s="630"/>
      <c r="J42" s="630"/>
      <c r="K42" s="631"/>
      <c r="L42" s="632"/>
      <c r="M42" s="633"/>
      <c r="N42" s="622"/>
      <c r="O42" s="634"/>
      <c r="P42" s="635"/>
      <c r="Q42" s="634"/>
      <c r="R42" s="635"/>
      <c r="S42" s="636"/>
      <c r="T42" s="635"/>
      <c r="U42" s="640"/>
      <c r="V42" s="372">
        <f>SUM(Q37:R41)</f>
        <v>0</v>
      </c>
      <c r="W42" s="373">
        <f>IF(V42="","",V42^2/3)</f>
        <v>0</v>
      </c>
      <c r="X42" s="373">
        <f>SQRT(W42)</f>
        <v>0</v>
      </c>
      <c r="Y42" s="373">
        <v>1</v>
      </c>
      <c r="Z42" s="373">
        <v>50</v>
      </c>
      <c r="AA42" s="374">
        <f>IF(V42="","",(X42*Y42)^2)</f>
        <v>0</v>
      </c>
      <c r="AB42" s="322"/>
      <c r="AC42" s="24"/>
      <c r="AD42" s="25"/>
      <c r="AE42" s="26"/>
      <c r="AF42" s="323"/>
      <c r="AG42" s="6"/>
      <c r="AH42" s="27"/>
      <c r="AI42" s="57">
        <f t="shared" si="26"/>
        <v>0</v>
      </c>
      <c r="AJ42" s="62">
        <f t="shared" si="26"/>
        <v>0</v>
      </c>
      <c r="AK42" s="273">
        <f t="shared" si="27"/>
        <v>0</v>
      </c>
      <c r="AL42" s="58">
        <f t="shared" si="27"/>
        <v>0</v>
      </c>
      <c r="AM42" s="494" t="s">
        <v>176</v>
      </c>
      <c r="AN42" s="506">
        <v>0.20002500000000001</v>
      </c>
      <c r="AO42" s="490">
        <f>(0.06/1000)</f>
        <v>5.9999999999999995E-5</v>
      </c>
      <c r="AP42" s="507">
        <f t="shared" si="25"/>
        <v>0</v>
      </c>
      <c r="AQ42" s="746"/>
      <c r="AR42" s="361">
        <f>0.01/1000</f>
        <v>1.0000000000000001E-5</v>
      </c>
      <c r="BF42"/>
      <c r="BG42"/>
      <c r="BH42"/>
      <c r="BI42"/>
      <c r="BJ42"/>
      <c r="BK42"/>
      <c r="BL42"/>
    </row>
    <row r="43" spans="1:85" s="21" customFormat="1" ht="15" customHeight="1">
      <c r="A43" s="1019">
        <v>3</v>
      </c>
      <c r="B43" s="596"/>
      <c r="C43" s="336"/>
      <c r="D43" s="588">
        <f>IF(E45="",SUM(AI38:AI42,AJ38:AJ42),SUM(AI38:AI42,AJ38:AJ42)-I39)</f>
        <v>0</v>
      </c>
      <c r="E43" s="244"/>
      <c r="F43" s="567"/>
      <c r="G43" s="579"/>
      <c r="H43" s="207"/>
      <c r="I43" s="208"/>
      <c r="J43" s="208"/>
      <c r="K43" s="210"/>
      <c r="L43" s="209"/>
      <c r="M43" s="312"/>
      <c r="O43" s="355">
        <f t="shared" ref="O43:P47" si="28">AK38</f>
        <v>0</v>
      </c>
      <c r="P43" s="359">
        <f t="shared" si="28"/>
        <v>0</v>
      </c>
      <c r="Q43" s="261">
        <f t="shared" ref="Q43:R47" si="29">IF(ABS($L$13-$K$13)&gt;3,IF(ISERROR(VLOOKUP(B43,$AY$58:$BB$80,3,FALSE)),0,(VLOOKUP(B43,$AY$58:$BB$80,3,FALSE)*$AV$78)),IF(ISERROR(VLOOKUP(B43,$AY$58:$BB$80,4,FALSE)),0,(VLOOKUP(B43,$AY$58:$BB$80,4,FALSE)*$AV$78)))</f>
        <v>0</v>
      </c>
      <c r="R43" s="262">
        <f t="shared" si="29"/>
        <v>0</v>
      </c>
      <c r="S43" s="667">
        <f t="shared" ref="S43:T47" si="30">IF($L$19="Não",IF(ISERROR(VLOOKUP(B43,$AM$15:$AR$255,5,FALSE)),0,(VLOOKUP(B43,$AM$15:$AR$255,5,FALSE)*$AV$78)),0)</f>
        <v>0</v>
      </c>
      <c r="T43" s="158">
        <f t="shared" si="30"/>
        <v>0</v>
      </c>
      <c r="U43" s="612"/>
      <c r="V43" s="613" t="str">
        <f>IF($I$23&lt;&gt;0,ABS($L$26*(F45/(2*$I$23))),IF('Registo Calibração'!$I$23&lt;&gt;0,ABS('Registo Calibração'!$L$26*(F45/(2*'Registo Calibração'!$I$23))),IF('3º MR-MI'!$I$23&lt;&gt;0,ABS('3º MR-MI'!$L$26*(F45/(2*'3º MR-MI'!$I$23))),"")))</f>
        <v/>
      </c>
      <c r="W43" s="614">
        <f>IF(V43="",0,(V43)^2/3)</f>
        <v>0</v>
      </c>
      <c r="X43" s="614">
        <f>SQRT(W43)</f>
        <v>0</v>
      </c>
      <c r="Y43" s="614">
        <v>1</v>
      </c>
      <c r="Z43" s="614">
        <v>50</v>
      </c>
      <c r="AA43" s="615">
        <f>IF(V43="",0,(X43*Y43)^2)</f>
        <v>0</v>
      </c>
      <c r="AB43" s="608"/>
      <c r="AC43" s="27"/>
      <c r="AD43" s="609"/>
      <c r="AE43" s="610"/>
      <c r="AF43" s="611"/>
      <c r="AG43" s="6"/>
      <c r="AH43" s="19" t="s">
        <v>16</v>
      </c>
      <c r="AI43" s="53">
        <f t="shared" ref="AI43:AJ47" si="31">IF(ISERROR(VLOOKUP(B49,$AM$7:$AO$255,2,FALSE)),0,(VLOOKUP(B49,$AM$7:$AO$255,2,FALSE)*$AV$78))</f>
        <v>0</v>
      </c>
      <c r="AJ43" s="60">
        <f t="shared" si="31"/>
        <v>0</v>
      </c>
      <c r="AK43" s="271">
        <f t="shared" ref="AK43:AL47" si="32">IF(ISERROR(VLOOKUP(B49,$AM$7:$AO$255,3,FALSE)),0,(VLOOKUP(B49,$AM$7:$AO$255,3,FALSE)*$AV$78))</f>
        <v>0</v>
      </c>
      <c r="AL43" s="54">
        <f t="shared" si="32"/>
        <v>0</v>
      </c>
      <c r="AM43" s="494" t="s">
        <v>177</v>
      </c>
      <c r="AN43" s="506">
        <v>0.200021</v>
      </c>
      <c r="AO43" s="490">
        <f>(0.06/1000)</f>
        <v>5.9999999999999995E-5</v>
      </c>
      <c r="AP43" s="507">
        <f t="shared" si="25"/>
        <v>0</v>
      </c>
      <c r="AQ43" s="746"/>
      <c r="AR43" s="361">
        <f>0.01/1000</f>
        <v>1.0000000000000001E-5</v>
      </c>
      <c r="AS43" s="17"/>
      <c r="AT43" s="17"/>
      <c r="AU43"/>
      <c r="AV43"/>
      <c r="AW43"/>
      <c r="AX43"/>
      <c r="AY43" s="17"/>
      <c r="AZ43" s="17"/>
      <c r="BF43"/>
      <c r="BG43"/>
      <c r="BH43"/>
      <c r="BI43"/>
      <c r="BJ43"/>
      <c r="BK43"/>
      <c r="BL43"/>
      <c r="BM43" s="17"/>
      <c r="BN43" s="17"/>
      <c r="BO43" s="17"/>
      <c r="BP43" s="17"/>
      <c r="BQ43" s="17"/>
      <c r="BR43" s="17"/>
      <c r="BS43" s="17"/>
    </row>
    <row r="44" spans="1:85" s="21" customFormat="1" ht="15" customHeight="1" thickBot="1">
      <c r="A44" s="883"/>
      <c r="B44" s="663"/>
      <c r="C44" s="664"/>
      <c r="D44" s="582"/>
      <c r="E44" s="244"/>
      <c r="F44" s="567"/>
      <c r="G44" s="580">
        <f>G43</f>
        <v>0</v>
      </c>
      <c r="H44" s="207"/>
      <c r="I44" s="208"/>
      <c r="J44" s="208"/>
      <c r="K44" s="210"/>
      <c r="L44" s="209"/>
      <c r="M44" s="312"/>
      <c r="O44" s="355">
        <f t="shared" si="28"/>
        <v>0</v>
      </c>
      <c r="P44" s="359">
        <f t="shared" si="28"/>
        <v>0</v>
      </c>
      <c r="Q44" s="261">
        <f t="shared" si="29"/>
        <v>0</v>
      </c>
      <c r="R44" s="262">
        <f t="shared" si="29"/>
        <v>0</v>
      </c>
      <c r="S44" s="668">
        <f t="shared" si="30"/>
        <v>0</v>
      </c>
      <c r="T44" s="159">
        <f t="shared" si="30"/>
        <v>0</v>
      </c>
      <c r="U44" s="297"/>
      <c r="V44" s="329">
        <f>IF(G44&lt;&gt;"",STDEV(G43:G47),$M$28)</f>
        <v>0</v>
      </c>
      <c r="W44" s="330">
        <f>IF(G44="",V44^2,V44^2/(Z44+1))</f>
        <v>0</v>
      </c>
      <c r="X44" s="330">
        <f>SQRT(W44)</f>
        <v>0</v>
      </c>
      <c r="Y44" s="330">
        <v>1</v>
      </c>
      <c r="Z44" s="330">
        <f>IF(G44="",2,COUNT(G43:G47)-1)</f>
        <v>3</v>
      </c>
      <c r="AA44" s="331">
        <f>(Y44*X44)^2</f>
        <v>0</v>
      </c>
      <c r="AB44" s="79"/>
      <c r="AC44" s="17"/>
      <c r="AD44" s="22"/>
      <c r="AE44" s="23"/>
      <c r="AF44" s="80"/>
      <c r="AG44" s="6"/>
      <c r="AH44" s="19"/>
      <c r="AI44" s="55">
        <f t="shared" si="31"/>
        <v>0</v>
      </c>
      <c r="AJ44" s="61">
        <f t="shared" si="31"/>
        <v>0</v>
      </c>
      <c r="AK44" s="272">
        <f t="shared" si="32"/>
        <v>0</v>
      </c>
      <c r="AL44" s="56">
        <f t="shared" si="32"/>
        <v>0</v>
      </c>
      <c r="AM44" s="495" t="s">
        <v>178</v>
      </c>
      <c r="AN44" s="757">
        <v>0.500031</v>
      </c>
      <c r="AO44" s="493">
        <f>(0.08/1000)</f>
        <v>8.0000000000000007E-5</v>
      </c>
      <c r="AP44" s="535">
        <f t="shared" si="25"/>
        <v>0</v>
      </c>
      <c r="AQ44" s="746"/>
      <c r="AR44" s="361">
        <f>0.016/1000</f>
        <v>1.5999999999999999E-5</v>
      </c>
      <c r="AS44" s="17"/>
      <c r="AT44" s="17"/>
      <c r="AU44"/>
      <c r="AV44"/>
      <c r="AW44"/>
      <c r="AX44"/>
      <c r="AY44" s="17"/>
      <c r="AZ44" s="17"/>
      <c r="BF44"/>
      <c r="BG44"/>
      <c r="BH44"/>
      <c r="BI44"/>
      <c r="BJ44"/>
      <c r="BK44"/>
      <c r="BL44"/>
      <c r="BM44" s="17"/>
      <c r="BN44" s="17"/>
      <c r="BO44" s="17"/>
      <c r="BP44" s="17"/>
      <c r="BQ44" s="17"/>
      <c r="BR44" s="17"/>
      <c r="BS44" s="17"/>
    </row>
    <row r="45" spans="1:85" s="21" customFormat="1" ht="15" customHeight="1" thickBot="1">
      <c r="A45" s="883"/>
      <c r="B45" s="597"/>
      <c r="C45" s="337"/>
      <c r="D45" s="592" t="str">
        <f>FIXED(MROUND(D43,IF($E$14&lt;&gt;0,$E$14/10,$C$14/10)),$AI$15+1,TRUE)</f>
        <v>0,0</v>
      </c>
      <c r="E45" s="599"/>
      <c r="F45" s="600" t="str">
        <f>FIXED(MROUND(D45,$C$14/10),$AI$15+1,TRUE)</f>
        <v>0,0</v>
      </c>
      <c r="G45" s="580">
        <f>G44</f>
        <v>0</v>
      </c>
      <c r="H45" s="223" t="str">
        <f>IF(OR(D43&lt;&gt;0,E45&lt;&gt;0),AVERAGE(G43:G47),"-------")</f>
        <v>-------</v>
      </c>
      <c r="I45" s="224" t="str">
        <f>IF(OR(D43&lt;&gt;0,E45&lt;&gt;0),(H47-F45),"-------")</f>
        <v>-------</v>
      </c>
      <c r="J45" s="224" t="str">
        <f>IF(OR(B43&lt;&gt;"",E45&lt;&gt;""),ROUNDDOWN(AD46,0),"-------")</f>
        <v>-------</v>
      </c>
      <c r="K45" s="225" t="e">
        <f>IF(G43="===","------",AE46)</f>
        <v>#DIV/0!</v>
      </c>
      <c r="L45" s="225" t="str">
        <f>IF(OR(B43&lt;&gt;"",E45&lt;&gt;""),AF46,"-------")</f>
        <v>-------</v>
      </c>
      <c r="M45" s="313" t="str">
        <f>IF($H$11&lt;&gt;"",FIXED(ROUND((D43*($H$11-$H$10)/$H$10),$AI$15),$AI$15),"")</f>
        <v/>
      </c>
      <c r="O45" s="355">
        <f t="shared" si="28"/>
        <v>0</v>
      </c>
      <c r="P45" s="359">
        <f t="shared" si="28"/>
        <v>0</v>
      </c>
      <c r="Q45" s="261">
        <f t="shared" si="29"/>
        <v>0</v>
      </c>
      <c r="R45" s="262">
        <f t="shared" si="29"/>
        <v>0</v>
      </c>
      <c r="S45" s="668">
        <f t="shared" si="30"/>
        <v>0</v>
      </c>
      <c r="T45" s="159">
        <f t="shared" si="30"/>
        <v>0</v>
      </c>
      <c r="U45" s="297"/>
      <c r="V45" s="366" t="str">
        <f>IF($H$11="","",IF($L$9="SIM",IF(L$11&lt;&gt;K$11,ABS(L$11-K$11)*($D43/J$11),0),ABS($M45)))</f>
        <v/>
      </c>
      <c r="W45" s="363">
        <f>IF(V45="",0,V45^2/3)</f>
        <v>0</v>
      </c>
      <c r="X45" s="363">
        <f>SQRT(W45)</f>
        <v>0</v>
      </c>
      <c r="Y45" s="364">
        <v>1</v>
      </c>
      <c r="Z45" s="365">
        <v>50</v>
      </c>
      <c r="AA45" s="367">
        <f>IF(V45="",0,(X45*Y45)^2)</f>
        <v>0</v>
      </c>
      <c r="AB45" s="79"/>
      <c r="AC45" s="17"/>
      <c r="AD45" s="22"/>
      <c r="AE45" s="23"/>
      <c r="AF45" s="80"/>
      <c r="AG45" s="6"/>
      <c r="AI45" s="55">
        <f t="shared" si="31"/>
        <v>0</v>
      </c>
      <c r="AJ45" s="61">
        <f t="shared" si="31"/>
        <v>0</v>
      </c>
      <c r="AK45" s="272">
        <f t="shared" si="32"/>
        <v>0</v>
      </c>
      <c r="AL45" s="56">
        <f t="shared" si="32"/>
        <v>0</v>
      </c>
      <c r="AM45" s="496" t="s">
        <v>179</v>
      </c>
      <c r="AN45" s="506">
        <v>1.00003</v>
      </c>
      <c r="AO45" s="490">
        <f>(0.1/1000)</f>
        <v>1E-4</v>
      </c>
      <c r="AP45" s="507">
        <f t="shared" si="25"/>
        <v>0</v>
      </c>
      <c r="AQ45" s="746"/>
      <c r="AR45" s="361">
        <f>0.023/1000</f>
        <v>2.3E-5</v>
      </c>
      <c r="AS45" s="17"/>
      <c r="AT45" s="17"/>
      <c r="AU45"/>
      <c r="AV45"/>
      <c r="AW45"/>
      <c r="AX45"/>
      <c r="AY45" s="17"/>
      <c r="AZ45" s="17"/>
      <c r="BA45" s="17"/>
      <c r="BB45" s="17"/>
      <c r="BC45" s="17"/>
      <c r="BD45" s="17"/>
      <c r="BE45" s="17"/>
      <c r="BF45"/>
      <c r="BG45"/>
      <c r="BH45"/>
      <c r="BI45"/>
      <c r="BJ45"/>
      <c r="BK45"/>
      <c r="BL45"/>
      <c r="BM45" s="17"/>
      <c r="BN45" s="17"/>
      <c r="BO45" s="17"/>
      <c r="BP45" s="17"/>
      <c r="BQ45" s="17"/>
      <c r="BR45" s="17"/>
      <c r="BS45" s="17"/>
    </row>
    <row r="46" spans="1:85" s="21" customFormat="1" ht="15" customHeight="1">
      <c r="A46" s="883"/>
      <c r="B46" s="597"/>
      <c r="C46" s="337"/>
      <c r="D46" s="589"/>
      <c r="E46" s="244"/>
      <c r="F46" s="567"/>
      <c r="G46" s="580">
        <f>G45</f>
        <v>0</v>
      </c>
      <c r="H46" s="207"/>
      <c r="I46" s="315"/>
      <c r="J46" s="208"/>
      <c r="K46" s="210"/>
      <c r="L46" s="209"/>
      <c r="M46" s="312"/>
      <c r="O46" s="355">
        <f t="shared" si="28"/>
        <v>0</v>
      </c>
      <c r="P46" s="359">
        <f t="shared" si="28"/>
        <v>0</v>
      </c>
      <c r="Q46" s="261">
        <f t="shared" si="29"/>
        <v>0</v>
      </c>
      <c r="R46" s="262">
        <f t="shared" si="29"/>
        <v>0</v>
      </c>
      <c r="S46" s="668">
        <f t="shared" si="30"/>
        <v>0</v>
      </c>
      <c r="T46" s="159">
        <f t="shared" si="30"/>
        <v>0</v>
      </c>
      <c r="U46" s="297"/>
      <c r="V46" s="606">
        <f>(SUM(O43:O47,P43:P47))</f>
        <v>0</v>
      </c>
      <c r="W46" s="370">
        <f>V46^2/3</f>
        <v>0</v>
      </c>
      <c r="X46" s="370">
        <f>SQRT(W46)</f>
        <v>0</v>
      </c>
      <c r="Y46" s="370">
        <v>1</v>
      </c>
      <c r="Z46" s="370">
        <v>50</v>
      </c>
      <c r="AA46" s="371">
        <f>IF(V46="","",(X46*Y46)^2)</f>
        <v>0</v>
      </c>
      <c r="AB46" s="386">
        <f>SUM($AA$29:$AA$30,AA43:AA48,AA83,AA94)</f>
        <v>0</v>
      </c>
      <c r="AC46" s="17">
        <f>SQRT(AB46)</f>
        <v>0</v>
      </c>
      <c r="AD46" s="283" t="e">
        <f>(AC46^4)/(((($X$29*$Y$29)^4)/$Z$29)+((($X$30*$Y$30)^4)/$Z$30)+((($X$43*$Y$43)^4)/$Z$43)+(((X44*Y44)^4)/Z44)+(((X45*Y45)^4)/Z45)+(((X46*Y46)^4)/Z46)+(((X47*Y47)^4)/Z47)+(((X48*Y48)^4)/Z48)+(((X83*Y83)^4)/Z83)+(((X94*Y94)^4)/Z94))</f>
        <v>#DIV/0!</v>
      </c>
      <c r="AE46" s="23" t="e">
        <f>TINV(0.0455,AD46)</f>
        <v>#DIV/0!</v>
      </c>
      <c r="AF46" s="390" t="e">
        <f>CEILING((AE46*AC46),$C$14/100)</f>
        <v>#DIV/0!</v>
      </c>
      <c r="AG46" s="6">
        <f>IF(I51&gt;0,$C$14,-$C$14)</f>
        <v>0</v>
      </c>
      <c r="AH46" s="19"/>
      <c r="AI46" s="55">
        <f t="shared" si="31"/>
        <v>0</v>
      </c>
      <c r="AJ46" s="61">
        <f t="shared" si="31"/>
        <v>0</v>
      </c>
      <c r="AK46" s="272">
        <f t="shared" si="32"/>
        <v>0</v>
      </c>
      <c r="AL46" s="56">
        <f t="shared" si="32"/>
        <v>0</v>
      </c>
      <c r="AM46" s="496" t="s">
        <v>180</v>
      </c>
      <c r="AN46" s="506">
        <v>2.000022</v>
      </c>
      <c r="AO46" s="490">
        <f>(0.12/1000)</f>
        <v>1.1999999999999999E-4</v>
      </c>
      <c r="AP46" s="507">
        <f t="shared" si="25"/>
        <v>0</v>
      </c>
      <c r="AQ46" s="746"/>
      <c r="AR46" s="361">
        <f>0.035/1000</f>
        <v>3.5000000000000004E-5</v>
      </c>
      <c r="AS46" s="17"/>
      <c r="AT46" s="17"/>
      <c r="AU46"/>
      <c r="AV46"/>
      <c r="AW46"/>
      <c r="AX46"/>
      <c r="AY46"/>
      <c r="AZ46" s="17"/>
      <c r="BA46" s="17"/>
      <c r="BB46" s="17"/>
      <c r="BC46" s="17"/>
      <c r="BD46" s="17"/>
      <c r="BE46" s="17"/>
      <c r="BF46"/>
      <c r="BG46"/>
      <c r="BH46"/>
      <c r="BI46"/>
      <c r="BJ46"/>
      <c r="BK46"/>
      <c r="BL46"/>
      <c r="BM46" s="17"/>
      <c r="BN46" s="17"/>
      <c r="BO46" s="17"/>
      <c r="BP46" s="17"/>
      <c r="BQ46" s="17"/>
      <c r="BR46" s="17"/>
      <c r="BS46" s="17"/>
      <c r="CG46" s="28">
        <f>AVERAGE(G32:G36)</f>
        <v>0</v>
      </c>
    </row>
    <row r="47" spans="1:85" s="21" customFormat="1" ht="15" customHeight="1" thickBot="1">
      <c r="A47" s="883"/>
      <c r="B47" s="661"/>
      <c r="C47" s="665"/>
      <c r="D47" s="582"/>
      <c r="E47" s="244"/>
      <c r="F47" s="567"/>
      <c r="G47" s="623">
        <f>G46</f>
        <v>0</v>
      </c>
      <c r="H47" s="306" t="str">
        <f>IF(H45&lt;&gt;"-------",FIXED(IF($E$14&lt;&gt;0,MROUND(H45,$E$14),MROUND(H45,$C$14)),LEN(L47)-2,TRUE),"------")</f>
        <v>------</v>
      </c>
      <c r="I47" s="220" t="str">
        <f>IF(I45&lt;&gt;"-------",FIXED(ROUND(I45,$AI$15),LEN(L47)-2,TRUE),"------")</f>
        <v>------</v>
      </c>
      <c r="J47" s="620" t="str">
        <f>IF(G43="===","------",IF(J45&gt;500,"&gt; 500",J45))</f>
        <v>&gt; 500</v>
      </c>
      <c r="K47" s="624" t="e">
        <f>K45</f>
        <v>#DIV/0!</v>
      </c>
      <c r="L47" s="621" t="str">
        <f>IF(L45&lt;&gt;"-------",BF12,"------")</f>
        <v>------</v>
      </c>
      <c r="M47" s="312"/>
      <c r="O47" s="355">
        <f t="shared" si="28"/>
        <v>0</v>
      </c>
      <c r="P47" s="359">
        <f t="shared" si="28"/>
        <v>0</v>
      </c>
      <c r="Q47" s="261">
        <f t="shared" si="29"/>
        <v>0</v>
      </c>
      <c r="R47" s="262">
        <f t="shared" si="29"/>
        <v>0</v>
      </c>
      <c r="S47" s="668">
        <f t="shared" si="30"/>
        <v>0</v>
      </c>
      <c r="T47" s="159">
        <f t="shared" si="30"/>
        <v>0</v>
      </c>
      <c r="U47" s="297"/>
      <c r="V47" s="333">
        <f>IF($L$19="sim",SUM(O43:P47)/4,SUM(S43:T47))</f>
        <v>0</v>
      </c>
      <c r="W47" s="334">
        <f>IF(V47="","",V47^2/3)</f>
        <v>0</v>
      </c>
      <c r="X47" s="334">
        <f>IF($L$19="Sim",SQRT(W47),SUM(S43:T47))</f>
        <v>0</v>
      </c>
      <c r="Y47" s="334">
        <v>1</v>
      </c>
      <c r="Z47" s="334">
        <v>50</v>
      </c>
      <c r="AA47" s="335">
        <f>(X47*Y47)^2</f>
        <v>0</v>
      </c>
      <c r="AB47" s="79"/>
      <c r="AC47" s="17"/>
      <c r="AD47" s="22"/>
      <c r="AE47" s="23"/>
      <c r="AF47" s="80"/>
      <c r="AG47" s="6"/>
      <c r="AH47" s="27"/>
      <c r="AI47" s="57">
        <f t="shared" si="31"/>
        <v>0</v>
      </c>
      <c r="AJ47" s="62">
        <f t="shared" si="31"/>
        <v>0</v>
      </c>
      <c r="AK47" s="273">
        <f t="shared" si="32"/>
        <v>0</v>
      </c>
      <c r="AL47" s="58">
        <f t="shared" si="32"/>
        <v>0</v>
      </c>
      <c r="AM47" s="494" t="s">
        <v>181</v>
      </c>
      <c r="AN47" s="506">
        <v>2.0000399999999998</v>
      </c>
      <c r="AO47" s="490">
        <f>(0.12/1000)</f>
        <v>1.1999999999999999E-4</v>
      </c>
      <c r="AP47" s="507">
        <f t="shared" si="25"/>
        <v>0</v>
      </c>
      <c r="AQ47" s="746"/>
      <c r="AR47" s="361">
        <f>0.035/1000</f>
        <v>3.5000000000000004E-5</v>
      </c>
      <c r="AU47"/>
      <c r="AV47"/>
      <c r="AW47"/>
      <c r="AX47"/>
      <c r="AY47"/>
      <c r="AZ47"/>
    </row>
    <row r="48" spans="1:85" s="21" customFormat="1" ht="15" customHeight="1" thickBot="1">
      <c r="A48" s="884"/>
      <c r="B48" s="637"/>
      <c r="C48" s="638"/>
      <c r="D48" s="591"/>
      <c r="E48" s="627"/>
      <c r="F48" s="847"/>
      <c r="G48" s="628"/>
      <c r="H48" s="629"/>
      <c r="I48" s="630"/>
      <c r="J48" s="630"/>
      <c r="K48" s="631"/>
      <c r="L48" s="639"/>
      <c r="M48" s="633"/>
      <c r="O48" s="634"/>
      <c r="P48" s="635"/>
      <c r="Q48" s="634"/>
      <c r="R48" s="635"/>
      <c r="S48" s="636"/>
      <c r="T48" s="635"/>
      <c r="U48" s="640"/>
      <c r="V48" s="372">
        <f>SUM(Q43:R47)</f>
        <v>0</v>
      </c>
      <c r="W48" s="373">
        <f>IF(V48="","",V48^2/3)</f>
        <v>0</v>
      </c>
      <c r="X48" s="373">
        <f>SQRT(W48)</f>
        <v>0</v>
      </c>
      <c r="Y48" s="373">
        <v>1</v>
      </c>
      <c r="Z48" s="373">
        <v>50</v>
      </c>
      <c r="AA48" s="374">
        <f>IF(V48="","",(X48*Y48)^2)</f>
        <v>0</v>
      </c>
      <c r="AB48" s="322"/>
      <c r="AC48" s="24"/>
      <c r="AD48" s="25"/>
      <c r="AE48" s="26"/>
      <c r="AF48" s="323"/>
      <c r="AG48" s="6"/>
      <c r="AH48" s="19" t="s">
        <v>17</v>
      </c>
      <c r="AI48" s="53">
        <f t="shared" ref="AI48:AJ52" si="33">IF(ISERROR(VLOOKUP(B55,$AM$7:$AO$255,2,FALSE)),0,(VLOOKUP(B55,$AM$7:$AO$255,2,FALSE)*$AV$78))</f>
        <v>0</v>
      </c>
      <c r="AJ48" s="60">
        <f t="shared" si="33"/>
        <v>0</v>
      </c>
      <c r="AK48" s="271">
        <f t="shared" ref="AK48:AL52" si="34">IF(ISERROR(VLOOKUP(B55,$AM$7:$AO$255,3,FALSE)),0,(VLOOKUP(B55,$AM$7:$AO$255,3,FALSE)*$AV$78))</f>
        <v>0</v>
      </c>
      <c r="AL48" s="54">
        <f t="shared" si="34"/>
        <v>0</v>
      </c>
      <c r="AM48" s="496" t="s">
        <v>182</v>
      </c>
      <c r="AN48" s="506">
        <v>5.0000439999999999</v>
      </c>
      <c r="AO48" s="490">
        <f>(0.16/1000)</f>
        <v>1.6000000000000001E-4</v>
      </c>
      <c r="AP48" s="507">
        <f t="shared" si="25"/>
        <v>0</v>
      </c>
      <c r="AQ48" s="746"/>
      <c r="AR48" s="361">
        <f>0.066/1000</f>
        <v>6.6000000000000005E-5</v>
      </c>
      <c r="AS48" s="17"/>
      <c r="AT48" s="17"/>
      <c r="AU48"/>
      <c r="AV48"/>
      <c r="AW48"/>
      <c r="AX48"/>
      <c r="AY48"/>
      <c r="AZ48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</row>
    <row r="49" spans="1:72" s="21" customFormat="1" ht="15" customHeight="1">
      <c r="A49" s="882">
        <v>4</v>
      </c>
      <c r="B49" s="596"/>
      <c r="C49" s="336"/>
      <c r="D49" s="588">
        <f>IF(E51="",SUM(AI43:AI47,AJ43:AJ47),SUM(AI43:AI47,AJ43:AJ47)-I45)</f>
        <v>0</v>
      </c>
      <c r="E49" s="244"/>
      <c r="F49" s="567"/>
      <c r="G49" s="579"/>
      <c r="H49" s="207"/>
      <c r="I49" s="208"/>
      <c r="J49" s="208"/>
      <c r="K49" s="210"/>
      <c r="L49" s="209"/>
      <c r="M49" s="312"/>
      <c r="O49" s="355">
        <f t="shared" ref="O49:P53" si="35">AK43</f>
        <v>0</v>
      </c>
      <c r="P49" s="359">
        <f t="shared" si="35"/>
        <v>0</v>
      </c>
      <c r="Q49" s="261">
        <f t="shared" ref="Q49:R53" si="36">IF(ABS($L$13-$K$13)&gt;3,IF(ISERROR(VLOOKUP(B49,$AY$58:$BB$80,3,FALSE)),0,(VLOOKUP(B49,$AY$58:$BB$80,3,FALSE)*$AV$78)),IF(ISERROR(VLOOKUP(B49,$AY$58:$BB$80,4,FALSE)),0,(VLOOKUP(B49,$AY$58:$BB$80,4,FALSE)*$AV$78)))</f>
        <v>0</v>
      </c>
      <c r="R49" s="262">
        <f t="shared" si="36"/>
        <v>0</v>
      </c>
      <c r="S49" s="667">
        <f t="shared" ref="S49:T53" si="37">IF($L$19="Não",IF(ISERROR(VLOOKUP(B49,$AM$15:$AR$255,5,FALSE)),0,(VLOOKUP(B49,$AM$15:$AR$255,5,FALSE)*$AV$78)),0)</f>
        <v>0</v>
      </c>
      <c r="T49" s="158">
        <f t="shared" si="37"/>
        <v>0</v>
      </c>
      <c r="U49" s="612"/>
      <c r="V49" s="613" t="str">
        <f>IF($I$23&lt;&gt;0,ABS($L$26*(F51/(2*$I$23))),IF('Registo Calibração'!$I$23&lt;&gt;0,ABS('Registo Calibração'!$L$26*(F51/(2*'Registo Calibração'!$I$23))),IF('3º MR-MI'!$I$23&lt;&gt;0,ABS('3º MR-MI'!$L$26*(F51/(2*'3º MR-MI'!$I$23))),"")))</f>
        <v/>
      </c>
      <c r="W49" s="614">
        <f>IF(V49="",0,(V49)^2/3)</f>
        <v>0</v>
      </c>
      <c r="X49" s="614">
        <f>SQRT(W49)</f>
        <v>0</v>
      </c>
      <c r="Y49" s="614">
        <v>1</v>
      </c>
      <c r="Z49" s="614">
        <v>50</v>
      </c>
      <c r="AA49" s="615">
        <f>IF(V49="",0,(X49*Y49)^2)</f>
        <v>0</v>
      </c>
      <c r="AB49" s="608"/>
      <c r="AC49" s="27"/>
      <c r="AD49" s="609"/>
      <c r="AE49" s="610"/>
      <c r="AF49" s="611"/>
      <c r="AG49" s="6"/>
      <c r="AH49" s="19"/>
      <c r="AI49" s="55">
        <f t="shared" si="33"/>
        <v>0</v>
      </c>
      <c r="AJ49" s="61">
        <f t="shared" si="33"/>
        <v>0</v>
      </c>
      <c r="AK49" s="272">
        <f t="shared" si="34"/>
        <v>0</v>
      </c>
      <c r="AL49" s="56">
        <f t="shared" si="34"/>
        <v>0</v>
      </c>
      <c r="AM49" s="496" t="s">
        <v>183</v>
      </c>
      <c r="AN49" s="506">
        <v>10.000014999999999</v>
      </c>
      <c r="AO49" s="490">
        <f>(0.2/1000)</f>
        <v>2.0000000000000001E-4</v>
      </c>
      <c r="AP49" s="507">
        <f t="shared" si="25"/>
        <v>0</v>
      </c>
      <c r="AQ49" s="746"/>
      <c r="AR49" s="361">
        <f>0.115/1000</f>
        <v>1.15E-4</v>
      </c>
      <c r="AS49" s="17"/>
      <c r="AT49" s="17"/>
      <c r="AU49"/>
      <c r="AV49"/>
      <c r="AW49"/>
      <c r="AX49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</row>
    <row r="50" spans="1:72" s="21" customFormat="1" ht="15" customHeight="1" thickBot="1">
      <c r="A50" s="883"/>
      <c r="B50" s="663"/>
      <c r="C50" s="664"/>
      <c r="D50" s="582"/>
      <c r="E50" s="244"/>
      <c r="F50" s="567"/>
      <c r="G50" s="580">
        <f>G49</f>
        <v>0</v>
      </c>
      <c r="H50" s="207"/>
      <c r="I50" s="208"/>
      <c r="J50" s="208"/>
      <c r="K50" s="210"/>
      <c r="L50" s="209"/>
      <c r="M50" s="312"/>
      <c r="O50" s="355">
        <f t="shared" si="35"/>
        <v>0</v>
      </c>
      <c r="P50" s="359">
        <f t="shared" si="35"/>
        <v>0</v>
      </c>
      <c r="Q50" s="261">
        <f t="shared" si="36"/>
        <v>0</v>
      </c>
      <c r="R50" s="262">
        <f t="shared" si="36"/>
        <v>0</v>
      </c>
      <c r="S50" s="668">
        <f t="shared" si="37"/>
        <v>0</v>
      </c>
      <c r="T50" s="159">
        <f t="shared" si="37"/>
        <v>0</v>
      </c>
      <c r="U50" s="297"/>
      <c r="V50" s="329">
        <f>IF(G50&lt;&gt;"",STDEV(G49:G53),$M$28)</f>
        <v>0</v>
      </c>
      <c r="W50" s="330">
        <f>IF(G50="",V50^2,V50^2/(Z50+1))</f>
        <v>0</v>
      </c>
      <c r="X50" s="330">
        <f>SQRT(W50)</f>
        <v>0</v>
      </c>
      <c r="Y50" s="330">
        <v>1</v>
      </c>
      <c r="Z50" s="330">
        <f>IF(G50="",2,COUNT(G49:G53)-1)</f>
        <v>3</v>
      </c>
      <c r="AA50" s="331">
        <f>(Y50*X50)^2</f>
        <v>0</v>
      </c>
      <c r="AB50" s="79"/>
      <c r="AC50" s="17"/>
      <c r="AD50" s="22"/>
      <c r="AE50" s="23"/>
      <c r="AF50" s="80"/>
      <c r="AG50" s="6"/>
      <c r="AI50" s="55">
        <f t="shared" si="33"/>
        <v>0</v>
      </c>
      <c r="AJ50" s="61">
        <f t="shared" si="33"/>
        <v>0</v>
      </c>
      <c r="AK50" s="272">
        <f t="shared" si="34"/>
        <v>0</v>
      </c>
      <c r="AL50" s="56">
        <f t="shared" si="34"/>
        <v>0</v>
      </c>
      <c r="AM50" s="496" t="s">
        <v>184</v>
      </c>
      <c r="AN50" s="506">
        <v>20.000070000000001</v>
      </c>
      <c r="AO50" s="490">
        <f>(0.25/1000)</f>
        <v>2.5000000000000001E-4</v>
      </c>
      <c r="AP50" s="507">
        <f t="shared" si="25"/>
        <v>0</v>
      </c>
      <c r="AQ50" s="746"/>
      <c r="AR50" s="361">
        <f>0.209/1000</f>
        <v>2.0899999999999998E-4</v>
      </c>
      <c r="AS50" s="17">
        <f>SUM(AP7:AP31)</f>
        <v>0</v>
      </c>
      <c r="AT50" s="20" t="s">
        <v>18</v>
      </c>
      <c r="AU50"/>
      <c r="AV50"/>
      <c r="AW50"/>
      <c r="AX50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</row>
    <row r="51" spans="1:72" s="21" customFormat="1" ht="15" customHeight="1" thickBot="1">
      <c r="A51" s="883"/>
      <c r="B51" s="597"/>
      <c r="C51" s="337"/>
      <c r="D51" s="592" t="str">
        <f>FIXED(MROUND(D49,IF($E$14&lt;&gt;0,$E$14/10,$C$14/10)),$AI$15+1,TRUE)</f>
        <v>0,0</v>
      </c>
      <c r="E51" s="599"/>
      <c r="F51" s="600" t="str">
        <f>FIXED(MROUND(D51,$C$14/10),$AI$15+1,TRUE)</f>
        <v>0,0</v>
      </c>
      <c r="G51" s="580">
        <f>G50</f>
        <v>0</v>
      </c>
      <c r="H51" s="223" t="str">
        <f>IF(OR(D49&lt;&gt;0,E51&lt;&gt;0),AVERAGE(G49:G53),"-------")</f>
        <v>-------</v>
      </c>
      <c r="I51" s="224" t="str">
        <f>IF(OR(D49&lt;&gt;0,E51&lt;&gt;0),(H53-F51),"-------")</f>
        <v>-------</v>
      </c>
      <c r="J51" s="224" t="str">
        <f>IF(OR(B49&lt;&gt;"",E51&lt;&gt;""),ROUNDDOWN(AD52,0),"-------")</f>
        <v>-------</v>
      </c>
      <c r="K51" s="225" t="e">
        <f>IF(G49="===","------",AE52)</f>
        <v>#DIV/0!</v>
      </c>
      <c r="L51" s="225" t="str">
        <f>IF(OR(B49&lt;&gt;"",E51&lt;&gt;""),AF52,"-------")</f>
        <v>-------</v>
      </c>
      <c r="M51" s="313" t="str">
        <f>IF($H$11&lt;&gt;"",FIXED(ROUND((D49*($H$11-$H$10)/$H$10),$AI$15),$AI$15),"")</f>
        <v/>
      </c>
      <c r="O51" s="355">
        <f t="shared" si="35"/>
        <v>0</v>
      </c>
      <c r="P51" s="359">
        <f t="shared" si="35"/>
        <v>0</v>
      </c>
      <c r="Q51" s="261">
        <f t="shared" si="36"/>
        <v>0</v>
      </c>
      <c r="R51" s="262">
        <f t="shared" si="36"/>
        <v>0</v>
      </c>
      <c r="S51" s="668">
        <f t="shared" si="37"/>
        <v>0</v>
      </c>
      <c r="T51" s="159">
        <f t="shared" si="37"/>
        <v>0</v>
      </c>
      <c r="U51" s="297"/>
      <c r="V51" s="366" t="str">
        <f>IF($H$11="","",IF($L$9="SIM",IF(L$11&lt;&gt;K$11,ABS(L$11-K$11)*($D49/J$11),0),ABS($M51)))</f>
        <v/>
      </c>
      <c r="W51" s="363">
        <f>IF(V51="",0,V51^2/3)</f>
        <v>0</v>
      </c>
      <c r="X51" s="363">
        <f>SQRT(W51)</f>
        <v>0</v>
      </c>
      <c r="Y51" s="364">
        <v>1</v>
      </c>
      <c r="Z51" s="365">
        <v>50</v>
      </c>
      <c r="AA51" s="367">
        <f>IF(V51="",0,(X51*Y51)^2)</f>
        <v>0</v>
      </c>
      <c r="AB51" s="79"/>
      <c r="AC51" s="17"/>
      <c r="AD51" s="22"/>
      <c r="AE51" s="23"/>
      <c r="AF51" s="80"/>
      <c r="AG51" s="6">
        <f>IF(I57&gt;0,$C$14,-$C$14)</f>
        <v>0</v>
      </c>
      <c r="AH51" s="19"/>
      <c r="AI51" s="55">
        <f t="shared" si="33"/>
        <v>0</v>
      </c>
      <c r="AJ51" s="61">
        <f t="shared" si="33"/>
        <v>0</v>
      </c>
      <c r="AK51" s="272">
        <f t="shared" si="34"/>
        <v>0</v>
      </c>
      <c r="AL51" s="56">
        <f t="shared" si="34"/>
        <v>0</v>
      </c>
      <c r="AM51" s="494" t="s">
        <v>185</v>
      </c>
      <c r="AN51" s="506">
        <v>20.000059</v>
      </c>
      <c r="AO51" s="490">
        <f>(0.25/1000)</f>
        <v>2.5000000000000001E-4</v>
      </c>
      <c r="AP51" s="507">
        <f t="shared" si="25"/>
        <v>0</v>
      </c>
      <c r="AQ51" s="746"/>
      <c r="AR51" s="361">
        <f>0.209/1000</f>
        <v>2.0899999999999998E-4</v>
      </c>
      <c r="AS51" s="17"/>
      <c r="AT51" s="17"/>
      <c r="AU51"/>
      <c r="AV51"/>
      <c r="AW51"/>
      <c r="AX51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</row>
    <row r="52" spans="1:72" s="21" customFormat="1" ht="15" customHeight="1" thickBot="1">
      <c r="A52" s="883"/>
      <c r="B52" s="597"/>
      <c r="C52" s="337"/>
      <c r="D52" s="589"/>
      <c r="E52" s="244"/>
      <c r="F52" s="567"/>
      <c r="G52" s="580">
        <f>G51</f>
        <v>0</v>
      </c>
      <c r="H52" s="207"/>
      <c r="I52" s="315"/>
      <c r="J52" s="208"/>
      <c r="K52" s="210"/>
      <c r="L52" s="209"/>
      <c r="M52" s="312"/>
      <c r="O52" s="355">
        <f t="shared" si="35"/>
        <v>0</v>
      </c>
      <c r="P52" s="359">
        <f t="shared" si="35"/>
        <v>0</v>
      </c>
      <c r="Q52" s="261">
        <f t="shared" si="36"/>
        <v>0</v>
      </c>
      <c r="R52" s="262">
        <f t="shared" si="36"/>
        <v>0</v>
      </c>
      <c r="S52" s="668">
        <f t="shared" si="37"/>
        <v>0</v>
      </c>
      <c r="T52" s="159">
        <f t="shared" si="37"/>
        <v>0</v>
      </c>
      <c r="U52" s="297"/>
      <c r="V52" s="606">
        <f>(SUM(O49:O53,P49:P53))</f>
        <v>0</v>
      </c>
      <c r="W52" s="370">
        <f>V52^2/3</f>
        <v>0</v>
      </c>
      <c r="X52" s="370">
        <f>SQRT(W52)</f>
        <v>0</v>
      </c>
      <c r="Y52" s="370">
        <v>1</v>
      </c>
      <c r="Z52" s="370">
        <v>50</v>
      </c>
      <c r="AA52" s="371">
        <f>IF(V52="","",(X52*Y52)^2)</f>
        <v>0</v>
      </c>
      <c r="AB52" s="386">
        <f>SUM($AA$29:$AA$30,AA49:AA54,AA84,AA95)</f>
        <v>0</v>
      </c>
      <c r="AC52" s="17">
        <f>SQRT(AB52)</f>
        <v>0</v>
      </c>
      <c r="AD52" s="283" t="e">
        <f>(AC52^4)/(((($X$29*$Y$29)^4)/$Z$29)+((($X$30*$Y$30)^4)/$Z$30)+((($X$49*$Y$49)^4)/$Z$49)+(((X50*Y50)^4)/Z50)+(((X51*Y51)^4)/Z51)+(((X52*Y52)^4)/Z52)+(((X53*Y53)^4)/Z53)+(((X54*Y54)^4)/Z54)+(((X84*Y84)^4)/Z84)+(((X95*Y95)^4)/Z95))</f>
        <v>#DIV/0!</v>
      </c>
      <c r="AE52" s="23" t="e">
        <f>TINV(0.0455,AD52)</f>
        <v>#DIV/0!</v>
      </c>
      <c r="AF52" s="390" t="e">
        <f>CEILING((AE52*AC52),$C$14/100)</f>
        <v>#DIV/0!</v>
      </c>
      <c r="AG52" s="6"/>
      <c r="AH52" s="27"/>
      <c r="AI52" s="57">
        <f t="shared" si="33"/>
        <v>0</v>
      </c>
      <c r="AJ52" s="62">
        <f t="shared" si="33"/>
        <v>0</v>
      </c>
      <c r="AK52" s="273">
        <f t="shared" si="34"/>
        <v>0</v>
      </c>
      <c r="AL52" s="58">
        <f t="shared" si="34"/>
        <v>0</v>
      </c>
      <c r="AM52" s="496" t="s">
        <v>186</v>
      </c>
      <c r="AN52" s="506">
        <v>50.000014999999998</v>
      </c>
      <c r="AO52" s="490">
        <f>(0.3/1000)</f>
        <v>2.9999999999999997E-4</v>
      </c>
      <c r="AP52" s="507">
        <f t="shared" si="25"/>
        <v>0</v>
      </c>
      <c r="AQ52" s="746"/>
      <c r="AR52" s="361">
        <f>0.476/1000</f>
        <v>4.7599999999999997E-4</v>
      </c>
      <c r="AU52"/>
      <c r="AV52"/>
      <c r="AW52"/>
      <c r="AX52"/>
    </row>
    <row r="53" spans="1:72" s="21" customFormat="1" ht="15" customHeight="1" thickBot="1">
      <c r="A53" s="883"/>
      <c r="B53" s="661"/>
      <c r="C53" s="665"/>
      <c r="D53" s="582"/>
      <c r="E53" s="244"/>
      <c r="F53" s="567"/>
      <c r="G53" s="623">
        <f>G52</f>
        <v>0</v>
      </c>
      <c r="H53" s="306" t="str">
        <f>IF(H51&lt;&gt;"-------",FIXED(IF($E$14&lt;&gt;0,MROUND(H51,$E$14),MROUND(H51,$C$14)),LEN(L53)-2,TRUE),"------")</f>
        <v>------</v>
      </c>
      <c r="I53" s="220" t="str">
        <f>IF(I51&lt;&gt;"-------",FIXED(ROUND(I51,$AI$15),LEN(L53)-2,TRUE),"------")</f>
        <v>------</v>
      </c>
      <c r="J53" s="620" t="str">
        <f>IF(G49="===","------",IF(J51&gt;500,"&gt; 500",J51))</f>
        <v>&gt; 500</v>
      </c>
      <c r="K53" s="624" t="e">
        <f>K51</f>
        <v>#DIV/0!</v>
      </c>
      <c r="L53" s="621" t="str">
        <f>IF(L51&lt;&gt;"-------",BF13,"------")</f>
        <v>------</v>
      </c>
      <c r="M53" s="312"/>
      <c r="O53" s="355">
        <f t="shared" si="35"/>
        <v>0</v>
      </c>
      <c r="P53" s="359">
        <f t="shared" si="35"/>
        <v>0</v>
      </c>
      <c r="Q53" s="261">
        <f t="shared" si="36"/>
        <v>0</v>
      </c>
      <c r="R53" s="262">
        <f t="shared" si="36"/>
        <v>0</v>
      </c>
      <c r="S53" s="668">
        <f t="shared" si="37"/>
        <v>0</v>
      </c>
      <c r="T53" s="159">
        <f t="shared" si="37"/>
        <v>0</v>
      </c>
      <c r="U53" s="297"/>
      <c r="V53" s="333">
        <f>IF($L$19="sim",SUM(O49:P53)/4,SUM(S49:T53))</f>
        <v>0</v>
      </c>
      <c r="W53" s="334">
        <f>IF(V53="","",V53^2/3)</f>
        <v>0</v>
      </c>
      <c r="X53" s="334">
        <f>IF($L$19="Sim",SQRT(W53),SUM(S49:T53))</f>
        <v>0</v>
      </c>
      <c r="Y53" s="334">
        <v>1</v>
      </c>
      <c r="Z53" s="334">
        <v>50</v>
      </c>
      <c r="AA53" s="335">
        <f>(X53*Y53)^2</f>
        <v>0</v>
      </c>
      <c r="AB53" s="79"/>
      <c r="AC53" s="17"/>
      <c r="AD53" s="22"/>
      <c r="AE53" s="23"/>
      <c r="AF53" s="80"/>
      <c r="AG53" s="6"/>
      <c r="AH53" s="19" t="s">
        <v>19</v>
      </c>
      <c r="AI53" s="53">
        <f t="shared" ref="AI53:AJ57" si="38">IF(ISERROR(VLOOKUP(B61,$AM$7:$AO$255,2,FALSE)),0,(VLOOKUP(B61,$AM$7:$AO$255,2,FALSE)*$AV$78))</f>
        <v>0</v>
      </c>
      <c r="AJ53" s="60">
        <f t="shared" si="38"/>
        <v>0</v>
      </c>
      <c r="AK53" s="271">
        <f t="shared" ref="AK53:AL57" si="39">IF(ISERROR(VLOOKUP(B61,$AM$7:$AO$255,3,FALSE)),0,(VLOOKUP(B61,$AM$7:$AO$255,3,FALSE)*$AV$78))</f>
        <v>0</v>
      </c>
      <c r="AL53" s="54">
        <f t="shared" si="39"/>
        <v>0</v>
      </c>
      <c r="AM53" s="498" t="s">
        <v>187</v>
      </c>
      <c r="AN53" s="506">
        <v>100.00033000000001</v>
      </c>
      <c r="AO53" s="490">
        <f>(0.5/1000)</f>
        <v>5.0000000000000001E-4</v>
      </c>
      <c r="AP53" s="507">
        <f t="shared" si="25"/>
        <v>0</v>
      </c>
      <c r="AQ53" s="746"/>
      <c r="AR53" s="362">
        <f>SQRT((9.38/1000)^2/3)</f>
        <v>5.4155455249986903E-3</v>
      </c>
      <c r="AS53" s="17"/>
      <c r="AT53" s="17"/>
      <c r="AU53"/>
      <c r="AV53"/>
      <c r="AW53"/>
      <c r="AX53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</row>
    <row r="54" spans="1:72" s="21" customFormat="1" ht="15" customHeight="1" thickBot="1">
      <c r="A54" s="884"/>
      <c r="B54" s="641"/>
      <c r="C54" s="642"/>
      <c r="D54" s="591"/>
      <c r="E54" s="643"/>
      <c r="F54" s="847"/>
      <c r="G54" s="854"/>
      <c r="H54" s="644"/>
      <c r="I54" s="645"/>
      <c r="J54" s="645"/>
      <c r="K54" s="646"/>
      <c r="L54" s="647"/>
      <c r="M54" s="648"/>
      <c r="O54" s="649"/>
      <c r="P54" s="650"/>
      <c r="Q54" s="649"/>
      <c r="R54" s="650"/>
      <c r="S54" s="651"/>
      <c r="T54" s="650"/>
      <c r="U54" s="640"/>
      <c r="V54" s="372">
        <f>SUM(Q49:R53)</f>
        <v>0</v>
      </c>
      <c r="W54" s="373">
        <f>IF(V54="","",V54^2/3)</f>
        <v>0</v>
      </c>
      <c r="X54" s="373">
        <f>SQRT(W54)</f>
        <v>0</v>
      </c>
      <c r="Y54" s="373">
        <v>1</v>
      </c>
      <c r="Z54" s="373">
        <v>50</v>
      </c>
      <c r="AA54" s="374">
        <f>IF(V54="","",(X54*Y54)^2)</f>
        <v>0</v>
      </c>
      <c r="AB54" s="322"/>
      <c r="AC54" s="24"/>
      <c r="AD54" s="25"/>
      <c r="AE54" s="26"/>
      <c r="AF54" s="323"/>
      <c r="AG54" s="6"/>
      <c r="AH54" s="19"/>
      <c r="AI54" s="55">
        <f t="shared" si="38"/>
        <v>0</v>
      </c>
      <c r="AJ54" s="61">
        <f t="shared" si="38"/>
        <v>0</v>
      </c>
      <c r="AK54" s="272">
        <f t="shared" si="39"/>
        <v>0</v>
      </c>
      <c r="AL54" s="56">
        <f t="shared" si="39"/>
        <v>0</v>
      </c>
      <c r="AM54" s="498" t="s">
        <v>188</v>
      </c>
      <c r="AN54" s="506">
        <v>200.00009</v>
      </c>
      <c r="AO54" s="490">
        <f>(1/1000)</f>
        <v>1E-3</v>
      </c>
      <c r="AP54" s="507">
        <f t="shared" si="25"/>
        <v>0</v>
      </c>
      <c r="AQ54" s="746"/>
      <c r="AR54" s="362">
        <f>SQRT((9.38/1000)^2/3)</f>
        <v>5.4155455249986903E-3</v>
      </c>
      <c r="AS54" s="17"/>
      <c r="AT54" s="17"/>
      <c r="AU54"/>
      <c r="AV54"/>
      <c r="AW54"/>
      <c r="AX54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</row>
    <row r="55" spans="1:72" s="21" customFormat="1" ht="15" customHeight="1">
      <c r="A55" s="882">
        <v>5</v>
      </c>
      <c r="B55" s="596"/>
      <c r="C55" s="336"/>
      <c r="D55" s="588">
        <f>IF(E57="",SUM(AI48:AI52,AJ48:AJ52),SUM(AI48:AI52,AJ48:AJ52)-I51)</f>
        <v>0</v>
      </c>
      <c r="E55" s="244"/>
      <c r="F55" s="567"/>
      <c r="G55" s="579"/>
      <c r="H55" s="207"/>
      <c r="I55" s="208"/>
      <c r="J55" s="208"/>
      <c r="K55" s="210"/>
      <c r="L55" s="209"/>
      <c r="M55" s="312"/>
      <c r="O55" s="355">
        <f t="shared" ref="O55:P59" si="40">AK48</f>
        <v>0</v>
      </c>
      <c r="P55" s="359">
        <f t="shared" si="40"/>
        <v>0</v>
      </c>
      <c r="Q55" s="261">
        <f t="shared" ref="Q55:R59" si="41">IF(ABS($L$13-$K$13)&gt;3,IF(ISERROR(VLOOKUP(B55,$AY$58:$BB$80,3,FALSE)),0,(VLOOKUP(B55,$AY$58:$BB$80,3,FALSE)*$AV$78)),IF(ISERROR(VLOOKUP(B55,$AY$58:$BB$80,4,FALSE)),0,(VLOOKUP(B55,$AY$58:$BB$80,4,FALSE)*$AV$78)))</f>
        <v>0</v>
      </c>
      <c r="R55" s="262">
        <f t="shared" si="41"/>
        <v>0</v>
      </c>
      <c r="S55" s="667">
        <f t="shared" ref="S55:T59" si="42">IF($L$19="Não",IF(ISERROR(VLOOKUP(B55,$AM$15:$AR$255,5,FALSE)),0,(VLOOKUP(B55,$AM$15:$AR$255,5,FALSE)*$AV$78)),0)</f>
        <v>0</v>
      </c>
      <c r="T55" s="158">
        <f t="shared" si="42"/>
        <v>0</v>
      </c>
      <c r="U55" s="612"/>
      <c r="V55" s="613" t="str">
        <f>IF($I$23&lt;&gt;0,ABS($L$26*(F57/(2*$I$23))),IF('Registo Calibração'!$I$23&lt;&gt;0,ABS('Registo Calibração'!$L$26*(F57/(2*'Registo Calibração'!$I$23))),IF('3º MR-MI'!$I$23&lt;&gt;0,ABS('3º MR-MI'!$L$26*(F57/(2*'3º MR-MI'!$I$23))),"")))</f>
        <v/>
      </c>
      <c r="W55" s="614">
        <f>IF(V55="",0,(V55)^2/3)</f>
        <v>0</v>
      </c>
      <c r="X55" s="614">
        <f>SQRT(W55)</f>
        <v>0</v>
      </c>
      <c r="Y55" s="614">
        <v>1</v>
      </c>
      <c r="Z55" s="614">
        <v>50</v>
      </c>
      <c r="AA55" s="615">
        <f>IF(V55="",0,(X55*Y55)^2)</f>
        <v>0</v>
      </c>
      <c r="AB55" s="608"/>
      <c r="AC55" s="27"/>
      <c r="AD55" s="609"/>
      <c r="AE55" s="610"/>
      <c r="AF55" s="611"/>
      <c r="AG55" s="6"/>
      <c r="AI55" s="55">
        <f t="shared" si="38"/>
        <v>0</v>
      </c>
      <c r="AJ55" s="61">
        <f t="shared" si="38"/>
        <v>0</v>
      </c>
      <c r="AK55" s="272">
        <f t="shared" si="39"/>
        <v>0</v>
      </c>
      <c r="AL55" s="56">
        <f t="shared" si="39"/>
        <v>0</v>
      </c>
      <c r="AM55" s="498" t="s">
        <v>189</v>
      </c>
      <c r="AN55" s="506">
        <v>200.00018</v>
      </c>
      <c r="AO55" s="490">
        <f>(1/1000)</f>
        <v>1E-3</v>
      </c>
      <c r="AP55" s="507">
        <f t="shared" si="25"/>
        <v>0</v>
      </c>
      <c r="AQ55" s="746"/>
      <c r="AR55" s="362">
        <f t="shared" ref="AR55:AR63" si="43">SQRT((9.38/1000)^2/3)</f>
        <v>5.4155455249986903E-3</v>
      </c>
      <c r="AS55" s="17"/>
      <c r="AT55" s="17"/>
      <c r="AU55" s="17"/>
      <c r="AV55" s="17"/>
      <c r="AW55" s="17"/>
      <c r="AX55" s="17"/>
      <c r="AY55" s="68" t="s">
        <v>151</v>
      </c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</row>
    <row r="56" spans="1:72" s="21" customFormat="1" ht="15" customHeight="1" thickBot="1">
      <c r="A56" s="883"/>
      <c r="B56" s="663"/>
      <c r="C56" s="664"/>
      <c r="D56" s="582"/>
      <c r="E56" s="244"/>
      <c r="F56" s="567"/>
      <c r="G56" s="580">
        <f>G55</f>
        <v>0</v>
      </c>
      <c r="H56" s="207"/>
      <c r="I56" s="208"/>
      <c r="J56" s="208"/>
      <c r="K56" s="210"/>
      <c r="L56" s="209"/>
      <c r="M56" s="312"/>
      <c r="O56" s="355">
        <f t="shared" si="40"/>
        <v>0</v>
      </c>
      <c r="P56" s="359">
        <f t="shared" si="40"/>
        <v>0</v>
      </c>
      <c r="Q56" s="261">
        <f t="shared" si="41"/>
        <v>0</v>
      </c>
      <c r="R56" s="262">
        <f t="shared" si="41"/>
        <v>0</v>
      </c>
      <c r="S56" s="668">
        <f t="shared" si="42"/>
        <v>0</v>
      </c>
      <c r="T56" s="159">
        <f t="shared" si="42"/>
        <v>0</v>
      </c>
      <c r="U56" s="297"/>
      <c r="V56" s="329">
        <f>IF(G56&lt;&gt;"",STDEV(G55:G59),$M$28)</f>
        <v>0</v>
      </c>
      <c r="W56" s="330">
        <f>IF(G56="",V56^2,V56^2/(Z56+1))</f>
        <v>0</v>
      </c>
      <c r="X56" s="330">
        <f>SQRT(W56)</f>
        <v>0</v>
      </c>
      <c r="Y56" s="330">
        <v>1</v>
      </c>
      <c r="Z56" s="330">
        <f>IF(G56="",2,COUNT(G55:G59)-1)</f>
        <v>3</v>
      </c>
      <c r="AA56" s="331">
        <f>(Y56*X56)^2</f>
        <v>0</v>
      </c>
      <c r="AB56" s="79"/>
      <c r="AC56" s="17"/>
      <c r="AD56" s="22"/>
      <c r="AE56" s="23"/>
      <c r="AF56" s="80"/>
      <c r="AG56" s="6">
        <f>IF(I63&gt;0,$C$14,-$C$14)</f>
        <v>0</v>
      </c>
      <c r="AH56" s="19"/>
      <c r="AI56" s="55">
        <f t="shared" si="38"/>
        <v>0</v>
      </c>
      <c r="AJ56" s="61">
        <f t="shared" si="38"/>
        <v>0</v>
      </c>
      <c r="AK56" s="272">
        <f t="shared" si="39"/>
        <v>0</v>
      </c>
      <c r="AL56" s="56">
        <f t="shared" si="39"/>
        <v>0</v>
      </c>
      <c r="AM56" s="498" t="s">
        <v>190</v>
      </c>
      <c r="AN56" s="506">
        <v>500.00130999999999</v>
      </c>
      <c r="AO56" s="490">
        <f>(2.5/1000)</f>
        <v>2.5000000000000001E-3</v>
      </c>
      <c r="AP56" s="536">
        <f t="shared" si="25"/>
        <v>0</v>
      </c>
      <c r="AQ56" s="747"/>
      <c r="AR56" s="362">
        <f t="shared" si="43"/>
        <v>5.4155455249986903E-3</v>
      </c>
      <c r="AS56" s="17"/>
      <c r="AT56" s="17"/>
      <c r="AU56" s="17"/>
      <c r="AV56" s="17"/>
      <c r="AW56" s="17"/>
      <c r="AX56" s="17"/>
      <c r="AY56" s="930" t="s">
        <v>345</v>
      </c>
      <c r="AZ56" s="930"/>
      <c r="BA56" s="930"/>
      <c r="BB56" s="930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</row>
    <row r="57" spans="1:72" s="21" customFormat="1" ht="15" customHeight="1" thickBot="1">
      <c r="A57" s="883"/>
      <c r="B57" s="597"/>
      <c r="C57" s="337"/>
      <c r="D57" s="592" t="str">
        <f>FIXED(MROUND(D55,IF($E$14&lt;&gt;0,$E$14/10,$C$14/10)),$AI$15+1,TRUE)</f>
        <v>0,0</v>
      </c>
      <c r="E57" s="599"/>
      <c r="F57" s="600" t="str">
        <f>FIXED(MROUND(D57,$C$14/10),$AI$15+1,TRUE)</f>
        <v>0,0</v>
      </c>
      <c r="G57" s="580">
        <f>G56</f>
        <v>0</v>
      </c>
      <c r="H57" s="223" t="str">
        <f>IF(OR(D55&lt;&gt;0,E57&lt;&gt;0),AVERAGE(G55:G59),"-------")</f>
        <v>-------</v>
      </c>
      <c r="I57" s="224" t="str">
        <f>IF(OR(D55&lt;&gt;0,E57&lt;&gt;0),(H59-F57),"-------")</f>
        <v>-------</v>
      </c>
      <c r="J57" s="224" t="str">
        <f>IF(OR(B55&lt;&gt;"",E57&lt;&gt;""),ROUNDDOWN(AD58,0),"-------")</f>
        <v>-------</v>
      </c>
      <c r="K57" s="225" t="e">
        <f>IF(G55="===","------",AE58)</f>
        <v>#DIV/0!</v>
      </c>
      <c r="L57" s="225" t="str">
        <f>IF(OR(B55&lt;&gt;"",E57&lt;&gt;""),AF58,"-------")</f>
        <v>-------</v>
      </c>
      <c r="M57" s="313" t="str">
        <f>IF($H$11&lt;&gt;"",FIXED(ROUND((D55*($H$11-$H$10)/$H$10),$AI$15),$AI$15),"")</f>
        <v/>
      </c>
      <c r="O57" s="355">
        <f t="shared" si="40"/>
        <v>0</v>
      </c>
      <c r="P57" s="359">
        <f t="shared" si="40"/>
        <v>0</v>
      </c>
      <c r="Q57" s="261">
        <f t="shared" si="41"/>
        <v>0</v>
      </c>
      <c r="R57" s="262">
        <f t="shared" si="41"/>
        <v>0</v>
      </c>
      <c r="S57" s="668">
        <f t="shared" si="42"/>
        <v>0</v>
      </c>
      <c r="T57" s="159">
        <f t="shared" si="42"/>
        <v>0</v>
      </c>
      <c r="U57" s="297"/>
      <c r="V57" s="366" t="str">
        <f>IF($H$11="","",IF($L$9="SIM",IF(L$11&lt;&gt;K$11,ABS(L$11-K$11)*($D55/J$11),0),ABS($M57)))</f>
        <v/>
      </c>
      <c r="W57" s="363">
        <f>IF(V57="",0,V57^2/3)</f>
        <v>0</v>
      </c>
      <c r="X57" s="363">
        <f>SQRT(W57)</f>
        <v>0</v>
      </c>
      <c r="Y57" s="364">
        <v>1</v>
      </c>
      <c r="Z57" s="365">
        <v>50</v>
      </c>
      <c r="AA57" s="367">
        <f>IF(V57="",0,(X57*Y57)^2)</f>
        <v>0</v>
      </c>
      <c r="AB57" s="79"/>
      <c r="AC57" s="17"/>
      <c r="AD57" s="22"/>
      <c r="AE57" s="23"/>
      <c r="AF57" s="80"/>
      <c r="AG57" s="6"/>
      <c r="AH57" s="27"/>
      <c r="AI57" s="57">
        <f t="shared" si="38"/>
        <v>0</v>
      </c>
      <c r="AJ57" s="62">
        <f t="shared" si="38"/>
        <v>0</v>
      </c>
      <c r="AK57" s="273">
        <f t="shared" si="39"/>
        <v>0</v>
      </c>
      <c r="AL57" s="58">
        <f t="shared" si="39"/>
        <v>0</v>
      </c>
      <c r="AM57" s="498" t="s">
        <v>191</v>
      </c>
      <c r="AN57" s="506">
        <v>1000.0025000000001</v>
      </c>
      <c r="AO57" s="743">
        <f>(5/1000)</f>
        <v>5.0000000000000001E-3</v>
      </c>
      <c r="AP57" s="537">
        <f t="shared" si="25"/>
        <v>0</v>
      </c>
      <c r="AQ57" s="748"/>
      <c r="AR57" s="362">
        <f t="shared" si="43"/>
        <v>5.4155455249986903E-3</v>
      </c>
      <c r="AY57" s="257" t="s">
        <v>252</v>
      </c>
      <c r="AZ57" s="258" t="s">
        <v>302</v>
      </c>
      <c r="BA57" s="253" t="s">
        <v>301</v>
      </c>
      <c r="BB57" s="254" t="s">
        <v>300</v>
      </c>
    </row>
    <row r="58" spans="1:72" s="21" customFormat="1" ht="15" customHeight="1">
      <c r="A58" s="883"/>
      <c r="B58" s="597"/>
      <c r="C58" s="337"/>
      <c r="D58" s="589"/>
      <c r="E58" s="244"/>
      <c r="F58" s="567"/>
      <c r="G58" s="580">
        <f>G57</f>
        <v>0</v>
      </c>
      <c r="H58" s="207"/>
      <c r="I58" s="315"/>
      <c r="J58" s="208"/>
      <c r="K58" s="210"/>
      <c r="L58" s="209"/>
      <c r="M58" s="312"/>
      <c r="O58" s="355">
        <f t="shared" si="40"/>
        <v>0</v>
      </c>
      <c r="P58" s="359">
        <f t="shared" si="40"/>
        <v>0</v>
      </c>
      <c r="Q58" s="261">
        <f t="shared" si="41"/>
        <v>0</v>
      </c>
      <c r="R58" s="262">
        <f t="shared" si="41"/>
        <v>0</v>
      </c>
      <c r="S58" s="668">
        <f t="shared" si="42"/>
        <v>0</v>
      </c>
      <c r="T58" s="159">
        <f t="shared" si="42"/>
        <v>0</v>
      </c>
      <c r="U58" s="297"/>
      <c r="V58" s="606">
        <f>(SUM(O55:O59,P55:P59))</f>
        <v>0</v>
      </c>
      <c r="W58" s="370">
        <f>V58^2/3</f>
        <v>0</v>
      </c>
      <c r="X58" s="370">
        <f>SQRT(W58)</f>
        <v>0</v>
      </c>
      <c r="Y58" s="370">
        <v>1</v>
      </c>
      <c r="Z58" s="370">
        <v>50</v>
      </c>
      <c r="AA58" s="371">
        <f>IF(V58="","",(X58*Y58)^2)</f>
        <v>0</v>
      </c>
      <c r="AB58" s="386">
        <f>SUM($AA$29:$AA$30,AA55:AA60,AA85,AA96)</f>
        <v>0</v>
      </c>
      <c r="AC58" s="17">
        <f>SQRT(AB58)</f>
        <v>0</v>
      </c>
      <c r="AD58" s="283" t="e">
        <f>(AC58^4)/(((($X$29*$Y$29)^4)/$Z$29)+((($X$30*$Y$30)^4)/$Z$30)+((($X$55*$Y$55)^4)/$Z$55)+(((X56*Y56)^4)/Z56)+(((X57*Y57)^4)/Z57)+(((X58*Y58)^4)/Z58)+(((X59*Y59)^4)/Z59)+(((X60*Y60)^4)/Z60)+(((X85*Y85)^4)/Z85)+(((X96*Y96)^4)/Z96))</f>
        <v>#DIV/0!</v>
      </c>
      <c r="AE58" s="23" t="e">
        <f>TINV(0.0455,AD58)</f>
        <v>#DIV/0!</v>
      </c>
      <c r="AF58" s="390" t="e">
        <f>CEILING((AE58*AC58),$C$14/100)</f>
        <v>#DIV/0!</v>
      </c>
      <c r="AG58" s="6"/>
      <c r="AH58" s="19" t="s">
        <v>21</v>
      </c>
      <c r="AI58" s="53">
        <f t="shared" ref="AI58:AJ62" si="44">IF(ISERROR(VLOOKUP(B67,$AM$7:$AO$255,2,FALSE)),0,(VLOOKUP(B67,$AM$7:$AO$255,2,FALSE)*$AV$78))</f>
        <v>0</v>
      </c>
      <c r="AJ58" s="60">
        <f t="shared" si="44"/>
        <v>0</v>
      </c>
      <c r="AK58" s="271">
        <f t="shared" ref="AK58:AL62" si="45">IF(ISERROR(VLOOKUP(B67,$AM$7:$AO$255,3,FALSE)),0,(VLOOKUP(B67,$AM$7:$AO$255,3,FALSE)*$AV$78))</f>
        <v>0</v>
      </c>
      <c r="AL58" s="54">
        <f t="shared" si="45"/>
        <v>0</v>
      </c>
      <c r="AM58" s="503" t="s">
        <v>192</v>
      </c>
      <c r="AN58" s="758">
        <v>2000.0038</v>
      </c>
      <c r="AO58" s="743">
        <f>0.01</f>
        <v>0.01</v>
      </c>
      <c r="AP58" s="507">
        <f t="shared" si="25"/>
        <v>0</v>
      </c>
      <c r="AQ58" s="746"/>
      <c r="AR58" s="362">
        <f t="shared" si="43"/>
        <v>5.4155455249986903E-3</v>
      </c>
      <c r="AS58" s="17">
        <f>SUM(AP128:AP133)</f>
        <v>0</v>
      </c>
      <c r="AT58" s="20" t="s">
        <v>18</v>
      </c>
      <c r="AU58" s="17"/>
      <c r="AV58" s="17"/>
      <c r="AW58" s="17"/>
      <c r="AX58" s="17"/>
      <c r="AY58" s="70">
        <v>10</v>
      </c>
      <c r="AZ58" s="246">
        <v>0.01</v>
      </c>
      <c r="BA58" s="250">
        <f>0.03/1000</f>
        <v>2.9999999999999997E-5</v>
      </c>
      <c r="BB58" s="351">
        <f>0.02/1000</f>
        <v>2.0000000000000002E-5</v>
      </c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</row>
    <row r="59" spans="1:72" s="21" customFormat="1" ht="15" customHeight="1" thickBot="1">
      <c r="A59" s="883"/>
      <c r="B59" s="661"/>
      <c r="C59" s="665"/>
      <c r="D59" s="582"/>
      <c r="E59" s="244"/>
      <c r="F59" s="567"/>
      <c r="G59" s="623">
        <f>G58</f>
        <v>0</v>
      </c>
      <c r="H59" s="306" t="str">
        <f>IF(H57&lt;&gt;"-------",FIXED(IF($E$14&lt;&gt;0,MROUND(H57,$E$14),MROUND(H57,$C$14)),LEN(L59)-2,TRUE),"------")</f>
        <v>------</v>
      </c>
      <c r="I59" s="220" t="str">
        <f>IF(I57&lt;&gt;"-------",FIXED(ROUND(I57,$AI$15),LEN(L59)-2,TRUE),"------")</f>
        <v>------</v>
      </c>
      <c r="J59" s="620" t="str">
        <f>IF(G55="===","------",IF(J57&gt;500,"&gt; 500",J57))</f>
        <v>&gt; 500</v>
      </c>
      <c r="K59" s="624" t="e">
        <f>K57</f>
        <v>#DIV/0!</v>
      </c>
      <c r="L59" s="621" t="str">
        <f>IF(L57&lt;&gt;"-------",BF14,"------")</f>
        <v>------</v>
      </c>
      <c r="M59" s="312"/>
      <c r="O59" s="355">
        <f t="shared" si="40"/>
        <v>0</v>
      </c>
      <c r="P59" s="359">
        <f t="shared" si="40"/>
        <v>0</v>
      </c>
      <c r="Q59" s="261">
        <f t="shared" si="41"/>
        <v>0</v>
      </c>
      <c r="R59" s="262">
        <f t="shared" si="41"/>
        <v>0</v>
      </c>
      <c r="S59" s="668">
        <f t="shared" si="42"/>
        <v>0</v>
      </c>
      <c r="T59" s="159">
        <f t="shared" si="42"/>
        <v>0</v>
      </c>
      <c r="U59" s="297"/>
      <c r="V59" s="333">
        <f>IF($L$19="sim",SUM(O55:P59)/4,SUM(S55:T59))</f>
        <v>0</v>
      </c>
      <c r="W59" s="334">
        <f>IF(V59="","",V59^2/3)</f>
        <v>0</v>
      </c>
      <c r="X59" s="334">
        <f>IF($L$19="Sim",SQRT(W59),SUM(S55:T59))</f>
        <v>0</v>
      </c>
      <c r="Y59" s="334">
        <v>1</v>
      </c>
      <c r="Z59" s="334">
        <v>50</v>
      </c>
      <c r="AA59" s="335">
        <f>(X59*Y59)^2</f>
        <v>0</v>
      </c>
      <c r="AB59" s="79"/>
      <c r="AC59" s="17"/>
      <c r="AD59" s="22"/>
      <c r="AE59" s="23"/>
      <c r="AF59" s="80"/>
      <c r="AG59" s="6"/>
      <c r="AH59" s="19"/>
      <c r="AI59" s="55">
        <f t="shared" si="44"/>
        <v>0</v>
      </c>
      <c r="AJ59" s="61">
        <f t="shared" si="44"/>
        <v>0</v>
      </c>
      <c r="AK59" s="272">
        <f t="shared" si="45"/>
        <v>0</v>
      </c>
      <c r="AL59" s="56">
        <f t="shared" si="45"/>
        <v>0</v>
      </c>
      <c r="AM59" s="499" t="s">
        <v>193</v>
      </c>
      <c r="AN59" s="758">
        <v>2000.0047</v>
      </c>
      <c r="AO59" s="743">
        <f>0.01</f>
        <v>0.01</v>
      </c>
      <c r="AP59" s="507">
        <f t="shared" si="25"/>
        <v>0</v>
      </c>
      <c r="AQ59" s="746"/>
      <c r="AR59" s="362">
        <f t="shared" si="43"/>
        <v>5.4155455249986903E-3</v>
      </c>
      <c r="AS59" s="17"/>
      <c r="AT59" s="339"/>
      <c r="AU59" s="979" t="s">
        <v>20</v>
      </c>
      <c r="AV59" s="980"/>
      <c r="AW59" s="435"/>
      <c r="AX59" s="17"/>
      <c r="AY59" s="66" t="s">
        <v>183</v>
      </c>
      <c r="AZ59" s="247">
        <v>0.01</v>
      </c>
      <c r="BA59" s="251">
        <f>0.03/1000</f>
        <v>2.9999999999999997E-5</v>
      </c>
      <c r="BB59" s="352">
        <f>0.02/1000</f>
        <v>2.0000000000000002E-5</v>
      </c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</row>
    <row r="60" spans="1:72" s="21" customFormat="1" ht="15" customHeight="1" thickBot="1">
      <c r="A60" s="884"/>
      <c r="B60" s="637"/>
      <c r="C60" s="626"/>
      <c r="D60" s="591"/>
      <c r="E60" s="627"/>
      <c r="F60" s="847"/>
      <c r="G60" s="628"/>
      <c r="H60" s="629"/>
      <c r="I60" s="630"/>
      <c r="J60" s="630"/>
      <c r="K60" s="631"/>
      <c r="L60" s="639"/>
      <c r="M60" s="633"/>
      <c r="O60" s="634"/>
      <c r="P60" s="635"/>
      <c r="Q60" s="634"/>
      <c r="R60" s="635"/>
      <c r="S60" s="636"/>
      <c r="T60" s="635"/>
      <c r="U60" s="640"/>
      <c r="V60" s="372">
        <f>SUM(Q55:R59)</f>
        <v>0</v>
      </c>
      <c r="W60" s="373">
        <f>IF(V60="","",V60^2/3)</f>
        <v>0</v>
      </c>
      <c r="X60" s="373">
        <f>SQRT(W60)</f>
        <v>0</v>
      </c>
      <c r="Y60" s="373">
        <v>1</v>
      </c>
      <c r="Z60" s="373">
        <v>50</v>
      </c>
      <c r="AA60" s="374">
        <f>IF(V60="","",(X60*Y60)^2)</f>
        <v>0</v>
      </c>
      <c r="AB60" s="322"/>
      <c r="AC60" s="24"/>
      <c r="AD60" s="25"/>
      <c r="AE60" s="26"/>
      <c r="AF60" s="323"/>
      <c r="AG60" s="6"/>
      <c r="AI60" s="55">
        <f t="shared" si="44"/>
        <v>0</v>
      </c>
      <c r="AJ60" s="61">
        <f t="shared" si="44"/>
        <v>0</v>
      </c>
      <c r="AK60" s="272">
        <f t="shared" si="45"/>
        <v>0</v>
      </c>
      <c r="AL60" s="56">
        <f t="shared" si="45"/>
        <v>0</v>
      </c>
      <c r="AM60" s="504" t="s">
        <v>194</v>
      </c>
      <c r="AN60" s="512">
        <v>5000.0036</v>
      </c>
      <c r="AO60" s="745">
        <f>0.025</f>
        <v>2.5000000000000001E-2</v>
      </c>
      <c r="AP60" s="538">
        <f t="shared" si="25"/>
        <v>0</v>
      </c>
      <c r="AQ60" s="747"/>
      <c r="AR60" s="362">
        <f t="shared" si="43"/>
        <v>5.4155455249986903E-3</v>
      </c>
      <c r="AS60" s="17"/>
      <c r="AT60" s="339"/>
      <c r="AU60" s="340" t="s">
        <v>341</v>
      </c>
      <c r="AV60" s="340">
        <v>9.8066499999999994</v>
      </c>
      <c r="AW60" s="435"/>
      <c r="AX60" s="17"/>
      <c r="AY60" s="66">
        <v>20</v>
      </c>
      <c r="AZ60" s="247">
        <v>0.02</v>
      </c>
      <c r="BA60" s="251">
        <f>0.05/1000</f>
        <v>5.0000000000000002E-5</v>
      </c>
      <c r="BB60" s="352">
        <f>0.03/1000</f>
        <v>2.9999999999999997E-5</v>
      </c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</row>
    <row r="61" spans="1:72" s="21" customFormat="1" ht="15" customHeight="1">
      <c r="A61" s="882">
        <v>6</v>
      </c>
      <c r="B61" s="596"/>
      <c r="C61" s="659"/>
      <c r="D61" s="588">
        <f>IF(E63="",SUM(AI53:AI57,AJ53:AJ57),SUM(AI53:AI57,AJ53:AJ57)-I57)</f>
        <v>0</v>
      </c>
      <c r="E61" s="244"/>
      <c r="F61" s="567"/>
      <c r="G61" s="579"/>
      <c r="H61" s="207"/>
      <c r="I61" s="208"/>
      <c r="J61" s="208"/>
      <c r="K61" s="210"/>
      <c r="L61" s="209"/>
      <c r="M61" s="312"/>
      <c r="O61" s="355">
        <f t="shared" ref="O61:P65" si="46">AK53</f>
        <v>0</v>
      </c>
      <c r="P61" s="359">
        <f t="shared" si="46"/>
        <v>0</v>
      </c>
      <c r="Q61" s="261">
        <f t="shared" ref="Q61:R65" si="47">IF(ABS($L$13-$K$13)&gt;3,IF(ISERROR(VLOOKUP(B61,$AY$58:$BB$80,3,FALSE)),0,(VLOOKUP(B61,$AY$58:$BB$80,3,FALSE)*$AV$78)),IF(ISERROR(VLOOKUP(B61,$AY$58:$BB$80,4,FALSE)),0,(VLOOKUP(B61,$AY$58:$BB$80,4,FALSE)*$AV$78)))</f>
        <v>0</v>
      </c>
      <c r="R61" s="262">
        <f t="shared" si="47"/>
        <v>0</v>
      </c>
      <c r="S61" s="667">
        <f t="shared" ref="S61:T65" si="48">IF($L$19="Não",IF(ISERROR(VLOOKUP(B61,$AM$15:$AR$255,5,FALSE)),0,(VLOOKUP(B61,$AM$15:$AR$255,5,FALSE)*$AV$78)),0)</f>
        <v>0</v>
      </c>
      <c r="T61" s="158">
        <f t="shared" si="48"/>
        <v>0</v>
      </c>
      <c r="U61" s="612"/>
      <c r="V61" s="613" t="str">
        <f>IF($I$23&lt;&gt;0,ABS($L$26*(F63/(2*$I$23))),IF('Registo Calibração'!$I$23&lt;&gt;0,ABS('Registo Calibração'!$L$26*(F63/(2*'Registo Calibração'!$I$23))),IF('3º MR-MI'!$I$23&lt;&gt;0,ABS('3º MR-MI'!$L$26*(F63/(2*'3º MR-MI'!$I$23))),"")))</f>
        <v/>
      </c>
      <c r="W61" s="614">
        <f>IF(V61="",0,(V61)^2/3)</f>
        <v>0</v>
      </c>
      <c r="X61" s="614">
        <f>SQRT(W61)</f>
        <v>0</v>
      </c>
      <c r="Y61" s="614">
        <v>1</v>
      </c>
      <c r="Z61" s="614">
        <v>50</v>
      </c>
      <c r="AA61" s="615">
        <f>IF(V61="",0,(X61*Y61)^2)</f>
        <v>0</v>
      </c>
      <c r="AB61" s="79"/>
      <c r="AC61" s="17"/>
      <c r="AD61" s="22"/>
      <c r="AE61" s="23"/>
      <c r="AF61" s="80"/>
      <c r="AG61" s="6">
        <f>IF(I69&gt;0,$C$14,-$C$14)</f>
        <v>0</v>
      </c>
      <c r="AH61" s="19"/>
      <c r="AI61" s="55">
        <f t="shared" si="44"/>
        <v>0</v>
      </c>
      <c r="AJ61" s="61">
        <f t="shared" si="44"/>
        <v>0</v>
      </c>
      <c r="AK61" s="272">
        <f t="shared" si="45"/>
        <v>0</v>
      </c>
      <c r="AL61" s="56">
        <f t="shared" si="45"/>
        <v>0</v>
      </c>
      <c r="AM61" s="543" t="s">
        <v>523</v>
      </c>
      <c r="AN61" s="532" t="s">
        <v>380</v>
      </c>
      <c r="AO61" s="539" t="str">
        <f>IF(AP61=0,"NÃO","SIM")</f>
        <v>NÃO</v>
      </c>
      <c r="AP61" s="540">
        <f>IF(ISERROR(AP62),AP62,AP62)</f>
        <v>0</v>
      </c>
      <c r="AQ61" s="540"/>
      <c r="AR61" s="442"/>
      <c r="AS61" s="17"/>
      <c r="AT61" s="341">
        <v>1</v>
      </c>
      <c r="AU61" s="162" t="s">
        <v>22</v>
      </c>
      <c r="AV61" s="342">
        <v>1E-3</v>
      </c>
      <c r="AW61" s="436"/>
      <c r="AX61" s="17"/>
      <c r="AY61" s="65" t="s">
        <v>47</v>
      </c>
      <c r="AZ61" s="247">
        <v>0.02</v>
      </c>
      <c r="BA61" s="251">
        <f>0.05/1000</f>
        <v>5.0000000000000002E-5</v>
      </c>
      <c r="BB61" s="352">
        <f>0.03/1000</f>
        <v>2.9999999999999997E-5</v>
      </c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17"/>
    </row>
    <row r="62" spans="1:72" s="21" customFormat="1" ht="15" customHeight="1" thickBot="1">
      <c r="A62" s="883"/>
      <c r="B62" s="597"/>
      <c r="C62" s="660"/>
      <c r="D62" s="587"/>
      <c r="E62" s="244"/>
      <c r="F62" s="567"/>
      <c r="G62" s="580">
        <f>G61</f>
        <v>0</v>
      </c>
      <c r="H62" s="207"/>
      <c r="I62" s="208"/>
      <c r="J62" s="208"/>
      <c r="K62" s="210"/>
      <c r="L62" s="209"/>
      <c r="M62" s="312"/>
      <c r="O62" s="355">
        <f t="shared" si="46"/>
        <v>0</v>
      </c>
      <c r="P62" s="359">
        <f t="shared" si="46"/>
        <v>0</v>
      </c>
      <c r="Q62" s="261">
        <f t="shared" si="47"/>
        <v>0</v>
      </c>
      <c r="R62" s="262">
        <f t="shared" si="47"/>
        <v>0</v>
      </c>
      <c r="S62" s="668">
        <f t="shared" si="48"/>
        <v>0</v>
      </c>
      <c r="T62" s="159">
        <f t="shared" si="48"/>
        <v>0</v>
      </c>
      <c r="U62" s="297"/>
      <c r="V62" s="329">
        <f>IF(G62&lt;&gt;"",STDEV(G61:G65),$M$28)</f>
        <v>0</v>
      </c>
      <c r="W62" s="330">
        <f>IF(G62="",V62^2,V62^2/(Z62+1))</f>
        <v>0</v>
      </c>
      <c r="X62" s="330">
        <f>SQRT(W62)</f>
        <v>0</v>
      </c>
      <c r="Y62" s="330">
        <v>1</v>
      </c>
      <c r="Z62" s="330">
        <f>IF(G62="",2,COUNT(G61:G65)-1)</f>
        <v>3</v>
      </c>
      <c r="AA62" s="331">
        <f>(Y62*X62)^2</f>
        <v>0</v>
      </c>
      <c r="AB62" s="79"/>
      <c r="AC62" s="17"/>
      <c r="AD62" s="22"/>
      <c r="AE62" s="23"/>
      <c r="AF62" s="80"/>
      <c r="AG62" s="6"/>
      <c r="AH62" s="27"/>
      <c r="AI62" s="57">
        <f t="shared" si="44"/>
        <v>0</v>
      </c>
      <c r="AJ62" s="62">
        <f t="shared" si="44"/>
        <v>0</v>
      </c>
      <c r="AK62" s="273">
        <f t="shared" si="45"/>
        <v>0</v>
      </c>
      <c r="AL62" s="58">
        <f t="shared" si="45"/>
        <v>0</v>
      </c>
      <c r="AM62" s="499" t="s">
        <v>195</v>
      </c>
      <c r="AN62" s="512">
        <v>9999.9950000000008</v>
      </c>
      <c r="AO62" s="745">
        <f>0.05</f>
        <v>0.05</v>
      </c>
      <c r="AP62" s="538">
        <f>IF(ISERROR(MATCH(AM62,$B$32:$B$77,0)),0,(MATCH(AM62,$B$32:$B$77,0)))+IF(ISERROR(MATCH(AM62,$C$32:$C$77,0)),0,(MATCH(AM62,$C$32:$C$77,0)))</f>
        <v>0</v>
      </c>
      <c r="AQ62" s="747"/>
      <c r="AR62" s="362">
        <f t="shared" si="43"/>
        <v>5.4155455249986903E-3</v>
      </c>
      <c r="AS62" s="17"/>
      <c r="AT62" s="341">
        <v>2</v>
      </c>
      <c r="AU62" s="162" t="s">
        <v>24</v>
      </c>
      <c r="AV62" s="342">
        <v>1</v>
      </c>
      <c r="AW62" s="436"/>
      <c r="AY62" s="65" t="s">
        <v>184</v>
      </c>
      <c r="AZ62" s="248">
        <v>0.02</v>
      </c>
      <c r="BA62" s="252">
        <f>0.05/1000</f>
        <v>5.0000000000000002E-5</v>
      </c>
      <c r="BB62" s="352">
        <f>0.03/1000</f>
        <v>2.9999999999999997E-5</v>
      </c>
    </row>
    <row r="63" spans="1:72" s="21" customFormat="1" ht="15" customHeight="1" thickBot="1">
      <c r="A63" s="883"/>
      <c r="B63" s="597"/>
      <c r="C63" s="660"/>
      <c r="D63" s="592" t="str">
        <f>FIXED(MROUND(D61,IF($E$14&lt;&gt;0,$E$14/10,$C$14/10)),$AI$15+1,TRUE)</f>
        <v>0,0</v>
      </c>
      <c r="E63" s="599"/>
      <c r="F63" s="600" t="str">
        <f>FIXED(MROUND(D63,$C$14/10),$AI$15+1,TRUE)</f>
        <v>0,0</v>
      </c>
      <c r="G63" s="580">
        <f>G62</f>
        <v>0</v>
      </c>
      <c r="H63" s="223" t="str">
        <f>IF(OR(D61&lt;&gt;0,E63&lt;&gt;0),AVERAGE(G61:G65),"-------")</f>
        <v>-------</v>
      </c>
      <c r="I63" s="224" t="str">
        <f>IF(OR(D61&lt;&gt;0,E63&lt;&gt;0),(H65-F63),"-------")</f>
        <v>-------</v>
      </c>
      <c r="J63" s="224" t="str">
        <f>IF(OR(B61&lt;&gt;"",E63&lt;&gt;""),ROUNDDOWN(AD64,0),"-------")</f>
        <v>-------</v>
      </c>
      <c r="K63" s="225" t="e">
        <f>IF(G61="===","------",AE64)</f>
        <v>#DIV/0!</v>
      </c>
      <c r="L63" s="225" t="str">
        <f>IF(OR(B61&lt;&gt;"",E63&lt;&gt;""),AF64,"-------")</f>
        <v>-------</v>
      </c>
      <c r="M63" s="313" t="str">
        <f>IF($H$11&lt;&gt;"",FIXED(ROUND((D61*($H$11-$H$10)/$H$10),$AI$15),$AI$15),"")</f>
        <v/>
      </c>
      <c r="O63" s="355">
        <f t="shared" si="46"/>
        <v>0</v>
      </c>
      <c r="P63" s="359">
        <f t="shared" si="46"/>
        <v>0</v>
      </c>
      <c r="Q63" s="261">
        <f t="shared" si="47"/>
        <v>0</v>
      </c>
      <c r="R63" s="262">
        <f t="shared" si="47"/>
        <v>0</v>
      </c>
      <c r="S63" s="668">
        <f t="shared" si="48"/>
        <v>0</v>
      </c>
      <c r="T63" s="159">
        <f t="shared" si="48"/>
        <v>0</v>
      </c>
      <c r="U63" s="297"/>
      <c r="V63" s="366" t="str">
        <f>IF($H$11="","",IF($L$9="SIM",IF(L$11&lt;&gt;K$11,ABS(L$11-K$11)*($D61/J$11),0),ABS($M63)))</f>
        <v/>
      </c>
      <c r="W63" s="363">
        <f>IF(V63="",0,V63^2/3)</f>
        <v>0</v>
      </c>
      <c r="X63" s="363">
        <f>SQRT(W63)</f>
        <v>0</v>
      </c>
      <c r="Y63" s="364">
        <v>1</v>
      </c>
      <c r="Z63" s="365">
        <v>50</v>
      </c>
      <c r="AA63" s="367">
        <f>IF(V63="",0,(X63*Y63)^2)</f>
        <v>0</v>
      </c>
      <c r="AB63" s="79"/>
      <c r="AC63" s="17"/>
      <c r="AD63" s="22"/>
      <c r="AE63" s="23"/>
      <c r="AF63" s="80"/>
      <c r="AG63" s="6"/>
      <c r="AH63" s="19" t="s">
        <v>28</v>
      </c>
      <c r="AI63" s="53">
        <f t="shared" ref="AI63:AJ67" si="49">IF(ISERROR(VLOOKUP(B73,$AM$7:$AO$255,2,FALSE)),0,(VLOOKUP(B73,$AM$7:$AO$255,2,FALSE)*$AV$78))</f>
        <v>0</v>
      </c>
      <c r="AJ63" s="60">
        <f t="shared" si="49"/>
        <v>0</v>
      </c>
      <c r="AK63" s="271">
        <f t="shared" ref="AK63:AL67" si="50">IF(ISERROR(VLOOKUP(B73,$AM$7:$AO$255,3,FALSE)),0,(VLOOKUP(B73,$AM$7:$AO$255,3,FALSE)*$AV$78))</f>
        <v>0</v>
      </c>
      <c r="AL63" s="54">
        <f t="shared" si="50"/>
        <v>0</v>
      </c>
      <c r="AM63" s="501" t="s">
        <v>196</v>
      </c>
      <c r="AN63" s="512">
        <v>20000.008000000002</v>
      </c>
      <c r="AO63" s="745">
        <f>0.1</f>
        <v>0.1</v>
      </c>
      <c r="AP63" s="511">
        <f>IF(ISERROR(MATCH(AM63,$B$32:$B$77,0)),0,(MATCH(AM63,$B$32:$B$77,0)))+IF(ISERROR(MATCH(AM63,$C$32:$C$77,0)),0,(MATCH(AM63,$C$32:$C$77,0)))</f>
        <v>0</v>
      </c>
      <c r="AQ63" s="534"/>
      <c r="AR63" s="362">
        <f t="shared" si="43"/>
        <v>5.4155455249986903E-3</v>
      </c>
      <c r="AS63" s="17"/>
      <c r="AT63" s="343">
        <v>3</v>
      </c>
      <c r="AU63" s="162" t="s">
        <v>0</v>
      </c>
      <c r="AV63" s="342">
        <v>1000</v>
      </c>
      <c r="AW63" s="436"/>
      <c r="AX63" s="17"/>
      <c r="AY63" s="65" t="s">
        <v>185</v>
      </c>
      <c r="AZ63" s="247">
        <v>0.02</v>
      </c>
      <c r="BA63" s="251">
        <f>0.05/1000</f>
        <v>5.0000000000000002E-5</v>
      </c>
      <c r="BB63" s="352">
        <f>0.03/1000</f>
        <v>2.9999999999999997E-5</v>
      </c>
      <c r="BC63" s="17"/>
      <c r="BD63" s="17"/>
      <c r="BE63" s="17"/>
      <c r="BF63" s="17"/>
      <c r="BG63" s="17"/>
      <c r="BH63" s="17"/>
      <c r="BI63" s="17"/>
      <c r="BJ63" s="17"/>
      <c r="BK63" s="17"/>
      <c r="BL63" s="17"/>
      <c r="BM63" s="17"/>
      <c r="BN63" s="17"/>
      <c r="BO63" s="17"/>
      <c r="BP63" s="17"/>
      <c r="BQ63" s="17"/>
      <c r="BR63" s="17"/>
      <c r="BS63" s="17"/>
      <c r="BT63" s="17"/>
    </row>
    <row r="64" spans="1:72" s="21" customFormat="1" ht="15" customHeight="1">
      <c r="A64" s="883"/>
      <c r="B64" s="597"/>
      <c r="C64" s="660"/>
      <c r="D64" s="587"/>
      <c r="E64" s="244"/>
      <c r="F64" s="567"/>
      <c r="G64" s="580">
        <f>G63</f>
        <v>0</v>
      </c>
      <c r="H64" s="207"/>
      <c r="I64" s="315"/>
      <c r="J64" s="208"/>
      <c r="K64" s="210"/>
      <c r="L64" s="209"/>
      <c r="M64" s="312"/>
      <c r="O64" s="355">
        <f t="shared" si="46"/>
        <v>0</v>
      </c>
      <c r="P64" s="359">
        <f t="shared" si="46"/>
        <v>0</v>
      </c>
      <c r="Q64" s="261">
        <f t="shared" si="47"/>
        <v>0</v>
      </c>
      <c r="R64" s="262">
        <f t="shared" si="47"/>
        <v>0</v>
      </c>
      <c r="S64" s="668">
        <f t="shared" si="48"/>
        <v>0</v>
      </c>
      <c r="T64" s="159">
        <f t="shared" si="48"/>
        <v>0</v>
      </c>
      <c r="U64" s="297"/>
      <c r="V64" s="606">
        <f>(SUM(O61:O65,P61:P65))</f>
        <v>0</v>
      </c>
      <c r="W64" s="370">
        <f>V64^2/3</f>
        <v>0</v>
      </c>
      <c r="X64" s="370">
        <f>SQRT(W64)</f>
        <v>0</v>
      </c>
      <c r="Y64" s="370">
        <v>1</v>
      </c>
      <c r="Z64" s="370">
        <v>50</v>
      </c>
      <c r="AA64" s="371">
        <f>IF(V64="","",(X64*Y64)^2)</f>
        <v>0</v>
      </c>
      <c r="AB64" s="386">
        <f>SUM($AA$29:$AA$30,AA61:AA66,AA86,AA97)</f>
        <v>0</v>
      </c>
      <c r="AC64" s="17">
        <f>SQRT(AB64)</f>
        <v>0</v>
      </c>
      <c r="AD64" s="283" t="e">
        <f>(AC64^4)/(((($X$29*$Y$29)^4)/$Z$29)+((($X$30*$Y$30)^4)/$Z$30)+((($X$61*$Y$61)^4)/$Z$61)+(((X61*Y61)^4)/Z61)+(((X63*Y63)^4)/Z63)+(((X64*Y64)^4)/Z64)+(((X65*Y65)^4)/Z65)+(((X66*Y66)^4)/Z66)+(((X86*Y86)^4)/Z86)+(((X97*Y97)^4)/Z97))</f>
        <v>#DIV/0!</v>
      </c>
      <c r="AE64" s="23" t="e">
        <f>TINV(0.0455,AD64)</f>
        <v>#DIV/0!</v>
      </c>
      <c r="AF64" s="390" t="e">
        <f>CEILING((AE64*AC64),$C$14/100)</f>
        <v>#DIV/0!</v>
      </c>
      <c r="AG64" s="6"/>
      <c r="AH64" s="19"/>
      <c r="AI64" s="55">
        <f t="shared" si="49"/>
        <v>0</v>
      </c>
      <c r="AJ64" s="61">
        <f t="shared" si="49"/>
        <v>0</v>
      </c>
      <c r="AK64" s="272">
        <f t="shared" si="50"/>
        <v>0</v>
      </c>
      <c r="AL64" s="56">
        <f t="shared" si="50"/>
        <v>0</v>
      </c>
      <c r="AM64" s="541" t="s">
        <v>563</v>
      </c>
      <c r="AN64" s="542" t="s">
        <v>381</v>
      </c>
      <c r="AO64" s="530" t="str">
        <f>IF(AP64=0,"NÃO","SIM")</f>
        <v>NÃO</v>
      </c>
      <c r="AP64" s="531">
        <f>IF(ISERROR(SUM(AP65:AP119)),SUM(AP65:AP119),SUM(AP65:AP119))</f>
        <v>0</v>
      </c>
      <c r="AQ64" s="746"/>
      <c r="AR64" s="93"/>
      <c r="AT64" s="341">
        <v>4</v>
      </c>
      <c r="AU64" s="162" t="s">
        <v>27</v>
      </c>
      <c r="AV64" s="342">
        <f>AV66*1000</f>
        <v>9.8066499999999994</v>
      </c>
      <c r="AW64" s="436"/>
      <c r="AX64" s="17"/>
      <c r="AY64" s="65">
        <v>50</v>
      </c>
      <c r="AZ64" s="247">
        <v>0.05</v>
      </c>
      <c r="BA64" s="251">
        <f>0.09/1000</f>
        <v>8.9999999999999992E-5</v>
      </c>
      <c r="BB64" s="352">
        <f>0.06/1000</f>
        <v>5.9999999999999995E-5</v>
      </c>
      <c r="BC64" s="17"/>
      <c r="BD64" s="17"/>
      <c r="BE64" s="17"/>
      <c r="BF64" s="17"/>
      <c r="BG64" s="17"/>
      <c r="BH64" s="17"/>
      <c r="BI64" s="17"/>
      <c r="BJ64" s="17"/>
      <c r="BK64" s="17"/>
      <c r="BL64" s="17"/>
      <c r="BM64" s="17"/>
      <c r="BN64" s="17"/>
      <c r="BO64" s="17"/>
      <c r="BP64" s="17"/>
      <c r="BQ64" s="17"/>
      <c r="BR64" s="17"/>
      <c r="BS64" s="17"/>
      <c r="BT64" s="17"/>
    </row>
    <row r="65" spans="1:75" s="21" customFormat="1" ht="15" customHeight="1" thickBot="1">
      <c r="A65" s="883"/>
      <c r="B65" s="661"/>
      <c r="C65" s="662"/>
      <c r="D65" s="582"/>
      <c r="E65" s="244"/>
      <c r="F65" s="567"/>
      <c r="G65" s="623">
        <f>G64</f>
        <v>0</v>
      </c>
      <c r="H65" s="306" t="str">
        <f>IF(H63&lt;&gt;"-------",FIXED(IF($E$14&lt;&gt;0,MROUND(H63,$E$14),MROUND(H63,$C$14)),LEN(L65)-2,TRUE),"------")</f>
        <v>------</v>
      </c>
      <c r="I65" s="220" t="str">
        <f>IF(I63&lt;&gt;"-------",FIXED(ROUND(I63,$AI$15),LEN(L65)-2,TRUE),"------")</f>
        <v>------</v>
      </c>
      <c r="J65" s="620" t="str">
        <f>IF(G61="===","------",IF(J63&gt;500,"&gt; 500",J63))</f>
        <v>&gt; 500</v>
      </c>
      <c r="K65" s="624" t="e">
        <f>K63</f>
        <v>#DIV/0!</v>
      </c>
      <c r="L65" s="621" t="str">
        <f>IF(L63&lt;&gt;"-------",BF15,"------")</f>
        <v>------</v>
      </c>
      <c r="M65" s="312"/>
      <c r="O65" s="355">
        <f t="shared" si="46"/>
        <v>0</v>
      </c>
      <c r="P65" s="359">
        <f t="shared" si="46"/>
        <v>0</v>
      </c>
      <c r="Q65" s="261">
        <f t="shared" si="47"/>
        <v>0</v>
      </c>
      <c r="R65" s="262">
        <f t="shared" si="47"/>
        <v>0</v>
      </c>
      <c r="S65" s="668">
        <f t="shared" si="48"/>
        <v>0</v>
      </c>
      <c r="T65" s="159">
        <f t="shared" si="48"/>
        <v>0</v>
      </c>
      <c r="U65" s="297"/>
      <c r="V65" s="333">
        <f>IF($L$19="sim",SUM(O61:P65)/4,SUM(S61:T65))</f>
        <v>0</v>
      </c>
      <c r="W65" s="334">
        <f>IF(V65="","",V65^2/3)</f>
        <v>0</v>
      </c>
      <c r="X65" s="334">
        <f>IF($L$19="Sim",SQRT(W65),SUM(S61:T65))</f>
        <v>0</v>
      </c>
      <c r="Y65" s="334">
        <v>1</v>
      </c>
      <c r="Z65" s="334">
        <v>50</v>
      </c>
      <c r="AA65" s="335">
        <f>(X65*Y65)^2</f>
        <v>0</v>
      </c>
      <c r="AB65" s="79"/>
      <c r="AC65" s="17"/>
      <c r="AD65" s="22"/>
      <c r="AE65" s="23"/>
      <c r="AF65" s="80"/>
      <c r="AG65" s="6"/>
      <c r="AI65" s="55">
        <f t="shared" si="49"/>
        <v>0</v>
      </c>
      <c r="AJ65" s="61">
        <f t="shared" si="49"/>
        <v>0</v>
      </c>
      <c r="AK65" s="272">
        <f t="shared" si="50"/>
        <v>0</v>
      </c>
      <c r="AL65" s="56">
        <f t="shared" si="50"/>
        <v>0</v>
      </c>
      <c r="AM65" s="505" t="s">
        <v>14</v>
      </c>
      <c r="AN65" s="506">
        <v>20000</v>
      </c>
      <c r="AO65" s="490">
        <f>1*1</f>
        <v>1</v>
      </c>
      <c r="AP65" s="507">
        <f t="shared" ref="AP65:AP96" si="51">IF(ISERROR(MATCH(AM65,$B$32:$B$77,0)),0,(MATCH(AM65,$B$32:$B$77,0)))+IF(ISERROR(MATCH(AM65,$C$32:$C$77,0)),0,(MATCH(AM65,$C$32:$C$77,0)))</f>
        <v>0</v>
      </c>
      <c r="AQ65" s="746"/>
      <c r="AR65" s="362">
        <f>SQRT((15.88/1000)^2/3)</f>
        <v>9.1683222747312582E-3</v>
      </c>
      <c r="AS65" s="17"/>
      <c r="AT65" s="341">
        <v>5</v>
      </c>
      <c r="AU65" s="162" t="s">
        <v>30</v>
      </c>
      <c r="AV65" s="342">
        <f>AV66*100</f>
        <v>0.98066500000000001</v>
      </c>
      <c r="AW65" s="436"/>
      <c r="AX65" s="17"/>
      <c r="AY65" s="65" t="s">
        <v>186</v>
      </c>
      <c r="AZ65" s="247">
        <v>0.05</v>
      </c>
      <c r="BA65" s="251">
        <f>0.09/1000</f>
        <v>8.9999999999999992E-5</v>
      </c>
      <c r="BB65" s="352">
        <f>0.06/1000</f>
        <v>5.9999999999999995E-5</v>
      </c>
      <c r="BC65" s="17"/>
      <c r="BD65" s="17"/>
      <c r="BE65" s="17"/>
      <c r="BF65" s="17"/>
      <c r="BG65" s="17"/>
      <c r="BH65" s="17"/>
      <c r="BI65" s="17"/>
      <c r="BJ65" s="17"/>
      <c r="BK65" s="17"/>
      <c r="BL65" s="17"/>
      <c r="BM65" s="17"/>
      <c r="BN65" s="17"/>
      <c r="BO65" s="17"/>
      <c r="BP65" s="17"/>
      <c r="BQ65" s="17"/>
      <c r="BR65" s="17"/>
      <c r="BS65" s="17"/>
      <c r="BT65" s="17"/>
    </row>
    <row r="66" spans="1:75" s="21" customFormat="1" ht="15" customHeight="1" thickBot="1">
      <c r="A66" s="884"/>
      <c r="B66" s="637"/>
      <c r="C66" s="626"/>
      <c r="D66" s="591"/>
      <c r="E66" s="627"/>
      <c r="F66" s="847"/>
      <c r="G66" s="628"/>
      <c r="H66" s="629"/>
      <c r="I66" s="630"/>
      <c r="J66" s="630"/>
      <c r="K66" s="631"/>
      <c r="L66" s="639"/>
      <c r="M66" s="633"/>
      <c r="O66" s="634"/>
      <c r="P66" s="635"/>
      <c r="Q66" s="634"/>
      <c r="R66" s="635"/>
      <c r="S66" s="636"/>
      <c r="T66" s="635"/>
      <c r="U66" s="640"/>
      <c r="V66" s="372">
        <f>SUM(Q61:R65)</f>
        <v>0</v>
      </c>
      <c r="W66" s="373">
        <f>IF(V66="","",V66^2/3)</f>
        <v>0</v>
      </c>
      <c r="X66" s="373">
        <f>SQRT(W66)</f>
        <v>0</v>
      </c>
      <c r="Y66" s="373">
        <v>1</v>
      </c>
      <c r="Z66" s="373">
        <v>50</v>
      </c>
      <c r="AA66" s="374">
        <f>IF(V66="","",(X66*Y66)^2)</f>
        <v>0</v>
      </c>
      <c r="AB66" s="322"/>
      <c r="AC66" s="24"/>
      <c r="AD66" s="25"/>
      <c r="AE66" s="26"/>
      <c r="AF66" s="323"/>
      <c r="AG66" s="6">
        <f>IF(I75&gt;0,$C$14,-$C$14)</f>
        <v>0</v>
      </c>
      <c r="AH66" s="19"/>
      <c r="AI66" s="55">
        <f t="shared" si="49"/>
        <v>0</v>
      </c>
      <c r="AJ66" s="61">
        <f t="shared" si="49"/>
        <v>0</v>
      </c>
      <c r="AK66" s="272">
        <f t="shared" si="50"/>
        <v>0</v>
      </c>
      <c r="AL66" s="56">
        <f t="shared" si="50"/>
        <v>0</v>
      </c>
      <c r="AM66" s="491" t="s">
        <v>23</v>
      </c>
      <c r="AN66" s="506">
        <v>40000</v>
      </c>
      <c r="AO66" s="490">
        <f>2*1</f>
        <v>2</v>
      </c>
      <c r="AP66" s="507">
        <f t="shared" si="51"/>
        <v>0</v>
      </c>
      <c r="AQ66" s="746"/>
      <c r="AR66" s="362">
        <f t="shared" ref="AR66:AR129" si="52">SQRT((15.88/1000)^2/3)</f>
        <v>9.1683222747312582E-3</v>
      </c>
      <c r="AS66" s="17"/>
      <c r="AT66" s="341">
        <v>6</v>
      </c>
      <c r="AU66" s="163" t="s">
        <v>32</v>
      </c>
      <c r="AV66" s="344">
        <f>AV61*AV60</f>
        <v>9.8066500000000001E-3</v>
      </c>
      <c r="AW66" s="437"/>
      <c r="AX66" s="17"/>
      <c r="AY66" s="65">
        <v>100</v>
      </c>
      <c r="AZ66" s="247">
        <v>0.1</v>
      </c>
      <c r="BA66" s="251">
        <f>0.17/1000</f>
        <v>1.7000000000000001E-4</v>
      </c>
      <c r="BB66" s="352">
        <f>0.11/1000</f>
        <v>1.1E-4</v>
      </c>
      <c r="BC66" s="17"/>
      <c r="BD66" s="17"/>
      <c r="BE66" s="17"/>
      <c r="BF66" s="17"/>
      <c r="BG66" s="17"/>
      <c r="BH66" s="17"/>
      <c r="BI66" s="17"/>
      <c r="BJ66" s="17"/>
      <c r="BK66" s="17"/>
      <c r="BL66" s="17"/>
      <c r="BM66" s="17"/>
      <c r="BN66" s="17"/>
      <c r="BO66" s="17"/>
      <c r="BP66" s="17"/>
      <c r="BQ66" s="17"/>
      <c r="BR66" s="17"/>
      <c r="BS66" s="17"/>
      <c r="BT66" s="17"/>
    </row>
    <row r="67" spans="1:75" s="21" customFormat="1" ht="15" customHeight="1" thickBot="1">
      <c r="A67" s="882">
        <v>7</v>
      </c>
      <c r="B67" s="596"/>
      <c r="C67" s="659"/>
      <c r="D67" s="588">
        <f>IF(E69="",SUM(AI58:AI62,AJ58:AJ62),SUM(AI58:AI62,AJ58:AJ62)-I63)</f>
        <v>0</v>
      </c>
      <c r="E67" s="244"/>
      <c r="F67" s="567"/>
      <c r="G67" s="579"/>
      <c r="H67" s="207"/>
      <c r="I67" s="208"/>
      <c r="J67" s="208"/>
      <c r="K67" s="210"/>
      <c r="L67" s="209"/>
      <c r="M67" s="312"/>
      <c r="O67" s="355">
        <f t="shared" ref="O67:P71" si="53">AK58</f>
        <v>0</v>
      </c>
      <c r="P67" s="359">
        <f t="shared" si="53"/>
        <v>0</v>
      </c>
      <c r="Q67" s="261">
        <f t="shared" ref="Q67:R71" si="54">IF(ABS($L$13-$K$13)&gt;3,IF(ISERROR(VLOOKUP(B67,$AY$58:$BB$80,3,FALSE)),0,(VLOOKUP(B67,$AY$58:$BB$80,3,FALSE)*$AV$78)),IF(ISERROR(VLOOKUP(B67,$AY$58:$BB$80,4,FALSE)),0,(VLOOKUP(B67,$AY$58:$BB$80,4,FALSE)*$AV$78)))</f>
        <v>0</v>
      </c>
      <c r="R67" s="262">
        <f t="shared" si="54"/>
        <v>0</v>
      </c>
      <c r="S67" s="667">
        <f t="shared" ref="S67:T71" si="55">IF($L$19="Não",IF(ISERROR(VLOOKUP(B67,$AM$15:$AR$255,5,FALSE)),0,(VLOOKUP(B67,$AM$15:$AR$255,5,FALSE)*$AV$78)),0)</f>
        <v>0</v>
      </c>
      <c r="T67" s="158">
        <f t="shared" si="55"/>
        <v>0</v>
      </c>
      <c r="U67" s="612"/>
      <c r="V67" s="613" t="str">
        <f>IF($I$23&lt;&gt;0,ABS($L$26*(F69/(2*$I$23))),IF('Registo Calibração'!$I$23&lt;&gt;0,ABS('Registo Calibração'!$L$26*(F69/(2*'Registo Calibração'!$I$23))),IF('3º MR-MI'!$I$23&lt;&gt;0,ABS('3º MR-MI'!$L$26*(F69/(2*'3º MR-MI'!$I$23))),"")))</f>
        <v/>
      </c>
      <c r="W67" s="614">
        <f>IF(V67="",0,(V67)^2/3)</f>
        <v>0</v>
      </c>
      <c r="X67" s="614">
        <f>SQRT(W67)</f>
        <v>0</v>
      </c>
      <c r="Y67" s="614">
        <v>1</v>
      </c>
      <c r="Z67" s="614">
        <v>50</v>
      </c>
      <c r="AA67" s="615">
        <f>IF(V67="",0,(X67*Y67)^2)</f>
        <v>0</v>
      </c>
      <c r="AB67" s="608"/>
      <c r="AC67" s="27"/>
      <c r="AD67" s="609"/>
      <c r="AE67" s="610"/>
      <c r="AF67" s="611"/>
      <c r="AG67" s="17"/>
      <c r="AH67" s="27"/>
      <c r="AI67" s="57">
        <f t="shared" si="49"/>
        <v>0</v>
      </c>
      <c r="AJ67" s="62">
        <f t="shared" si="49"/>
        <v>0</v>
      </c>
      <c r="AK67" s="273">
        <f t="shared" si="50"/>
        <v>0</v>
      </c>
      <c r="AL67" s="58">
        <f t="shared" si="50"/>
        <v>0</v>
      </c>
      <c r="AM67" s="491" t="s">
        <v>25</v>
      </c>
      <c r="AN67" s="506">
        <v>60000</v>
      </c>
      <c r="AO67" s="490">
        <f>3*1</f>
        <v>3</v>
      </c>
      <c r="AP67" s="507">
        <f t="shared" si="51"/>
        <v>0</v>
      </c>
      <c r="AQ67" s="746"/>
      <c r="AR67" s="362">
        <f t="shared" si="52"/>
        <v>9.1683222747312582E-3</v>
      </c>
      <c r="AS67" s="17"/>
      <c r="AT67" s="341">
        <v>7</v>
      </c>
      <c r="AU67" s="162" t="s">
        <v>34</v>
      </c>
      <c r="AV67" s="342">
        <f>AV66/10</f>
        <v>9.8066499999999992E-4</v>
      </c>
      <c r="AW67" s="436"/>
      <c r="AY67" s="65" t="s">
        <v>187</v>
      </c>
      <c r="AZ67" s="247">
        <v>0.1</v>
      </c>
      <c r="BA67" s="251">
        <f>0.17/1000</f>
        <v>1.7000000000000001E-4</v>
      </c>
      <c r="BB67" s="352">
        <f>0.11/1000</f>
        <v>1.1E-4</v>
      </c>
    </row>
    <row r="68" spans="1:75" s="21" customFormat="1" ht="15" customHeight="1" thickBot="1">
      <c r="A68" s="883"/>
      <c r="B68" s="597"/>
      <c r="C68" s="660"/>
      <c r="D68" s="587"/>
      <c r="E68" s="244"/>
      <c r="F68" s="567"/>
      <c r="G68" s="580">
        <f>G67</f>
        <v>0</v>
      </c>
      <c r="H68" s="207"/>
      <c r="I68" s="208"/>
      <c r="J68" s="208"/>
      <c r="K68" s="210"/>
      <c r="L68" s="209"/>
      <c r="M68" s="312"/>
      <c r="O68" s="355">
        <f t="shared" si="53"/>
        <v>0</v>
      </c>
      <c r="P68" s="359">
        <f t="shared" si="53"/>
        <v>0</v>
      </c>
      <c r="Q68" s="261">
        <f t="shared" si="54"/>
        <v>0</v>
      </c>
      <c r="R68" s="262">
        <f t="shared" si="54"/>
        <v>0</v>
      </c>
      <c r="S68" s="668">
        <f t="shared" si="55"/>
        <v>0</v>
      </c>
      <c r="T68" s="159">
        <f t="shared" si="55"/>
        <v>0</v>
      </c>
      <c r="U68" s="297"/>
      <c r="V68" s="329">
        <f>IF(G68&lt;&gt;"",STDEV(G67:G71),$M$28)</f>
        <v>0</v>
      </c>
      <c r="W68" s="330">
        <f>IF(G68="",V68^2,V68^2/(Z68+1))</f>
        <v>0</v>
      </c>
      <c r="X68" s="330">
        <f>SQRT(W68)</f>
        <v>0</v>
      </c>
      <c r="Y68" s="330">
        <v>1</v>
      </c>
      <c r="Z68" s="330">
        <f>IF(G68="",2,COUNT(G67:G71)-1)</f>
        <v>3</v>
      </c>
      <c r="AA68" s="331">
        <f>(Y68*X68)^2</f>
        <v>0</v>
      </c>
      <c r="AB68" s="79"/>
      <c r="AC68" s="17"/>
      <c r="AD68" s="22"/>
      <c r="AE68" s="23"/>
      <c r="AF68" s="80"/>
      <c r="AG68" s="27"/>
      <c r="AH68" s="29"/>
      <c r="AI68" s="265"/>
      <c r="AJ68" s="265"/>
      <c r="AK68" s="266"/>
      <c r="AL68" s="267"/>
      <c r="AM68" s="507" t="s">
        <v>26</v>
      </c>
      <c r="AN68" s="506">
        <v>80000</v>
      </c>
      <c r="AO68" s="490">
        <f>4*1</f>
        <v>4</v>
      </c>
      <c r="AP68" s="507">
        <f t="shared" si="51"/>
        <v>0</v>
      </c>
      <c r="AQ68" s="746"/>
      <c r="AR68" s="362">
        <f t="shared" si="52"/>
        <v>9.1683222747312582E-3</v>
      </c>
      <c r="AS68" s="17"/>
      <c r="AT68" s="343">
        <v>8</v>
      </c>
      <c r="AU68" s="162" t="s">
        <v>35</v>
      </c>
      <c r="AV68" s="342">
        <f>AV66/1000</f>
        <v>9.8066500000000004E-6</v>
      </c>
      <c r="AW68" s="436"/>
      <c r="AX68" s="29"/>
      <c r="AY68" s="65">
        <v>200</v>
      </c>
      <c r="AZ68" s="247">
        <v>0.2</v>
      </c>
      <c r="BA68" s="251">
        <f>0.29/1000</f>
        <v>2.9E-4</v>
      </c>
      <c r="BB68" s="352">
        <f>0.19/1000</f>
        <v>1.9000000000000001E-4</v>
      </c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32"/>
      <c r="BO68" s="32"/>
      <c r="BP68" s="32"/>
      <c r="BQ68"/>
      <c r="BR68"/>
      <c r="BS68"/>
      <c r="BT68"/>
      <c r="BU68"/>
      <c r="BV68"/>
      <c r="BW68"/>
    </row>
    <row r="69" spans="1:75" ht="15" customHeight="1" thickBot="1">
      <c r="A69" s="883"/>
      <c r="B69" s="597"/>
      <c r="C69" s="660"/>
      <c r="D69" s="592" t="str">
        <f>FIXED(MROUND(D67,IF($E$14&lt;&gt;0,$E$14/10,$C$14/10)),$AI$15+1,TRUE)</f>
        <v>0,0</v>
      </c>
      <c r="E69" s="599"/>
      <c r="F69" s="600" t="str">
        <f>FIXED(MROUND(D69,$C$14/10),$AI$15+1,TRUE)</f>
        <v>0,0</v>
      </c>
      <c r="G69" s="580">
        <f>G68</f>
        <v>0</v>
      </c>
      <c r="H69" s="223" t="str">
        <f>IF(OR(D67&lt;&gt;0,E69&lt;&gt;0),AVERAGE(G67:G71),"-------")</f>
        <v>-------</v>
      </c>
      <c r="I69" s="224" t="str">
        <f>IF(OR(D67&lt;&gt;0,E69&lt;&gt;0),(H71-F69),"-------")</f>
        <v>-------</v>
      </c>
      <c r="J69" s="224" t="str">
        <f>IF(OR(B67&lt;&gt;"",E69&lt;&gt;""),ROUNDDOWN(AD70,0),"-------")</f>
        <v>-------</v>
      </c>
      <c r="K69" s="225" t="e">
        <f>IF(G67="===","------",AE70)</f>
        <v>#DIV/0!</v>
      </c>
      <c r="L69" s="225" t="str">
        <f>IF(OR(B67&lt;&gt;"",E69&lt;&gt;""),AF70,"-------")</f>
        <v>-------</v>
      </c>
      <c r="M69" s="313" t="str">
        <f>IF($H$11&lt;&gt;"",FIXED(ROUND((D67*($H$11-$H$10)/$H$10),$AI$15),$AI$15),"")</f>
        <v/>
      </c>
      <c r="N69" s="21"/>
      <c r="O69" s="355">
        <f t="shared" si="53"/>
        <v>0</v>
      </c>
      <c r="P69" s="359">
        <f t="shared" si="53"/>
        <v>0</v>
      </c>
      <c r="Q69" s="261">
        <f t="shared" si="54"/>
        <v>0</v>
      </c>
      <c r="R69" s="262">
        <f t="shared" si="54"/>
        <v>0</v>
      </c>
      <c r="S69" s="668">
        <f t="shared" si="55"/>
        <v>0</v>
      </c>
      <c r="T69" s="159">
        <f t="shared" si="55"/>
        <v>0</v>
      </c>
      <c r="U69" s="297"/>
      <c r="V69" s="366" t="str">
        <f>IF($H$11="","",IF($L$9="SIM",IF(L$11&lt;&gt;K$11,ABS(L$11-K$11)*($D67/J$11),0),ABS($M69)))</f>
        <v/>
      </c>
      <c r="W69" s="363">
        <f>IF(V69="",0,V69^2/3)</f>
        <v>0</v>
      </c>
      <c r="X69" s="363">
        <f>SQRT(W69)</f>
        <v>0</v>
      </c>
      <c r="Y69" s="364">
        <v>1</v>
      </c>
      <c r="Z69" s="365">
        <v>50</v>
      </c>
      <c r="AA69" s="367">
        <f>IF(V69="",0,(X69*Y69)^2)</f>
        <v>0</v>
      </c>
      <c r="AB69" s="79"/>
      <c r="AC69" s="17"/>
      <c r="AD69" s="22"/>
      <c r="AE69" s="23"/>
      <c r="AF69" s="80"/>
      <c r="AH69" s="29"/>
      <c r="AI69" s="265"/>
      <c r="AJ69" s="265"/>
      <c r="AK69" s="266"/>
      <c r="AL69" s="268"/>
      <c r="AM69" s="508" t="s">
        <v>29</v>
      </c>
      <c r="AN69" s="506">
        <v>100000</v>
      </c>
      <c r="AO69" s="490">
        <f>5*1</f>
        <v>5</v>
      </c>
      <c r="AP69" s="507">
        <f t="shared" si="51"/>
        <v>0</v>
      </c>
      <c r="AQ69" s="746"/>
      <c r="AR69" s="362">
        <f t="shared" si="52"/>
        <v>9.1683222747312582E-3</v>
      </c>
      <c r="AS69" s="21"/>
      <c r="AT69" s="341">
        <v>9</v>
      </c>
      <c r="AU69" s="162" t="s">
        <v>37</v>
      </c>
      <c r="AV69" s="342">
        <f>AV61/0.45359235</f>
        <v>2.2046227190559982E-3</v>
      </c>
      <c r="AW69" s="436"/>
      <c r="AX69" s="29"/>
      <c r="AY69" s="65" t="s">
        <v>48</v>
      </c>
      <c r="AZ69" s="248">
        <v>0.2</v>
      </c>
      <c r="BA69" s="252">
        <f>0.29/1000</f>
        <v>2.9E-4</v>
      </c>
      <c r="BB69" s="352">
        <f>0.19/1000</f>
        <v>1.9000000000000001E-4</v>
      </c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32"/>
      <c r="BO69" s="32"/>
      <c r="BP69" s="32"/>
    </row>
    <row r="70" spans="1:75" ht="15" customHeight="1">
      <c r="A70" s="883"/>
      <c r="B70" s="597"/>
      <c r="C70" s="660"/>
      <c r="D70" s="587"/>
      <c r="E70" s="244"/>
      <c r="F70" s="567"/>
      <c r="G70" s="580">
        <f>G69</f>
        <v>0</v>
      </c>
      <c r="H70" s="207"/>
      <c r="I70" s="315"/>
      <c r="J70" s="208"/>
      <c r="K70" s="210"/>
      <c r="L70" s="209"/>
      <c r="M70" s="312"/>
      <c r="N70" s="21"/>
      <c r="O70" s="355">
        <f t="shared" si="53"/>
        <v>0</v>
      </c>
      <c r="P70" s="359">
        <f t="shared" si="53"/>
        <v>0</v>
      </c>
      <c r="Q70" s="261">
        <f t="shared" si="54"/>
        <v>0</v>
      </c>
      <c r="R70" s="262">
        <f t="shared" si="54"/>
        <v>0</v>
      </c>
      <c r="S70" s="668">
        <f t="shared" si="55"/>
        <v>0</v>
      </c>
      <c r="T70" s="159">
        <f t="shared" si="55"/>
        <v>0</v>
      </c>
      <c r="U70" s="297"/>
      <c r="V70" s="606">
        <f>(SUM(O67:O71,P67:P71))</f>
        <v>0</v>
      </c>
      <c r="W70" s="370">
        <f>V70^2/3</f>
        <v>0</v>
      </c>
      <c r="X70" s="370">
        <f>SQRT(W70)</f>
        <v>0</v>
      </c>
      <c r="Y70" s="370">
        <v>1</v>
      </c>
      <c r="Z70" s="370">
        <v>50</v>
      </c>
      <c r="AA70" s="371">
        <f>IF(V70="","",(X70*Y70)^2)</f>
        <v>0</v>
      </c>
      <c r="AB70" s="386">
        <f>SUM($AA$29:$AA$30,AA67:AA72,AA87,AA98)</f>
        <v>0</v>
      </c>
      <c r="AC70" s="17">
        <f>SQRT(AB70)</f>
        <v>0</v>
      </c>
      <c r="AD70" s="283" t="e">
        <f>(AC70^4)/(((($X$29*$Y$29)^4)/$Z$29)+((($X$30*$Y$30)^4)/$Z$30)+((($X$67*$Y$67)^4)/$Z$67)+(((X68*Y68)^4)/Z68)+(((X69*Y69)^4)/Z69)+(((X70*Y70)^4)/Z70)+(((X71*Y71)^4)/Z71)+(((X72*Y72)^4)/Z72)+(((X87*Y87)^4)/Z87)+(((X98*Y98)^4)/Z98))</f>
        <v>#DIV/0!</v>
      </c>
      <c r="AE70" s="23" t="e">
        <f>TINV(0.0455,AD70)</f>
        <v>#DIV/0!</v>
      </c>
      <c r="AF70" s="390" t="e">
        <f>CEILING((AE70*AC70),$C$14/100)</f>
        <v>#DIV/0!</v>
      </c>
      <c r="AH70" s="29"/>
      <c r="AI70" s="30"/>
      <c r="AJ70" s="30"/>
      <c r="AK70" s="31"/>
      <c r="AL70" s="441"/>
      <c r="AM70" s="508" t="s">
        <v>31</v>
      </c>
      <c r="AN70" s="506">
        <v>120000</v>
      </c>
      <c r="AO70" s="490">
        <f>6*1</f>
        <v>6</v>
      </c>
      <c r="AP70" s="507">
        <f t="shared" si="51"/>
        <v>0</v>
      </c>
      <c r="AQ70" s="746"/>
      <c r="AR70" s="362">
        <f t="shared" si="52"/>
        <v>9.1683222747312582E-3</v>
      </c>
      <c r="AT70" s="341">
        <v>10</v>
      </c>
      <c r="AU70" s="162" t="s">
        <v>39</v>
      </c>
      <c r="AV70" s="342">
        <f>AV69*16</f>
        <v>3.5273963504895971E-2</v>
      </c>
      <c r="AW70" s="436"/>
      <c r="AY70" s="65" t="s">
        <v>188</v>
      </c>
      <c r="AZ70" s="247">
        <v>0.2</v>
      </c>
      <c r="BA70" s="251">
        <f>0.29/1000</f>
        <v>2.9E-4</v>
      </c>
      <c r="BB70" s="352">
        <f>0.19/1000</f>
        <v>1.9000000000000001E-4</v>
      </c>
    </row>
    <row r="71" spans="1:75" ht="15" customHeight="1" thickBot="1">
      <c r="A71" s="883"/>
      <c r="B71" s="661"/>
      <c r="C71" s="662"/>
      <c r="D71" s="582"/>
      <c r="E71" s="244"/>
      <c r="F71" s="567"/>
      <c r="G71" s="623">
        <f>G70</f>
        <v>0</v>
      </c>
      <c r="H71" s="306" t="str">
        <f>IF(H69&lt;&gt;"-------",FIXED(IF($E$14&lt;&gt;0,MROUND(H69,$E$14),MROUND(H69,$C$14)),LEN(L71)-2,TRUE),"------")</f>
        <v>------</v>
      </c>
      <c r="I71" s="220" t="str">
        <f>IF(I69&lt;&gt;"-------",FIXED(ROUND(I69,$AI$15),LEN(L71)-2,TRUE),"------")</f>
        <v>------</v>
      </c>
      <c r="J71" s="620" t="str">
        <f>IF(G67="===","------",IF(J69&gt;500,"&gt; 500",J69))</f>
        <v>&gt; 500</v>
      </c>
      <c r="K71" s="624" t="e">
        <f>K69</f>
        <v>#DIV/0!</v>
      </c>
      <c r="L71" s="621" t="str">
        <f>IF(L69&lt;&gt;"-------",BF16,"-------")</f>
        <v>-------</v>
      </c>
      <c r="M71" s="312"/>
      <c r="N71" s="21"/>
      <c r="O71" s="355">
        <f t="shared" si="53"/>
        <v>0</v>
      </c>
      <c r="P71" s="359">
        <f t="shared" si="53"/>
        <v>0</v>
      </c>
      <c r="Q71" s="261">
        <f t="shared" si="54"/>
        <v>0</v>
      </c>
      <c r="R71" s="262">
        <f t="shared" si="54"/>
        <v>0</v>
      </c>
      <c r="S71" s="668">
        <f t="shared" si="55"/>
        <v>0</v>
      </c>
      <c r="T71" s="159">
        <f t="shared" si="55"/>
        <v>0</v>
      </c>
      <c r="U71" s="297"/>
      <c r="V71" s="333">
        <f>IF($L$19="sim",SUM(O67:P71)/4,SUM(S67:T71))</f>
        <v>0</v>
      </c>
      <c r="W71" s="334">
        <f>IF(V71="","",V71^2/3)</f>
        <v>0</v>
      </c>
      <c r="X71" s="334">
        <f>IF($L$19="Sim",SQRT(W71),SUM(S67:T71))</f>
        <v>0</v>
      </c>
      <c r="Y71" s="334">
        <v>1</v>
      </c>
      <c r="Z71" s="334">
        <v>50</v>
      </c>
      <c r="AA71" s="335">
        <f>(X71*Y71)^2</f>
        <v>0</v>
      </c>
      <c r="AB71" s="79"/>
      <c r="AC71" s="17"/>
      <c r="AD71" s="22"/>
      <c r="AE71" s="23"/>
      <c r="AF71" s="80"/>
      <c r="AG71" s="29"/>
      <c r="AH71" s="29"/>
      <c r="AI71" s="30"/>
      <c r="AJ71" s="30"/>
      <c r="AK71" s="31"/>
      <c r="AL71" s="441"/>
      <c r="AM71" s="507" t="s">
        <v>33</v>
      </c>
      <c r="AN71" s="506">
        <v>140000</v>
      </c>
      <c r="AO71" s="490">
        <f>7*1</f>
        <v>7</v>
      </c>
      <c r="AP71" s="507">
        <f t="shared" si="51"/>
        <v>0</v>
      </c>
      <c r="AQ71" s="746"/>
      <c r="AR71" s="362">
        <f t="shared" si="52"/>
        <v>9.1683222747312582E-3</v>
      </c>
      <c r="AT71" s="341">
        <v>11</v>
      </c>
      <c r="AU71" s="345"/>
      <c r="AV71" s="346"/>
      <c r="AW71" s="437"/>
      <c r="AY71" s="65" t="s">
        <v>189</v>
      </c>
      <c r="AZ71" s="247">
        <v>0.2</v>
      </c>
      <c r="BA71" s="251">
        <f>0.29/1000</f>
        <v>2.9E-4</v>
      </c>
      <c r="BB71" s="352">
        <f>0.19/1000</f>
        <v>1.9000000000000001E-4</v>
      </c>
    </row>
    <row r="72" spans="1:75" ht="15" customHeight="1" thickBot="1">
      <c r="A72" s="884"/>
      <c r="B72" s="637"/>
      <c r="C72" s="626"/>
      <c r="D72" s="591"/>
      <c r="E72" s="627"/>
      <c r="F72" s="847"/>
      <c r="G72" s="628"/>
      <c r="H72" s="629"/>
      <c r="I72" s="630"/>
      <c r="J72" s="630"/>
      <c r="K72" s="631"/>
      <c r="L72" s="639"/>
      <c r="M72" s="633"/>
      <c r="N72" s="21"/>
      <c r="O72" s="634"/>
      <c r="P72" s="635"/>
      <c r="Q72" s="634"/>
      <c r="R72" s="635"/>
      <c r="S72" s="636"/>
      <c r="T72" s="635"/>
      <c r="U72" s="640"/>
      <c r="V72" s="372">
        <f>SUM(Q67:R71)</f>
        <v>0</v>
      </c>
      <c r="W72" s="373">
        <f>IF(V72="","",V72^2/3)</f>
        <v>0</v>
      </c>
      <c r="X72" s="373">
        <f>SQRT(W72)</f>
        <v>0</v>
      </c>
      <c r="Y72" s="373">
        <v>1</v>
      </c>
      <c r="Z72" s="373">
        <v>50</v>
      </c>
      <c r="AA72" s="374">
        <f>IF(V72="","",(X72*Y72)^2)</f>
        <v>0</v>
      </c>
      <c r="AB72" s="322"/>
      <c r="AC72" s="24"/>
      <c r="AD72" s="25"/>
      <c r="AE72" s="26"/>
      <c r="AF72" s="323"/>
      <c r="AG72" s="29"/>
      <c r="AH72" s="29"/>
      <c r="AI72" s="30"/>
      <c r="AJ72" s="30"/>
      <c r="AK72" s="31"/>
      <c r="AL72" s="31"/>
      <c r="AM72" s="507" t="s">
        <v>15</v>
      </c>
      <c r="AN72" s="506">
        <v>160000</v>
      </c>
      <c r="AO72" s="490">
        <f>8*1</f>
        <v>8</v>
      </c>
      <c r="AP72" s="507">
        <f t="shared" si="51"/>
        <v>0</v>
      </c>
      <c r="AQ72" s="746"/>
      <c r="AR72" s="362">
        <f t="shared" si="52"/>
        <v>9.1683222747312582E-3</v>
      </c>
      <c r="AT72" s="341">
        <v>12</v>
      </c>
      <c r="AU72" s="345"/>
      <c r="AV72" s="346"/>
      <c r="AW72" s="437"/>
      <c r="AY72" s="65">
        <v>500</v>
      </c>
      <c r="AZ72" s="247">
        <v>0.5</v>
      </c>
      <c r="BA72" s="251">
        <f>0.61/1000</f>
        <v>6.0999999999999997E-4</v>
      </c>
      <c r="BB72" s="352">
        <f>0.4/1000</f>
        <v>4.0000000000000002E-4</v>
      </c>
    </row>
    <row r="73" spans="1:75" ht="15" customHeight="1">
      <c r="A73" s="882">
        <v>8</v>
      </c>
      <c r="B73" s="596"/>
      <c r="C73" s="659"/>
      <c r="D73" s="588">
        <f>IF(E75="",SUM(AI63:AI67,AJ63:AJ67),SUM(AI63:AI67,AJ63:AJ67)-I69)</f>
        <v>0</v>
      </c>
      <c r="E73" s="244"/>
      <c r="F73" s="567"/>
      <c r="G73" s="579"/>
      <c r="H73" s="207"/>
      <c r="I73" s="208"/>
      <c r="J73" s="208"/>
      <c r="K73" s="210"/>
      <c r="L73" s="209"/>
      <c r="M73" s="312"/>
      <c r="N73" s="21"/>
      <c r="O73" s="355">
        <f t="shared" ref="O73:P77" si="56">AK63</f>
        <v>0</v>
      </c>
      <c r="P73" s="359">
        <f t="shared" si="56"/>
        <v>0</v>
      </c>
      <c r="Q73" s="261">
        <f t="shared" ref="Q73:R77" si="57">IF(ABS($L$13-$K$13)&gt;3,IF(ISERROR(VLOOKUP(B73,$AY$58:$BB$80,3,FALSE)),0,(VLOOKUP(B73,$AY$58:$BB$80,3,FALSE)*$AV$78)),IF(ISERROR(VLOOKUP(B73,$AY$58:$BB$80,4,FALSE)),0,(VLOOKUP(B73,$AY$58:$BB$80,4,FALSE)*$AV$78)))</f>
        <v>0</v>
      </c>
      <c r="R73" s="262">
        <f t="shared" si="57"/>
        <v>0</v>
      </c>
      <c r="S73" s="667">
        <f t="shared" ref="S73:T77" si="58">IF($L$19="Não",IF(ISERROR(VLOOKUP(B73,$AM$15:$AR$255,5,FALSE)),0,(VLOOKUP(B73,$AM$15:$AR$255,5,FALSE)*$AV$78)),0)</f>
        <v>0</v>
      </c>
      <c r="T73" s="158">
        <f t="shared" si="58"/>
        <v>0</v>
      </c>
      <c r="U73" s="612"/>
      <c r="V73" s="613" t="str">
        <f>IF($I$23&lt;&gt;0,ABS($L$26*(F75/(2*$I$23))),IF('Registo Calibração'!$I$23&lt;&gt;0,ABS('Registo Calibração'!$L$26*(F75/(2*'Registo Calibração'!$I$23))),IF('3º MR-MI'!$I$23&lt;&gt;0,ABS('3º MR-MI'!$L$26*(F75/(2*'3º MR-MI'!$I$23))),"")))</f>
        <v/>
      </c>
      <c r="W73" s="614">
        <f>IF(V73="",0,(V73)^2/3)</f>
        <v>0</v>
      </c>
      <c r="X73" s="614">
        <f>SQRT(W73)</f>
        <v>0</v>
      </c>
      <c r="Y73" s="614">
        <v>1</v>
      </c>
      <c r="Z73" s="614">
        <v>50</v>
      </c>
      <c r="AA73" s="615">
        <f>IF(V73="",0,(X73*Y73)^2)</f>
        <v>0</v>
      </c>
      <c r="AB73" s="608"/>
      <c r="AC73" s="27"/>
      <c r="AD73" s="609"/>
      <c r="AE73" s="610"/>
      <c r="AF73" s="611"/>
      <c r="AG73" s="29"/>
      <c r="AH73" s="29"/>
      <c r="AI73" s="30"/>
      <c r="AJ73" s="30"/>
      <c r="AK73" s="31"/>
      <c r="AL73" s="31"/>
      <c r="AM73" s="507" t="s">
        <v>36</v>
      </c>
      <c r="AN73" s="506">
        <v>180000</v>
      </c>
      <c r="AO73" s="490">
        <f>9*1</f>
        <v>9</v>
      </c>
      <c r="AP73" s="507">
        <f t="shared" si="51"/>
        <v>0</v>
      </c>
      <c r="AQ73" s="746"/>
      <c r="AR73" s="362">
        <f t="shared" si="52"/>
        <v>9.1683222747312582E-3</v>
      </c>
      <c r="AT73" s="341">
        <v>13</v>
      </c>
      <c r="AU73" s="345"/>
      <c r="AV73" s="346"/>
      <c r="AW73" s="437"/>
      <c r="AY73" s="65" t="s">
        <v>190</v>
      </c>
      <c r="AZ73" s="247">
        <v>0.5</v>
      </c>
      <c r="BA73" s="251">
        <f>0.61/1000</f>
        <v>6.0999999999999997E-4</v>
      </c>
      <c r="BB73" s="352">
        <f>0.4/1000</f>
        <v>4.0000000000000002E-4</v>
      </c>
    </row>
    <row r="74" spans="1:75" ht="15" customHeight="1" thickBot="1">
      <c r="A74" s="883"/>
      <c r="B74" s="597"/>
      <c r="C74" s="660"/>
      <c r="D74" s="587"/>
      <c r="E74" s="244"/>
      <c r="F74" s="567"/>
      <c r="G74" s="580">
        <f>G73</f>
        <v>0</v>
      </c>
      <c r="H74" s="207"/>
      <c r="I74" s="208"/>
      <c r="J74" s="208"/>
      <c r="K74" s="210"/>
      <c r="L74" s="209"/>
      <c r="M74" s="312"/>
      <c r="N74" s="21"/>
      <c r="O74" s="355">
        <f t="shared" si="56"/>
        <v>0</v>
      </c>
      <c r="P74" s="359">
        <f t="shared" si="56"/>
        <v>0</v>
      </c>
      <c r="Q74" s="261">
        <f t="shared" si="57"/>
        <v>0</v>
      </c>
      <c r="R74" s="262">
        <f t="shared" si="57"/>
        <v>0</v>
      </c>
      <c r="S74" s="668">
        <f t="shared" si="58"/>
        <v>0</v>
      </c>
      <c r="T74" s="159">
        <f t="shared" si="58"/>
        <v>0</v>
      </c>
      <c r="U74" s="297"/>
      <c r="V74" s="329">
        <f>IF(G74&lt;&gt;"",STDEV(G73:G77),$M$28)</f>
        <v>0</v>
      </c>
      <c r="W74" s="330">
        <f>IF(G74="",V74^2,V74^2/(Z74+1))</f>
        <v>0</v>
      </c>
      <c r="X74" s="330">
        <f>SQRT(W74)</f>
        <v>0</v>
      </c>
      <c r="Y74" s="330">
        <v>1</v>
      </c>
      <c r="Z74" s="330">
        <f>IF(G74="",2,COUNT(G73:G77)-1)</f>
        <v>3</v>
      </c>
      <c r="AA74" s="331">
        <f>(Y74*X74)^2</f>
        <v>0</v>
      </c>
      <c r="AB74" s="79"/>
      <c r="AC74" s="17"/>
      <c r="AD74" s="22"/>
      <c r="AE74" s="23"/>
      <c r="AF74" s="80"/>
      <c r="AG74" s="29"/>
      <c r="AH74" s="29"/>
      <c r="AI74" s="30"/>
      <c r="AJ74" s="30"/>
      <c r="AK74" s="31"/>
      <c r="AL74" s="31"/>
      <c r="AM74" s="507" t="s">
        <v>38</v>
      </c>
      <c r="AN74" s="506">
        <v>200000</v>
      </c>
      <c r="AO74" s="490">
        <f>10*1</f>
        <v>10</v>
      </c>
      <c r="AP74" s="507">
        <f t="shared" si="51"/>
        <v>0</v>
      </c>
      <c r="AQ74" s="746"/>
      <c r="AR74" s="362">
        <f t="shared" si="52"/>
        <v>9.1683222747312582E-3</v>
      </c>
      <c r="AT74" s="341">
        <v>14</v>
      </c>
      <c r="AU74" s="345"/>
      <c r="AV74" s="346"/>
      <c r="AW74" s="437"/>
      <c r="AY74" s="65">
        <v>1000</v>
      </c>
      <c r="AZ74" s="248">
        <v>1</v>
      </c>
      <c r="BA74" s="252">
        <f>1.09/1000</f>
        <v>1.09E-3</v>
      </c>
      <c r="BB74" s="352">
        <f>0.72/1000</f>
        <v>7.1999999999999994E-4</v>
      </c>
    </row>
    <row r="75" spans="1:75" ht="15" customHeight="1" thickBot="1">
      <c r="A75" s="883"/>
      <c r="B75" s="597"/>
      <c r="C75" s="660"/>
      <c r="D75" s="592" t="str">
        <f>FIXED(MROUND(D73,IF($E$14&lt;&gt;0,$E$14/10,$C$14/10)),$AI$15+1,TRUE)</f>
        <v>0,0</v>
      </c>
      <c r="E75" s="599"/>
      <c r="F75" s="600" t="str">
        <f>FIXED(MROUND(D75,$C$14/10),$AI$15+1,TRUE)</f>
        <v>0,0</v>
      </c>
      <c r="G75" s="580">
        <f>G74</f>
        <v>0</v>
      </c>
      <c r="H75" s="223" t="str">
        <f>IF(OR(D73&lt;&gt;0,E75&lt;&gt;0),AVERAGE(G73:G77),"-------")</f>
        <v>-------</v>
      </c>
      <c r="I75" s="224" t="str">
        <f>IF(OR(D73&lt;&gt;0,E75&lt;&gt;0),(H77-F75),"-------")</f>
        <v>-------</v>
      </c>
      <c r="J75" s="224" t="str">
        <f>IF(OR(B73&lt;&gt;"",E75&lt;&gt;""),ROUNDDOWN(AD76,0),"-------")</f>
        <v>-------</v>
      </c>
      <c r="K75" s="225" t="e">
        <f>IF(G73="===","------",AE76)</f>
        <v>#DIV/0!</v>
      </c>
      <c r="L75" s="225" t="str">
        <f>IF(OR(B73&lt;&gt;"",E75&lt;&gt;""),AF76,"-------")</f>
        <v>-------</v>
      </c>
      <c r="M75" s="313" t="str">
        <f>IF($H$11&lt;&gt;"",FIXED(ROUND((D73*($H$11-$H$10)/$H$10),$AI$15),$AI$15),"")</f>
        <v/>
      </c>
      <c r="O75" s="355">
        <f t="shared" si="56"/>
        <v>0</v>
      </c>
      <c r="P75" s="359">
        <f t="shared" si="56"/>
        <v>0</v>
      </c>
      <c r="Q75" s="261">
        <f t="shared" si="57"/>
        <v>0</v>
      </c>
      <c r="R75" s="262">
        <f t="shared" si="57"/>
        <v>0</v>
      </c>
      <c r="S75" s="668">
        <f t="shared" si="58"/>
        <v>0</v>
      </c>
      <c r="T75" s="159">
        <f t="shared" si="58"/>
        <v>0</v>
      </c>
      <c r="U75" s="297"/>
      <c r="V75" s="366" t="str">
        <f>IF($H$11="","",IF($L$9="SIM",IF(L$11&lt;&gt;K$11,ABS(L$11-K$11)*($D73/J$11),0),ABS($M75)))</f>
        <v/>
      </c>
      <c r="W75" s="363">
        <f>IF(V75="",0,V75^2/3)</f>
        <v>0</v>
      </c>
      <c r="X75" s="363">
        <f>SQRT(W75)</f>
        <v>0</v>
      </c>
      <c r="Y75" s="364">
        <v>1</v>
      </c>
      <c r="Z75" s="365">
        <v>50</v>
      </c>
      <c r="AA75" s="367">
        <f>IF(V75="",0,(X75*Y75)^2)</f>
        <v>0</v>
      </c>
      <c r="AB75" s="79"/>
      <c r="AC75" s="17"/>
      <c r="AD75" s="22"/>
      <c r="AE75" s="23"/>
      <c r="AF75" s="80"/>
      <c r="AG75" s="29"/>
      <c r="AH75" s="29"/>
      <c r="AI75" s="30"/>
      <c r="AJ75" s="30"/>
      <c r="AK75" s="31"/>
      <c r="AL75" s="31"/>
      <c r="AM75" s="507" t="s">
        <v>40</v>
      </c>
      <c r="AN75" s="506">
        <v>220000</v>
      </c>
      <c r="AO75" s="490">
        <f>11*1</f>
        <v>11</v>
      </c>
      <c r="AP75" s="507">
        <f t="shared" si="51"/>
        <v>0</v>
      </c>
      <c r="AQ75" s="746"/>
      <c r="AR75" s="362">
        <f t="shared" si="52"/>
        <v>9.1683222747312582E-3</v>
      </c>
      <c r="AT75" s="341">
        <v>15</v>
      </c>
      <c r="AU75" s="347" t="s">
        <v>342</v>
      </c>
      <c r="AV75" s="346">
        <v>100</v>
      </c>
      <c r="AW75" s="437"/>
      <c r="AY75" s="65" t="s">
        <v>191</v>
      </c>
      <c r="AZ75" s="248">
        <v>1</v>
      </c>
      <c r="BA75" s="252">
        <f>1.09/1000</f>
        <v>1.09E-3</v>
      </c>
      <c r="BB75" s="352">
        <f>0.72/1000</f>
        <v>7.1999999999999994E-4</v>
      </c>
    </row>
    <row r="76" spans="1:75" ht="15" customHeight="1">
      <c r="A76" s="883"/>
      <c r="B76" s="597"/>
      <c r="C76" s="660"/>
      <c r="D76" s="587"/>
      <c r="E76" s="244"/>
      <c r="F76" s="567"/>
      <c r="G76" s="580">
        <f>G75</f>
        <v>0</v>
      </c>
      <c r="H76" s="207"/>
      <c r="I76" s="316"/>
      <c r="J76" s="208"/>
      <c r="K76" s="210"/>
      <c r="L76" s="209"/>
      <c r="M76" s="312"/>
      <c r="O76" s="355">
        <f t="shared" si="56"/>
        <v>0</v>
      </c>
      <c r="P76" s="359">
        <f t="shared" si="56"/>
        <v>0</v>
      </c>
      <c r="Q76" s="261">
        <f t="shared" si="57"/>
        <v>0</v>
      </c>
      <c r="R76" s="262">
        <f t="shared" si="57"/>
        <v>0</v>
      </c>
      <c r="S76" s="668">
        <f t="shared" si="58"/>
        <v>0</v>
      </c>
      <c r="T76" s="159">
        <f t="shared" si="58"/>
        <v>0</v>
      </c>
      <c r="U76" s="297"/>
      <c r="V76" s="606">
        <f>(SUM(O73:O77,P73:P77))</f>
        <v>0</v>
      </c>
      <c r="W76" s="370">
        <f>V76^2/3</f>
        <v>0</v>
      </c>
      <c r="X76" s="370">
        <f>SQRT(W76)</f>
        <v>0</v>
      </c>
      <c r="Y76" s="370">
        <v>1</v>
      </c>
      <c r="Z76" s="370">
        <v>50</v>
      </c>
      <c r="AA76" s="371">
        <f>IF(V76="","",(X76*Y76)^2)</f>
        <v>0</v>
      </c>
      <c r="AB76" s="386">
        <f>SUM($AA$29:$AA$30,AA73:AA78,AA88,AA99)</f>
        <v>0</v>
      </c>
      <c r="AC76" s="17">
        <f>SQRT(AB76)</f>
        <v>0</v>
      </c>
      <c r="AD76" s="283" t="e">
        <f>(AC76^4)/(((($X$29*$Y$29)^4)/$Z$29)+((($X$30*$Y$30)^4)/$Z$30)+((($X$73*$Y$73)^4)/$Z$73)+(((X74*Y74)^4)/Z74)+(((X75*Y75)^4)/Z75)+(((X76*Y76)^4)/Z76)+(((X77*Y77)^4)/Z77)+(((X78*Y78)^4)/Z78)+(((X88*Y88)^4)/Z88)+(((X99*Y99)^4)/Z99))</f>
        <v>#DIV/0!</v>
      </c>
      <c r="AE76" s="23" t="e">
        <f>TINV(0.0455,AD76)</f>
        <v>#DIV/0!</v>
      </c>
      <c r="AF76" s="390" t="e">
        <f>CEILING((AE76*AC76),$C$14/100)</f>
        <v>#DIV/0!</v>
      </c>
      <c r="AG76" s="29"/>
      <c r="AH76" s="29"/>
      <c r="AI76" s="30"/>
      <c r="AJ76" s="30"/>
      <c r="AK76" s="31"/>
      <c r="AL76" s="31"/>
      <c r="AM76" s="507" t="s">
        <v>41</v>
      </c>
      <c r="AN76" s="506">
        <v>240000</v>
      </c>
      <c r="AO76" s="490">
        <f>12*1</f>
        <v>12</v>
      </c>
      <c r="AP76" s="507">
        <f t="shared" si="51"/>
        <v>0</v>
      </c>
      <c r="AQ76" s="746"/>
      <c r="AR76" s="362">
        <f t="shared" si="52"/>
        <v>9.1683222747312582E-3</v>
      </c>
      <c r="AT76" s="341"/>
      <c r="AU76" s="350" t="s">
        <v>344</v>
      </c>
      <c r="AV76" s="349">
        <v>2</v>
      </c>
      <c r="AW76" s="438"/>
      <c r="AY76" s="65" t="s">
        <v>192</v>
      </c>
      <c r="AZ76" s="248">
        <v>2</v>
      </c>
      <c r="BA76" s="252">
        <f>1.96/1000</f>
        <v>1.9599999999999999E-3</v>
      </c>
      <c r="BB76" s="352">
        <f>1.27/1000</f>
        <v>1.2700000000000001E-3</v>
      </c>
    </row>
    <row r="77" spans="1:75" ht="15" customHeight="1" thickBot="1">
      <c r="A77" s="883"/>
      <c r="B77" s="661"/>
      <c r="C77" s="662"/>
      <c r="D77" s="652"/>
      <c r="E77" s="244"/>
      <c r="F77" s="567"/>
      <c r="G77" s="623">
        <f>G76</f>
        <v>0</v>
      </c>
      <c r="H77" s="306" t="str">
        <f>IF(H75&lt;&gt;"-------",FIXED(IF($E$14&lt;&gt;0,MROUND(H75,$E$14),MROUND(H75,$C$14)),LEN(L77)-2,TRUE),"------")</f>
        <v>------</v>
      </c>
      <c r="I77" s="220" t="str">
        <f>IF(I75&lt;&gt;"-------",FIXED(ROUND(I75,$AI$15),LEN(L77)-2,TRUE),"------")</f>
        <v>------</v>
      </c>
      <c r="J77" s="620" t="str">
        <f>IF(G73="===","------",IF(J75&gt;500,"&gt; 500",J75))</f>
        <v>&gt; 500</v>
      </c>
      <c r="K77" s="624" t="e">
        <f>K75</f>
        <v>#DIV/0!</v>
      </c>
      <c r="L77" s="621" t="str">
        <f>IF(L75&lt;&gt;"-------",BF17,"------")</f>
        <v>------</v>
      </c>
      <c r="M77" s="312"/>
      <c r="O77" s="355">
        <f t="shared" si="56"/>
        <v>0</v>
      </c>
      <c r="P77" s="359">
        <f t="shared" si="56"/>
        <v>0</v>
      </c>
      <c r="Q77" s="261">
        <f t="shared" si="57"/>
        <v>0</v>
      </c>
      <c r="R77" s="262">
        <f t="shared" si="57"/>
        <v>0</v>
      </c>
      <c r="S77" s="668">
        <f t="shared" si="58"/>
        <v>0</v>
      </c>
      <c r="T77" s="159">
        <f t="shared" si="58"/>
        <v>0</v>
      </c>
      <c r="U77" s="297"/>
      <c r="V77" s="333">
        <f>IF($L$19="sim",SUM(O73:P77)/4,SUM(S73:T77))</f>
        <v>0</v>
      </c>
      <c r="W77" s="334">
        <f>IF(V77="","",V77^2/3)</f>
        <v>0</v>
      </c>
      <c r="X77" s="334">
        <f>IF($L$19="Sim",SQRT(W77),SUM(S73:T77))</f>
        <v>0</v>
      </c>
      <c r="Y77" s="334">
        <v>1</v>
      </c>
      <c r="Z77" s="334">
        <v>50</v>
      </c>
      <c r="AA77" s="335">
        <f>(X77*Y77)^2</f>
        <v>0</v>
      </c>
      <c r="AB77" s="79"/>
      <c r="AC77" s="17"/>
      <c r="AD77" s="22"/>
      <c r="AE77" s="23"/>
      <c r="AF77" s="80"/>
      <c r="AG77" s="29"/>
      <c r="AH77" s="29"/>
      <c r="AI77" s="30"/>
      <c r="AJ77" s="30"/>
      <c r="AK77" s="31"/>
      <c r="AL77" s="31"/>
      <c r="AM77" s="507" t="s">
        <v>42</v>
      </c>
      <c r="AN77" s="506">
        <v>260000</v>
      </c>
      <c r="AO77" s="490">
        <f>13*1</f>
        <v>13</v>
      </c>
      <c r="AP77" s="507">
        <f t="shared" si="51"/>
        <v>0</v>
      </c>
      <c r="AQ77" s="746"/>
      <c r="AR77" s="362">
        <f t="shared" si="52"/>
        <v>9.1683222747312582E-3</v>
      </c>
      <c r="AS77" s="17">
        <f>SUM(AP135:AP149)</f>
        <v>0</v>
      </c>
      <c r="AT77" s="339"/>
      <c r="AU77" s="339" t="s">
        <v>343</v>
      </c>
      <c r="AV77" s="164" t="str">
        <f>IF(ISERROR(VLOOKUP($AV$76,AT61:AV75,1,FALSE)),"- UNIDADE INVÁLIDA",(VLOOKUP($AV$76,$AT$60:$AV$75,2,FALSE)))</f>
        <v>g</v>
      </c>
      <c r="AW77" s="439"/>
      <c r="AY77" s="65" t="s">
        <v>193</v>
      </c>
      <c r="AZ77" s="248">
        <v>2</v>
      </c>
      <c r="BA77" s="252">
        <f>1.96/1000</f>
        <v>1.9599999999999999E-3</v>
      </c>
      <c r="BB77" s="352">
        <f>1.27/1000</f>
        <v>1.2700000000000001E-3</v>
      </c>
    </row>
    <row r="78" spans="1:75" ht="15" customHeight="1" thickBot="1">
      <c r="A78" s="884"/>
      <c r="B78" s="637"/>
      <c r="C78" s="626"/>
      <c r="D78" s="591"/>
      <c r="E78" s="627"/>
      <c r="F78" s="847"/>
      <c r="G78" s="628"/>
      <c r="H78" s="629"/>
      <c r="I78" s="630"/>
      <c r="J78" s="630"/>
      <c r="K78" s="631"/>
      <c r="L78" s="639"/>
      <c r="M78" s="633"/>
      <c r="N78" s="21"/>
      <c r="O78" s="634"/>
      <c r="P78" s="635"/>
      <c r="Q78" s="634"/>
      <c r="R78" s="635"/>
      <c r="S78" s="636"/>
      <c r="T78" s="635"/>
      <c r="U78" s="314"/>
      <c r="V78" s="372">
        <f>SUM(Q73:R77)</f>
        <v>0</v>
      </c>
      <c r="W78" s="373">
        <f>IF(V78="","",V78^2/3)</f>
        <v>0</v>
      </c>
      <c r="X78" s="373">
        <f>SQRT(W78)</f>
        <v>0</v>
      </c>
      <c r="Y78" s="373">
        <v>1</v>
      </c>
      <c r="Z78" s="373">
        <v>50</v>
      </c>
      <c r="AA78" s="374">
        <f>IF(V78="","",(X78*Y78)^2)</f>
        <v>0</v>
      </c>
      <c r="AB78" s="81"/>
      <c r="AC78" s="82"/>
      <c r="AD78" s="83"/>
      <c r="AE78" s="84"/>
      <c r="AF78" s="85"/>
      <c r="AG78" s="29"/>
      <c r="AH78" s="29"/>
      <c r="AI78" s="30"/>
      <c r="AJ78" s="30"/>
      <c r="AK78" s="31"/>
      <c r="AL78" s="31"/>
      <c r="AM78" s="507" t="s">
        <v>43</v>
      </c>
      <c r="AN78" s="506">
        <v>280000</v>
      </c>
      <c r="AO78" s="490">
        <f>14*1</f>
        <v>14</v>
      </c>
      <c r="AP78" s="507">
        <f t="shared" si="51"/>
        <v>0</v>
      </c>
      <c r="AQ78" s="746"/>
      <c r="AR78" s="362">
        <f t="shared" si="52"/>
        <v>9.1683222747312582E-3</v>
      </c>
      <c r="AT78" s="37"/>
      <c r="AU78" s="350" t="s">
        <v>45</v>
      </c>
      <c r="AV78" s="348">
        <f>VLOOKUP(AV77,$AU$61:$AV$75,2,FALSE)</f>
        <v>1</v>
      </c>
      <c r="AW78" s="376"/>
      <c r="AY78" s="65" t="s">
        <v>194</v>
      </c>
      <c r="AZ78" s="247">
        <v>5</v>
      </c>
      <c r="BA78" s="251">
        <f>4.28/1000</f>
        <v>4.28E-3</v>
      </c>
      <c r="BB78" s="352">
        <f>2.76/1000</f>
        <v>2.7599999999999999E-3</v>
      </c>
    </row>
    <row r="79" spans="1:75" ht="15" customHeight="1">
      <c r="W79" s="29"/>
      <c r="X79" s="29"/>
      <c r="Y79" s="29"/>
      <c r="Z79" s="29"/>
      <c r="AA79" s="29"/>
      <c r="AB79" s="29"/>
      <c r="AC79" s="29"/>
      <c r="AD79" s="10"/>
      <c r="AE79" s="29"/>
      <c r="AG79" s="29"/>
      <c r="AH79" s="6"/>
      <c r="AI79" s="30"/>
      <c r="AJ79" s="30"/>
      <c r="AK79" s="31"/>
      <c r="AL79" s="31"/>
      <c r="AM79" s="507" t="s">
        <v>44</v>
      </c>
      <c r="AN79" s="506">
        <v>300000</v>
      </c>
      <c r="AO79" s="490">
        <f>15*1</f>
        <v>15</v>
      </c>
      <c r="AP79" s="507">
        <f t="shared" si="51"/>
        <v>0</v>
      </c>
      <c r="AQ79" s="746"/>
      <c r="AR79" s="362">
        <f t="shared" si="52"/>
        <v>9.1683222747312582E-3</v>
      </c>
      <c r="AY79" s="65" t="s">
        <v>195</v>
      </c>
      <c r="AZ79" s="247">
        <v>10</v>
      </c>
      <c r="BA79" s="251">
        <f>7.79/1000</f>
        <v>7.79E-3</v>
      </c>
      <c r="BB79" s="352">
        <f>5.01/1000</f>
        <v>5.0099999999999997E-3</v>
      </c>
    </row>
    <row r="80" spans="1:75" ht="15" customHeight="1" thickBot="1">
      <c r="AG80" s="29"/>
      <c r="AH80" s="6"/>
      <c r="AI80" s="30"/>
      <c r="AJ80" s="30"/>
      <c r="AK80" s="31"/>
      <c r="AL80" s="31"/>
      <c r="AM80" s="507" t="s">
        <v>81</v>
      </c>
      <c r="AN80" s="506">
        <v>320000</v>
      </c>
      <c r="AO80" s="490">
        <f>16*1</f>
        <v>16</v>
      </c>
      <c r="AP80" s="507">
        <f t="shared" si="51"/>
        <v>0</v>
      </c>
      <c r="AQ80" s="746"/>
      <c r="AR80" s="362">
        <f t="shared" si="52"/>
        <v>9.1683222747312582E-3</v>
      </c>
      <c r="AY80" s="67" t="s">
        <v>196</v>
      </c>
      <c r="AZ80" s="249">
        <v>20</v>
      </c>
      <c r="BA80" s="354">
        <f>14.3/1000</f>
        <v>1.43E-2</v>
      </c>
      <c r="BB80" s="353">
        <f>9.14/1000</f>
        <v>9.1400000000000006E-3</v>
      </c>
    </row>
    <row r="81" spans="22:66" ht="15" customHeight="1">
      <c r="V81" s="366" t="str">
        <f>IF($I$9="Sim",0.005%*D32*2,"")</f>
        <v/>
      </c>
      <c r="W81" s="363">
        <f t="shared" ref="W81:W88" si="59">IF(V81="",0,V81^2/3)</f>
        <v>0</v>
      </c>
      <c r="X81" s="363">
        <f t="shared" ref="X81:X88" si="60">SQRT(W81)</f>
        <v>0</v>
      </c>
      <c r="Y81" s="364">
        <v>1</v>
      </c>
      <c r="Z81" s="365">
        <v>50</v>
      </c>
      <c r="AA81" s="367">
        <f t="shared" ref="AA81:AA88" si="61">IF(V81="",0,(X81*Y81)^2)</f>
        <v>0</v>
      </c>
      <c r="AG81" s="29"/>
      <c r="AH81" s="6"/>
      <c r="AM81" s="507" t="s">
        <v>82</v>
      </c>
      <c r="AN81" s="506">
        <v>340000</v>
      </c>
      <c r="AO81" s="490">
        <f>17*1</f>
        <v>17</v>
      </c>
      <c r="AP81" s="507">
        <f t="shared" si="51"/>
        <v>0</v>
      </c>
      <c r="AQ81" s="746"/>
      <c r="AR81" s="362">
        <f t="shared" si="52"/>
        <v>9.1683222747312582E-3</v>
      </c>
      <c r="AY81" s="255"/>
      <c r="AZ81" s="255"/>
      <c r="BA81" s="256"/>
    </row>
    <row r="82" spans="22:66" ht="15" customHeight="1">
      <c r="V82" s="366" t="str">
        <f>IF($I$9="Sim",0.005%*D37*2,"")</f>
        <v/>
      </c>
      <c r="W82" s="363">
        <f t="shared" si="59"/>
        <v>0</v>
      </c>
      <c r="X82" s="363">
        <f t="shared" si="60"/>
        <v>0</v>
      </c>
      <c r="Y82" s="364">
        <v>1</v>
      </c>
      <c r="Z82" s="365">
        <v>50</v>
      </c>
      <c r="AA82" s="367">
        <f t="shared" si="61"/>
        <v>0</v>
      </c>
      <c r="AG82" s="29"/>
      <c r="AH82" s="6"/>
      <c r="AM82" s="509" t="s">
        <v>83</v>
      </c>
      <c r="AN82" s="506">
        <v>360000</v>
      </c>
      <c r="AO82" s="490">
        <f>18*1</f>
        <v>18</v>
      </c>
      <c r="AP82" s="507">
        <f t="shared" si="51"/>
        <v>0</v>
      </c>
      <c r="AQ82" s="746"/>
      <c r="AR82" s="362">
        <f t="shared" si="52"/>
        <v>9.1683222747312582E-3</v>
      </c>
      <c r="AY82" s="29"/>
      <c r="AZ82" s="29"/>
    </row>
    <row r="83" spans="22:66" ht="15" customHeight="1">
      <c r="V83" s="366" t="str">
        <f>IF($I$9="Sim",0.005%*D43*2,"")</f>
        <v/>
      </c>
      <c r="W83" s="363">
        <f t="shared" si="59"/>
        <v>0</v>
      </c>
      <c r="X83" s="363">
        <f t="shared" si="60"/>
        <v>0</v>
      </c>
      <c r="Y83" s="364">
        <v>1</v>
      </c>
      <c r="Z83" s="365">
        <v>50</v>
      </c>
      <c r="AA83" s="367">
        <f t="shared" si="61"/>
        <v>0</v>
      </c>
      <c r="AG83" s="29"/>
      <c r="AH83" s="6"/>
      <c r="AM83" s="509" t="s">
        <v>84</v>
      </c>
      <c r="AN83" s="506">
        <v>380000</v>
      </c>
      <c r="AO83" s="490">
        <f>19*1</f>
        <v>19</v>
      </c>
      <c r="AP83" s="507">
        <f t="shared" si="51"/>
        <v>0</v>
      </c>
      <c r="AQ83" s="746"/>
      <c r="AR83" s="362">
        <f t="shared" si="52"/>
        <v>9.1683222747312582E-3</v>
      </c>
    </row>
    <row r="84" spans="22:66" ht="15" customHeight="1">
      <c r="V84" s="366" t="str">
        <f>IF($I$9="Sim",0.005%*D49*2,"")</f>
        <v/>
      </c>
      <c r="W84" s="363">
        <f t="shared" si="59"/>
        <v>0</v>
      </c>
      <c r="X84" s="363">
        <f t="shared" si="60"/>
        <v>0</v>
      </c>
      <c r="Y84" s="364">
        <v>1</v>
      </c>
      <c r="Z84" s="365">
        <v>50</v>
      </c>
      <c r="AA84" s="367">
        <f t="shared" si="61"/>
        <v>0</v>
      </c>
      <c r="AG84" s="29"/>
      <c r="AH84" s="6"/>
      <c r="AM84" s="509" t="s">
        <v>85</v>
      </c>
      <c r="AN84" s="506">
        <v>400000</v>
      </c>
      <c r="AO84" s="490">
        <f>20*1</f>
        <v>20</v>
      </c>
      <c r="AP84" s="507">
        <f t="shared" si="51"/>
        <v>0</v>
      </c>
      <c r="AQ84" s="746"/>
      <c r="AR84" s="362">
        <f t="shared" si="52"/>
        <v>9.1683222747312582E-3</v>
      </c>
    </row>
    <row r="85" spans="22:66" ht="15" customHeight="1">
      <c r="V85" s="366" t="str">
        <f>IF($I$9="Sim",0.005%*D55*2,"")</f>
        <v/>
      </c>
      <c r="W85" s="363">
        <f t="shared" si="59"/>
        <v>0</v>
      </c>
      <c r="X85" s="363">
        <f t="shared" si="60"/>
        <v>0</v>
      </c>
      <c r="Y85" s="364">
        <v>1</v>
      </c>
      <c r="Z85" s="365">
        <v>50</v>
      </c>
      <c r="AA85" s="367">
        <f t="shared" si="61"/>
        <v>0</v>
      </c>
      <c r="AG85" s="29"/>
      <c r="AH85" s="6"/>
      <c r="AM85" s="507" t="s">
        <v>86</v>
      </c>
      <c r="AN85" s="506">
        <v>420000</v>
      </c>
      <c r="AO85" s="490">
        <f>21*1</f>
        <v>21</v>
      </c>
      <c r="AP85" s="507">
        <f t="shared" si="51"/>
        <v>0</v>
      </c>
      <c r="AQ85" s="746"/>
      <c r="AR85" s="362">
        <f t="shared" si="52"/>
        <v>9.1683222747312582E-3</v>
      </c>
    </row>
    <row r="86" spans="22:66" ht="15" customHeight="1">
      <c r="V86" s="366" t="str">
        <f>IF($I$9="Sim",0.005%*D61*2,"")</f>
        <v/>
      </c>
      <c r="W86" s="363">
        <f t="shared" si="59"/>
        <v>0</v>
      </c>
      <c r="X86" s="363">
        <f t="shared" si="60"/>
        <v>0</v>
      </c>
      <c r="Y86" s="364">
        <v>1</v>
      </c>
      <c r="Z86" s="365">
        <v>50</v>
      </c>
      <c r="AA86" s="367">
        <f t="shared" si="61"/>
        <v>0</v>
      </c>
      <c r="AG86" s="29"/>
      <c r="AH86" s="6"/>
      <c r="AM86" s="507" t="s">
        <v>87</v>
      </c>
      <c r="AN86" s="506">
        <v>440000</v>
      </c>
      <c r="AO86" s="490">
        <f>22*1</f>
        <v>22</v>
      </c>
      <c r="AP86" s="507">
        <f t="shared" si="51"/>
        <v>0</v>
      </c>
      <c r="AQ86" s="746"/>
      <c r="AR86" s="362">
        <f t="shared" si="52"/>
        <v>9.1683222747312582E-3</v>
      </c>
    </row>
    <row r="87" spans="22:66" ht="15" customHeight="1" thickBot="1">
      <c r="V87" s="366" t="str">
        <f>IF($I$9="Sim",0.005%*D67*2,"")</f>
        <v/>
      </c>
      <c r="W87" s="363">
        <f t="shared" si="59"/>
        <v>0</v>
      </c>
      <c r="X87" s="363">
        <f t="shared" si="60"/>
        <v>0</v>
      </c>
      <c r="Y87" s="364">
        <v>1</v>
      </c>
      <c r="Z87" s="365">
        <v>50</v>
      </c>
      <c r="AA87" s="367">
        <f t="shared" si="61"/>
        <v>0</v>
      </c>
      <c r="AG87" s="29"/>
      <c r="AH87" s="6"/>
      <c r="AM87" s="507" t="s">
        <v>88</v>
      </c>
      <c r="AN87" s="506">
        <v>460000</v>
      </c>
      <c r="AO87" s="490">
        <f>23*1</f>
        <v>23</v>
      </c>
      <c r="AP87" s="507">
        <f t="shared" si="51"/>
        <v>0</v>
      </c>
      <c r="AQ87" s="746"/>
      <c r="AR87" s="362">
        <f t="shared" si="52"/>
        <v>9.1683222747312582E-3</v>
      </c>
      <c r="AY87" s="95" t="s">
        <v>231</v>
      </c>
      <c r="AZ87" s="94"/>
      <c r="BA87" s="94"/>
      <c r="BB87" s="94"/>
      <c r="BC87" s="94"/>
      <c r="BD87" s="94"/>
      <c r="BE87" s="94"/>
      <c r="BF87" s="94"/>
      <c r="BG87" s="94"/>
      <c r="BH87" s="94"/>
      <c r="BI87" s="94"/>
      <c r="BJ87" s="94"/>
      <c r="BK87" s="94"/>
      <c r="BL87" s="94"/>
      <c r="BM87" s="94"/>
      <c r="BN87" s="94"/>
    </row>
    <row r="88" spans="22:66" ht="15" customHeight="1">
      <c r="V88" s="366" t="str">
        <f>IF($I$9="Sim",0.005%*D73*2,"")</f>
        <v/>
      </c>
      <c r="W88" s="363">
        <f t="shared" si="59"/>
        <v>0</v>
      </c>
      <c r="X88" s="363">
        <f t="shared" si="60"/>
        <v>0</v>
      </c>
      <c r="Y88" s="364">
        <v>1</v>
      </c>
      <c r="Z88" s="365">
        <v>50</v>
      </c>
      <c r="AA88" s="367">
        <f t="shared" si="61"/>
        <v>0</v>
      </c>
      <c r="AG88" s="29"/>
      <c r="AH88" s="6"/>
      <c r="AM88" s="507" t="s">
        <v>89</v>
      </c>
      <c r="AN88" s="506">
        <v>480000</v>
      </c>
      <c r="AO88" s="490">
        <f>24*1</f>
        <v>24</v>
      </c>
      <c r="AP88" s="507">
        <f t="shared" si="51"/>
        <v>0</v>
      </c>
      <c r="AQ88" s="746"/>
      <c r="AR88" s="362">
        <f t="shared" si="52"/>
        <v>9.1683222747312582E-3</v>
      </c>
      <c r="AY88" s="96" t="s">
        <v>232</v>
      </c>
      <c r="AZ88" s="97">
        <v>1.2</v>
      </c>
      <c r="BA88" s="98" t="s">
        <v>233</v>
      </c>
      <c r="BB88" s="99" t="s">
        <v>234</v>
      </c>
      <c r="BC88" s="99"/>
      <c r="BD88" s="99"/>
      <c r="BE88" s="99"/>
      <c r="BF88" s="948"/>
      <c r="BG88" s="948"/>
      <c r="BH88" s="948"/>
      <c r="BI88" s="94"/>
      <c r="BJ88" s="94"/>
      <c r="BK88" s="94"/>
      <c r="BL88" s="94"/>
      <c r="BM88" s="94" t="s">
        <v>235</v>
      </c>
    </row>
    <row r="89" spans="22:66" ht="15" customHeight="1" thickBot="1">
      <c r="AG89" s="29"/>
      <c r="AH89" s="6"/>
      <c r="AM89" s="507" t="s">
        <v>90</v>
      </c>
      <c r="AN89" s="506">
        <v>500000</v>
      </c>
      <c r="AO89" s="490">
        <f>25*1</f>
        <v>25</v>
      </c>
      <c r="AP89" s="507">
        <f t="shared" si="51"/>
        <v>0</v>
      </c>
      <c r="AQ89" s="746"/>
      <c r="AR89" s="362">
        <f t="shared" si="52"/>
        <v>9.1683222747312582E-3</v>
      </c>
      <c r="AY89" s="100" t="s">
        <v>236</v>
      </c>
      <c r="AZ89" s="101">
        <v>8000</v>
      </c>
      <c r="BA89" s="102" t="s">
        <v>233</v>
      </c>
      <c r="BB89" s="103" t="s">
        <v>237</v>
      </c>
      <c r="BC89" s="103"/>
      <c r="BD89" s="103"/>
      <c r="BE89" s="103"/>
      <c r="BF89" s="948"/>
      <c r="BG89" s="948"/>
      <c r="BH89" s="948"/>
      <c r="BI89" s="94"/>
      <c r="BJ89" s="94"/>
      <c r="BK89" s="94"/>
      <c r="BL89" s="94"/>
      <c r="BM89" s="94" t="s">
        <v>238</v>
      </c>
    </row>
    <row r="90" spans="22:66" ht="15" customHeight="1" thickBot="1">
      <c r="AG90" s="29"/>
      <c r="AH90" s="6"/>
      <c r="AM90" s="507" t="s">
        <v>91</v>
      </c>
      <c r="AN90" s="506">
        <v>520000</v>
      </c>
      <c r="AO90" s="490">
        <f>26*1</f>
        <v>26</v>
      </c>
      <c r="AP90" s="507">
        <f t="shared" si="51"/>
        <v>0</v>
      </c>
      <c r="AQ90" s="746"/>
      <c r="AR90" s="362">
        <f>SQRT((15.88/1000)^2/3)</f>
        <v>9.1683222747312582E-3</v>
      </c>
      <c r="AY90" s="95" t="s">
        <v>253</v>
      </c>
      <c r="AZ90" s="94"/>
      <c r="BA90" s="94"/>
      <c r="BB90" s="94"/>
      <c r="BC90" s="94"/>
      <c r="BD90" s="94"/>
      <c r="BE90" s="94"/>
      <c r="BF90" s="94"/>
      <c r="BG90" s="94"/>
      <c r="BH90" s="94"/>
      <c r="BI90" s="94"/>
      <c r="BJ90" s="94"/>
      <c r="BK90" s="94"/>
      <c r="BL90" s="94"/>
      <c r="BM90" s="94"/>
      <c r="BN90" s="94"/>
    </row>
    <row r="91" spans="22:66" ht="15" customHeight="1" thickBot="1">
      <c r="AG91" s="29"/>
      <c r="AH91" s="6"/>
      <c r="AM91" s="507" t="s">
        <v>92</v>
      </c>
      <c r="AN91" s="506">
        <v>540000</v>
      </c>
      <c r="AO91" s="490">
        <f>27*1</f>
        <v>27</v>
      </c>
      <c r="AP91" s="507">
        <f t="shared" si="51"/>
        <v>0</v>
      </c>
      <c r="AQ91" s="746"/>
      <c r="AR91" s="362">
        <f t="shared" si="52"/>
        <v>9.1683222747312582E-3</v>
      </c>
      <c r="AY91" s="139" t="s">
        <v>255</v>
      </c>
      <c r="AZ91" s="104"/>
      <c r="BA91" s="963" t="s">
        <v>239</v>
      </c>
      <c r="BB91" s="927"/>
      <c r="BC91" s="927"/>
    </row>
    <row r="92" spans="22:66" ht="22.5" customHeight="1" thickBot="1">
      <c r="V92" s="849">
        <f>IF(F36="",0,F36/C13)</f>
        <v>0</v>
      </c>
      <c r="W92" s="850">
        <f>IF(V92="",0,V92^2/3)</f>
        <v>0</v>
      </c>
      <c r="X92" s="850">
        <f t="shared" ref="X92:X99" si="62">SQRT(W92)</f>
        <v>0</v>
      </c>
      <c r="Y92" s="851">
        <v>1</v>
      </c>
      <c r="Z92" s="852">
        <v>50</v>
      </c>
      <c r="AA92" s="853">
        <f t="shared" ref="AA92:AA98" si="63">IF(V92="",0,(X92*Y92)^2)</f>
        <v>0</v>
      </c>
      <c r="AG92" s="6"/>
      <c r="AH92" s="6"/>
      <c r="AM92" s="507" t="s">
        <v>93</v>
      </c>
      <c r="AN92" s="506">
        <v>560000</v>
      </c>
      <c r="AO92" s="490">
        <f>28*1</f>
        <v>28</v>
      </c>
      <c r="AP92" s="507">
        <f t="shared" si="51"/>
        <v>0</v>
      </c>
      <c r="AQ92" s="746"/>
      <c r="AR92" s="362">
        <f t="shared" si="52"/>
        <v>9.1683222747312582E-3</v>
      </c>
      <c r="AY92" s="141" t="s">
        <v>254</v>
      </c>
      <c r="AZ92" s="138" t="s">
        <v>243</v>
      </c>
      <c r="BA92" s="105" t="s">
        <v>244</v>
      </c>
      <c r="BB92" s="106" t="s">
        <v>245</v>
      </c>
      <c r="BC92" s="118" t="s">
        <v>246</v>
      </c>
    </row>
    <row r="93" spans="22:66" ht="30" customHeight="1">
      <c r="V93" s="849">
        <f>IF(F42="",0,F42/C13)</f>
        <v>0</v>
      </c>
      <c r="W93" s="850">
        <f t="shared" ref="W93:W99" si="64">IF(V93="",0,V93^2/3)</f>
        <v>0</v>
      </c>
      <c r="X93" s="850">
        <f t="shared" si="62"/>
        <v>0</v>
      </c>
      <c r="Y93" s="851">
        <v>1</v>
      </c>
      <c r="Z93" s="852">
        <v>50</v>
      </c>
      <c r="AA93" s="853">
        <f t="shared" si="63"/>
        <v>0</v>
      </c>
      <c r="AG93" s="6"/>
      <c r="AH93" s="6"/>
      <c r="AM93" s="507" t="s">
        <v>94</v>
      </c>
      <c r="AN93" s="506">
        <v>580000</v>
      </c>
      <c r="AO93" s="490">
        <f>29*1</f>
        <v>29</v>
      </c>
      <c r="AP93" s="507">
        <f t="shared" si="51"/>
        <v>0</v>
      </c>
      <c r="AQ93" s="746"/>
      <c r="AR93" s="362">
        <f t="shared" si="52"/>
        <v>9.1683222747312582E-3</v>
      </c>
      <c r="AW93" s="87"/>
      <c r="AY93" s="195">
        <v>50</v>
      </c>
      <c r="AZ93" s="108">
        <v>50</v>
      </c>
      <c r="BA93" s="109">
        <v>0.1</v>
      </c>
      <c r="BB93" s="119">
        <f>BA93/(4*SQRT(3))</f>
        <v>1.4433756729740645E-2</v>
      </c>
      <c r="BC93" s="122">
        <f t="shared" ref="BC93:BC101" si="65">($AZ93*1000*0.1*$AZ$88/$AZ$89+BA93/4)/SQRT(3)</f>
        <v>0.44744645862196003</v>
      </c>
    </row>
    <row r="94" spans="22:66" ht="15" customHeight="1">
      <c r="V94" s="849">
        <f>IF(F48="",0,F48/C13)</f>
        <v>0</v>
      </c>
      <c r="W94" s="850">
        <f t="shared" si="64"/>
        <v>0</v>
      </c>
      <c r="X94" s="850">
        <f t="shared" si="62"/>
        <v>0</v>
      </c>
      <c r="Y94" s="851">
        <v>1</v>
      </c>
      <c r="Z94" s="852">
        <v>50</v>
      </c>
      <c r="AA94" s="853">
        <f t="shared" si="63"/>
        <v>0</v>
      </c>
      <c r="AG94" s="6"/>
      <c r="AH94" s="6"/>
      <c r="AM94" s="507" t="s">
        <v>95</v>
      </c>
      <c r="AN94" s="506">
        <v>600000</v>
      </c>
      <c r="AO94" s="490">
        <f>30*1</f>
        <v>30</v>
      </c>
      <c r="AP94" s="507">
        <f t="shared" si="51"/>
        <v>0</v>
      </c>
      <c r="AQ94" s="746"/>
      <c r="AR94" s="362">
        <f t="shared" si="52"/>
        <v>9.1683222747312582E-3</v>
      </c>
      <c r="AT94" s="944" t="s">
        <v>74</v>
      </c>
      <c r="AU94" s="932"/>
      <c r="AV94" s="933"/>
      <c r="AW94" s="286"/>
      <c r="AY94" s="195">
        <v>20</v>
      </c>
      <c r="AZ94" s="110">
        <v>20</v>
      </c>
      <c r="BA94" s="111">
        <v>0.08</v>
      </c>
      <c r="BB94" s="120">
        <f>BA94/(4*SQRT(3))</f>
        <v>1.1547005383792516E-2</v>
      </c>
      <c r="BC94" s="123">
        <f t="shared" si="65"/>
        <v>0.18475208614068026</v>
      </c>
    </row>
    <row r="95" spans="22:66" ht="15" customHeight="1">
      <c r="V95" s="849">
        <f>IF(F54="",0,F54/C13)</f>
        <v>0</v>
      </c>
      <c r="W95" s="850">
        <f t="shared" si="64"/>
        <v>0</v>
      </c>
      <c r="X95" s="850">
        <f t="shared" si="62"/>
        <v>0</v>
      </c>
      <c r="Y95" s="851">
        <v>1</v>
      </c>
      <c r="Z95" s="852">
        <v>50</v>
      </c>
      <c r="AA95" s="853">
        <f t="shared" si="63"/>
        <v>0</v>
      </c>
      <c r="AG95" s="6"/>
      <c r="AH95" s="6"/>
      <c r="AM95" s="510" t="s">
        <v>124</v>
      </c>
      <c r="AN95" s="506">
        <v>620000</v>
      </c>
      <c r="AO95" s="490">
        <f>31*1</f>
        <v>31</v>
      </c>
      <c r="AP95" s="507">
        <f t="shared" si="51"/>
        <v>0</v>
      </c>
      <c r="AQ95" s="746"/>
      <c r="AR95" s="362">
        <f t="shared" si="52"/>
        <v>9.1683222747312582E-3</v>
      </c>
      <c r="AT95" s="301">
        <v>1</v>
      </c>
      <c r="AU95" s="302" t="s">
        <v>76</v>
      </c>
      <c r="AV95" s="303"/>
      <c r="AW95" s="440"/>
      <c r="AY95" s="195">
        <v>10</v>
      </c>
      <c r="AZ95" s="110">
        <v>10</v>
      </c>
      <c r="BA95" s="111">
        <v>0.06</v>
      </c>
      <c r="BB95" s="120">
        <f t="shared" ref="BB95:BB101" si="66">BA95/(4*SQRT(3))</f>
        <v>8.6602540378443865E-3</v>
      </c>
      <c r="BC95" s="123">
        <f t="shared" si="65"/>
        <v>9.5262794416288252E-2</v>
      </c>
    </row>
    <row r="96" spans="22:66" ht="15" customHeight="1">
      <c r="V96" s="849">
        <f>IF(F60="",0,F60/C13)</f>
        <v>0</v>
      </c>
      <c r="W96" s="850">
        <f t="shared" si="64"/>
        <v>0</v>
      </c>
      <c r="X96" s="850">
        <f t="shared" si="62"/>
        <v>0</v>
      </c>
      <c r="Y96" s="851">
        <v>1</v>
      </c>
      <c r="Z96" s="852">
        <v>50</v>
      </c>
      <c r="AA96" s="853">
        <f t="shared" si="63"/>
        <v>0</v>
      </c>
      <c r="AG96" s="6"/>
      <c r="AH96" s="6"/>
      <c r="AM96" s="507" t="s">
        <v>125</v>
      </c>
      <c r="AN96" s="506">
        <v>640000</v>
      </c>
      <c r="AO96" s="490">
        <f>32*1</f>
        <v>32</v>
      </c>
      <c r="AP96" s="507">
        <f t="shared" si="51"/>
        <v>0</v>
      </c>
      <c r="AQ96" s="746"/>
      <c r="AR96" s="362">
        <f t="shared" si="52"/>
        <v>9.1683222747312582E-3</v>
      </c>
      <c r="AT96" s="301">
        <v>2</v>
      </c>
      <c r="AU96" s="302" t="s">
        <v>356</v>
      </c>
      <c r="AV96" s="303"/>
      <c r="AW96" s="440"/>
      <c r="AY96" s="195">
        <v>5</v>
      </c>
      <c r="AZ96" s="110">
        <v>5</v>
      </c>
      <c r="BA96" s="111">
        <v>0.05</v>
      </c>
      <c r="BB96" s="120">
        <f t="shared" si="66"/>
        <v>7.2168783648703227E-3</v>
      </c>
      <c r="BC96" s="123">
        <f t="shared" si="65"/>
        <v>5.0518148554092257E-2</v>
      </c>
    </row>
    <row r="97" spans="22:55" ht="15" customHeight="1">
      <c r="V97" s="849">
        <f>IF(F66="",0,F66/C13)</f>
        <v>0</v>
      </c>
      <c r="W97" s="850">
        <f t="shared" si="64"/>
        <v>0</v>
      </c>
      <c r="X97" s="850">
        <f t="shared" si="62"/>
        <v>0</v>
      </c>
      <c r="Y97" s="851">
        <v>1</v>
      </c>
      <c r="Z97" s="852">
        <v>50</v>
      </c>
      <c r="AA97" s="853">
        <f t="shared" si="63"/>
        <v>0</v>
      </c>
      <c r="AG97" s="6"/>
      <c r="AH97" s="6"/>
      <c r="AM97" s="507" t="s">
        <v>126</v>
      </c>
      <c r="AN97" s="506">
        <v>660000</v>
      </c>
      <c r="AO97" s="490">
        <f>33*1</f>
        <v>33</v>
      </c>
      <c r="AP97" s="507">
        <f t="shared" ref="AP97:AP119" si="67">IF(ISERROR(MATCH(AM97,$B$32:$B$77,0)),0,(MATCH(AM97,$B$32:$B$77,0)))+IF(ISERROR(MATCH(AM97,$C$32:$C$77,0)),0,(MATCH(AM97,$C$32:$C$77,0)))</f>
        <v>0</v>
      </c>
      <c r="AQ97" s="746"/>
      <c r="AR97" s="362">
        <f t="shared" si="52"/>
        <v>9.1683222747312582E-3</v>
      </c>
      <c r="AT97" s="301">
        <v>3</v>
      </c>
      <c r="AU97" s="302" t="s">
        <v>75</v>
      </c>
      <c r="AV97" s="303"/>
      <c r="AW97" s="440"/>
      <c r="AY97" s="195">
        <v>2</v>
      </c>
      <c r="AZ97" s="110">
        <v>2</v>
      </c>
      <c r="BA97" s="111">
        <v>0.04</v>
      </c>
      <c r="BB97" s="120">
        <f t="shared" si="66"/>
        <v>5.773502691896258E-3</v>
      </c>
      <c r="BC97" s="123">
        <f t="shared" si="65"/>
        <v>2.3094010767585032E-2</v>
      </c>
    </row>
    <row r="98" spans="22:55" ht="15" customHeight="1" thickBot="1">
      <c r="V98" s="849">
        <f>IF(F72="",0,F72/C13)</f>
        <v>0</v>
      </c>
      <c r="W98" s="850">
        <f t="shared" si="64"/>
        <v>0</v>
      </c>
      <c r="X98" s="850">
        <f t="shared" si="62"/>
        <v>0</v>
      </c>
      <c r="Y98" s="851">
        <v>1</v>
      </c>
      <c r="Z98" s="852">
        <v>50</v>
      </c>
      <c r="AA98" s="853">
        <f t="shared" si="63"/>
        <v>0</v>
      </c>
      <c r="AG98" s="6"/>
      <c r="AH98" s="6"/>
      <c r="AM98" s="507" t="s">
        <v>127</v>
      </c>
      <c r="AN98" s="506">
        <v>680000</v>
      </c>
      <c r="AO98" s="490">
        <f>34*1</f>
        <v>34</v>
      </c>
      <c r="AP98" s="507">
        <f t="shared" si="67"/>
        <v>0</v>
      </c>
      <c r="AQ98" s="746"/>
      <c r="AR98" s="362">
        <f t="shared" si="52"/>
        <v>9.1683222747312582E-3</v>
      </c>
      <c r="AT98" s="945" t="s">
        <v>384</v>
      </c>
      <c r="AU98" s="946"/>
      <c r="AV98" s="304">
        <v>1</v>
      </c>
      <c r="AW98" s="438"/>
      <c r="AY98" s="195">
        <v>1</v>
      </c>
      <c r="AZ98" s="110">
        <v>1</v>
      </c>
      <c r="BA98" s="111">
        <v>0.03</v>
      </c>
      <c r="BB98" s="120">
        <f t="shared" si="66"/>
        <v>4.3301270189221933E-3</v>
      </c>
      <c r="BC98" s="123">
        <f t="shared" si="65"/>
        <v>1.299038105676658E-2</v>
      </c>
    </row>
    <row r="99" spans="22:55" ht="15" customHeight="1">
      <c r="V99" s="849">
        <f>IF(F78="",0,F78/C13)</f>
        <v>0</v>
      </c>
      <c r="W99" s="850">
        <f t="shared" si="64"/>
        <v>0</v>
      </c>
      <c r="X99" s="850">
        <f t="shared" si="62"/>
        <v>0</v>
      </c>
      <c r="Y99" s="851">
        <v>1</v>
      </c>
      <c r="Z99" s="852">
        <v>50</v>
      </c>
      <c r="AA99" s="853">
        <f>IF(V99="",0,(X99*Y99)^2)</f>
        <v>0</v>
      </c>
      <c r="AG99" s="6"/>
      <c r="AH99" s="6"/>
      <c r="AM99" s="507" t="s">
        <v>128</v>
      </c>
      <c r="AN99" s="506">
        <v>700000</v>
      </c>
      <c r="AO99" s="490">
        <f>35*1</f>
        <v>35</v>
      </c>
      <c r="AP99" s="507">
        <f t="shared" si="67"/>
        <v>0</v>
      </c>
      <c r="AQ99" s="746"/>
      <c r="AR99" s="362">
        <f t="shared" si="52"/>
        <v>9.1683222747312582E-3</v>
      </c>
      <c r="AT99" s="88"/>
      <c r="AU99" s="88"/>
      <c r="AV99" s="88"/>
      <c r="AW99" s="440"/>
      <c r="AY99" s="195" t="s">
        <v>60</v>
      </c>
      <c r="AZ99" s="110">
        <v>0.5</v>
      </c>
      <c r="BA99" s="111">
        <v>2.5000000000000001E-2</v>
      </c>
      <c r="BB99" s="120">
        <f t="shared" si="66"/>
        <v>3.6084391824351613E-3</v>
      </c>
      <c r="BC99" s="123">
        <f t="shared" si="65"/>
        <v>7.9385662013573555E-3</v>
      </c>
    </row>
    <row r="100" spans="22:55" ht="15" customHeight="1">
      <c r="AG100" s="6"/>
      <c r="AH100" s="6"/>
      <c r="AM100" s="507" t="s">
        <v>129</v>
      </c>
      <c r="AN100" s="506">
        <v>720000</v>
      </c>
      <c r="AO100" s="490">
        <f>36*1</f>
        <v>36</v>
      </c>
      <c r="AP100" s="507">
        <f t="shared" si="67"/>
        <v>0</v>
      </c>
      <c r="AQ100" s="746"/>
      <c r="AR100" s="362">
        <f t="shared" si="52"/>
        <v>9.1683222747312582E-3</v>
      </c>
      <c r="AT100" s="88"/>
      <c r="AU100" s="88"/>
      <c r="AV100" s="88"/>
      <c r="AW100" s="440"/>
      <c r="AY100" s="195" t="s">
        <v>58</v>
      </c>
      <c r="AZ100" s="110">
        <v>0.2</v>
      </c>
      <c r="BA100" s="111">
        <v>0.02</v>
      </c>
      <c r="BB100" s="120">
        <f t="shared" si="66"/>
        <v>2.886751345948129E-3</v>
      </c>
      <c r="BC100" s="123">
        <f t="shared" si="65"/>
        <v>4.6188021535170064E-3</v>
      </c>
    </row>
    <row r="101" spans="22:55" ht="15" customHeight="1" thickBot="1">
      <c r="AG101" s="6"/>
      <c r="AH101" s="6"/>
      <c r="AM101" s="507" t="s">
        <v>130</v>
      </c>
      <c r="AN101" s="506">
        <v>740000</v>
      </c>
      <c r="AO101" s="490">
        <f>37*1</f>
        <v>37</v>
      </c>
      <c r="AP101" s="507">
        <f t="shared" si="67"/>
        <v>0</v>
      </c>
      <c r="AQ101" s="746"/>
      <c r="AR101" s="362">
        <f t="shared" si="52"/>
        <v>9.1683222747312582E-3</v>
      </c>
      <c r="AT101" s="931" t="s">
        <v>97</v>
      </c>
      <c r="AU101" s="932"/>
      <c r="AV101" s="933"/>
      <c r="AW101" s="286"/>
      <c r="AY101" s="196" t="s">
        <v>57</v>
      </c>
      <c r="AZ101" s="112">
        <v>0.1</v>
      </c>
      <c r="BA101" s="113">
        <v>1.6E-2</v>
      </c>
      <c r="BB101" s="121">
        <f t="shared" si="66"/>
        <v>2.3094010767585032E-3</v>
      </c>
      <c r="BC101" s="124">
        <f t="shared" si="65"/>
        <v>3.1754264805429417E-3</v>
      </c>
    </row>
    <row r="102" spans="22:55" ht="15" customHeight="1" thickBot="1">
      <c r="AG102" s="6"/>
      <c r="AH102" s="6"/>
      <c r="AM102" s="507" t="s">
        <v>131</v>
      </c>
      <c r="AN102" s="506">
        <v>760000</v>
      </c>
      <c r="AO102" s="490">
        <f>38*1</f>
        <v>38</v>
      </c>
      <c r="AP102" s="507">
        <f t="shared" si="67"/>
        <v>0</v>
      </c>
      <c r="AQ102" s="746"/>
      <c r="AR102" s="362">
        <f t="shared" si="52"/>
        <v>9.1683222747312582E-3</v>
      </c>
      <c r="AT102" s="301">
        <v>1</v>
      </c>
      <c r="AU102" s="302" t="s">
        <v>290</v>
      </c>
      <c r="AV102" s="303"/>
      <c r="AW102" s="440"/>
      <c r="AY102" s="139" t="s">
        <v>179</v>
      </c>
      <c r="BA102" s="927" t="s">
        <v>240</v>
      </c>
      <c r="BB102" s="927"/>
      <c r="BC102" s="927"/>
    </row>
    <row r="103" spans="22:55" ht="15" customHeight="1" thickBot="1">
      <c r="AG103" s="6"/>
      <c r="AH103" s="6"/>
      <c r="AM103" s="507" t="s">
        <v>132</v>
      </c>
      <c r="AN103" s="506">
        <v>780000</v>
      </c>
      <c r="AO103" s="490">
        <f>39*1</f>
        <v>39</v>
      </c>
      <c r="AP103" s="507">
        <f t="shared" si="67"/>
        <v>0</v>
      </c>
      <c r="AQ103" s="746"/>
      <c r="AR103" s="362">
        <f t="shared" si="52"/>
        <v>9.1683222747312582E-3</v>
      </c>
      <c r="AT103" s="301">
        <v>2</v>
      </c>
      <c r="AU103" s="302" t="s">
        <v>554</v>
      </c>
      <c r="AV103" s="303"/>
      <c r="AW103" s="440"/>
      <c r="AY103" s="141" t="s">
        <v>254</v>
      </c>
      <c r="AZ103" s="138" t="s">
        <v>243</v>
      </c>
      <c r="BA103" s="105" t="s">
        <v>244</v>
      </c>
      <c r="BB103" s="106" t="s">
        <v>245</v>
      </c>
      <c r="BC103" s="118" t="s">
        <v>246</v>
      </c>
    </row>
    <row r="104" spans="22:55" ht="15" customHeight="1">
      <c r="AG104" s="6"/>
      <c r="AH104" s="6"/>
      <c r="AM104" s="507" t="s">
        <v>133</v>
      </c>
      <c r="AN104" s="506">
        <v>800000</v>
      </c>
      <c r="AO104" s="490">
        <f>40*1</f>
        <v>40</v>
      </c>
      <c r="AP104" s="507">
        <f t="shared" si="67"/>
        <v>0</v>
      </c>
      <c r="AQ104" s="746"/>
      <c r="AR104" s="362">
        <f t="shared" si="52"/>
        <v>9.1683222747312582E-3</v>
      </c>
      <c r="AT104" s="301">
        <v>3</v>
      </c>
      <c r="AU104" s="302" t="s">
        <v>555</v>
      </c>
      <c r="AV104" s="303"/>
      <c r="AW104" s="440"/>
      <c r="AY104" s="144" t="s">
        <v>186</v>
      </c>
      <c r="AZ104" s="108">
        <v>50</v>
      </c>
      <c r="BA104" s="115">
        <v>0.3</v>
      </c>
      <c r="BB104" s="119">
        <f>BA104/(4*SQRT(3))</f>
        <v>4.3301270189221933E-2</v>
      </c>
      <c r="BC104" s="122">
        <f t="shared" ref="BC104:BC112" si="68">($AZ93*1000*0.1*$AZ$88/$AZ$89+BA104/4)/SQRT(3)</f>
        <v>0.47631397208144127</v>
      </c>
    </row>
    <row r="105" spans="22:55" ht="15" customHeight="1">
      <c r="AG105" s="6"/>
      <c r="AH105" s="6"/>
      <c r="AM105" s="507" t="s">
        <v>134</v>
      </c>
      <c r="AN105" s="506">
        <v>820000</v>
      </c>
      <c r="AO105" s="490">
        <f>41*1</f>
        <v>41</v>
      </c>
      <c r="AP105" s="507">
        <f t="shared" si="67"/>
        <v>0</v>
      </c>
      <c r="AQ105" s="746"/>
      <c r="AR105" s="362">
        <f t="shared" si="52"/>
        <v>9.1683222747312582E-3</v>
      </c>
      <c r="AT105" s="301">
        <v>4</v>
      </c>
      <c r="AU105" s="302" t="s">
        <v>96</v>
      </c>
      <c r="AV105" s="303"/>
      <c r="AW105" s="440"/>
      <c r="AY105" s="145" t="s">
        <v>184</v>
      </c>
      <c r="AZ105" s="110">
        <v>20</v>
      </c>
      <c r="BA105" s="116">
        <v>0.25</v>
      </c>
      <c r="BB105" s="120">
        <f>BA105/(4*SQRT(3))</f>
        <v>3.6084391824351615E-2</v>
      </c>
      <c r="BC105" s="123">
        <f t="shared" si="68"/>
        <v>0.20928947258123934</v>
      </c>
    </row>
    <row r="106" spans="22:55" ht="12.75" customHeight="1">
      <c r="AG106" s="6"/>
      <c r="AH106" s="6"/>
      <c r="AM106" s="507" t="s">
        <v>135</v>
      </c>
      <c r="AN106" s="506">
        <v>840000</v>
      </c>
      <c r="AO106" s="490">
        <f>42*1</f>
        <v>42</v>
      </c>
      <c r="AP106" s="507">
        <f t="shared" si="67"/>
        <v>0</v>
      </c>
      <c r="AQ106" s="746"/>
      <c r="AR106" s="362">
        <f t="shared" si="52"/>
        <v>9.1683222747312582E-3</v>
      </c>
      <c r="AT106" s="305">
        <v>5</v>
      </c>
      <c r="AU106" s="302" t="s">
        <v>556</v>
      </c>
      <c r="AV106" s="303"/>
      <c r="AW106" s="440"/>
      <c r="AY106" s="145" t="s">
        <v>183</v>
      </c>
      <c r="AZ106" s="110">
        <v>10</v>
      </c>
      <c r="BA106" s="116">
        <v>0.2</v>
      </c>
      <c r="BB106" s="120">
        <f t="shared" ref="BB106:BB112" si="69">BA106/(4*SQRT(3))</f>
        <v>2.8867513459481291E-2</v>
      </c>
      <c r="BC106" s="123">
        <f t="shared" si="68"/>
        <v>0.11547005383792516</v>
      </c>
    </row>
    <row r="107" spans="22:55" ht="15" customHeight="1">
      <c r="AG107" s="6"/>
      <c r="AH107" s="6"/>
      <c r="AM107" s="507" t="s">
        <v>136</v>
      </c>
      <c r="AN107" s="506">
        <v>860000</v>
      </c>
      <c r="AO107" s="490">
        <f>43*1</f>
        <v>43</v>
      </c>
      <c r="AP107" s="507">
        <f t="shared" si="67"/>
        <v>0</v>
      </c>
      <c r="AQ107" s="746"/>
      <c r="AR107" s="362">
        <f t="shared" si="52"/>
        <v>9.1683222747312582E-3</v>
      </c>
      <c r="AT107" s="305">
        <v>6</v>
      </c>
      <c r="AU107" s="302" t="s">
        <v>668</v>
      </c>
      <c r="AV107" s="303"/>
      <c r="AW107" s="438"/>
      <c r="AY107" s="145" t="s">
        <v>182</v>
      </c>
      <c r="AZ107" s="110">
        <v>5</v>
      </c>
      <c r="BA107" s="116">
        <v>0.16</v>
      </c>
      <c r="BB107" s="120">
        <f t="shared" si="69"/>
        <v>2.3094010767585032E-2</v>
      </c>
      <c r="BC107" s="123">
        <f t="shared" si="68"/>
        <v>6.6395280956806968E-2</v>
      </c>
    </row>
    <row r="108" spans="22:55" ht="30" customHeight="1">
      <c r="AG108" s="6"/>
      <c r="AH108" s="6"/>
      <c r="AM108" s="507" t="s">
        <v>137</v>
      </c>
      <c r="AN108" s="506">
        <v>880000</v>
      </c>
      <c r="AO108" s="490">
        <f>44*1</f>
        <v>44</v>
      </c>
      <c r="AP108" s="507">
        <f t="shared" si="67"/>
        <v>0</v>
      </c>
      <c r="AQ108" s="746"/>
      <c r="AR108" s="362">
        <f t="shared" si="52"/>
        <v>9.1683222747312582E-3</v>
      </c>
      <c r="AT108" s="305">
        <v>7</v>
      </c>
      <c r="AU108" s="844" t="s">
        <v>669</v>
      </c>
      <c r="AV108" s="303"/>
      <c r="AW108" s="87"/>
      <c r="AY108" s="145" t="s">
        <v>180</v>
      </c>
      <c r="AZ108" s="110">
        <v>2</v>
      </c>
      <c r="BA108" s="116">
        <v>0.12</v>
      </c>
      <c r="BB108" s="120">
        <f t="shared" si="69"/>
        <v>1.7320508075688773E-2</v>
      </c>
      <c r="BC108" s="123">
        <f t="shared" si="68"/>
        <v>3.4641016151377546E-2</v>
      </c>
    </row>
    <row r="109" spans="22:55" ht="15" customHeight="1" thickBot="1">
      <c r="AG109" s="6"/>
      <c r="AH109" s="6"/>
      <c r="AM109" s="511" t="s">
        <v>138</v>
      </c>
      <c r="AN109" s="512">
        <v>900000</v>
      </c>
      <c r="AO109" s="502">
        <f>45*1</f>
        <v>45</v>
      </c>
      <c r="AP109" s="511">
        <f t="shared" si="67"/>
        <v>0</v>
      </c>
      <c r="AQ109" s="510"/>
      <c r="AR109" s="362">
        <f t="shared" si="52"/>
        <v>9.1683222747312582E-3</v>
      </c>
      <c r="AT109" s="305">
        <v>8</v>
      </c>
      <c r="AU109" s="844" t="s">
        <v>676</v>
      </c>
      <c r="AV109" s="303"/>
      <c r="AY109" s="145" t="s">
        <v>179</v>
      </c>
      <c r="AZ109" s="110">
        <v>1</v>
      </c>
      <c r="BA109" s="116">
        <v>0.1</v>
      </c>
      <c r="BB109" s="120">
        <f t="shared" si="69"/>
        <v>1.4433756729740645E-2</v>
      </c>
      <c r="BC109" s="123">
        <f t="shared" si="68"/>
        <v>2.3094010767585032E-2</v>
      </c>
    </row>
    <row r="110" spans="22:55" ht="15" customHeight="1">
      <c r="AG110" s="6"/>
      <c r="AH110" s="6"/>
      <c r="AM110" s="513" t="s">
        <v>139</v>
      </c>
      <c r="AN110" s="514">
        <v>920000</v>
      </c>
      <c r="AO110" s="515">
        <f>46*1</f>
        <v>46</v>
      </c>
      <c r="AP110" s="513">
        <f t="shared" si="67"/>
        <v>0</v>
      </c>
      <c r="AQ110" s="510"/>
      <c r="AR110" s="362">
        <f t="shared" si="52"/>
        <v>9.1683222747312582E-3</v>
      </c>
      <c r="AT110" s="305">
        <v>9</v>
      </c>
      <c r="AU110" s="844" t="s">
        <v>677</v>
      </c>
      <c r="AV110" s="303"/>
      <c r="AY110" s="145" t="s">
        <v>178</v>
      </c>
      <c r="AZ110" s="110">
        <v>0.5</v>
      </c>
      <c r="BA110" s="116">
        <v>0.08</v>
      </c>
      <c r="BB110" s="120">
        <f t="shared" si="69"/>
        <v>1.1547005383792516E-2</v>
      </c>
      <c r="BC110" s="123">
        <f t="shared" si="68"/>
        <v>1.5877132402714711E-2</v>
      </c>
    </row>
    <row r="111" spans="22:55" ht="15" customHeight="1">
      <c r="AG111" s="6"/>
      <c r="AH111" s="6"/>
      <c r="AM111" s="513" t="s">
        <v>140</v>
      </c>
      <c r="AN111" s="514">
        <v>940000</v>
      </c>
      <c r="AO111" s="515">
        <f>47*1</f>
        <v>47</v>
      </c>
      <c r="AP111" s="513">
        <f t="shared" si="67"/>
        <v>0</v>
      </c>
      <c r="AQ111" s="510"/>
      <c r="AR111" s="362">
        <f t="shared" si="52"/>
        <v>9.1683222747312582E-3</v>
      </c>
      <c r="AT111" s="305">
        <v>10</v>
      </c>
      <c r="AU111" s="844" t="s">
        <v>678</v>
      </c>
      <c r="AV111" s="303"/>
      <c r="AY111" s="145" t="s">
        <v>176</v>
      </c>
      <c r="AZ111" s="110">
        <v>0.2</v>
      </c>
      <c r="BA111" s="116">
        <v>0.06</v>
      </c>
      <c r="BB111" s="120">
        <f t="shared" si="69"/>
        <v>8.6602540378443865E-3</v>
      </c>
      <c r="BC111" s="123">
        <f t="shared" si="68"/>
        <v>1.0392304845413263E-2</v>
      </c>
    </row>
    <row r="112" spans="22:55" ht="15" customHeight="1" thickBot="1">
      <c r="AG112" s="6"/>
      <c r="AH112" s="6"/>
      <c r="AM112" s="513" t="s">
        <v>141</v>
      </c>
      <c r="AN112" s="514">
        <v>960000</v>
      </c>
      <c r="AO112" s="515">
        <f>48*1</f>
        <v>48</v>
      </c>
      <c r="AP112" s="513">
        <f t="shared" si="67"/>
        <v>0</v>
      </c>
      <c r="AQ112" s="510"/>
      <c r="AR112" s="362">
        <f t="shared" si="52"/>
        <v>9.1683222747312582E-3</v>
      </c>
      <c r="AT112" s="945" t="s">
        <v>98</v>
      </c>
      <c r="AU112" s="946"/>
      <c r="AV112" s="304">
        <v>8</v>
      </c>
      <c r="AY112" s="146" t="s">
        <v>175</v>
      </c>
      <c r="AZ112" s="112">
        <v>0.1</v>
      </c>
      <c r="BA112" s="117">
        <v>0.05</v>
      </c>
      <c r="BB112" s="121">
        <f t="shared" si="69"/>
        <v>7.2168783648703227E-3</v>
      </c>
      <c r="BC112" s="124">
        <f t="shared" si="68"/>
        <v>8.082903768654762E-3</v>
      </c>
    </row>
    <row r="113" spans="14:66" ht="15" customHeight="1" thickBot="1">
      <c r="AG113" s="6"/>
      <c r="AH113" s="6"/>
      <c r="AM113" s="513" t="s">
        <v>142</v>
      </c>
      <c r="AN113" s="514">
        <v>980000</v>
      </c>
      <c r="AO113" s="515">
        <f>49*1</f>
        <v>49</v>
      </c>
      <c r="AP113" s="513">
        <f t="shared" si="67"/>
        <v>0</v>
      </c>
      <c r="AQ113" s="510"/>
      <c r="AR113" s="362">
        <f t="shared" si="52"/>
        <v>9.1683222747312582E-3</v>
      </c>
      <c r="AY113" s="139" t="s">
        <v>180</v>
      </c>
      <c r="BA113" s="927" t="s">
        <v>241</v>
      </c>
      <c r="BB113" s="927"/>
      <c r="BC113" s="927"/>
    </row>
    <row r="114" spans="14:66" ht="15" customHeight="1" thickBot="1">
      <c r="AG114" s="6"/>
      <c r="AH114" s="6"/>
      <c r="AM114" s="513" t="s">
        <v>143</v>
      </c>
      <c r="AN114" s="514">
        <v>1000000</v>
      </c>
      <c r="AO114" s="515">
        <f>50*1</f>
        <v>50</v>
      </c>
      <c r="AP114" s="513">
        <f t="shared" si="67"/>
        <v>0</v>
      </c>
      <c r="AQ114" s="510"/>
      <c r="AR114" s="362">
        <f>SQRT((15.88/1000)^2/3)</f>
        <v>9.1683222747312582E-3</v>
      </c>
      <c r="AT114" s="944" t="s">
        <v>566</v>
      </c>
      <c r="AU114" s="932"/>
      <c r="AV114" s="933"/>
      <c r="AY114" s="141" t="s">
        <v>254</v>
      </c>
      <c r="AZ114" s="138" t="s">
        <v>243</v>
      </c>
      <c r="BA114" s="105" t="s">
        <v>244</v>
      </c>
      <c r="BB114" s="106" t="s">
        <v>245</v>
      </c>
      <c r="BC114" s="118" t="s">
        <v>246</v>
      </c>
      <c r="BN114" s="95"/>
    </row>
    <row r="115" spans="14:66" ht="15" customHeight="1">
      <c r="AG115" s="6"/>
      <c r="AH115" s="6"/>
      <c r="AM115" s="513" t="s">
        <v>144</v>
      </c>
      <c r="AN115" s="514">
        <v>1020000</v>
      </c>
      <c r="AO115" s="515">
        <f>51*1</f>
        <v>51</v>
      </c>
      <c r="AP115" s="513">
        <f t="shared" si="67"/>
        <v>0</v>
      </c>
      <c r="AQ115" s="510"/>
      <c r="AR115" s="362">
        <f t="shared" si="52"/>
        <v>9.1683222747312582E-3</v>
      </c>
      <c r="AT115" s="301">
        <v>1</v>
      </c>
      <c r="AU115" s="302" t="s">
        <v>567</v>
      </c>
      <c r="AV115" s="303"/>
      <c r="AY115" s="147"/>
      <c r="AZ115" s="108">
        <v>50</v>
      </c>
      <c r="BA115" s="115">
        <v>1</v>
      </c>
      <c r="BB115" s="125">
        <f>BA115/(4*SQRT(3))</f>
        <v>0.14433756729740646</v>
      </c>
      <c r="BC115" s="130">
        <f t="shared" ref="BC115:BC123" si="70">($AZ93*1000*0.1*$AZ$88/$AZ$89+BA115/4)/SQRT(3)</f>
        <v>0.57735026918962584</v>
      </c>
      <c r="BN115" s="95"/>
    </row>
    <row r="116" spans="14:66" ht="15" customHeight="1">
      <c r="AG116" s="6"/>
      <c r="AH116" s="6"/>
      <c r="AM116" s="513" t="s">
        <v>145</v>
      </c>
      <c r="AN116" s="514">
        <v>1040000</v>
      </c>
      <c r="AO116" s="515">
        <f>52*1</f>
        <v>52</v>
      </c>
      <c r="AP116" s="513">
        <f t="shared" si="67"/>
        <v>0</v>
      </c>
      <c r="AQ116" s="510"/>
      <c r="AR116" s="362">
        <f t="shared" si="52"/>
        <v>9.1683222747312582E-3</v>
      </c>
      <c r="AT116" s="301">
        <v>2</v>
      </c>
      <c r="AU116" s="302" t="s">
        <v>568</v>
      </c>
      <c r="AV116" s="303"/>
      <c r="AY116" s="148"/>
      <c r="AZ116" s="110">
        <v>20</v>
      </c>
      <c r="BA116" s="116">
        <v>0.8</v>
      </c>
      <c r="BB116" s="126">
        <f t="shared" ref="BB116:BB123" si="71">BA116/(4*SQRT(3))</f>
        <v>0.11547005383792516</v>
      </c>
      <c r="BC116" s="131">
        <f t="shared" si="70"/>
        <v>0.28867513459481292</v>
      </c>
      <c r="BN116" s="95"/>
    </row>
    <row r="117" spans="14:66" ht="15" customHeight="1">
      <c r="AG117" s="6"/>
      <c r="AH117" s="6"/>
      <c r="AM117" s="513" t="s">
        <v>146</v>
      </c>
      <c r="AN117" s="514">
        <v>1060000</v>
      </c>
      <c r="AO117" s="515">
        <f>53*1</f>
        <v>53</v>
      </c>
      <c r="AP117" s="513">
        <f t="shared" si="67"/>
        <v>0</v>
      </c>
      <c r="AQ117" s="510"/>
      <c r="AR117" s="362">
        <f t="shared" si="52"/>
        <v>9.1683222747312582E-3</v>
      </c>
      <c r="AT117" s="301">
        <v>3</v>
      </c>
      <c r="AU117" s="302" t="s">
        <v>569</v>
      </c>
      <c r="AV117" s="303"/>
      <c r="AY117" s="148"/>
      <c r="AZ117" s="110">
        <v>10</v>
      </c>
      <c r="BA117" s="116">
        <v>0.6</v>
      </c>
      <c r="BB117" s="126">
        <f t="shared" si="71"/>
        <v>8.6602540378443865E-2</v>
      </c>
      <c r="BC117" s="131">
        <f t="shared" si="70"/>
        <v>0.17320508075688773</v>
      </c>
      <c r="BN117" s="95"/>
    </row>
    <row r="118" spans="14:66" ht="15" customHeight="1" thickBot="1">
      <c r="AG118" s="6"/>
      <c r="AH118" s="6"/>
      <c r="AM118" s="513" t="s">
        <v>147</v>
      </c>
      <c r="AN118" s="514">
        <v>1080000</v>
      </c>
      <c r="AO118" s="515">
        <f>54*1</f>
        <v>54</v>
      </c>
      <c r="AP118" s="513">
        <f t="shared" si="67"/>
        <v>0</v>
      </c>
      <c r="AQ118" s="510"/>
      <c r="AR118" s="362">
        <f t="shared" si="52"/>
        <v>9.1683222747312582E-3</v>
      </c>
      <c r="AT118" s="945" t="s">
        <v>384</v>
      </c>
      <c r="AU118" s="946"/>
      <c r="AV118" s="304">
        <v>3</v>
      </c>
      <c r="AY118" s="148"/>
      <c r="AZ118" s="110">
        <v>5</v>
      </c>
      <c r="BA118" s="116">
        <v>0.5</v>
      </c>
      <c r="BB118" s="126">
        <f t="shared" si="71"/>
        <v>7.216878364870323E-2</v>
      </c>
      <c r="BC118" s="131">
        <f t="shared" si="70"/>
        <v>0.11547005383792516</v>
      </c>
      <c r="BH118" s="95"/>
      <c r="BN118" s="95"/>
    </row>
    <row r="119" spans="14:66" ht="15" customHeight="1" thickBot="1">
      <c r="AG119" s="6"/>
      <c r="AH119" s="6"/>
      <c r="AM119" s="513" t="s">
        <v>148</v>
      </c>
      <c r="AN119" s="514">
        <v>1100000</v>
      </c>
      <c r="AO119" s="515">
        <f>55*1</f>
        <v>55</v>
      </c>
      <c r="AP119" s="513">
        <f t="shared" si="67"/>
        <v>0</v>
      </c>
      <c r="AQ119" s="534"/>
      <c r="AR119" s="362">
        <f t="shared" si="52"/>
        <v>9.1683222747312582E-3</v>
      </c>
      <c r="AY119" s="148"/>
      <c r="AZ119" s="110">
        <v>2</v>
      </c>
      <c r="BA119" s="116">
        <v>0.4</v>
      </c>
      <c r="BB119" s="126">
        <f t="shared" si="71"/>
        <v>5.7735026918962581E-2</v>
      </c>
      <c r="BC119" s="131">
        <f t="shared" si="70"/>
        <v>7.5055534994651354E-2</v>
      </c>
    </row>
    <row r="120" spans="14:66" ht="15" customHeight="1">
      <c r="U120" s="69"/>
      <c r="AG120" s="6"/>
      <c r="AH120" s="6"/>
      <c r="AM120" s="543">
        <v>529</v>
      </c>
      <c r="AN120" s="542" t="s">
        <v>197</v>
      </c>
      <c r="AO120" s="530" t="str">
        <f>IF(AP120=0,"NÃO","SIM")</f>
        <v>NÃO</v>
      </c>
      <c r="AP120" s="531">
        <f>IF(ISERROR(SUM(AP121:AP140)),SUM(AP121:AP140),SUM(AP121:AP140))</f>
        <v>0</v>
      </c>
      <c r="AQ120" s="507"/>
      <c r="AR120" s="93"/>
      <c r="AY120" s="148"/>
      <c r="AZ120" s="110">
        <v>1</v>
      </c>
      <c r="BA120" s="116">
        <v>0.3</v>
      </c>
      <c r="BB120" s="126">
        <f t="shared" si="71"/>
        <v>4.3301270189221933E-2</v>
      </c>
      <c r="BC120" s="131">
        <f t="shared" si="70"/>
        <v>5.1961524227066319E-2</v>
      </c>
    </row>
    <row r="121" spans="14:66" ht="15" customHeight="1">
      <c r="U121" s="69"/>
      <c r="V121" s="6"/>
      <c r="W121" s="6"/>
      <c r="X121" s="6"/>
      <c r="AG121" s="6"/>
      <c r="AH121" s="6"/>
      <c r="AM121" s="491" t="s">
        <v>101</v>
      </c>
      <c r="AN121" s="506">
        <v>1000000</v>
      </c>
      <c r="AO121" s="490">
        <f>50</f>
        <v>50</v>
      </c>
      <c r="AP121" s="507">
        <f t="shared" ref="AP121:AP140" si="72">IF(ISERROR(MATCH(AM121,$B$32:$B$77,0)),0,(MATCH(AM121,$B$32:$B$77,0)))+IF(ISERROR(MATCH(AM121,$C$32:$C$77,0)),0,(MATCH(AM121,$C$32:$C$77,0)))</f>
        <v>0</v>
      </c>
      <c r="AQ121" s="507"/>
      <c r="AR121" s="362">
        <f t="shared" si="52"/>
        <v>9.1683222747312582E-3</v>
      </c>
      <c r="AY121" s="148"/>
      <c r="AZ121" s="110">
        <v>0.5</v>
      </c>
      <c r="BA121" s="116">
        <v>0.25</v>
      </c>
      <c r="BB121" s="126">
        <f t="shared" si="71"/>
        <v>3.6084391824351615E-2</v>
      </c>
      <c r="BC121" s="131">
        <f t="shared" si="70"/>
        <v>4.0414518843273808E-2</v>
      </c>
    </row>
    <row r="122" spans="14:66" ht="15" customHeight="1">
      <c r="U122" s="69"/>
      <c r="V122" s="6"/>
      <c r="W122" s="6"/>
      <c r="X122" s="6"/>
      <c r="AG122" s="6"/>
      <c r="AH122" s="6"/>
      <c r="AM122" s="491" t="s">
        <v>102</v>
      </c>
      <c r="AN122" s="506">
        <v>2000000</v>
      </c>
      <c r="AO122" s="490">
        <f>2*50</f>
        <v>100</v>
      </c>
      <c r="AP122" s="507">
        <f t="shared" si="72"/>
        <v>0</v>
      </c>
      <c r="AQ122" s="507"/>
      <c r="AR122" s="362">
        <f t="shared" si="52"/>
        <v>9.1683222747312582E-3</v>
      </c>
      <c r="AY122" s="148"/>
      <c r="AZ122" s="110">
        <v>0.2</v>
      </c>
      <c r="BA122" s="116">
        <v>0.2</v>
      </c>
      <c r="BB122" s="126">
        <f t="shared" si="71"/>
        <v>2.8867513459481291E-2</v>
      </c>
      <c r="BC122" s="131">
        <f t="shared" si="70"/>
        <v>3.0599564267050169E-2</v>
      </c>
    </row>
    <row r="123" spans="14:66" ht="15" customHeight="1" thickBot="1">
      <c r="U123" s="69"/>
      <c r="V123" s="6"/>
      <c r="W123" s="6"/>
      <c r="X123" s="6"/>
      <c r="AG123" s="6"/>
      <c r="AH123" s="6"/>
      <c r="AM123" s="491" t="s">
        <v>103</v>
      </c>
      <c r="AN123" s="506">
        <v>3000000</v>
      </c>
      <c r="AO123" s="490">
        <f>3*50</f>
        <v>150</v>
      </c>
      <c r="AP123" s="507">
        <f t="shared" si="72"/>
        <v>0</v>
      </c>
      <c r="AQ123" s="507"/>
      <c r="AR123" s="362">
        <f t="shared" si="52"/>
        <v>9.1683222747312582E-3</v>
      </c>
      <c r="AY123" s="149"/>
      <c r="AZ123" s="112">
        <v>0.1</v>
      </c>
      <c r="BA123" s="117">
        <v>0.16</v>
      </c>
      <c r="BB123" s="127">
        <f t="shared" si="71"/>
        <v>2.3094010767585032E-2</v>
      </c>
      <c r="BC123" s="132">
        <f t="shared" si="70"/>
        <v>2.3960036171369471E-2</v>
      </c>
    </row>
    <row r="124" spans="14:66" ht="15" customHeight="1" thickBot="1">
      <c r="U124" s="69"/>
      <c r="V124" s="6"/>
      <c r="W124" s="6"/>
      <c r="X124" s="6"/>
      <c r="AG124" s="6"/>
      <c r="AH124" s="6"/>
      <c r="AM124" s="505" t="s">
        <v>104</v>
      </c>
      <c r="AN124" s="506">
        <v>4000000</v>
      </c>
      <c r="AO124" s="490">
        <f>4*50</f>
        <v>200</v>
      </c>
      <c r="AP124" s="507">
        <f t="shared" si="72"/>
        <v>0</v>
      </c>
      <c r="AQ124" s="507"/>
      <c r="AR124" s="362">
        <f t="shared" si="52"/>
        <v>9.1683222747312582E-3</v>
      </c>
      <c r="AY124" s="139" t="s">
        <v>256</v>
      </c>
      <c r="BA124" s="927" t="s">
        <v>242</v>
      </c>
      <c r="BB124" s="927"/>
      <c r="BC124" s="958"/>
    </row>
    <row r="125" spans="14:66" ht="15" customHeight="1" thickBot="1">
      <c r="U125" s="69"/>
      <c r="V125" s="6"/>
      <c r="W125" s="6"/>
      <c r="X125" s="6"/>
      <c r="AG125" s="6"/>
      <c r="AH125" s="6"/>
      <c r="AM125" s="505" t="s">
        <v>105</v>
      </c>
      <c r="AN125" s="506">
        <v>5000000</v>
      </c>
      <c r="AO125" s="490">
        <f>5*50</f>
        <v>250</v>
      </c>
      <c r="AP125" s="507">
        <f t="shared" si="72"/>
        <v>0</v>
      </c>
      <c r="AQ125" s="507"/>
      <c r="AR125" s="362">
        <f t="shared" si="52"/>
        <v>9.1683222747312582E-3</v>
      </c>
      <c r="AY125" s="141" t="s">
        <v>254</v>
      </c>
      <c r="AZ125" s="138" t="s">
        <v>243</v>
      </c>
      <c r="BA125" s="105" t="s">
        <v>244</v>
      </c>
      <c r="BB125" s="106" t="s">
        <v>245</v>
      </c>
      <c r="BC125" s="118" t="s">
        <v>246</v>
      </c>
    </row>
    <row r="126" spans="14:66" ht="15" customHeight="1">
      <c r="U126" s="69"/>
      <c r="V126" s="6"/>
      <c r="W126" s="6"/>
      <c r="X126" s="6"/>
      <c r="AG126" s="6"/>
      <c r="AH126" s="6"/>
      <c r="AM126" s="505" t="s">
        <v>106</v>
      </c>
      <c r="AN126" s="506">
        <v>6000000</v>
      </c>
      <c r="AO126" s="490">
        <f>6*50</f>
        <v>300</v>
      </c>
      <c r="AP126" s="507">
        <f t="shared" si="72"/>
        <v>0</v>
      </c>
      <c r="AQ126" s="507"/>
      <c r="AR126" s="362">
        <f t="shared" si="52"/>
        <v>9.1683222747312582E-3</v>
      </c>
      <c r="AY126" s="150"/>
      <c r="AZ126" s="108">
        <v>50</v>
      </c>
      <c r="BA126" s="128">
        <f t="shared" ref="BA126:BA134" si="73">BA104*10</f>
        <v>3</v>
      </c>
      <c r="BB126" s="125">
        <f>BA126/(4*SQRT(3))</f>
        <v>0.43301270189221935</v>
      </c>
      <c r="BC126" s="130">
        <f t="shared" ref="BC126:BC134" si="74">($AZ93*1000*0.1*$AZ$88/$AZ$89+BA126/4)/SQRT(3)</f>
        <v>0.86602540378443871</v>
      </c>
    </row>
    <row r="127" spans="14:66">
      <c r="N127" s="17"/>
      <c r="U127" s="69"/>
      <c r="V127" s="6"/>
      <c r="W127" s="6"/>
      <c r="X127" s="6"/>
      <c r="AG127" s="6"/>
      <c r="AH127" s="6"/>
      <c r="AM127" s="505" t="s">
        <v>107</v>
      </c>
      <c r="AN127" s="506">
        <v>7000000</v>
      </c>
      <c r="AO127" s="490">
        <f>7*50</f>
        <v>350</v>
      </c>
      <c r="AP127" s="507">
        <f t="shared" si="72"/>
        <v>0</v>
      </c>
      <c r="AQ127" s="507"/>
      <c r="AR127" s="362">
        <f t="shared" si="52"/>
        <v>9.1683222747312582E-3</v>
      </c>
      <c r="AY127" s="151"/>
      <c r="AZ127" s="110">
        <v>20</v>
      </c>
      <c r="BA127" s="129">
        <f t="shared" si="73"/>
        <v>2.5</v>
      </c>
      <c r="BB127" s="126">
        <f t="shared" ref="BB127:BB134" si="75">BA127/(4*SQRT(3))</f>
        <v>0.36084391824351614</v>
      </c>
      <c r="BC127" s="131">
        <f t="shared" si="74"/>
        <v>0.53404899900040392</v>
      </c>
    </row>
    <row r="128" spans="14:66" ht="15" customHeight="1">
      <c r="N128" s="17"/>
      <c r="U128" s="69"/>
      <c r="V128" s="6"/>
      <c r="W128" s="6"/>
      <c r="X128" s="6"/>
      <c r="AG128" s="6"/>
      <c r="AH128" s="6"/>
      <c r="AM128" s="505" t="s">
        <v>108</v>
      </c>
      <c r="AN128" s="506">
        <v>8000000</v>
      </c>
      <c r="AO128" s="490">
        <f>8*50</f>
        <v>400</v>
      </c>
      <c r="AP128" s="507">
        <f t="shared" si="72"/>
        <v>0</v>
      </c>
      <c r="AQ128" s="507"/>
      <c r="AR128" s="362">
        <f t="shared" si="52"/>
        <v>9.1683222747312582E-3</v>
      </c>
      <c r="AY128" s="151"/>
      <c r="AZ128" s="110">
        <v>10</v>
      </c>
      <c r="BA128" s="129">
        <f t="shared" si="73"/>
        <v>2</v>
      </c>
      <c r="BB128" s="126">
        <f t="shared" si="75"/>
        <v>0.28867513459481292</v>
      </c>
      <c r="BC128" s="131">
        <f t="shared" si="74"/>
        <v>0.37527767497325676</v>
      </c>
    </row>
    <row r="129" spans="4:84" ht="15" customHeight="1">
      <c r="N129" s="17"/>
      <c r="O129" s="17"/>
      <c r="P129" s="17"/>
      <c r="Q129" s="17"/>
      <c r="R129" s="69"/>
      <c r="S129" s="69"/>
      <c r="T129" s="69"/>
      <c r="U129" s="69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M129" s="505" t="s">
        <v>109</v>
      </c>
      <c r="AN129" s="506">
        <v>9000000</v>
      </c>
      <c r="AO129" s="490">
        <f>9*50</f>
        <v>450</v>
      </c>
      <c r="AP129" s="507">
        <f t="shared" si="72"/>
        <v>0</v>
      </c>
      <c r="AQ129" s="507"/>
      <c r="AR129" s="362">
        <f t="shared" si="52"/>
        <v>9.1683222747312582E-3</v>
      </c>
      <c r="AY129" s="151"/>
      <c r="AZ129" s="110">
        <v>5</v>
      </c>
      <c r="BA129" s="129">
        <f t="shared" si="73"/>
        <v>1.6</v>
      </c>
      <c r="BB129" s="126">
        <f t="shared" si="75"/>
        <v>0.23094010767585033</v>
      </c>
      <c r="BC129" s="131">
        <f t="shared" si="74"/>
        <v>0.2742413778650723</v>
      </c>
    </row>
    <row r="130" spans="4:84" ht="15" customHeight="1">
      <c r="N130" s="17"/>
      <c r="O130" s="17"/>
      <c r="P130" s="17"/>
      <c r="Q130" s="17"/>
      <c r="R130" s="69"/>
      <c r="S130" s="69"/>
      <c r="T130" s="69"/>
      <c r="U130" s="69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M130" s="505" t="s">
        <v>110</v>
      </c>
      <c r="AN130" s="506">
        <v>10000000</v>
      </c>
      <c r="AO130" s="490">
        <f>10*50</f>
        <v>500</v>
      </c>
      <c r="AP130" s="507">
        <f t="shared" si="72"/>
        <v>0</v>
      </c>
      <c r="AQ130" s="507"/>
      <c r="AR130" s="362">
        <f t="shared" ref="AR130:AR140" si="76">SQRT((15.88/1000)^2/3)</f>
        <v>9.1683222747312582E-3</v>
      </c>
      <c r="AY130" s="151"/>
      <c r="AZ130" s="110">
        <v>2</v>
      </c>
      <c r="BA130" s="129">
        <f t="shared" si="73"/>
        <v>1.2</v>
      </c>
      <c r="BB130" s="126">
        <f t="shared" si="75"/>
        <v>0.17320508075688773</v>
      </c>
      <c r="BC130" s="131">
        <f t="shared" si="74"/>
        <v>0.1905255888325765</v>
      </c>
    </row>
    <row r="131" spans="4:84" ht="15" customHeight="1">
      <c r="N131" s="17"/>
      <c r="O131" s="17"/>
      <c r="P131" s="17"/>
      <c r="Q131" s="17"/>
      <c r="R131" s="69"/>
      <c r="S131" s="69"/>
      <c r="T131" s="69"/>
      <c r="U131" s="69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M131" s="505" t="s">
        <v>111</v>
      </c>
      <c r="AN131" s="506">
        <v>11000000</v>
      </c>
      <c r="AO131" s="490">
        <f>11*50</f>
        <v>550</v>
      </c>
      <c r="AP131" s="507">
        <f t="shared" si="72"/>
        <v>0</v>
      </c>
      <c r="AQ131" s="507"/>
      <c r="AR131" s="362">
        <f t="shared" si="76"/>
        <v>9.1683222747312582E-3</v>
      </c>
      <c r="AY131" s="151"/>
      <c r="AZ131" s="110">
        <v>1</v>
      </c>
      <c r="BA131" s="129">
        <f t="shared" si="73"/>
        <v>1</v>
      </c>
      <c r="BB131" s="126">
        <f t="shared" si="75"/>
        <v>0.14433756729740646</v>
      </c>
      <c r="BC131" s="131">
        <f t="shared" si="74"/>
        <v>0.15299782133525083</v>
      </c>
    </row>
    <row r="132" spans="4:84" ht="15" customHeight="1">
      <c r="N132" s="17"/>
      <c r="O132" s="17"/>
      <c r="P132" s="17"/>
      <c r="Q132" s="17"/>
      <c r="R132" s="69"/>
      <c r="S132" s="69"/>
      <c r="T132" s="69"/>
      <c r="U132" s="69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M132" s="505" t="s">
        <v>112</v>
      </c>
      <c r="AN132" s="506">
        <v>12000000</v>
      </c>
      <c r="AO132" s="490">
        <f>12*50</f>
        <v>600</v>
      </c>
      <c r="AP132" s="507">
        <f t="shared" si="72"/>
        <v>0</v>
      </c>
      <c r="AQ132" s="507"/>
      <c r="AR132" s="362">
        <f t="shared" si="76"/>
        <v>9.1683222747312582E-3</v>
      </c>
      <c r="AY132" s="151"/>
      <c r="AZ132" s="110">
        <v>0.5</v>
      </c>
      <c r="BA132" s="129">
        <f t="shared" si="73"/>
        <v>0.8</v>
      </c>
      <c r="BB132" s="126">
        <f t="shared" si="75"/>
        <v>0.11547005383792516</v>
      </c>
      <c r="BC132" s="131">
        <f t="shared" si="74"/>
        <v>0.11980018085684736</v>
      </c>
    </row>
    <row r="133" spans="4:84" ht="15" customHeight="1">
      <c r="N133" s="17"/>
      <c r="O133" s="17"/>
      <c r="P133" s="17"/>
      <c r="Q133" s="17"/>
      <c r="R133" s="69"/>
      <c r="S133" s="69"/>
      <c r="T133" s="69"/>
      <c r="U133" s="69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M133" s="491" t="s">
        <v>113</v>
      </c>
      <c r="AN133" s="506">
        <v>13000000</v>
      </c>
      <c r="AO133" s="490">
        <f>13*50</f>
        <v>650</v>
      </c>
      <c r="AP133" s="507">
        <f t="shared" si="72"/>
        <v>0</v>
      </c>
      <c r="AQ133" s="507"/>
      <c r="AR133" s="362">
        <f t="shared" si="76"/>
        <v>9.1683222747312582E-3</v>
      </c>
      <c r="AY133" s="151"/>
      <c r="AZ133" s="110">
        <v>0.2</v>
      </c>
      <c r="BA133" s="129">
        <f t="shared" si="73"/>
        <v>0.6</v>
      </c>
      <c r="BB133" s="126">
        <f t="shared" si="75"/>
        <v>8.6602540378443865E-2</v>
      </c>
      <c r="BC133" s="131">
        <f t="shared" si="74"/>
        <v>8.8334591186012751E-2</v>
      </c>
    </row>
    <row r="134" spans="4:84" ht="15" customHeight="1">
      <c r="D134"/>
      <c r="L134"/>
      <c r="M134" s="87"/>
      <c r="N134" s="17"/>
      <c r="O134" s="17"/>
      <c r="P134" s="17"/>
      <c r="Q134" s="17"/>
      <c r="R134" s="69"/>
      <c r="S134" s="69"/>
      <c r="T134" s="69"/>
      <c r="U134" s="69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M134" s="491" t="s">
        <v>114</v>
      </c>
      <c r="AN134" s="506">
        <v>14000000</v>
      </c>
      <c r="AO134" s="490">
        <f>14*50</f>
        <v>700</v>
      </c>
      <c r="AP134" s="507">
        <f t="shared" si="72"/>
        <v>0</v>
      </c>
      <c r="AQ134" s="507"/>
      <c r="AR134" s="362">
        <f t="shared" si="76"/>
        <v>9.1683222747312582E-3</v>
      </c>
      <c r="AY134" s="186"/>
      <c r="AZ134" s="187">
        <v>0.1</v>
      </c>
      <c r="BA134" s="188">
        <f t="shared" si="73"/>
        <v>0.5</v>
      </c>
      <c r="BB134" s="189">
        <f t="shared" si="75"/>
        <v>7.216878364870323E-2</v>
      </c>
      <c r="BC134" s="190">
        <f t="shared" si="74"/>
        <v>7.3034809052487659E-2</v>
      </c>
      <c r="BN134" s="827" t="s">
        <v>618</v>
      </c>
    </row>
    <row r="135" spans="4:84" ht="15" customHeight="1" thickBot="1">
      <c r="D135"/>
      <c r="L135"/>
      <c r="M135" s="87"/>
      <c r="N135" s="17"/>
      <c r="O135" s="17"/>
      <c r="P135" s="17"/>
      <c r="Q135" s="17"/>
      <c r="R135" s="69"/>
      <c r="S135" s="69"/>
      <c r="T135" s="69"/>
      <c r="U135" s="69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M135" s="491" t="s">
        <v>115</v>
      </c>
      <c r="AN135" s="506">
        <v>15000000</v>
      </c>
      <c r="AO135" s="490">
        <f>15*50</f>
        <v>750</v>
      </c>
      <c r="AP135" s="507">
        <f t="shared" si="72"/>
        <v>0</v>
      </c>
      <c r="AQ135" s="507"/>
      <c r="AR135" s="362">
        <f t="shared" si="76"/>
        <v>9.1683222747312582E-3</v>
      </c>
      <c r="AY135" s="968" t="s">
        <v>247</v>
      </c>
      <c r="AZ135" s="968"/>
      <c r="BA135" s="968"/>
      <c r="BB135" s="968"/>
      <c r="BC135" s="968"/>
      <c r="BD135" s="968"/>
      <c r="BE135" s="968"/>
      <c r="BF135" s="968"/>
      <c r="BG135" s="968"/>
      <c r="BH135" s="968"/>
      <c r="BI135" s="968"/>
      <c r="BJ135" s="968"/>
      <c r="BK135" s="820"/>
      <c r="BL135" s="820"/>
      <c r="BM135" s="872" t="s">
        <v>611</v>
      </c>
      <c r="BN135" s="872"/>
      <c r="BO135" s="872"/>
      <c r="BP135" s="872"/>
      <c r="BQ135" s="873" t="s">
        <v>610</v>
      </c>
      <c r="BR135" s="873"/>
      <c r="BS135" s="873"/>
      <c r="BT135" s="873"/>
      <c r="BU135" s="873"/>
      <c r="BV135" s="873"/>
      <c r="BW135" s="873"/>
      <c r="BX135" s="873"/>
      <c r="BY135" s="874" t="s">
        <v>606</v>
      </c>
      <c r="BZ135" s="875"/>
      <c r="CA135" s="875"/>
      <c r="CB135" s="875"/>
      <c r="CC135" s="875"/>
      <c r="CD135" s="875"/>
      <c r="CE135" s="875"/>
      <c r="CF135" s="875"/>
    </row>
    <row r="136" spans="4:84" ht="15" customHeight="1" thickBot="1">
      <c r="D136"/>
      <c r="L136"/>
      <c r="M136" s="87"/>
      <c r="N136" s="17"/>
      <c r="O136" s="17"/>
      <c r="P136" s="17"/>
      <c r="Q136" s="17"/>
      <c r="R136" s="69"/>
      <c r="S136" s="69"/>
      <c r="T136" s="69"/>
      <c r="U136" s="69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M136" s="491" t="s">
        <v>116</v>
      </c>
      <c r="AN136" s="506">
        <v>16000000</v>
      </c>
      <c r="AO136" s="490">
        <f>16*50</f>
        <v>800</v>
      </c>
      <c r="AP136" s="507">
        <f t="shared" si="72"/>
        <v>0</v>
      </c>
      <c r="AQ136" s="507"/>
      <c r="AR136" s="362">
        <f t="shared" si="76"/>
        <v>9.1683222747312582E-3</v>
      </c>
      <c r="AY136" s="139" t="s">
        <v>255</v>
      </c>
      <c r="AZ136" s="192" t="s">
        <v>280</v>
      </c>
      <c r="BA136" s="963" t="s">
        <v>239</v>
      </c>
      <c r="BB136" s="927"/>
      <c r="BC136" s="927"/>
      <c r="BL136" s="785" t="s">
        <v>606</v>
      </c>
      <c r="BM136" s="787" t="s">
        <v>608</v>
      </c>
      <c r="BN136" s="783" t="s">
        <v>280</v>
      </c>
      <c r="BO136" s="783" t="s">
        <v>609</v>
      </c>
      <c r="BP136" s="798" t="s">
        <v>280</v>
      </c>
      <c r="BQ136" s="799">
        <v>1</v>
      </c>
      <c r="BR136" s="800">
        <v>2</v>
      </c>
      <c r="BS136" s="800">
        <v>3</v>
      </c>
      <c r="BT136" s="800">
        <v>4</v>
      </c>
      <c r="BU136" s="800">
        <v>5</v>
      </c>
      <c r="BV136" s="800">
        <v>6</v>
      </c>
      <c r="BW136" s="800">
        <v>7</v>
      </c>
      <c r="BX136" s="801">
        <v>8</v>
      </c>
      <c r="BY136" s="799">
        <v>1</v>
      </c>
      <c r="BZ136" s="800">
        <v>2</v>
      </c>
      <c r="CA136" s="800">
        <v>3</v>
      </c>
      <c r="CB136" s="800">
        <v>4</v>
      </c>
      <c r="CC136" s="800">
        <v>5</v>
      </c>
      <c r="CD136" s="800">
        <v>6</v>
      </c>
      <c r="CE136" s="800">
        <v>7</v>
      </c>
      <c r="CF136" s="810">
        <v>8</v>
      </c>
    </row>
    <row r="137" spans="4:84" ht="15" customHeight="1" thickBot="1">
      <c r="D137"/>
      <c r="L137"/>
      <c r="M137" s="87"/>
      <c r="N137" s="17"/>
      <c r="O137" s="17"/>
      <c r="P137" s="17"/>
      <c r="Q137" s="17"/>
      <c r="R137" s="69"/>
      <c r="S137" s="69"/>
      <c r="T137" s="69"/>
      <c r="U137" s="69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M137" s="491" t="s">
        <v>117</v>
      </c>
      <c r="AN137" s="506">
        <v>17000000</v>
      </c>
      <c r="AO137" s="490">
        <f>17*50</f>
        <v>850</v>
      </c>
      <c r="AP137" s="507">
        <f t="shared" si="72"/>
        <v>0</v>
      </c>
      <c r="AQ137" s="507"/>
      <c r="AR137" s="362">
        <f t="shared" si="76"/>
        <v>9.1683222747312582E-3</v>
      </c>
      <c r="AY137" s="142" t="s">
        <v>254</v>
      </c>
      <c r="AZ137" s="133" t="s">
        <v>251</v>
      </c>
      <c r="BA137" s="114" t="s">
        <v>248</v>
      </c>
      <c r="BB137" s="106" t="s">
        <v>249</v>
      </c>
      <c r="BC137" s="107" t="s">
        <v>250</v>
      </c>
      <c r="BL137" s="786" t="s">
        <v>641</v>
      </c>
      <c r="BM137" s="782">
        <v>1</v>
      </c>
      <c r="BN137" s="782">
        <v>1E-3</v>
      </c>
      <c r="BO137" s="788" t="s">
        <v>571</v>
      </c>
      <c r="BP137" s="790">
        <f>0.005</f>
        <v>5.0000000000000001E-3</v>
      </c>
      <c r="BQ137" s="793" t="str">
        <f t="shared" ref="BQ137:BQ154" si="77">IF(AND($AV$77="g",$D$32&lt;=BN138,$D$32&gt;BN137),$D$32,IF(AND($AV$77="kg",$D$32*1000&lt;=BN138,$D$32*1000&gt;BN137),$D$32*1000,IF(AND($AV$77="mg",$D$32*0.001&lt;=BN138,$D$32*0.001&gt;BN137),$D$32*0.001,"")))</f>
        <v/>
      </c>
      <c r="BR137" s="794" t="str">
        <f t="shared" ref="BR137:BR154" si="78">IF(AND($AV$77="g",$D$37&lt;=BN138,$D$32&gt;BN137),$D$37,IF(AND($AV$77="kg",$D$37*1000&lt;=BN138,$D$37*1000&gt;BN137),$D$37*1000,IF(AND($AV$77="mg",$D$37*0.001&lt;=BN138,$D$37*0.001&gt;BN137),$D$37*0.001,"")))</f>
        <v/>
      </c>
      <c r="BS137" s="794" t="str">
        <f t="shared" ref="BS137:BS154" si="79">IF(AND($AV$77="g",$D$43&lt;=BN138,$D$43&gt;BN137),$D$43,IF(AND($AV$77="kg",$D$43*1000&lt;=BN138,$D$43*1000&gt;BN137),$D$43*1000,IF(AND($AV$77="mg",$D$43*0.001&lt;=BN138,$D$43*0.001&gt;BN137),$D$43*0.001,"")))</f>
        <v/>
      </c>
      <c r="BT137" s="794" t="str">
        <f t="shared" ref="BT137:BT154" si="80">IF(AND($AV$77="g",$D$49&lt;=BN138,$D$49&gt;BN137),$D$49,IF(AND($AV$77="kg",$D$49*1000&lt;=BN138,$D$49*1000&gt;BN137),$D$49*1000,IF(AND($AV$77="mg",$D$49*0.001&lt;=BN138,$D$49*0.001&gt;BN137),$D$49*0.001,"")))</f>
        <v/>
      </c>
      <c r="BU137" s="794" t="str">
        <f t="shared" ref="BU137:BU154" si="81">IF(AND($AV$77="g",$D$55&lt;=BN138,$D$55&gt;BN137),$D$55,IF(AND($AV$77="kg",$D$55*1000&lt;=BN138,$D$55*1000&gt;BN137),$D$55*1000,IF(AND($AV$77="mg",$D$55*0.001&lt;=BN138,$D$55*0.001&gt;BN137),$D$55*0.001,"")))</f>
        <v/>
      </c>
      <c r="BV137" s="794" t="str">
        <f t="shared" ref="BV137:BV154" si="82">IF(AND($AV$77="g",$D$61&lt;=BN138,$D$61&gt;BN137),$D$61,IF(AND($AV$77="kg",$D$61*1000&lt;=BN138,$D$61*1000&gt;BN137),$D$61*1000,IF(AND($AV$77="mg",$D$61*0.001&lt;=BN138,$D$61*0.001&gt;BN137),$D$61*0.001,"")))</f>
        <v/>
      </c>
      <c r="BW137" s="794" t="str">
        <f t="shared" ref="BW137:BW154" si="83">IF(AND($AV$77="g",$D$67&lt;=BN138,$D$67&gt;BN137),$D$67,IF(AND($AV$77="kg",$D$67*1000&lt;=BN138,$D$67*1000&gt;BN137),$D$67*1000,IF(AND($AV$77="mg",$D$67*0.001&lt;=BN138,$D$67*0.001&gt;BN137),$D$67*0.001,"")))</f>
        <v/>
      </c>
      <c r="BX137" s="401" t="str">
        <f t="shared" ref="BX137:BX154" si="84">IF(AND($AV$77="g",$D$73&lt;=BN138,$D$73&gt;BN137),$D$73,IF(AND($AV$77="kg",$D$73*1000&lt;=BN138,$D$73*1000&gt;BN137),$D$73*1000,IF(AND($AV$77="mg",$D$73*0.001&lt;=BN138,$D$73*0.001&gt;BN137),$D$73*0.001,"")))</f>
        <v/>
      </c>
      <c r="BY137" s="802" t="str">
        <f>IF(BQ137="","",0.005*0.001)</f>
        <v/>
      </c>
      <c r="BZ137" s="803" t="str">
        <f>IF(BR137="","",0.005*0.001)</f>
        <v/>
      </c>
      <c r="CA137" s="803" t="str">
        <f t="shared" ref="CA137:CF137" si="85">IF(BS137="","",0.005*0.001)</f>
        <v/>
      </c>
      <c r="CB137" s="803" t="str">
        <f t="shared" si="85"/>
        <v/>
      </c>
      <c r="CC137" s="803" t="str">
        <f t="shared" si="85"/>
        <v/>
      </c>
      <c r="CD137" s="803" t="str">
        <f t="shared" si="85"/>
        <v/>
      </c>
      <c r="CE137" s="803" t="str">
        <f t="shared" si="85"/>
        <v/>
      </c>
      <c r="CF137" s="804" t="str">
        <f t="shared" si="85"/>
        <v/>
      </c>
    </row>
    <row r="138" spans="4:84" ht="15" customHeight="1" thickBot="1">
      <c r="D138"/>
      <c r="L138"/>
      <c r="M138" s="87"/>
      <c r="N138" s="17"/>
      <c r="O138" s="17"/>
      <c r="P138" s="17"/>
      <c r="Q138" s="17"/>
      <c r="R138" s="69"/>
      <c r="S138" s="69"/>
      <c r="T138" s="69"/>
      <c r="U138" s="69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M138" s="491" t="s">
        <v>118</v>
      </c>
      <c r="AN138" s="506">
        <v>18000000</v>
      </c>
      <c r="AO138" s="490">
        <f>18*50</f>
        <v>900</v>
      </c>
      <c r="AP138" s="507">
        <f t="shared" si="72"/>
        <v>0</v>
      </c>
      <c r="AQ138" s="507"/>
      <c r="AR138" s="362">
        <f t="shared" si="76"/>
        <v>9.1683222747312582E-3</v>
      </c>
      <c r="AY138" s="139">
        <v>100</v>
      </c>
      <c r="AZ138" s="6">
        <v>100</v>
      </c>
      <c r="BA138" s="134">
        <f>0.16/0.1</f>
        <v>1.5999999999999999</v>
      </c>
      <c r="BB138" s="135">
        <f>BA138/(4*SQRT(3))</f>
        <v>0.2309401076758503</v>
      </c>
      <c r="BC138" s="191">
        <f>(0.1*(1*1000000)*$AZ$88/$AZ$89+BA138/4)/(1*SQRT(3))</f>
        <v>8.8911941455202381</v>
      </c>
      <c r="BL138" s="782" t="s">
        <v>573</v>
      </c>
      <c r="BM138" s="782">
        <v>2</v>
      </c>
      <c r="BN138" s="789">
        <f>0.006</f>
        <v>6.0000000000000001E-3</v>
      </c>
      <c r="BO138" s="782" t="s">
        <v>572</v>
      </c>
      <c r="BP138" s="790">
        <v>0.02</v>
      </c>
      <c r="BQ138" s="793" t="str">
        <f t="shared" si="77"/>
        <v/>
      </c>
      <c r="BR138" s="794" t="str">
        <f t="shared" si="78"/>
        <v/>
      </c>
      <c r="BS138" s="794" t="str">
        <f t="shared" si="79"/>
        <v/>
      </c>
      <c r="BT138" s="794" t="str">
        <f t="shared" si="80"/>
        <v/>
      </c>
      <c r="BU138" s="794" t="str">
        <f t="shared" si="81"/>
        <v/>
      </c>
      <c r="BV138" s="794" t="str">
        <f t="shared" si="82"/>
        <v/>
      </c>
      <c r="BW138" s="794" t="str">
        <f t="shared" si="83"/>
        <v/>
      </c>
      <c r="BX138" s="401" t="str">
        <f t="shared" si="84"/>
        <v/>
      </c>
      <c r="BY138" s="805" t="str">
        <f>IF(BQ138="","",(0.02%*BQ138+0.0047)*0.001)</f>
        <v/>
      </c>
      <c r="BZ138" s="792" t="str">
        <f t="shared" ref="BZ138:CF138" si="86">IF(BR138="","",(0.02%*BR138+0.0047)*0.001)</f>
        <v/>
      </c>
      <c r="CA138" s="792" t="str">
        <f t="shared" si="86"/>
        <v/>
      </c>
      <c r="CB138" s="792" t="str">
        <f t="shared" si="86"/>
        <v/>
      </c>
      <c r="CC138" s="792" t="str">
        <f t="shared" si="86"/>
        <v/>
      </c>
      <c r="CD138" s="792" t="str">
        <f t="shared" si="86"/>
        <v/>
      </c>
      <c r="CE138" s="792" t="str">
        <f t="shared" si="86"/>
        <v/>
      </c>
      <c r="CF138" s="806" t="str">
        <f t="shared" si="86"/>
        <v/>
      </c>
    </row>
    <row r="139" spans="4:84" ht="15" customHeight="1" thickBot="1">
      <c r="D139"/>
      <c r="L139"/>
      <c r="M139" s="87"/>
      <c r="N139" s="17"/>
      <c r="O139" s="17"/>
      <c r="P139" s="17"/>
      <c r="Q139" s="17"/>
      <c r="R139" s="69"/>
      <c r="S139" s="69"/>
      <c r="T139" s="69"/>
      <c r="U139" s="69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M139" s="491" t="s">
        <v>119</v>
      </c>
      <c r="AN139" s="506">
        <v>19000000</v>
      </c>
      <c r="AO139" s="490">
        <f>19*50</f>
        <v>950</v>
      </c>
      <c r="AP139" s="507">
        <f t="shared" si="72"/>
        <v>0</v>
      </c>
      <c r="AQ139" s="507"/>
      <c r="AR139" s="362">
        <f t="shared" si="76"/>
        <v>9.1683222747312582E-3</v>
      </c>
      <c r="AY139" s="154">
        <v>200</v>
      </c>
      <c r="AZ139" s="6">
        <v>200</v>
      </c>
      <c r="BL139" s="782" t="s">
        <v>575</v>
      </c>
      <c r="BM139" s="782">
        <v>3</v>
      </c>
      <c r="BN139" s="782">
        <v>2.1000000000000001E-2</v>
      </c>
      <c r="BO139" s="782" t="s">
        <v>574</v>
      </c>
      <c r="BP139" s="790">
        <v>1</v>
      </c>
      <c r="BQ139" s="793" t="str">
        <f t="shared" si="77"/>
        <v/>
      </c>
      <c r="BR139" s="794" t="str">
        <f t="shared" si="78"/>
        <v/>
      </c>
      <c r="BS139" s="794" t="str">
        <f t="shared" si="79"/>
        <v/>
      </c>
      <c r="BT139" s="794" t="str">
        <f t="shared" si="80"/>
        <v/>
      </c>
      <c r="BU139" s="794" t="str">
        <f t="shared" si="81"/>
        <v/>
      </c>
      <c r="BV139" s="794" t="str">
        <f t="shared" si="82"/>
        <v/>
      </c>
      <c r="BW139" s="794" t="str">
        <f t="shared" si="83"/>
        <v/>
      </c>
      <c r="BX139" s="401" t="str">
        <f t="shared" si="84"/>
        <v/>
      </c>
      <c r="BY139" s="805" t="str">
        <f>IF(BQ139="","",(12*10^-6*BQ139+0.015)*0.001)</f>
        <v/>
      </c>
      <c r="BZ139" s="792" t="str">
        <f t="shared" ref="BZ139:CF139" si="87">IF(BR139="","",(12*10^-6*BR139+0.015)*0.001)</f>
        <v/>
      </c>
      <c r="CA139" s="792" t="str">
        <f t="shared" si="87"/>
        <v/>
      </c>
      <c r="CB139" s="792" t="str">
        <f t="shared" si="87"/>
        <v/>
      </c>
      <c r="CC139" s="792" t="str">
        <f t="shared" si="87"/>
        <v/>
      </c>
      <c r="CD139" s="792" t="str">
        <f t="shared" si="87"/>
        <v/>
      </c>
      <c r="CE139" s="792" t="str">
        <f t="shared" si="87"/>
        <v/>
      </c>
      <c r="CF139" s="806" t="str">
        <f t="shared" si="87"/>
        <v/>
      </c>
    </row>
    <row r="140" spans="4:84" ht="15" customHeight="1" thickBot="1">
      <c r="D140"/>
      <c r="L140"/>
      <c r="M140" s="87"/>
      <c r="N140" s="17"/>
      <c r="O140" s="17"/>
      <c r="P140" s="17"/>
      <c r="Q140" s="17"/>
      <c r="R140" s="69"/>
      <c r="S140" s="69"/>
      <c r="T140" s="69"/>
      <c r="U140" s="69"/>
      <c r="W140" s="6"/>
      <c r="Y140" s="6"/>
      <c r="Z140" s="6"/>
      <c r="AA140" s="6"/>
      <c r="AB140" s="6"/>
      <c r="AC140" s="6"/>
      <c r="AD140" s="6"/>
      <c r="AE140" s="6"/>
      <c r="AF140" s="6"/>
      <c r="AG140" s="6"/>
      <c r="AM140" s="491" t="s">
        <v>120</v>
      </c>
      <c r="AN140" s="506">
        <v>20000000</v>
      </c>
      <c r="AO140" s="490">
        <f>20*50</f>
        <v>1000</v>
      </c>
      <c r="AP140" s="507">
        <f t="shared" si="72"/>
        <v>0</v>
      </c>
      <c r="AQ140" s="531"/>
      <c r="AR140" s="362">
        <f t="shared" si="76"/>
        <v>9.1683222747312582E-3</v>
      </c>
      <c r="AY140" s="154">
        <v>500</v>
      </c>
      <c r="AZ140" s="6">
        <v>500</v>
      </c>
      <c r="BL140" s="782" t="s">
        <v>577</v>
      </c>
      <c r="BM140" s="782">
        <v>4</v>
      </c>
      <c r="BN140" s="782">
        <v>1.0009999999999999</v>
      </c>
      <c r="BO140" s="782" t="s">
        <v>576</v>
      </c>
      <c r="BP140" s="790">
        <v>20</v>
      </c>
      <c r="BQ140" s="793" t="str">
        <f t="shared" si="77"/>
        <v/>
      </c>
      <c r="BR140" s="794" t="str">
        <f t="shared" si="78"/>
        <v/>
      </c>
      <c r="BS140" s="794" t="str">
        <f t="shared" si="79"/>
        <v/>
      </c>
      <c r="BT140" s="794" t="str">
        <f t="shared" si="80"/>
        <v/>
      </c>
      <c r="BU140" s="794" t="str">
        <f t="shared" si="81"/>
        <v/>
      </c>
      <c r="BV140" s="794" t="str">
        <f t="shared" si="82"/>
        <v/>
      </c>
      <c r="BW140" s="794" t="str">
        <f t="shared" si="83"/>
        <v/>
      </c>
      <c r="BX140" s="401" t="str">
        <f t="shared" si="84"/>
        <v/>
      </c>
      <c r="BY140" s="805" t="str">
        <f>IF(BQ140="","",(3*10^-6*BQ140+0.03)*0.001)</f>
        <v/>
      </c>
      <c r="BZ140" s="792" t="str">
        <f t="shared" ref="BZ140:CF140" si="88">IF(BR140="","",(3*10^-6*BR140+0.03)*0.001)</f>
        <v/>
      </c>
      <c r="CA140" s="792" t="str">
        <f t="shared" si="88"/>
        <v/>
      </c>
      <c r="CB140" s="792" t="str">
        <f t="shared" si="88"/>
        <v/>
      </c>
      <c r="CC140" s="792" t="str">
        <f t="shared" si="88"/>
        <v/>
      </c>
      <c r="CD140" s="792" t="str">
        <f t="shared" si="88"/>
        <v/>
      </c>
      <c r="CE140" s="792" t="str">
        <f t="shared" si="88"/>
        <v/>
      </c>
      <c r="CF140" s="806" t="str">
        <f t="shared" si="88"/>
        <v/>
      </c>
    </row>
    <row r="141" spans="4:84" ht="15" customHeight="1" thickBot="1">
      <c r="D141"/>
      <c r="L141"/>
      <c r="M141" s="87"/>
      <c r="N141" s="17"/>
      <c r="O141" s="17"/>
      <c r="P141" s="17"/>
      <c r="Q141" s="17"/>
      <c r="R141" s="69"/>
      <c r="S141" s="69"/>
      <c r="T141" s="69"/>
      <c r="U141" s="69"/>
      <c r="W141" s="6"/>
      <c r="Y141" s="6"/>
      <c r="Z141" s="6"/>
      <c r="AA141" s="6"/>
      <c r="AB141" s="6"/>
      <c r="AC141" s="6"/>
      <c r="AD141" s="6"/>
      <c r="AE141" s="6"/>
      <c r="AF141" s="6"/>
      <c r="AM141" s="544">
        <v>530</v>
      </c>
      <c r="AN141" s="529" t="s">
        <v>198</v>
      </c>
      <c r="AO141" s="545" t="str">
        <f>IF(AP141=0,"NÃO","SIM")</f>
        <v>NÃO</v>
      </c>
      <c r="AP141" s="531">
        <f>IF(ISERROR(SUM(AP142:AP151)),SUM(AP142:AP151),SUM(AP142:AP151))</f>
        <v>0</v>
      </c>
      <c r="AQ141" s="507"/>
      <c r="AR141" s="49"/>
      <c r="AY141" s="155">
        <v>1000</v>
      </c>
      <c r="AZ141" s="137">
        <v>1000</v>
      </c>
      <c r="BA141" s="95"/>
      <c r="BB141" s="95"/>
      <c r="BC141" s="95"/>
      <c r="BL141" s="782" t="s">
        <v>579</v>
      </c>
      <c r="BM141" s="782">
        <v>5</v>
      </c>
      <c r="BN141" s="782">
        <v>20.001000000000001</v>
      </c>
      <c r="BO141" s="782" t="s">
        <v>578</v>
      </c>
      <c r="BP141" s="791">
        <v>1000</v>
      </c>
      <c r="BQ141" s="793" t="str">
        <f t="shared" si="77"/>
        <v/>
      </c>
      <c r="BR141" s="794" t="str">
        <f t="shared" si="78"/>
        <v/>
      </c>
      <c r="BS141" s="794" t="str">
        <f t="shared" si="79"/>
        <v/>
      </c>
      <c r="BT141" s="794" t="str">
        <f t="shared" si="80"/>
        <v/>
      </c>
      <c r="BU141" s="794" t="str">
        <f t="shared" si="81"/>
        <v/>
      </c>
      <c r="BV141" s="794" t="str">
        <f t="shared" si="82"/>
        <v/>
      </c>
      <c r="BW141" s="794" t="str">
        <f t="shared" si="83"/>
        <v/>
      </c>
      <c r="BX141" s="401" t="str">
        <f t="shared" si="84"/>
        <v/>
      </c>
      <c r="BY141" s="805" t="str">
        <f>IF(BQ141="","",0.00032%*BQ141)</f>
        <v/>
      </c>
      <c r="BZ141" s="792" t="str">
        <f t="shared" ref="BZ141:CF141" si="89">IF(BR141="","",0.00032%*BR141)</f>
        <v/>
      </c>
      <c r="CA141" s="792" t="str">
        <f t="shared" si="89"/>
        <v/>
      </c>
      <c r="CB141" s="792" t="str">
        <f t="shared" si="89"/>
        <v/>
      </c>
      <c r="CC141" s="792" t="str">
        <f t="shared" si="89"/>
        <v/>
      </c>
      <c r="CD141" s="792" t="str">
        <f t="shared" si="89"/>
        <v/>
      </c>
      <c r="CE141" s="792" t="str">
        <f t="shared" si="89"/>
        <v/>
      </c>
      <c r="CF141" s="806" t="str">
        <f t="shared" si="89"/>
        <v/>
      </c>
    </row>
    <row r="142" spans="4:84" ht="15" customHeight="1" thickBot="1">
      <c r="D142"/>
      <c r="L142"/>
      <c r="M142" s="87"/>
      <c r="N142" s="17"/>
      <c r="O142" s="17"/>
      <c r="P142" s="17"/>
      <c r="Q142" s="17"/>
      <c r="R142" s="69"/>
      <c r="S142" s="69"/>
      <c r="T142" s="69"/>
      <c r="U142" s="69"/>
      <c r="W142" s="6"/>
      <c r="Y142" s="6"/>
      <c r="Z142" s="6"/>
      <c r="AA142" s="6"/>
      <c r="AB142" s="6"/>
      <c r="AC142" s="6"/>
      <c r="AD142" s="6"/>
      <c r="AE142" s="6"/>
      <c r="AF142" s="6"/>
      <c r="AM142" s="517" t="s">
        <v>199</v>
      </c>
      <c r="AN142" s="506">
        <f>1000</f>
        <v>1000</v>
      </c>
      <c r="AO142" s="506">
        <f>0.05</f>
        <v>0.05</v>
      </c>
      <c r="AP142" s="507">
        <f t="shared" ref="AP142:AP151" si="90">IF(ISERROR(MATCH(AM142,$B$32:$B$77,0)),0,(MATCH(AM142,$B$32:$B$77,0)))+IF(ISERROR(MATCH(AM142,$C$32:$C$77,0)),0,(MATCH(AM142,$C$32:$C$77,0)))</f>
        <v>0</v>
      </c>
      <c r="AQ142" s="507"/>
      <c r="AR142" s="362">
        <f t="shared" ref="AR142:AR151" si="91">SQRT((15.88/1000)^2/3)</f>
        <v>9.1683222747312582E-3</v>
      </c>
      <c r="AY142" s="139" t="s">
        <v>179</v>
      </c>
      <c r="AZ142" s="192" t="s">
        <v>280</v>
      </c>
      <c r="BA142" s="927" t="s">
        <v>240</v>
      </c>
      <c r="BB142" s="927"/>
      <c r="BC142" s="927"/>
      <c r="BL142" s="782" t="s">
        <v>581</v>
      </c>
      <c r="BM142" s="782">
        <v>6</v>
      </c>
      <c r="BN142" s="782">
        <v>1000.05</v>
      </c>
      <c r="BO142" s="782" t="s">
        <v>580</v>
      </c>
      <c r="BP142" s="791">
        <v>40000</v>
      </c>
      <c r="BQ142" s="793" t="str">
        <f t="shared" si="77"/>
        <v/>
      </c>
      <c r="BR142" s="794" t="str">
        <f t="shared" si="78"/>
        <v/>
      </c>
      <c r="BS142" s="794" t="str">
        <f t="shared" si="79"/>
        <v/>
      </c>
      <c r="BT142" s="794" t="str">
        <f t="shared" si="80"/>
        <v/>
      </c>
      <c r="BU142" s="794" t="str">
        <f t="shared" si="81"/>
        <v/>
      </c>
      <c r="BV142" s="794" t="str">
        <f t="shared" si="82"/>
        <v/>
      </c>
      <c r="BW142" s="794" t="str">
        <f t="shared" si="83"/>
        <v/>
      </c>
      <c r="BX142" s="401" t="str">
        <f t="shared" si="84"/>
        <v/>
      </c>
      <c r="BY142" s="805" t="str">
        <f>IF(BQ142="","",0.0005%*BQ142)</f>
        <v/>
      </c>
      <c r="BZ142" s="792" t="str">
        <f t="shared" ref="BZ142:CF142" si="92">IF(BR142="","",0.0005%*BR142)</f>
        <v/>
      </c>
      <c r="CA142" s="792" t="str">
        <f t="shared" si="92"/>
        <v/>
      </c>
      <c r="CB142" s="792" t="str">
        <f t="shared" si="92"/>
        <v/>
      </c>
      <c r="CC142" s="792" t="str">
        <f t="shared" si="92"/>
        <v/>
      </c>
      <c r="CD142" s="792" t="str">
        <f t="shared" si="92"/>
        <v/>
      </c>
      <c r="CE142" s="792" t="str">
        <f t="shared" si="92"/>
        <v/>
      </c>
      <c r="CF142" s="806" t="str">
        <f t="shared" si="92"/>
        <v/>
      </c>
    </row>
    <row r="143" spans="4:84" ht="15" customHeight="1" thickBot="1">
      <c r="D143"/>
      <c r="L143"/>
      <c r="M143" s="87"/>
      <c r="N143" s="17"/>
      <c r="O143" s="17"/>
      <c r="P143" s="17"/>
      <c r="Q143" s="17"/>
      <c r="R143" s="69"/>
      <c r="S143" s="69"/>
      <c r="T143" s="69"/>
      <c r="U143" s="69"/>
      <c r="W143" s="6"/>
      <c r="Y143" s="6"/>
      <c r="Z143" s="6"/>
      <c r="AA143" s="6"/>
      <c r="AB143" s="6"/>
      <c r="AC143" s="6"/>
      <c r="AD143" s="6"/>
      <c r="AE143" s="6"/>
      <c r="AF143" s="6"/>
      <c r="AM143" s="517" t="s">
        <v>99</v>
      </c>
      <c r="AN143" s="506">
        <f>2000</f>
        <v>2000</v>
      </c>
      <c r="AO143" s="490">
        <f>2*0.05</f>
        <v>0.1</v>
      </c>
      <c r="AP143" s="507">
        <f t="shared" si="90"/>
        <v>0</v>
      </c>
      <c r="AQ143" s="507"/>
      <c r="AR143" s="362">
        <f t="shared" si="91"/>
        <v>9.1683222747312582E-3</v>
      </c>
      <c r="AY143" s="140" t="s">
        <v>254</v>
      </c>
      <c r="AZ143" s="133" t="s">
        <v>251</v>
      </c>
      <c r="BA143" s="105" t="s">
        <v>248</v>
      </c>
      <c r="BB143" s="106" t="s">
        <v>249</v>
      </c>
      <c r="BC143" s="107" t="s">
        <v>250</v>
      </c>
      <c r="BL143" s="782" t="s">
        <v>583</v>
      </c>
      <c r="BM143" s="782">
        <v>7</v>
      </c>
      <c r="BN143" s="782">
        <v>40000.1</v>
      </c>
      <c r="BO143" s="782" t="s">
        <v>582</v>
      </c>
      <c r="BP143" s="791">
        <v>900000</v>
      </c>
      <c r="BQ143" s="793" t="str">
        <f t="shared" si="77"/>
        <v/>
      </c>
      <c r="BR143" s="794" t="str">
        <f t="shared" si="78"/>
        <v/>
      </c>
      <c r="BS143" s="794" t="str">
        <f t="shared" si="79"/>
        <v/>
      </c>
      <c r="BT143" s="794" t="str">
        <f t="shared" si="80"/>
        <v/>
      </c>
      <c r="BU143" s="794" t="str">
        <f t="shared" si="81"/>
        <v/>
      </c>
      <c r="BV143" s="794" t="str">
        <f t="shared" si="82"/>
        <v/>
      </c>
      <c r="BW143" s="794" t="str">
        <f t="shared" si="83"/>
        <v/>
      </c>
      <c r="BX143" s="401" t="str">
        <f t="shared" si="84"/>
        <v/>
      </c>
      <c r="BY143" s="805" t="str">
        <f>IF(BQ143="","",0.0042%*BQ143)</f>
        <v/>
      </c>
      <c r="BZ143" s="792" t="str">
        <f t="shared" ref="BZ143:CF143" si="93">IF(BR143="","",0.0042%*BR143)</f>
        <v/>
      </c>
      <c r="CA143" s="792" t="str">
        <f t="shared" si="93"/>
        <v/>
      </c>
      <c r="CB143" s="792" t="str">
        <f t="shared" si="93"/>
        <v/>
      </c>
      <c r="CC143" s="792" t="str">
        <f t="shared" si="93"/>
        <v/>
      </c>
      <c r="CD143" s="792" t="str">
        <f t="shared" si="93"/>
        <v/>
      </c>
      <c r="CE143" s="792" t="str">
        <f t="shared" si="93"/>
        <v/>
      </c>
      <c r="CF143" s="806" t="str">
        <f t="shared" si="93"/>
        <v/>
      </c>
    </row>
    <row r="144" spans="4:84" ht="15" customHeight="1" thickBot="1">
      <c r="N144" s="17"/>
      <c r="O144" s="17"/>
      <c r="P144" s="17"/>
      <c r="Q144" s="17"/>
      <c r="R144" s="69"/>
      <c r="S144" s="69"/>
      <c r="T144" s="69"/>
      <c r="U144" s="69"/>
      <c r="W144" s="6"/>
      <c r="Y144" s="6"/>
      <c r="Z144" s="6"/>
      <c r="AA144" s="6"/>
      <c r="AB144" s="6"/>
      <c r="AC144" s="6"/>
      <c r="AD144" s="6"/>
      <c r="AE144" s="6"/>
      <c r="AF144" s="6"/>
      <c r="AM144" s="517" t="s">
        <v>200</v>
      </c>
      <c r="AN144" s="506">
        <f>3000</f>
        <v>3000</v>
      </c>
      <c r="AO144" s="490">
        <f>3*0.05</f>
        <v>0.15000000000000002</v>
      </c>
      <c r="AP144" s="507">
        <f t="shared" si="90"/>
        <v>0</v>
      </c>
      <c r="AQ144" s="507"/>
      <c r="AR144" s="362">
        <f t="shared" si="91"/>
        <v>9.1683222747312582E-3</v>
      </c>
      <c r="AY144" s="152" t="s">
        <v>187</v>
      </c>
      <c r="AZ144" s="6">
        <v>100</v>
      </c>
      <c r="BA144" s="193">
        <f>0.5/0.1</f>
        <v>5</v>
      </c>
      <c r="BB144" s="135">
        <f>BA144/(4*SQRT(3))</f>
        <v>0.72168783648703227</v>
      </c>
      <c r="BC144" s="194">
        <f>(0.1*(1*1000000)*$AZ$88/$AZ$89+BA144/4)/(1*SQRT(3))</f>
        <v>9.3819418743314191</v>
      </c>
      <c r="BL144" s="782" t="s">
        <v>585</v>
      </c>
      <c r="BM144" s="782">
        <v>8</v>
      </c>
      <c r="BN144" s="782">
        <v>900001</v>
      </c>
      <c r="BO144" s="782" t="s">
        <v>584</v>
      </c>
      <c r="BP144" s="791">
        <v>1000000</v>
      </c>
      <c r="BQ144" s="793" t="str">
        <f t="shared" si="77"/>
        <v/>
      </c>
      <c r="BR144" s="794" t="str">
        <f t="shared" si="78"/>
        <v/>
      </c>
      <c r="BS144" s="794" t="str">
        <f t="shared" si="79"/>
        <v/>
      </c>
      <c r="BT144" s="794" t="str">
        <f t="shared" si="80"/>
        <v/>
      </c>
      <c r="BU144" s="794" t="str">
        <f t="shared" si="81"/>
        <v/>
      </c>
      <c r="BV144" s="794" t="str">
        <f t="shared" si="82"/>
        <v/>
      </c>
      <c r="BW144" s="794" t="str">
        <f t="shared" si="83"/>
        <v/>
      </c>
      <c r="BX144" s="401" t="str">
        <f t="shared" si="84"/>
        <v/>
      </c>
      <c r="BY144" s="805" t="str">
        <f>IF(BQ144="","",0.053)</f>
        <v/>
      </c>
      <c r="BZ144" s="785" t="str">
        <f t="shared" ref="BZ144:CF144" si="94">IF(BR144="","",0.053)</f>
        <v/>
      </c>
      <c r="CA144" s="785" t="str">
        <f t="shared" si="94"/>
        <v/>
      </c>
      <c r="CB144" s="785" t="str">
        <f t="shared" si="94"/>
        <v/>
      </c>
      <c r="CC144" s="785" t="str">
        <f t="shared" si="94"/>
        <v/>
      </c>
      <c r="CD144" s="785" t="str">
        <f t="shared" si="94"/>
        <v/>
      </c>
      <c r="CE144" s="785" t="str">
        <f t="shared" si="94"/>
        <v/>
      </c>
      <c r="CF144" s="836" t="str">
        <f t="shared" si="94"/>
        <v/>
      </c>
    </row>
    <row r="145" spans="14:84" ht="15" customHeight="1" thickBot="1">
      <c r="N145" s="17"/>
      <c r="O145" s="17"/>
      <c r="P145" s="17"/>
      <c r="Q145" s="17"/>
      <c r="R145" s="69"/>
      <c r="S145" s="69"/>
      <c r="T145" s="69"/>
      <c r="U145" s="69"/>
      <c r="W145" s="6"/>
      <c r="Y145" s="6"/>
      <c r="Z145" s="6"/>
      <c r="AA145" s="6"/>
      <c r="AB145" s="6"/>
      <c r="AC145" s="6"/>
      <c r="AD145" s="6"/>
      <c r="AE145" s="6"/>
      <c r="AF145" s="6"/>
      <c r="AM145" s="518" t="s">
        <v>201</v>
      </c>
      <c r="AN145" s="506">
        <f>4000</f>
        <v>4000</v>
      </c>
      <c r="AO145" s="490">
        <f>4*0.05</f>
        <v>0.2</v>
      </c>
      <c r="AP145" s="507">
        <f t="shared" si="90"/>
        <v>0</v>
      </c>
      <c r="AQ145" s="507"/>
      <c r="AR145" s="362">
        <f t="shared" si="91"/>
        <v>9.1683222747312582E-3</v>
      </c>
      <c r="AY145" s="153" t="s">
        <v>188</v>
      </c>
      <c r="AZ145" s="6">
        <v>200</v>
      </c>
      <c r="BL145" s="782" t="s">
        <v>587</v>
      </c>
      <c r="BM145" s="782">
        <v>9</v>
      </c>
      <c r="BN145" s="782">
        <v>1000050</v>
      </c>
      <c r="BO145" s="782" t="s">
        <v>586</v>
      </c>
      <c r="BP145" s="791">
        <v>4000000</v>
      </c>
      <c r="BQ145" s="793" t="str">
        <f t="shared" si="77"/>
        <v/>
      </c>
      <c r="BR145" s="794" t="str">
        <f t="shared" si="78"/>
        <v/>
      </c>
      <c r="BS145" s="794" t="str">
        <f t="shared" si="79"/>
        <v/>
      </c>
      <c r="BT145" s="794" t="str">
        <f t="shared" si="80"/>
        <v/>
      </c>
      <c r="BU145" s="794" t="str">
        <f t="shared" si="81"/>
        <v/>
      </c>
      <c r="BV145" s="794" t="str">
        <f t="shared" si="82"/>
        <v/>
      </c>
      <c r="BW145" s="794" t="str">
        <f t="shared" si="83"/>
        <v/>
      </c>
      <c r="BX145" s="401" t="str">
        <f t="shared" si="84"/>
        <v/>
      </c>
      <c r="BY145" s="805" t="str">
        <f>IF(BQ145="","",0.0045%*BQ145)</f>
        <v/>
      </c>
      <c r="BZ145" s="792" t="str">
        <f t="shared" ref="BZ145:CF145" si="95">IF(BR145="","",0.0045%*BR145)</f>
        <v/>
      </c>
      <c r="CA145" s="792" t="str">
        <f t="shared" si="95"/>
        <v/>
      </c>
      <c r="CB145" s="792" t="str">
        <f t="shared" si="95"/>
        <v/>
      </c>
      <c r="CC145" s="792" t="str">
        <f t="shared" si="95"/>
        <v/>
      </c>
      <c r="CD145" s="792" t="str">
        <f t="shared" si="95"/>
        <v/>
      </c>
      <c r="CE145" s="792" t="str">
        <f t="shared" si="95"/>
        <v/>
      </c>
      <c r="CF145" s="806" t="str">
        <f t="shared" si="95"/>
        <v/>
      </c>
    </row>
    <row r="146" spans="14:84" ht="15" customHeight="1" thickBot="1">
      <c r="N146" s="17"/>
      <c r="O146" s="17"/>
      <c r="P146" s="17"/>
      <c r="Q146" s="17"/>
      <c r="R146" s="69"/>
      <c r="S146" s="69"/>
      <c r="T146" s="69"/>
      <c r="U146" s="69"/>
      <c r="W146" s="6"/>
      <c r="Y146" s="6"/>
      <c r="Z146" s="6"/>
      <c r="AA146" s="6"/>
      <c r="AB146" s="6"/>
      <c r="AC146" s="6"/>
      <c r="AD146" s="6"/>
      <c r="AE146" s="6"/>
      <c r="AF146" s="6"/>
      <c r="AM146" s="518" t="s">
        <v>100</v>
      </c>
      <c r="AN146" s="506">
        <f>5000</f>
        <v>5000</v>
      </c>
      <c r="AO146" s="490">
        <f>5*0.05</f>
        <v>0.25</v>
      </c>
      <c r="AP146" s="507">
        <f t="shared" si="90"/>
        <v>0</v>
      </c>
      <c r="AQ146" s="507"/>
      <c r="AR146" s="362">
        <f t="shared" si="91"/>
        <v>9.1683222747312582E-3</v>
      </c>
      <c r="AY146" s="153" t="s">
        <v>189</v>
      </c>
      <c r="AZ146" s="6">
        <v>200</v>
      </c>
      <c r="BL146" s="782" t="s">
        <v>589</v>
      </c>
      <c r="BM146" s="782">
        <v>10</v>
      </c>
      <c r="BN146" s="789">
        <v>4000050</v>
      </c>
      <c r="BO146" s="782" t="s">
        <v>588</v>
      </c>
      <c r="BP146" s="790">
        <v>20000000</v>
      </c>
      <c r="BQ146" s="793" t="str">
        <f t="shared" si="77"/>
        <v/>
      </c>
      <c r="BR146" s="794" t="str">
        <f t="shared" si="78"/>
        <v/>
      </c>
      <c r="BS146" s="794" t="str">
        <f t="shared" si="79"/>
        <v/>
      </c>
      <c r="BT146" s="794" t="str">
        <f t="shared" si="80"/>
        <v/>
      </c>
      <c r="BU146" s="794" t="str">
        <f t="shared" si="81"/>
        <v/>
      </c>
      <c r="BV146" s="794" t="str">
        <f t="shared" si="82"/>
        <v/>
      </c>
      <c r="BW146" s="794" t="str">
        <f t="shared" si="83"/>
        <v/>
      </c>
      <c r="BX146" s="401" t="str">
        <f t="shared" si="84"/>
        <v/>
      </c>
      <c r="BY146" s="805" t="str">
        <f>IF(BQ146="","",0.0042%*BQ146)</f>
        <v/>
      </c>
      <c r="BZ146" s="792" t="str">
        <f t="shared" ref="BZ146:CF146" si="96">IF(BR146="","",0.0042%*BR146)</f>
        <v/>
      </c>
      <c r="CA146" s="792" t="str">
        <f t="shared" si="96"/>
        <v/>
      </c>
      <c r="CB146" s="792" t="str">
        <f t="shared" si="96"/>
        <v/>
      </c>
      <c r="CC146" s="792" t="str">
        <f t="shared" si="96"/>
        <v/>
      </c>
      <c r="CD146" s="792" t="str">
        <f t="shared" si="96"/>
        <v/>
      </c>
      <c r="CE146" s="792" t="str">
        <f t="shared" si="96"/>
        <v/>
      </c>
      <c r="CF146" s="806" t="str">
        <f t="shared" si="96"/>
        <v/>
      </c>
    </row>
    <row r="147" spans="14:84" ht="15" customHeight="1" thickBot="1">
      <c r="N147" s="17"/>
      <c r="O147" s="17"/>
      <c r="P147" s="17"/>
      <c r="Q147" s="17"/>
      <c r="R147" s="69"/>
      <c r="S147" s="69"/>
      <c r="T147" s="69"/>
      <c r="U147" s="69"/>
      <c r="W147" s="6"/>
      <c r="Y147" s="6"/>
      <c r="Z147" s="6"/>
      <c r="AA147" s="6"/>
      <c r="AB147" s="6"/>
      <c r="AC147" s="6"/>
      <c r="AD147" s="6"/>
      <c r="AE147" s="6"/>
      <c r="AF147" s="6"/>
      <c r="AM147" s="518" t="s">
        <v>202</v>
      </c>
      <c r="AN147" s="506">
        <f>6000</f>
        <v>6000</v>
      </c>
      <c r="AO147" s="490">
        <f>6*0.05</f>
        <v>0.30000000000000004</v>
      </c>
      <c r="AP147" s="507">
        <f t="shared" si="90"/>
        <v>0</v>
      </c>
      <c r="AQ147" s="507"/>
      <c r="AR147" s="362">
        <f t="shared" si="91"/>
        <v>9.1683222747312582E-3</v>
      </c>
      <c r="AY147" s="153" t="s">
        <v>190</v>
      </c>
      <c r="AZ147" s="6">
        <v>500</v>
      </c>
      <c r="BL147" s="782" t="s">
        <v>591</v>
      </c>
      <c r="BM147" s="782">
        <v>11</v>
      </c>
      <c r="BN147" s="789">
        <v>20000100</v>
      </c>
      <c r="BO147" s="782" t="s">
        <v>590</v>
      </c>
      <c r="BP147" s="790">
        <v>22000000</v>
      </c>
      <c r="BQ147" s="793" t="str">
        <f t="shared" si="77"/>
        <v/>
      </c>
      <c r="BR147" s="794" t="str">
        <f t="shared" si="78"/>
        <v/>
      </c>
      <c r="BS147" s="794" t="str">
        <f t="shared" si="79"/>
        <v/>
      </c>
      <c r="BT147" s="794" t="str">
        <f t="shared" si="80"/>
        <v/>
      </c>
      <c r="BU147" s="794" t="str">
        <f t="shared" si="81"/>
        <v/>
      </c>
      <c r="BV147" s="794" t="str">
        <f t="shared" si="82"/>
        <v/>
      </c>
      <c r="BW147" s="794" t="str">
        <f t="shared" si="83"/>
        <v/>
      </c>
      <c r="BX147" s="401" t="str">
        <f t="shared" si="84"/>
        <v/>
      </c>
      <c r="BY147" s="805" t="str">
        <f>IF(BQ147="","",1100)</f>
        <v/>
      </c>
      <c r="BZ147" s="792" t="str">
        <f t="shared" ref="BZ147:CF147" si="97">IF(BR147="","",1100)</f>
        <v/>
      </c>
      <c r="CA147" s="792" t="str">
        <f t="shared" si="97"/>
        <v/>
      </c>
      <c r="CB147" s="792" t="str">
        <f t="shared" si="97"/>
        <v/>
      </c>
      <c r="CC147" s="792" t="str">
        <f t="shared" si="97"/>
        <v/>
      </c>
      <c r="CD147" s="792" t="str">
        <f t="shared" si="97"/>
        <v/>
      </c>
      <c r="CE147" s="792" t="str">
        <f t="shared" si="97"/>
        <v/>
      </c>
      <c r="CF147" s="806" t="str">
        <f t="shared" si="97"/>
        <v/>
      </c>
    </row>
    <row r="148" spans="14:84" ht="15" customHeight="1" thickBot="1">
      <c r="N148" s="17"/>
      <c r="O148" s="17"/>
      <c r="P148" s="17"/>
      <c r="Q148" s="17"/>
      <c r="R148" s="69"/>
      <c r="S148" s="69"/>
      <c r="T148" s="69"/>
      <c r="U148" s="69"/>
      <c r="W148" s="6"/>
      <c r="Z148" s="6"/>
      <c r="AM148" s="518" t="s">
        <v>203</v>
      </c>
      <c r="AN148" s="506">
        <f>7000</f>
        <v>7000</v>
      </c>
      <c r="AO148" s="490">
        <f>7*0.05</f>
        <v>0.35000000000000003</v>
      </c>
      <c r="AP148" s="507">
        <f t="shared" si="90"/>
        <v>0</v>
      </c>
      <c r="AQ148" s="507"/>
      <c r="AR148" s="362">
        <f t="shared" si="91"/>
        <v>9.1683222747312582E-3</v>
      </c>
      <c r="AY148" s="153" t="s">
        <v>257</v>
      </c>
      <c r="AZ148" s="137">
        <v>1000</v>
      </c>
      <c r="BA148" s="95"/>
      <c r="BB148" s="95"/>
      <c r="BC148" s="95"/>
      <c r="BL148" s="782" t="s">
        <v>593</v>
      </c>
      <c r="BM148" s="782">
        <v>12</v>
      </c>
      <c r="BN148" s="789">
        <v>22000500</v>
      </c>
      <c r="BO148" s="782" t="s">
        <v>592</v>
      </c>
      <c r="BP148" s="790">
        <v>32000000</v>
      </c>
      <c r="BQ148" s="793" t="str">
        <f t="shared" si="77"/>
        <v/>
      </c>
      <c r="BR148" s="794" t="str">
        <f t="shared" si="78"/>
        <v/>
      </c>
      <c r="BS148" s="794" t="str">
        <f t="shared" si="79"/>
        <v/>
      </c>
      <c r="BT148" s="794" t="str">
        <f t="shared" si="80"/>
        <v/>
      </c>
      <c r="BU148" s="794" t="str">
        <f t="shared" si="81"/>
        <v/>
      </c>
      <c r="BV148" s="794" t="str">
        <f t="shared" si="82"/>
        <v/>
      </c>
      <c r="BW148" s="794" t="str">
        <f t="shared" si="83"/>
        <v/>
      </c>
      <c r="BX148" s="401" t="str">
        <f t="shared" si="84"/>
        <v/>
      </c>
      <c r="BY148" s="805" t="str">
        <f>IF(BQ148="","",1200)</f>
        <v/>
      </c>
      <c r="BZ148" s="792" t="str">
        <f t="shared" ref="BZ148:CF148" si="98">IF(BR148="","",1200)</f>
        <v/>
      </c>
      <c r="CA148" s="792" t="str">
        <f t="shared" si="98"/>
        <v/>
      </c>
      <c r="CB148" s="792" t="str">
        <f t="shared" si="98"/>
        <v/>
      </c>
      <c r="CC148" s="792" t="str">
        <f t="shared" si="98"/>
        <v/>
      </c>
      <c r="CD148" s="792" t="str">
        <f t="shared" si="98"/>
        <v/>
      </c>
      <c r="CE148" s="792" t="str">
        <f t="shared" si="98"/>
        <v/>
      </c>
      <c r="CF148" s="806" t="str">
        <f t="shared" si="98"/>
        <v/>
      </c>
    </row>
    <row r="149" spans="14:84" ht="15" customHeight="1" thickBot="1">
      <c r="N149" s="17"/>
      <c r="O149" s="17"/>
      <c r="P149" s="17"/>
      <c r="Q149" s="17"/>
      <c r="R149" s="69"/>
      <c r="S149" s="69"/>
      <c r="T149" s="69"/>
      <c r="U149" s="69"/>
      <c r="W149" s="6"/>
      <c r="Z149" s="6"/>
      <c r="AM149" s="518" t="s">
        <v>204</v>
      </c>
      <c r="AN149" s="506">
        <f>8000</f>
        <v>8000</v>
      </c>
      <c r="AO149" s="490">
        <f>8*0.05</f>
        <v>0.4</v>
      </c>
      <c r="AP149" s="507">
        <f t="shared" si="90"/>
        <v>0</v>
      </c>
      <c r="AQ149" s="507"/>
      <c r="AR149" s="362">
        <f t="shared" si="91"/>
        <v>9.1683222747312582E-3</v>
      </c>
      <c r="AY149" s="142" t="s">
        <v>258</v>
      </c>
      <c r="AZ149" s="6">
        <v>2000</v>
      </c>
      <c r="BA149" s="95"/>
      <c r="BB149" s="95"/>
      <c r="BC149" s="95"/>
      <c r="BL149" s="782" t="s">
        <v>595</v>
      </c>
      <c r="BM149" s="782">
        <v>13</v>
      </c>
      <c r="BN149" s="789">
        <v>32000500</v>
      </c>
      <c r="BO149" s="782" t="s">
        <v>594</v>
      </c>
      <c r="BP149" s="790">
        <v>37000000</v>
      </c>
      <c r="BQ149" s="793" t="str">
        <f t="shared" si="77"/>
        <v/>
      </c>
      <c r="BR149" s="794" t="str">
        <f t="shared" si="78"/>
        <v/>
      </c>
      <c r="BS149" s="794" t="str">
        <f t="shared" si="79"/>
        <v/>
      </c>
      <c r="BT149" s="794" t="str">
        <f t="shared" si="80"/>
        <v/>
      </c>
      <c r="BU149" s="794" t="str">
        <f t="shared" si="81"/>
        <v/>
      </c>
      <c r="BV149" s="794" t="str">
        <f t="shared" si="82"/>
        <v/>
      </c>
      <c r="BW149" s="794" t="str">
        <f t="shared" si="83"/>
        <v/>
      </c>
      <c r="BX149" s="401" t="str">
        <f t="shared" si="84"/>
        <v/>
      </c>
      <c r="BY149" s="805" t="str">
        <f>IF(BQ149="","",1300)</f>
        <v/>
      </c>
      <c r="BZ149" s="792" t="str">
        <f t="shared" ref="BZ149:CF149" si="99">IF(BR149="","",1300)</f>
        <v/>
      </c>
      <c r="CA149" s="792" t="str">
        <f t="shared" si="99"/>
        <v/>
      </c>
      <c r="CB149" s="792" t="str">
        <f t="shared" si="99"/>
        <v/>
      </c>
      <c r="CC149" s="792" t="str">
        <f t="shared" si="99"/>
        <v/>
      </c>
      <c r="CD149" s="792" t="str">
        <f t="shared" si="99"/>
        <v/>
      </c>
      <c r="CE149" s="792" t="str">
        <f t="shared" si="99"/>
        <v/>
      </c>
      <c r="CF149" s="806" t="str">
        <f t="shared" si="99"/>
        <v/>
      </c>
    </row>
    <row r="150" spans="14:84" ht="15" customHeight="1" thickBot="1">
      <c r="N150" s="17"/>
      <c r="O150" s="17"/>
      <c r="P150" s="17"/>
      <c r="Q150" s="17"/>
      <c r="R150" s="69"/>
      <c r="S150" s="69"/>
      <c r="T150" s="69"/>
      <c r="U150" s="69"/>
      <c r="W150" s="6"/>
      <c r="Z150" s="6"/>
      <c r="AM150" s="517" t="s">
        <v>205</v>
      </c>
      <c r="AN150" s="506">
        <f>9000</f>
        <v>9000</v>
      </c>
      <c r="AO150" s="490">
        <f>9*0.05</f>
        <v>0.45</v>
      </c>
      <c r="AP150" s="507">
        <f t="shared" si="90"/>
        <v>0</v>
      </c>
      <c r="AQ150" s="511"/>
      <c r="AR150" s="362">
        <f t="shared" si="91"/>
        <v>9.1683222747312582E-3</v>
      </c>
      <c r="AY150" s="142" t="s">
        <v>259</v>
      </c>
      <c r="AZ150" s="6">
        <v>2000</v>
      </c>
      <c r="BA150" s="95"/>
      <c r="BB150" s="95"/>
      <c r="BC150" s="95"/>
      <c r="BL150" s="782" t="s">
        <v>597</v>
      </c>
      <c r="BM150" s="782">
        <v>14</v>
      </c>
      <c r="BN150" s="789">
        <v>37000500</v>
      </c>
      <c r="BO150" s="782" t="s">
        <v>596</v>
      </c>
      <c r="BP150" s="790">
        <v>40000000</v>
      </c>
      <c r="BQ150" s="793" t="str">
        <f t="shared" si="77"/>
        <v/>
      </c>
      <c r="BR150" s="794" t="str">
        <f t="shared" si="78"/>
        <v/>
      </c>
      <c r="BS150" s="794" t="str">
        <f t="shared" si="79"/>
        <v/>
      </c>
      <c r="BT150" s="794" t="str">
        <f t="shared" si="80"/>
        <v/>
      </c>
      <c r="BU150" s="794" t="str">
        <f t="shared" si="81"/>
        <v/>
      </c>
      <c r="BV150" s="794" t="str">
        <f t="shared" si="82"/>
        <v/>
      </c>
      <c r="BW150" s="794" t="str">
        <f t="shared" si="83"/>
        <v/>
      </c>
      <c r="BX150" s="401" t="str">
        <f t="shared" si="84"/>
        <v/>
      </c>
      <c r="BY150" s="805" t="str">
        <f>IF(BQ150="","",1400)</f>
        <v/>
      </c>
      <c r="BZ150" s="792" t="str">
        <f t="shared" ref="BZ150:CF150" si="100">IF(BR150="","",1400)</f>
        <v/>
      </c>
      <c r="CA150" s="792" t="str">
        <f t="shared" si="100"/>
        <v/>
      </c>
      <c r="CB150" s="792" t="str">
        <f t="shared" si="100"/>
        <v/>
      </c>
      <c r="CC150" s="792" t="str">
        <f t="shared" si="100"/>
        <v/>
      </c>
      <c r="CD150" s="792" t="str">
        <f t="shared" si="100"/>
        <v/>
      </c>
      <c r="CE150" s="792" t="str">
        <f t="shared" si="100"/>
        <v/>
      </c>
      <c r="CF150" s="806" t="str">
        <f t="shared" si="100"/>
        <v/>
      </c>
    </row>
    <row r="151" spans="14:84" ht="15" customHeight="1" thickBot="1">
      <c r="N151" s="17"/>
      <c r="O151" s="17"/>
      <c r="P151" s="17"/>
      <c r="Q151" s="17"/>
      <c r="R151" s="69"/>
      <c r="S151" s="69"/>
      <c r="T151" s="69"/>
      <c r="U151" s="69"/>
      <c r="W151" s="6"/>
      <c r="Z151" s="6"/>
      <c r="AM151" s="677" t="s">
        <v>206</v>
      </c>
      <c r="AN151" s="512">
        <f>10000</f>
        <v>10000</v>
      </c>
      <c r="AO151" s="502">
        <f>10*0.05</f>
        <v>0.5</v>
      </c>
      <c r="AP151" s="511">
        <f t="shared" si="90"/>
        <v>0</v>
      </c>
      <c r="AQ151" s="534"/>
      <c r="AR151" s="605">
        <f t="shared" si="91"/>
        <v>9.1683222747312582E-3</v>
      </c>
      <c r="AY151" s="142" t="s">
        <v>260</v>
      </c>
      <c r="AZ151" s="6">
        <v>5000</v>
      </c>
      <c r="BA151" s="95"/>
      <c r="BB151" s="95"/>
      <c r="BC151" s="95"/>
      <c r="BL151" s="782" t="s">
        <v>599</v>
      </c>
      <c r="BM151" s="782">
        <v>15</v>
      </c>
      <c r="BN151" s="789">
        <v>40001000</v>
      </c>
      <c r="BO151" s="782" t="s">
        <v>598</v>
      </c>
      <c r="BP151" s="790">
        <v>54000000</v>
      </c>
      <c r="BQ151" s="793" t="str">
        <f t="shared" si="77"/>
        <v/>
      </c>
      <c r="BR151" s="794" t="str">
        <f t="shared" si="78"/>
        <v/>
      </c>
      <c r="BS151" s="794" t="str">
        <f t="shared" si="79"/>
        <v/>
      </c>
      <c r="BT151" s="794" t="str">
        <f t="shared" si="80"/>
        <v/>
      </c>
      <c r="BU151" s="794" t="str">
        <f t="shared" si="81"/>
        <v/>
      </c>
      <c r="BV151" s="794" t="str">
        <f t="shared" si="82"/>
        <v/>
      </c>
      <c r="BW151" s="794" t="str">
        <f t="shared" si="83"/>
        <v/>
      </c>
      <c r="BX151" s="401" t="str">
        <f t="shared" si="84"/>
        <v/>
      </c>
      <c r="BY151" s="805" t="str">
        <f>IF(BQ151="","",1800)</f>
        <v/>
      </c>
      <c r="BZ151" s="792" t="str">
        <f t="shared" ref="BZ151:CF151" si="101">IF(BR151="","",1800)</f>
        <v/>
      </c>
      <c r="CA151" s="792" t="str">
        <f t="shared" si="101"/>
        <v/>
      </c>
      <c r="CB151" s="792" t="str">
        <f t="shared" si="101"/>
        <v/>
      </c>
      <c r="CC151" s="792" t="str">
        <f t="shared" si="101"/>
        <v/>
      </c>
      <c r="CD151" s="792" t="str">
        <f t="shared" si="101"/>
        <v/>
      </c>
      <c r="CE151" s="792" t="str">
        <f t="shared" si="101"/>
        <v/>
      </c>
      <c r="CF151" s="806" t="str">
        <f t="shared" si="101"/>
        <v/>
      </c>
    </row>
    <row r="152" spans="14:84" ht="15" customHeight="1" thickBot="1">
      <c r="N152" s="17"/>
      <c r="O152" s="17"/>
      <c r="P152" s="17"/>
      <c r="Q152" s="17"/>
      <c r="R152" s="69"/>
      <c r="S152" s="69"/>
      <c r="T152" s="69"/>
      <c r="U152" s="69"/>
      <c r="W152" s="6"/>
      <c r="Z152" s="6"/>
      <c r="AM152" s="676">
        <v>531</v>
      </c>
      <c r="AN152" s="532" t="s">
        <v>207</v>
      </c>
      <c r="AO152" s="533" t="str">
        <f>IF(AP152=0,"NÃO","SIM")</f>
        <v>NÃO</v>
      </c>
      <c r="AP152" s="534">
        <f>IF(ISERROR(SUM(AP153:AP162)),SUM(AP153:AP162),SUM(AP153:AP162))</f>
        <v>0</v>
      </c>
      <c r="AQ152" s="507"/>
      <c r="AR152" s="39"/>
      <c r="AY152" s="142" t="s">
        <v>261</v>
      </c>
      <c r="AZ152" s="6">
        <v>10000</v>
      </c>
      <c r="BA152" s="95"/>
      <c r="BB152" s="95"/>
      <c r="BC152" s="95"/>
      <c r="BL152" s="782" t="s">
        <v>601</v>
      </c>
      <c r="BM152" s="782">
        <v>16</v>
      </c>
      <c r="BN152" s="789">
        <v>54000000</v>
      </c>
      <c r="BO152" s="782" t="s">
        <v>600</v>
      </c>
      <c r="BP152" s="790">
        <v>60000000</v>
      </c>
      <c r="BQ152" s="793" t="str">
        <f t="shared" si="77"/>
        <v/>
      </c>
      <c r="BR152" s="794" t="str">
        <f t="shared" si="78"/>
        <v/>
      </c>
      <c r="BS152" s="794" t="str">
        <f t="shared" si="79"/>
        <v/>
      </c>
      <c r="BT152" s="794" t="str">
        <f t="shared" si="80"/>
        <v/>
      </c>
      <c r="BU152" s="794" t="str">
        <f t="shared" si="81"/>
        <v/>
      </c>
      <c r="BV152" s="794" t="str">
        <f t="shared" si="82"/>
        <v/>
      </c>
      <c r="BW152" s="794" t="str">
        <f t="shared" si="83"/>
        <v/>
      </c>
      <c r="BX152" s="401" t="str">
        <f t="shared" si="84"/>
        <v/>
      </c>
      <c r="BY152" s="805" t="str">
        <f>IF(BQ152="","",1900)</f>
        <v/>
      </c>
      <c r="BZ152" s="792" t="str">
        <f t="shared" ref="BZ152:CF152" si="102">IF(BR152="","",1900)</f>
        <v/>
      </c>
      <c r="CA152" s="792" t="str">
        <f t="shared" si="102"/>
        <v/>
      </c>
      <c r="CB152" s="792" t="str">
        <f t="shared" si="102"/>
        <v/>
      </c>
      <c r="CC152" s="792" t="str">
        <f t="shared" si="102"/>
        <v/>
      </c>
      <c r="CD152" s="792" t="str">
        <f t="shared" si="102"/>
        <v/>
      </c>
      <c r="CE152" s="792" t="str">
        <f t="shared" si="102"/>
        <v/>
      </c>
      <c r="CF152" s="806" t="str">
        <f t="shared" si="102"/>
        <v/>
      </c>
    </row>
    <row r="153" spans="14:84" ht="15" customHeight="1" thickBot="1">
      <c r="N153" s="17"/>
      <c r="O153" s="17"/>
      <c r="P153" s="17"/>
      <c r="Q153" s="17"/>
      <c r="R153" s="69"/>
      <c r="S153" s="69"/>
      <c r="T153" s="69"/>
      <c r="U153" s="69"/>
      <c r="Z153" s="6"/>
      <c r="AM153" s="491" t="s">
        <v>164</v>
      </c>
      <c r="AN153" s="506">
        <f>2000</f>
        <v>2000</v>
      </c>
      <c r="AO153" s="506">
        <f>0.1</f>
        <v>0.1</v>
      </c>
      <c r="AP153" s="507">
        <f t="shared" ref="AP153:AP162" si="103">IF(ISERROR(MATCH(AM153,$B$32:$B$77,0)),0,(MATCH(AM153,$B$32:$B$77,0)))+IF(ISERROR(MATCH(AM153,$C$32:$C$77,0)),0,(MATCH(AM153,$C$32:$C$77,0)))</f>
        <v>0</v>
      </c>
      <c r="AQ153" s="507"/>
      <c r="AR153" s="362">
        <f t="shared" ref="AR153:AR162" si="104">SQRT((15.88/1000)^2/3)</f>
        <v>9.1683222747312582E-3</v>
      </c>
      <c r="AY153" s="143" t="s">
        <v>262</v>
      </c>
      <c r="AZ153" s="6">
        <v>20000</v>
      </c>
      <c r="BA153" s="95"/>
      <c r="BB153" s="95"/>
      <c r="BC153" s="95"/>
      <c r="BL153" s="782" t="s">
        <v>603</v>
      </c>
      <c r="BM153" s="782">
        <v>17</v>
      </c>
      <c r="BN153" s="789">
        <v>60002000</v>
      </c>
      <c r="BO153" s="782" t="s">
        <v>602</v>
      </c>
      <c r="BP153" s="790">
        <v>69000000</v>
      </c>
      <c r="BQ153" s="793" t="str">
        <f t="shared" si="77"/>
        <v/>
      </c>
      <c r="BR153" s="794" t="str">
        <f t="shared" si="78"/>
        <v/>
      </c>
      <c r="BS153" s="794" t="str">
        <f t="shared" si="79"/>
        <v/>
      </c>
      <c r="BT153" s="794" t="str">
        <f t="shared" si="80"/>
        <v/>
      </c>
      <c r="BU153" s="794" t="str">
        <f t="shared" si="81"/>
        <v/>
      </c>
      <c r="BV153" s="794" t="str">
        <f t="shared" si="82"/>
        <v/>
      </c>
      <c r="BW153" s="794" t="str">
        <f t="shared" si="83"/>
        <v/>
      </c>
      <c r="BX153" s="401" t="str">
        <f t="shared" si="84"/>
        <v/>
      </c>
      <c r="BY153" s="805" t="str">
        <f>IF(BQ153="","",2500)</f>
        <v/>
      </c>
      <c r="BZ153" s="792" t="str">
        <f t="shared" ref="BZ153:CF153" si="105">IF(BR153="","",2500)</f>
        <v/>
      </c>
      <c r="CA153" s="792" t="str">
        <f t="shared" si="105"/>
        <v/>
      </c>
      <c r="CB153" s="792" t="str">
        <f t="shared" si="105"/>
        <v/>
      </c>
      <c r="CC153" s="792" t="str">
        <f t="shared" si="105"/>
        <v/>
      </c>
      <c r="CD153" s="792" t="str">
        <f t="shared" si="105"/>
        <v/>
      </c>
      <c r="CE153" s="792" t="str">
        <f t="shared" si="105"/>
        <v/>
      </c>
      <c r="CF153" s="806" t="str">
        <f t="shared" si="105"/>
        <v/>
      </c>
    </row>
    <row r="154" spans="14:84" ht="15" customHeight="1" thickBot="1">
      <c r="N154" s="17"/>
      <c r="O154" s="17"/>
      <c r="P154" s="17"/>
      <c r="Q154" s="17"/>
      <c r="R154" s="69"/>
      <c r="S154" s="69"/>
      <c r="T154" s="69"/>
      <c r="U154" s="69"/>
      <c r="Z154" s="6"/>
      <c r="AM154" s="491" t="s">
        <v>208</v>
      </c>
      <c r="AN154" s="506">
        <f>4000</f>
        <v>4000</v>
      </c>
      <c r="AO154" s="490">
        <f>2*0.1</f>
        <v>0.2</v>
      </c>
      <c r="AP154" s="507">
        <f t="shared" si="103"/>
        <v>0</v>
      </c>
      <c r="AQ154" s="507"/>
      <c r="AR154" s="362">
        <f t="shared" si="104"/>
        <v>9.1683222747312582E-3</v>
      </c>
      <c r="AY154" s="139" t="s">
        <v>180</v>
      </c>
      <c r="AZ154" s="192" t="s">
        <v>280</v>
      </c>
      <c r="BA154" s="927" t="s">
        <v>241</v>
      </c>
      <c r="BB154" s="927"/>
      <c r="BC154" s="927"/>
      <c r="BL154" s="782" t="s">
        <v>605</v>
      </c>
      <c r="BM154" s="782">
        <v>18</v>
      </c>
      <c r="BN154" s="789">
        <v>69002000</v>
      </c>
      <c r="BO154" s="782" t="s">
        <v>604</v>
      </c>
      <c r="BP154" s="790">
        <v>80000000</v>
      </c>
      <c r="BQ154" s="795" t="str">
        <f t="shared" si="77"/>
        <v/>
      </c>
      <c r="BR154" s="796" t="str">
        <f t="shared" si="78"/>
        <v/>
      </c>
      <c r="BS154" s="796" t="str">
        <f t="shared" si="79"/>
        <v/>
      </c>
      <c r="BT154" s="796" t="str">
        <f t="shared" si="80"/>
        <v/>
      </c>
      <c r="BU154" s="796" t="str">
        <f t="shared" si="81"/>
        <v/>
      </c>
      <c r="BV154" s="796" t="str">
        <f t="shared" si="82"/>
        <v/>
      </c>
      <c r="BW154" s="796" t="str">
        <f t="shared" si="83"/>
        <v/>
      </c>
      <c r="BX154" s="797" t="str">
        <f t="shared" si="84"/>
        <v/>
      </c>
      <c r="BY154" s="807" t="str">
        <f>IF(BQ154="","",2600)</f>
        <v/>
      </c>
      <c r="BZ154" s="808" t="str">
        <f t="shared" ref="BZ154:CF154" si="106">IF(BR154="","",2600)</f>
        <v/>
      </c>
      <c r="CA154" s="808" t="str">
        <f t="shared" si="106"/>
        <v/>
      </c>
      <c r="CB154" s="808" t="str">
        <f t="shared" si="106"/>
        <v/>
      </c>
      <c r="CC154" s="808" t="str">
        <f t="shared" si="106"/>
        <v/>
      </c>
      <c r="CD154" s="808" t="str">
        <f t="shared" si="106"/>
        <v/>
      </c>
      <c r="CE154" s="808" t="str">
        <f t="shared" si="106"/>
        <v/>
      </c>
      <c r="CF154" s="809" t="str">
        <f t="shared" si="106"/>
        <v/>
      </c>
    </row>
    <row r="155" spans="14:84" ht="15" customHeight="1" thickBot="1">
      <c r="N155" s="17"/>
      <c r="O155" s="17"/>
      <c r="P155" s="17"/>
      <c r="Q155" s="17"/>
      <c r="R155" s="69"/>
      <c r="S155" s="69"/>
      <c r="T155" s="69"/>
      <c r="U155" s="69"/>
      <c r="Z155" s="6"/>
      <c r="AM155" s="491" t="s">
        <v>209</v>
      </c>
      <c r="AN155" s="506">
        <f>6000</f>
        <v>6000</v>
      </c>
      <c r="AO155" s="490">
        <f>3*0.1</f>
        <v>0.30000000000000004</v>
      </c>
      <c r="AP155" s="507">
        <f t="shared" si="103"/>
        <v>0</v>
      </c>
      <c r="AQ155" s="507"/>
      <c r="AR155" s="362">
        <f t="shared" si="104"/>
        <v>9.1683222747312582E-3</v>
      </c>
      <c r="AY155" s="140" t="s">
        <v>254</v>
      </c>
      <c r="AZ155" s="133" t="s">
        <v>251</v>
      </c>
      <c r="BA155" s="105" t="s">
        <v>248</v>
      </c>
      <c r="BB155" s="106" t="s">
        <v>249</v>
      </c>
      <c r="BC155" s="107" t="s">
        <v>250</v>
      </c>
      <c r="BM155" s="6"/>
      <c r="BN155" s="6"/>
      <c r="BO155" s="6"/>
      <c r="BP155" s="6"/>
      <c r="BQ155" s="6"/>
      <c r="BR155" s="6"/>
      <c r="BX155" s="811" t="s">
        <v>612</v>
      </c>
      <c r="BY155">
        <f>SUM(BY137:BY154)</f>
        <v>0</v>
      </c>
      <c r="BZ155">
        <f t="shared" ref="BZ155:CF155" si="107">SUM(BZ137:BZ154)</f>
        <v>0</v>
      </c>
      <c r="CA155">
        <f t="shared" si="107"/>
        <v>0</v>
      </c>
      <c r="CB155">
        <f t="shared" si="107"/>
        <v>0</v>
      </c>
      <c r="CC155">
        <f t="shared" si="107"/>
        <v>0</v>
      </c>
      <c r="CD155">
        <f t="shared" si="107"/>
        <v>0</v>
      </c>
      <c r="CE155">
        <f t="shared" si="107"/>
        <v>0</v>
      </c>
      <c r="CF155">
        <f t="shared" si="107"/>
        <v>0</v>
      </c>
    </row>
    <row r="156" spans="14:84" ht="15" customHeight="1" thickBot="1">
      <c r="N156" s="17"/>
      <c r="O156" s="17"/>
      <c r="P156" s="17"/>
      <c r="Q156" s="17"/>
      <c r="R156" s="69"/>
      <c r="S156" s="69"/>
      <c r="T156" s="69"/>
      <c r="U156" s="69"/>
      <c r="Z156" s="6"/>
      <c r="AM156" s="505" t="s">
        <v>210</v>
      </c>
      <c r="AN156" s="506">
        <f>8000</f>
        <v>8000</v>
      </c>
      <c r="AO156" s="490">
        <f>4*0.1</f>
        <v>0.4</v>
      </c>
      <c r="AP156" s="507">
        <f t="shared" si="103"/>
        <v>0</v>
      </c>
      <c r="AQ156" s="507"/>
      <c r="AR156" s="362">
        <f t="shared" si="104"/>
        <v>9.1683222747312582E-3</v>
      </c>
      <c r="AY156" s="156"/>
      <c r="BA156" s="136">
        <f>1.6/0.1</f>
        <v>16</v>
      </c>
      <c r="BB156" s="135">
        <f>BA156/(4*SQRT(3))</f>
        <v>2.3094010767585034</v>
      </c>
      <c r="BC156" s="194">
        <f>(0.1*(1*1000000)*$AZ$88/$AZ$89+BA156/4)/(1*SQRT(3))</f>
        <v>10.96965511460289</v>
      </c>
      <c r="BM156" s="6"/>
      <c r="BN156" s="6"/>
      <c r="BO156" s="6"/>
      <c r="BP156" s="6"/>
      <c r="BQ156" s="6"/>
      <c r="BR156" s="6"/>
      <c r="BX156" s="811" t="s">
        <v>614</v>
      </c>
      <c r="BY156" t="str">
        <f>IF($AV$77="g",$L$34,IF($AV$77="kg",$L$34*1000,IF($AV$77="mg",$L$34*0.001,$L$34)))</f>
        <v>-------</v>
      </c>
      <c r="BZ156" t="str">
        <f>IF($AV$77="g",$L$39,IF($AV$77="kg",$L$39*1000,IF($AV$77="mg",$L$39*0.001,$L$39)))</f>
        <v>-------</v>
      </c>
      <c r="CA156" t="str">
        <f>IF($AV$77="g",$L$45,IF($AV$77="kg",$L$45*1000,IF($AV$77="mg",$L$45*0.001,$L$45)))</f>
        <v>-------</v>
      </c>
      <c r="CB156" t="str">
        <f>IF($AV$77="g",$L$51,IF($AV$77="kg",$L$51*1000,IF($AV$77="mg",$L$51*0.001,$L$51)))</f>
        <v>-------</v>
      </c>
      <c r="CC156" t="str">
        <f>IF($AV$77="g",$L$57,IF($AV$77="kg",$L$57*1000,IF($AV$77="mg",$L$57*0.001,$L$57)))</f>
        <v>-------</v>
      </c>
      <c r="CD156" t="str">
        <f>IF($AV$77="g",$L$63,IF($AV$77="kg",$L$63*1000,IF($AV$77="mg",$L$63*0.001,$L$63)))</f>
        <v>-------</v>
      </c>
      <c r="CE156" t="str">
        <f>IF($AV$77="g",$L$69,IF($AV$77="kg",$L$69*1000,IF($AV$77="mg",$L$69*0.001,$L$69)))</f>
        <v>-------</v>
      </c>
      <c r="CF156" t="str">
        <f>IF($AV$77="g",$L$75,IF($AV$77="kg",$L$75*1000,IF($AV$77="mg",$L$75*0.001,$L$75)))</f>
        <v>-------</v>
      </c>
    </row>
    <row r="157" spans="14:84" ht="15" customHeight="1" thickBot="1">
      <c r="N157" s="17"/>
      <c r="O157" s="17"/>
      <c r="P157" s="17"/>
      <c r="Q157" s="17"/>
      <c r="R157" s="69"/>
      <c r="S157" s="69"/>
      <c r="T157" s="69"/>
      <c r="U157" s="69"/>
      <c r="Z157" s="6"/>
      <c r="AM157" s="505" t="s">
        <v>211</v>
      </c>
      <c r="AN157" s="506">
        <f>10000</f>
        <v>10000</v>
      </c>
      <c r="AO157" s="490">
        <f>5*0.1</f>
        <v>0.5</v>
      </c>
      <c r="AP157" s="507">
        <f t="shared" si="103"/>
        <v>0</v>
      </c>
      <c r="AQ157" s="507"/>
      <c r="AR157" s="362">
        <f t="shared" si="104"/>
        <v>9.1683222747312582E-3</v>
      </c>
      <c r="AY157" s="139" t="s">
        <v>256</v>
      </c>
      <c r="AZ157" s="192" t="s">
        <v>280</v>
      </c>
      <c r="BA157" s="927" t="s">
        <v>242</v>
      </c>
      <c r="BB157" s="927"/>
      <c r="BC157" s="958"/>
      <c r="BG157" s="95"/>
      <c r="BH157" s="95"/>
      <c r="BI157" s="95"/>
      <c r="BJ157" s="95"/>
      <c r="BK157" s="95"/>
      <c r="BL157" s="95"/>
      <c r="BM157" s="6"/>
      <c r="BN157" s="6"/>
      <c r="BO157" s="6"/>
      <c r="BP157" s="6"/>
      <c r="BQ157" s="6"/>
      <c r="BR157" s="6"/>
      <c r="BW157" s="870" t="s">
        <v>613</v>
      </c>
      <c r="BX157" s="870"/>
      <c r="BY157" s="784" t="str">
        <f>IF(BY156&lt;BY155,BY155,BY156)</f>
        <v>-------</v>
      </c>
      <c r="BZ157" s="784" t="str">
        <f t="shared" ref="BZ157:CF157" si="108">IF(BZ156&lt;BZ155,BZ155,BZ156)</f>
        <v>-------</v>
      </c>
      <c r="CA157" s="784" t="str">
        <f t="shared" si="108"/>
        <v>-------</v>
      </c>
      <c r="CB157" s="784" t="str">
        <f t="shared" si="108"/>
        <v>-------</v>
      </c>
      <c r="CC157" s="784" t="str">
        <f t="shared" si="108"/>
        <v>-------</v>
      </c>
      <c r="CD157" s="784" t="str">
        <f t="shared" si="108"/>
        <v>-------</v>
      </c>
      <c r="CE157" s="784" t="str">
        <f t="shared" si="108"/>
        <v>-------</v>
      </c>
      <c r="CF157" s="785" t="str">
        <f t="shared" si="108"/>
        <v>-------</v>
      </c>
    </row>
    <row r="158" spans="14:84" ht="15" customHeight="1" thickBot="1">
      <c r="N158" s="17"/>
      <c r="O158" s="17"/>
      <c r="P158" s="17"/>
      <c r="Q158" s="17"/>
      <c r="R158" s="69"/>
      <c r="S158" s="69"/>
      <c r="T158" s="69"/>
      <c r="U158" s="69"/>
      <c r="Z158" s="6"/>
      <c r="AM158" s="505" t="s">
        <v>213</v>
      </c>
      <c r="AN158" s="506">
        <f>12000</f>
        <v>12000</v>
      </c>
      <c r="AO158" s="490">
        <f>6*0.1</f>
        <v>0.60000000000000009</v>
      </c>
      <c r="AP158" s="507">
        <f t="shared" si="103"/>
        <v>0</v>
      </c>
      <c r="AQ158" s="507"/>
      <c r="AR158" s="362">
        <f t="shared" si="104"/>
        <v>9.1683222747312582E-3</v>
      </c>
      <c r="AY158" s="140" t="s">
        <v>254</v>
      </c>
      <c r="AZ158" s="133" t="s">
        <v>251</v>
      </c>
      <c r="BA158" s="105" t="s">
        <v>248</v>
      </c>
      <c r="BB158" s="106" t="s">
        <v>249</v>
      </c>
      <c r="BC158" s="107" t="s">
        <v>250</v>
      </c>
      <c r="BG158" s="95"/>
      <c r="BH158" s="95"/>
      <c r="BI158" s="95"/>
      <c r="BJ158" s="95"/>
      <c r="BK158" s="95"/>
      <c r="BL158" s="95"/>
      <c r="BM158" s="6"/>
      <c r="BN158" s="6"/>
      <c r="BO158" s="6"/>
      <c r="BP158" s="6"/>
      <c r="BQ158" s="6"/>
      <c r="BR158" s="6"/>
    </row>
    <row r="159" spans="14:84" ht="15" customHeight="1" thickBot="1">
      <c r="N159" s="17"/>
      <c r="O159" s="17"/>
      <c r="P159" s="17"/>
      <c r="Q159" s="17"/>
      <c r="R159" s="69"/>
      <c r="S159" s="69"/>
      <c r="T159" s="69"/>
      <c r="U159" s="69"/>
      <c r="Z159" s="6"/>
      <c r="AM159" s="505" t="s">
        <v>214</v>
      </c>
      <c r="AN159" s="506">
        <f>14000</f>
        <v>14000</v>
      </c>
      <c r="AO159" s="490">
        <f>7*0.1</f>
        <v>0.70000000000000007</v>
      </c>
      <c r="AP159" s="507">
        <f t="shared" si="103"/>
        <v>0</v>
      </c>
      <c r="AQ159" s="507"/>
      <c r="AR159" s="362">
        <f t="shared" si="104"/>
        <v>9.1683222747312582E-3</v>
      </c>
      <c r="AY159" s="157"/>
      <c r="AZ159" s="95"/>
      <c r="BA159" s="136">
        <f>5/0.1</f>
        <v>50</v>
      </c>
      <c r="BB159" s="135">
        <f>BA159/(4*SQRT(3))</f>
        <v>7.2168783648703227</v>
      </c>
      <c r="BC159" s="194">
        <f>(0.1*(1*1000000)*$AZ$88/$AZ$89+BA159/4)/(1*SQRT(3))</f>
        <v>15.877132402714709</v>
      </c>
      <c r="BG159" s="95"/>
      <c r="BH159" s="95"/>
      <c r="BI159" s="95"/>
      <c r="BJ159" s="95"/>
      <c r="BK159" s="95"/>
      <c r="BL159" s="95"/>
      <c r="BM159" s="6"/>
      <c r="BN159" s="827" t="s">
        <v>617</v>
      </c>
      <c r="BO159" s="6"/>
      <c r="BP159" s="6"/>
      <c r="BQ159" s="6"/>
      <c r="BR159" s="6"/>
      <c r="BY159" s="812"/>
    </row>
    <row r="160" spans="14:84" ht="15" customHeight="1" thickBot="1">
      <c r="N160" s="17"/>
      <c r="O160" s="17"/>
      <c r="P160" s="17"/>
      <c r="Q160" s="17"/>
      <c r="R160" s="69"/>
      <c r="S160" s="69"/>
      <c r="T160" s="69"/>
      <c r="U160" s="69"/>
      <c r="Z160" s="6"/>
      <c r="AM160" s="505" t="s">
        <v>215</v>
      </c>
      <c r="AN160" s="506">
        <f>16000</f>
        <v>16000</v>
      </c>
      <c r="AO160" s="490">
        <f>8*0.1</f>
        <v>0.8</v>
      </c>
      <c r="AP160" s="507">
        <f t="shared" si="103"/>
        <v>0</v>
      </c>
      <c r="AQ160" s="507"/>
      <c r="AR160" s="362">
        <f t="shared" si="104"/>
        <v>9.1683222747312582E-3</v>
      </c>
      <c r="BM160" s="872" t="s">
        <v>611</v>
      </c>
      <c r="BN160" s="872"/>
      <c r="BO160" s="872"/>
      <c r="BP160" s="872"/>
      <c r="BQ160" s="873" t="s">
        <v>610</v>
      </c>
      <c r="BR160" s="873"/>
      <c r="BS160" s="873"/>
      <c r="BT160" s="873"/>
      <c r="BU160" s="873"/>
      <c r="BV160" s="873"/>
      <c r="BW160" s="873"/>
      <c r="BX160" s="873"/>
      <c r="BY160" s="874" t="s">
        <v>606</v>
      </c>
      <c r="BZ160" s="875"/>
      <c r="CA160" s="875"/>
      <c r="CB160" s="875"/>
      <c r="CC160" s="875"/>
      <c r="CD160" s="875"/>
      <c r="CE160" s="875"/>
      <c r="CF160" s="875"/>
    </row>
    <row r="161" spans="14:84" ht="15" customHeight="1" thickBot="1">
      <c r="N161" s="17"/>
      <c r="O161" s="17"/>
      <c r="P161" s="17"/>
      <c r="Q161" s="17"/>
      <c r="R161" s="69"/>
      <c r="S161" s="69"/>
      <c r="T161" s="69"/>
      <c r="U161" s="69"/>
      <c r="Z161" s="6"/>
      <c r="AM161" s="505" t="s">
        <v>216</v>
      </c>
      <c r="AN161" s="506">
        <f>18000</f>
        <v>18000</v>
      </c>
      <c r="AO161" s="490">
        <f>9*0.1</f>
        <v>0.9</v>
      </c>
      <c r="AP161" s="507">
        <f t="shared" si="103"/>
        <v>0</v>
      </c>
      <c r="AQ161" s="507"/>
      <c r="AR161" s="362">
        <f t="shared" si="104"/>
        <v>9.1683222747312582E-3</v>
      </c>
      <c r="BL161" s="785" t="s">
        <v>606</v>
      </c>
      <c r="BM161" s="787" t="s">
        <v>608</v>
      </c>
      <c r="BN161" s="783" t="s">
        <v>280</v>
      </c>
      <c r="BO161" s="783" t="s">
        <v>609</v>
      </c>
      <c r="BP161" s="798" t="s">
        <v>280</v>
      </c>
      <c r="BQ161" s="799">
        <v>1</v>
      </c>
      <c r="BR161" s="800">
        <v>2</v>
      </c>
      <c r="BS161" s="800">
        <v>3</v>
      </c>
      <c r="BT161" s="800">
        <v>4</v>
      </c>
      <c r="BU161" s="800">
        <v>5</v>
      </c>
      <c r="BV161" s="800">
        <v>6</v>
      </c>
      <c r="BW161" s="800">
        <v>7</v>
      </c>
      <c r="BX161" s="801">
        <v>8</v>
      </c>
      <c r="BY161" s="833">
        <v>1</v>
      </c>
      <c r="BZ161" s="834">
        <v>2</v>
      </c>
      <c r="CA161" s="834">
        <v>3</v>
      </c>
      <c r="CB161" s="834">
        <v>4</v>
      </c>
      <c r="CC161" s="834">
        <v>5</v>
      </c>
      <c r="CD161" s="834">
        <v>6</v>
      </c>
      <c r="CE161" s="834">
        <v>7</v>
      </c>
      <c r="CF161" s="835">
        <v>8</v>
      </c>
    </row>
    <row r="162" spans="14:84" ht="15" customHeight="1" thickBot="1">
      <c r="N162" s="17"/>
      <c r="O162" s="17"/>
      <c r="P162" s="17"/>
      <c r="Q162" s="17"/>
      <c r="R162" s="69"/>
      <c r="S162" s="69"/>
      <c r="T162" s="69"/>
      <c r="U162" s="69"/>
      <c r="Z162" s="6"/>
      <c r="AM162" s="505" t="s">
        <v>212</v>
      </c>
      <c r="AN162" s="506">
        <f>20000</f>
        <v>20000</v>
      </c>
      <c r="AO162" s="490">
        <f>10*0.1</f>
        <v>1</v>
      </c>
      <c r="AP162" s="507">
        <f t="shared" si="103"/>
        <v>0</v>
      </c>
      <c r="AQ162" s="534"/>
      <c r="AR162" s="362">
        <f t="shared" si="104"/>
        <v>9.1683222747312582E-3</v>
      </c>
      <c r="BL162" s="786" t="s">
        <v>644</v>
      </c>
      <c r="BM162" s="782">
        <v>1</v>
      </c>
      <c r="BN162" s="782">
        <v>1E-3</v>
      </c>
      <c r="BO162" s="788" t="s">
        <v>571</v>
      </c>
      <c r="BP162" s="790">
        <f>0.005</f>
        <v>5.0000000000000001E-3</v>
      </c>
      <c r="BQ162" s="793" t="str">
        <f t="shared" ref="BQ162:BQ174" si="109">IF(AND($AV$77="g",$D$32&lt;=BN163,$D$32&gt;BN162),$D$32,IF(AND($AV$77="kg",$D$32*1000&lt;=BN163,$D$32*1000&gt;BN162),$D$32*1000,IF(AND($AV$77="mg",$D$32*0.001&lt;=BN163,$D$32*0.001&gt;BN162),$D$32*0.001,"")))</f>
        <v/>
      </c>
      <c r="BR162" s="794" t="str">
        <f t="shared" ref="BR162:BR174" si="110">IF(AND($AV$77="g",$D$37&lt;=BN163,$D$37&gt;BN162),$D$37,IF(AND($AV$77="kg",$D$37*1000&lt;=BN163,$D$37*1000&gt;BN162),$D$37*1000,IF(AND($AV$77="mg",$D$37*0.001&lt;=BN163,$D$37*0.001&gt;BN162),$D$37*0.001,"")))</f>
        <v/>
      </c>
      <c r="BS162" s="794" t="str">
        <f t="shared" ref="BS162:BS174" si="111">IF(AND($AV$77="g",$D$43&lt;=BN163,$D$43&gt;BN162),$D$43,IF(AND($AV$77="kg",$D$43*1000&lt;=BN163,$D$43*1000&gt;BN162),$D$43*1000,IF(AND($AV$77="mg",$D$43*0.001&lt;=BN163,$D$43*0.001&gt;BN162),$D$43*0.001,"")))</f>
        <v/>
      </c>
      <c r="BT162" s="794" t="str">
        <f t="shared" ref="BT162:BT174" si="112">IF(AND($AV$77="g",$D$49&lt;=BN163,$D$49&gt;BN162),$D$49,IF(AND($AV$77="kg",$D$49*1000&lt;=BN163,$D$49*1000&gt;BN162),$D$49*1000,IF(AND($AV$77="mg",$D$49*0.001&lt;=BN163,$D$49*0.001&gt;BN162),$D$49*0.001,"")))</f>
        <v/>
      </c>
      <c r="BU162" s="794" t="str">
        <f t="shared" ref="BU162:BU174" si="113">IF(AND($AV$77="g",$D$55&lt;=BN163,$D$55&gt;BN162),$D$55,IF(AND($AV$77="kg",$D$55*1000&lt;=BN163,$D$55*1000&gt;BN162),$D$55*1000,IF(AND($AV$77="mg",$D$55*0.001&lt;=BN163,$D$55*0.001&gt;BN162),$D$55*0.001,"")))</f>
        <v/>
      </c>
      <c r="BV162" s="794" t="str">
        <f t="shared" ref="BV162:BV174" si="114">IF(AND($AV$77="g",$D$61&lt;=BN163,$D$61&gt;BN162),$D$61,IF(AND($AV$77="kg",$D$61*1000&lt;=BN163,$D$61*1000&gt;BN162),$D$61*1000,IF(AND($AV$77="mg",$D$61*0.001&lt;=BN163,$D$61*0.001&gt;BN162),$D$61*0.001,"")))</f>
        <v/>
      </c>
      <c r="BW162" s="794" t="str">
        <f t="shared" ref="BW162:BW174" si="115">IF(AND($AV$77="g",$D$67&lt;=BN163,$D$67&gt;BN162),$D$67,IF(AND($AV$77="kg",$D$67*1000&lt;=BN163,$D$67*1000&gt;BN162),$D$67*1000,IF(AND($AV$77="mg",$D$67*0.001&lt;=BN163,$D$67*0.001&gt;BN162),$D$67*0.001,"")))</f>
        <v/>
      </c>
      <c r="BX162" s="794" t="str">
        <f t="shared" ref="BX162:BX174" si="116">IF(AND($AV$77="g",$D$73&lt;=BN163,$D$73&gt;BN162),$D$73,IF(AND($AV$77="kg",$D$73*1000&lt;=BN163,$D$73*1000&gt;BN162),$D$73*1000,IF(AND($AV$77="mg",$D$73*0.001&lt;=BN163,$D$73*0.001&gt;BN162),$D$73*0.001,"")))</f>
        <v/>
      </c>
      <c r="BY162" s="802" t="str">
        <f t="shared" ref="BY162:CF162" si="117">IF(BQ162="","",0.0051*0.001)</f>
        <v/>
      </c>
      <c r="BZ162" s="837" t="str">
        <f t="shared" si="117"/>
        <v/>
      </c>
      <c r="CA162" s="837" t="str">
        <f t="shared" si="117"/>
        <v/>
      </c>
      <c r="CB162" s="837" t="str">
        <f t="shared" si="117"/>
        <v/>
      </c>
      <c r="CC162" s="837" t="str">
        <f t="shared" si="117"/>
        <v/>
      </c>
      <c r="CD162" s="837" t="str">
        <f t="shared" si="117"/>
        <v/>
      </c>
      <c r="CE162" s="837" t="str">
        <f t="shared" si="117"/>
        <v/>
      </c>
      <c r="CF162" s="838" t="str">
        <f t="shared" si="117"/>
        <v/>
      </c>
    </row>
    <row r="163" spans="14:84" ht="15" customHeight="1" thickBot="1">
      <c r="N163" s="17"/>
      <c r="O163" s="17"/>
      <c r="P163" s="17"/>
      <c r="Q163" s="17"/>
      <c r="R163" s="69"/>
      <c r="S163" s="69"/>
      <c r="T163" s="69"/>
      <c r="U163" s="69"/>
      <c r="Z163" s="6"/>
      <c r="AM163" s="541" t="s">
        <v>383</v>
      </c>
      <c r="AN163" s="542" t="s">
        <v>217</v>
      </c>
      <c r="AO163" s="530" t="str">
        <f>IF(AP163=0,"NÃO","SIM")</f>
        <v>NÃO</v>
      </c>
      <c r="AP163" s="531">
        <f>IF(ISERROR(SUM(AP164:AP165)),SUM(AP164:AP165),SUM(AP164:AP165))</f>
        <v>0</v>
      </c>
      <c r="AQ163" s="507"/>
      <c r="AR163" s="39"/>
      <c r="BL163" s="782" t="s">
        <v>645</v>
      </c>
      <c r="BM163" s="782">
        <v>2</v>
      </c>
      <c r="BN163" s="789">
        <f>0.006</f>
        <v>6.0000000000000001E-3</v>
      </c>
      <c r="BO163" s="782" t="s">
        <v>572</v>
      </c>
      <c r="BP163" s="790">
        <v>0.02</v>
      </c>
      <c r="BQ163" s="793" t="str">
        <f t="shared" si="109"/>
        <v/>
      </c>
      <c r="BR163" s="794" t="str">
        <f t="shared" si="110"/>
        <v/>
      </c>
      <c r="BS163" s="794" t="str">
        <f t="shared" si="111"/>
        <v/>
      </c>
      <c r="BT163" s="794" t="str">
        <f t="shared" si="112"/>
        <v/>
      </c>
      <c r="BU163" s="794" t="str">
        <f t="shared" si="113"/>
        <v/>
      </c>
      <c r="BV163" s="794" t="str">
        <f t="shared" si="114"/>
        <v/>
      </c>
      <c r="BW163" s="794" t="str">
        <f t="shared" si="115"/>
        <v/>
      </c>
      <c r="BX163" s="794" t="str">
        <f t="shared" si="116"/>
        <v/>
      </c>
      <c r="BY163" s="805" t="str">
        <f>IF(BQ163="","",(0.02%*BQ163+0.0048)*0.001)</f>
        <v/>
      </c>
      <c r="BZ163" s="785" t="str">
        <f t="shared" ref="BZ163:CF163" si="118">IF(BR163="","",(0.02%*BR163+0.0048)*0.001)</f>
        <v/>
      </c>
      <c r="CA163" s="785" t="str">
        <f t="shared" si="118"/>
        <v/>
      </c>
      <c r="CB163" s="785" t="str">
        <f t="shared" si="118"/>
        <v/>
      </c>
      <c r="CC163" s="785" t="str">
        <f t="shared" si="118"/>
        <v/>
      </c>
      <c r="CD163" s="785" t="str">
        <f t="shared" si="118"/>
        <v/>
      </c>
      <c r="CE163" s="785" t="str">
        <f t="shared" si="118"/>
        <v/>
      </c>
      <c r="CF163" s="836" t="str">
        <f t="shared" si="118"/>
        <v/>
      </c>
    </row>
    <row r="164" spans="14:84" ht="15" customHeight="1" thickBot="1">
      <c r="N164" s="17"/>
      <c r="O164" s="17"/>
      <c r="P164" s="17"/>
      <c r="Q164" s="17"/>
      <c r="R164" s="69"/>
      <c r="S164" s="69"/>
      <c r="T164" s="69"/>
      <c r="U164" s="69"/>
      <c r="Z164" s="6"/>
      <c r="AM164" s="491" t="s">
        <v>218</v>
      </c>
      <c r="AN164" s="506">
        <v>5000</v>
      </c>
      <c r="AO164" s="490">
        <f>0.25</f>
        <v>0.25</v>
      </c>
      <c r="AP164" s="507">
        <f>IF(ISERROR(MATCH(AM164,$B$32:$B$77,0)),0,(MATCH(AM164,$B$32:$B$77,0)))+IF(ISERROR(MATCH(AM164,$C$32:$C$77,0)),0,(MATCH(AM164,$C$32:$C$77,0)))</f>
        <v>0</v>
      </c>
      <c r="AQ164" s="507"/>
      <c r="AR164" s="362">
        <f>SQRT((15.88/1000)^2/3)</f>
        <v>9.1683222747312582E-3</v>
      </c>
      <c r="AZ164" s="95"/>
      <c r="BA164" s="95"/>
      <c r="BH164" s="95"/>
      <c r="BI164" s="95"/>
      <c r="BJ164" s="95"/>
      <c r="BK164" s="95"/>
      <c r="BL164" s="782" t="s">
        <v>646</v>
      </c>
      <c r="BM164" s="782">
        <v>3</v>
      </c>
      <c r="BN164" s="782">
        <v>2.1000000000000001E-2</v>
      </c>
      <c r="BO164" s="782" t="s">
        <v>642</v>
      </c>
      <c r="BP164" s="790">
        <v>0.5</v>
      </c>
      <c r="BQ164" s="793" t="str">
        <f t="shared" si="109"/>
        <v/>
      </c>
      <c r="BR164" s="794" t="str">
        <f t="shared" si="110"/>
        <v/>
      </c>
      <c r="BS164" s="794" t="str">
        <f t="shared" si="111"/>
        <v/>
      </c>
      <c r="BT164" s="794" t="str">
        <f t="shared" si="112"/>
        <v/>
      </c>
      <c r="BU164" s="794" t="str">
        <f t="shared" si="113"/>
        <v/>
      </c>
      <c r="BV164" s="794" t="str">
        <f t="shared" si="114"/>
        <v/>
      </c>
      <c r="BW164" s="794" t="str">
        <f t="shared" si="115"/>
        <v/>
      </c>
      <c r="BX164" s="794" t="str">
        <f t="shared" si="116"/>
        <v/>
      </c>
      <c r="BY164" s="805" t="str">
        <f>IF(BQ164="","",(0.011%*BQ164+0.0068)*0.001)</f>
        <v/>
      </c>
      <c r="BZ164" s="785" t="str">
        <f t="shared" ref="BZ164:CF164" si="119">IF(BR164="","",(0.011%*BR164+0.0068)*0.001)</f>
        <v/>
      </c>
      <c r="CA164" s="785" t="str">
        <f t="shared" si="119"/>
        <v/>
      </c>
      <c r="CB164" s="785" t="str">
        <f t="shared" si="119"/>
        <v/>
      </c>
      <c r="CC164" s="785" t="str">
        <f t="shared" si="119"/>
        <v/>
      </c>
      <c r="CD164" s="785" t="str">
        <f t="shared" si="119"/>
        <v/>
      </c>
      <c r="CE164" s="785" t="str">
        <f t="shared" si="119"/>
        <v/>
      </c>
      <c r="CF164" s="836" t="str">
        <f t="shared" si="119"/>
        <v/>
      </c>
    </row>
    <row r="165" spans="14:84" ht="15" customHeight="1" thickBot="1">
      <c r="N165" s="17"/>
      <c r="O165" s="17"/>
      <c r="P165" s="17"/>
      <c r="Q165" s="17"/>
      <c r="R165" s="69"/>
      <c r="S165" s="69"/>
      <c r="T165" s="69"/>
      <c r="U165" s="69"/>
      <c r="Z165" s="6"/>
      <c r="AM165" s="491" t="s">
        <v>219</v>
      </c>
      <c r="AN165" s="506">
        <v>10000</v>
      </c>
      <c r="AO165" s="490">
        <f>2*0.25</f>
        <v>0.5</v>
      </c>
      <c r="AP165" s="507">
        <f>IF(ISERROR(MATCH(AM165,$B$32:$B$77,0)),0,(MATCH(AM165,$B$32:$B$77,0)))+IF(ISERROR(MATCH(AM165,$C$32:$C$77,0)),0,(MATCH(AM165,$C$32:$C$77,0)))</f>
        <v>0</v>
      </c>
      <c r="AQ165" s="534"/>
      <c r="AR165" s="362">
        <f>SQRT((15.88/1000)^2/3)</f>
        <v>9.1683222747312582E-3</v>
      </c>
      <c r="AZ165" s="95"/>
      <c r="BA165" s="95"/>
      <c r="BH165" s="95"/>
      <c r="BI165" s="95"/>
      <c r="BJ165" s="95"/>
      <c r="BK165" s="95"/>
      <c r="BL165" s="782" t="s">
        <v>647</v>
      </c>
      <c r="BM165" s="782">
        <v>4</v>
      </c>
      <c r="BN165" s="782">
        <v>0.501</v>
      </c>
      <c r="BO165" s="782" t="s">
        <v>643</v>
      </c>
      <c r="BP165" s="790">
        <v>20</v>
      </c>
      <c r="BQ165" s="793" t="str">
        <f t="shared" si="109"/>
        <v/>
      </c>
      <c r="BR165" s="794" t="str">
        <f t="shared" si="110"/>
        <v/>
      </c>
      <c r="BS165" s="794" t="str">
        <f t="shared" si="111"/>
        <v/>
      </c>
      <c r="BT165" s="794" t="str">
        <f t="shared" si="112"/>
        <v/>
      </c>
      <c r="BU165" s="794" t="str">
        <f t="shared" si="113"/>
        <v/>
      </c>
      <c r="BV165" s="794" t="str">
        <f t="shared" si="114"/>
        <v/>
      </c>
      <c r="BW165" s="794" t="str">
        <f t="shared" si="115"/>
        <v/>
      </c>
      <c r="BX165" s="794" t="str">
        <f t="shared" si="116"/>
        <v/>
      </c>
      <c r="BY165" s="805" t="str">
        <f>IF(BQ165="","",(0.012%*BQ165)*0.001)</f>
        <v/>
      </c>
      <c r="BZ165" s="785" t="str">
        <f t="shared" ref="BZ165:CF165" si="120">IF(BR165="","",(0.012%*BR165)*0.001)</f>
        <v/>
      </c>
      <c r="CA165" s="785" t="str">
        <f t="shared" si="120"/>
        <v/>
      </c>
      <c r="CB165" s="785" t="str">
        <f t="shared" si="120"/>
        <v/>
      </c>
      <c r="CC165" s="785" t="str">
        <f t="shared" si="120"/>
        <v/>
      </c>
      <c r="CD165" s="785" t="str">
        <f t="shared" si="120"/>
        <v/>
      </c>
      <c r="CE165" s="785" t="str">
        <f t="shared" si="120"/>
        <v/>
      </c>
      <c r="CF165" s="836" t="str">
        <f t="shared" si="120"/>
        <v/>
      </c>
    </row>
    <row r="166" spans="14:84" ht="15" customHeight="1" thickBot="1">
      <c r="N166" s="17"/>
      <c r="O166" s="17"/>
      <c r="P166" s="17"/>
      <c r="Q166" s="17"/>
      <c r="R166" s="69"/>
      <c r="S166" s="69"/>
      <c r="T166" s="69"/>
      <c r="U166" s="69"/>
      <c r="Z166" s="6"/>
      <c r="AM166" s="541">
        <v>533</v>
      </c>
      <c r="AN166" s="542" t="s">
        <v>217</v>
      </c>
      <c r="AO166" s="530" t="str">
        <f>IF(AP166=0,"NÃO","SIM")</f>
        <v>NÃO</v>
      </c>
      <c r="AP166" s="531">
        <f>IF(ISERROR(SUM(AP167:AP168)),SUM(AP167:AP168),SUM(AP167:AP168))</f>
        <v>0</v>
      </c>
      <c r="AQ166" s="507"/>
      <c r="AR166" s="39"/>
      <c r="AZ166" s="95"/>
      <c r="BA166" s="95"/>
      <c r="BH166" s="95"/>
      <c r="BI166" s="95"/>
      <c r="BJ166" s="95"/>
      <c r="BK166" s="95"/>
      <c r="BL166" s="782" t="s">
        <v>648</v>
      </c>
      <c r="BM166" s="782">
        <v>5</v>
      </c>
      <c r="BN166" s="782">
        <v>20.001000000000001</v>
      </c>
      <c r="BO166" s="782" t="s">
        <v>578</v>
      </c>
      <c r="BP166" s="790">
        <v>1000</v>
      </c>
      <c r="BQ166" s="793" t="str">
        <f t="shared" si="109"/>
        <v/>
      </c>
      <c r="BR166" s="794" t="str">
        <f t="shared" si="110"/>
        <v/>
      </c>
      <c r="BS166" s="794" t="str">
        <f t="shared" si="111"/>
        <v/>
      </c>
      <c r="BT166" s="794" t="str">
        <f t="shared" si="112"/>
        <v/>
      </c>
      <c r="BU166" s="794" t="str">
        <f t="shared" si="113"/>
        <v/>
      </c>
      <c r="BV166" s="794" t="str">
        <f t="shared" si="114"/>
        <v/>
      </c>
      <c r="BW166" s="794" t="str">
        <f t="shared" si="115"/>
        <v/>
      </c>
      <c r="BX166" s="794" t="str">
        <f t="shared" si="116"/>
        <v/>
      </c>
      <c r="BY166" s="805" t="str">
        <f>IF(BQ166="","",0.012%*BQ166)</f>
        <v/>
      </c>
      <c r="BZ166" s="785" t="str">
        <f t="shared" ref="BZ166:CF167" si="121">IF(BR166="","",0.012%*BR166)</f>
        <v/>
      </c>
      <c r="CA166" s="785" t="str">
        <f t="shared" si="121"/>
        <v/>
      </c>
      <c r="CB166" s="785" t="str">
        <f t="shared" si="121"/>
        <v/>
      </c>
      <c r="CC166" s="785" t="str">
        <f t="shared" si="121"/>
        <v/>
      </c>
      <c r="CD166" s="785" t="str">
        <f t="shared" si="121"/>
        <v/>
      </c>
      <c r="CE166" s="785" t="str">
        <f t="shared" si="121"/>
        <v/>
      </c>
      <c r="CF166" s="836" t="str">
        <f t="shared" si="121"/>
        <v/>
      </c>
    </row>
    <row r="167" spans="14:84" ht="15" customHeight="1" thickBot="1">
      <c r="N167" s="17"/>
      <c r="O167" s="17"/>
      <c r="P167" s="17"/>
      <c r="Q167" s="17"/>
      <c r="R167" s="69"/>
      <c r="S167" s="69"/>
      <c r="T167" s="69"/>
      <c r="U167" s="69"/>
      <c r="Z167" s="6"/>
      <c r="AM167" s="491" t="s">
        <v>220</v>
      </c>
      <c r="AN167" s="506">
        <v>10000</v>
      </c>
      <c r="AO167" s="490">
        <f>0.5</f>
        <v>0.5</v>
      </c>
      <c r="AP167" s="507">
        <f>IF(ISERROR(MATCH(AM167,$B$32:$B$77,0)),0,(MATCH(AM167,$B$32:$B$77,0)))+IF(ISERROR(MATCH(AM167,$C$32:$C$77,0)),0,(MATCH(AM167,$C$32:$C$77,0)))</f>
        <v>0</v>
      </c>
      <c r="AQ167" s="507"/>
      <c r="AR167" s="362">
        <f>SQRT((15.88/1000)^2/3)</f>
        <v>9.1683222747312582E-3</v>
      </c>
      <c r="AZ167" s="95"/>
      <c r="BA167" s="95"/>
      <c r="BL167" s="782" t="s">
        <v>648</v>
      </c>
      <c r="BM167" s="782">
        <v>6</v>
      </c>
      <c r="BN167" s="782">
        <v>1000.05</v>
      </c>
      <c r="BO167" s="782" t="s">
        <v>580</v>
      </c>
      <c r="BP167" s="790">
        <v>40000</v>
      </c>
      <c r="BQ167" s="793" t="str">
        <f t="shared" si="109"/>
        <v/>
      </c>
      <c r="BR167" s="794" t="str">
        <f t="shared" si="110"/>
        <v/>
      </c>
      <c r="BS167" s="794" t="str">
        <f t="shared" si="111"/>
        <v/>
      </c>
      <c r="BT167" s="794" t="str">
        <f t="shared" si="112"/>
        <v/>
      </c>
      <c r="BU167" s="794" t="str">
        <f t="shared" si="113"/>
        <v/>
      </c>
      <c r="BV167" s="794" t="str">
        <f t="shared" si="114"/>
        <v/>
      </c>
      <c r="BW167" s="794" t="str">
        <f t="shared" si="115"/>
        <v/>
      </c>
      <c r="BX167" s="794" t="str">
        <f t="shared" si="116"/>
        <v/>
      </c>
      <c r="BY167" s="805" t="str">
        <f>IF(BQ167="","",0.012%*BQ167)</f>
        <v/>
      </c>
      <c r="BZ167" s="785" t="str">
        <f t="shared" si="121"/>
        <v/>
      </c>
      <c r="CA167" s="785" t="str">
        <f t="shared" si="121"/>
        <v/>
      </c>
      <c r="CB167" s="785" t="str">
        <f t="shared" si="121"/>
        <v/>
      </c>
      <c r="CC167" s="785" t="str">
        <f t="shared" si="121"/>
        <v/>
      </c>
      <c r="CD167" s="785" t="str">
        <f t="shared" si="121"/>
        <v/>
      </c>
      <c r="CE167" s="785" t="str">
        <f t="shared" si="121"/>
        <v/>
      </c>
      <c r="CF167" s="836" t="str">
        <f t="shared" si="121"/>
        <v/>
      </c>
    </row>
    <row r="168" spans="14:84" ht="15" customHeight="1" thickBot="1">
      <c r="N168" s="17"/>
      <c r="O168" s="17"/>
      <c r="P168" s="17"/>
      <c r="Q168" s="17"/>
      <c r="R168" s="69"/>
      <c r="S168" s="69"/>
      <c r="T168" s="69"/>
      <c r="U168" s="69"/>
      <c r="Z168" s="6"/>
      <c r="AM168" s="516" t="s">
        <v>221</v>
      </c>
      <c r="AN168" s="512">
        <v>20000</v>
      </c>
      <c r="AO168" s="502">
        <f>2*0.5</f>
        <v>1</v>
      </c>
      <c r="AP168" s="511">
        <f>IF(ISERROR(MATCH(AM168,$B$32:$B$77,0)),0,(MATCH(AM168,$B$32:$B$77,0)))+IF(ISERROR(MATCH(AM168,$C$32:$C$77,0)),0,(MATCH(AM168,$C$32:$C$77,0)))</f>
        <v>0</v>
      </c>
      <c r="AQ168" s="534"/>
      <c r="AR168" s="362">
        <f>SQRT((15.88/1000)^2/3)</f>
        <v>9.1683222747312582E-3</v>
      </c>
      <c r="BL168" s="782" t="s">
        <v>650</v>
      </c>
      <c r="BM168" s="782">
        <v>7</v>
      </c>
      <c r="BN168" s="782">
        <v>40000.1</v>
      </c>
      <c r="BO168" s="782" t="s">
        <v>649</v>
      </c>
      <c r="BP168" s="790">
        <v>1000000</v>
      </c>
      <c r="BQ168" s="793" t="str">
        <f t="shared" si="109"/>
        <v/>
      </c>
      <c r="BR168" s="794" t="str">
        <f t="shared" si="110"/>
        <v/>
      </c>
      <c r="BS168" s="794" t="str">
        <f t="shared" si="111"/>
        <v/>
      </c>
      <c r="BT168" s="794" t="str">
        <f t="shared" si="112"/>
        <v/>
      </c>
      <c r="BU168" s="794" t="str">
        <f t="shared" si="113"/>
        <v/>
      </c>
      <c r="BV168" s="794" t="str">
        <f t="shared" si="114"/>
        <v/>
      </c>
      <c r="BW168" s="794" t="str">
        <f t="shared" si="115"/>
        <v/>
      </c>
      <c r="BX168" s="794" t="str">
        <f t="shared" si="116"/>
        <v/>
      </c>
      <c r="BY168" s="805" t="str">
        <f>IF(BQ168="","",0.013%*BQ168)</f>
        <v/>
      </c>
      <c r="BZ168" s="785" t="str">
        <f t="shared" ref="BZ168:CF169" si="122">IF(BR168="","",0.013%*BR168)</f>
        <v/>
      </c>
      <c r="CA168" s="785" t="str">
        <f t="shared" si="122"/>
        <v/>
      </c>
      <c r="CB168" s="785" t="str">
        <f t="shared" si="122"/>
        <v/>
      </c>
      <c r="CC168" s="785" t="str">
        <f t="shared" si="122"/>
        <v/>
      </c>
      <c r="CD168" s="785" t="str">
        <f t="shared" si="122"/>
        <v/>
      </c>
      <c r="CE168" s="785" t="str">
        <f t="shared" si="122"/>
        <v/>
      </c>
      <c r="CF168" s="836" t="str">
        <f t="shared" si="122"/>
        <v/>
      </c>
    </row>
    <row r="169" spans="14:84" ht="15" customHeight="1" thickBot="1">
      <c r="N169" s="17"/>
      <c r="O169" s="17"/>
      <c r="P169" s="17"/>
      <c r="Q169" s="17"/>
      <c r="R169" s="69"/>
      <c r="S169" s="69"/>
      <c r="T169" s="69"/>
      <c r="U169" s="69"/>
      <c r="Z169" s="6"/>
      <c r="AM169" s="543" t="s">
        <v>377</v>
      </c>
      <c r="AN169" s="542" t="s">
        <v>425</v>
      </c>
      <c r="AO169" s="530" t="str">
        <f>IF(AP169=0,"NÃO","SIM")</f>
        <v>NÃO</v>
      </c>
      <c r="AP169" s="534">
        <f>IF(ISERROR(SUM(AP170:AP178)),SUM(AP170:AP178),SUM(AP170:AP178))</f>
        <v>0</v>
      </c>
      <c r="AQ169" s="507"/>
      <c r="AR169" s="39"/>
      <c r="BL169" s="782" t="s">
        <v>650</v>
      </c>
      <c r="BM169" s="782">
        <v>8</v>
      </c>
      <c r="BN169" s="782">
        <v>1000050</v>
      </c>
      <c r="BO169" s="782" t="s">
        <v>651</v>
      </c>
      <c r="BP169" s="790">
        <v>20000000</v>
      </c>
      <c r="BQ169" s="793" t="str">
        <f t="shared" si="109"/>
        <v/>
      </c>
      <c r="BR169" s="794" t="str">
        <f t="shared" si="110"/>
        <v/>
      </c>
      <c r="BS169" s="794" t="str">
        <f t="shared" si="111"/>
        <v/>
      </c>
      <c r="BT169" s="794" t="str">
        <f t="shared" si="112"/>
        <v/>
      </c>
      <c r="BU169" s="794" t="str">
        <f t="shared" si="113"/>
        <v/>
      </c>
      <c r="BV169" s="794" t="str">
        <f t="shared" si="114"/>
        <v/>
      </c>
      <c r="BW169" s="794" t="str">
        <f t="shared" si="115"/>
        <v/>
      </c>
      <c r="BX169" s="794" t="str">
        <f t="shared" si="116"/>
        <v/>
      </c>
      <c r="BY169" s="805" t="str">
        <f>IF(BQ169="","",0.013%*BQ169)</f>
        <v/>
      </c>
      <c r="BZ169" s="785" t="str">
        <f t="shared" si="122"/>
        <v/>
      </c>
      <c r="CA169" s="785" t="str">
        <f t="shared" si="122"/>
        <v/>
      </c>
      <c r="CB169" s="785" t="str">
        <f>IF(BT169="","",0.013%*BT169)</f>
        <v/>
      </c>
      <c r="CC169" s="785" t="str">
        <f t="shared" si="122"/>
        <v/>
      </c>
      <c r="CD169" s="785" t="str">
        <f t="shared" si="122"/>
        <v/>
      </c>
      <c r="CE169" s="785" t="str">
        <f t="shared" si="122"/>
        <v/>
      </c>
      <c r="CF169" s="836" t="str">
        <f t="shared" si="122"/>
        <v/>
      </c>
    </row>
    <row r="170" spans="14:84" ht="15" customHeight="1" thickBot="1">
      <c r="N170" s="17"/>
      <c r="O170" s="17"/>
      <c r="P170" s="17"/>
      <c r="Q170" s="17"/>
      <c r="R170" s="69"/>
      <c r="S170" s="69"/>
      <c r="T170" s="69"/>
      <c r="U170" s="69"/>
      <c r="AM170" s="519" t="s">
        <v>222</v>
      </c>
      <c r="AN170" s="520">
        <v>100000</v>
      </c>
      <c r="AO170" s="506">
        <f>10</f>
        <v>10</v>
      </c>
      <c r="AP170" s="507">
        <f t="shared" ref="AP170:AP178" si="123">IF(ISERROR(MATCH(AM170,$B$32:$B$77,0)),0,(MATCH(AM170,$B$32:$B$77,0)))+IF(ISERROR(MATCH(AM170,$C$32:$C$77,0)),0,(MATCH(AM170,$C$32:$C$77,0)))</f>
        <v>0</v>
      </c>
      <c r="AQ170" s="507"/>
      <c r="AR170" s="362">
        <f t="shared" ref="AR170:AR178" si="124">SQRT((15.88/1000)^2/3)</f>
        <v>9.1683222747312582E-3</v>
      </c>
      <c r="BL170" s="782" t="s">
        <v>653</v>
      </c>
      <c r="BM170" s="782">
        <v>9</v>
      </c>
      <c r="BN170" s="789">
        <v>20000100</v>
      </c>
      <c r="BO170" s="782" t="s">
        <v>652</v>
      </c>
      <c r="BP170" s="790">
        <v>23000000</v>
      </c>
      <c r="BQ170" s="793" t="str">
        <f t="shared" si="109"/>
        <v/>
      </c>
      <c r="BR170" s="794" t="str">
        <f t="shared" si="110"/>
        <v/>
      </c>
      <c r="BS170" s="794" t="str">
        <f t="shared" si="111"/>
        <v/>
      </c>
      <c r="BT170" s="794" t="str">
        <f t="shared" si="112"/>
        <v/>
      </c>
      <c r="BU170" s="794" t="str">
        <f t="shared" si="113"/>
        <v/>
      </c>
      <c r="BV170" s="794" t="str">
        <f t="shared" si="114"/>
        <v/>
      </c>
      <c r="BW170" s="794" t="str">
        <f t="shared" si="115"/>
        <v/>
      </c>
      <c r="BX170" s="794" t="str">
        <f t="shared" si="116"/>
        <v/>
      </c>
      <c r="BY170" s="805" t="str">
        <f>IF(BQ170="","",3000)</f>
        <v/>
      </c>
      <c r="BZ170" s="785" t="str">
        <f t="shared" ref="BZ170:CF170" si="125">IF(BR170="","",3000)</f>
        <v/>
      </c>
      <c r="CA170" s="785" t="str">
        <f t="shared" si="125"/>
        <v/>
      </c>
      <c r="CB170" s="785" t="str">
        <f t="shared" si="125"/>
        <v/>
      </c>
      <c r="CC170" s="785" t="str">
        <f t="shared" si="125"/>
        <v/>
      </c>
      <c r="CD170" s="785" t="str">
        <f t="shared" si="125"/>
        <v/>
      </c>
      <c r="CE170" s="785" t="str">
        <f t="shared" si="125"/>
        <v/>
      </c>
      <c r="CF170" s="836" t="str">
        <f t="shared" si="125"/>
        <v/>
      </c>
    </row>
    <row r="171" spans="14:84" ht="15" customHeight="1" thickBot="1">
      <c r="N171" s="17"/>
      <c r="O171" s="17"/>
      <c r="P171" s="17"/>
      <c r="Q171" s="17"/>
      <c r="R171" s="69"/>
      <c r="S171" s="69"/>
      <c r="T171" s="69"/>
      <c r="U171" s="69"/>
      <c r="AM171" s="519" t="s">
        <v>226</v>
      </c>
      <c r="AN171" s="520">
        <v>200000</v>
      </c>
      <c r="AO171" s="506">
        <f>2*10</f>
        <v>20</v>
      </c>
      <c r="AP171" s="507">
        <f t="shared" si="123"/>
        <v>0</v>
      </c>
      <c r="AQ171" s="507"/>
      <c r="AR171" s="362">
        <f t="shared" si="124"/>
        <v>9.1683222747312582E-3</v>
      </c>
      <c r="BL171" s="782" t="s">
        <v>654</v>
      </c>
      <c r="BM171" s="782">
        <v>10</v>
      </c>
      <c r="BN171" s="789">
        <v>23000100</v>
      </c>
      <c r="BO171" s="782" t="s">
        <v>657</v>
      </c>
      <c r="BP171" s="790">
        <v>27000000</v>
      </c>
      <c r="BQ171" s="793" t="str">
        <f t="shared" si="109"/>
        <v/>
      </c>
      <c r="BR171" s="794" t="str">
        <f t="shared" si="110"/>
        <v/>
      </c>
      <c r="BS171" s="794" t="str">
        <f t="shared" si="111"/>
        <v/>
      </c>
      <c r="BT171" s="794" t="str">
        <f t="shared" si="112"/>
        <v/>
      </c>
      <c r="BU171" s="794" t="str">
        <f t="shared" si="113"/>
        <v/>
      </c>
      <c r="BV171" s="794" t="str">
        <f t="shared" si="114"/>
        <v/>
      </c>
      <c r="BW171" s="794" t="str">
        <f t="shared" si="115"/>
        <v/>
      </c>
      <c r="BX171" s="794" t="str">
        <f t="shared" si="116"/>
        <v/>
      </c>
      <c r="BY171" s="805" t="str">
        <f>IF(BQ171="","",3100)</f>
        <v/>
      </c>
      <c r="BZ171" s="785" t="str">
        <f t="shared" ref="BZ171:CF171" si="126">IF(BR171="","",3100)</f>
        <v/>
      </c>
      <c r="CA171" s="785" t="str">
        <f t="shared" si="126"/>
        <v/>
      </c>
      <c r="CB171" s="785" t="str">
        <f t="shared" si="126"/>
        <v/>
      </c>
      <c r="CC171" s="785" t="str">
        <f t="shared" si="126"/>
        <v/>
      </c>
      <c r="CD171" s="785" t="str">
        <f t="shared" si="126"/>
        <v/>
      </c>
      <c r="CE171" s="785" t="str">
        <f t="shared" si="126"/>
        <v/>
      </c>
      <c r="CF171" s="836" t="str">
        <f t="shared" si="126"/>
        <v/>
      </c>
    </row>
    <row r="172" spans="14:84" ht="15" customHeight="1" thickBot="1">
      <c r="N172" s="17"/>
      <c r="O172" s="17"/>
      <c r="P172" s="17"/>
      <c r="Q172" s="17"/>
      <c r="R172" s="69"/>
      <c r="S172" s="69"/>
      <c r="T172" s="69"/>
      <c r="U172" s="69"/>
      <c r="AM172" s="521" t="s">
        <v>227</v>
      </c>
      <c r="AN172" s="520">
        <v>300000</v>
      </c>
      <c r="AO172" s="506">
        <f>3*10</f>
        <v>30</v>
      </c>
      <c r="AP172" s="507">
        <f t="shared" si="123"/>
        <v>0</v>
      </c>
      <c r="AQ172" s="507"/>
      <c r="AR172" s="362">
        <f t="shared" si="124"/>
        <v>9.1683222747312582E-3</v>
      </c>
      <c r="BL172" s="782" t="s">
        <v>655</v>
      </c>
      <c r="BM172" s="782">
        <v>11</v>
      </c>
      <c r="BN172" s="789">
        <v>27000500</v>
      </c>
      <c r="BO172" s="782" t="s">
        <v>658</v>
      </c>
      <c r="BP172" s="790">
        <v>31000000</v>
      </c>
      <c r="BQ172" s="793" t="str">
        <f t="shared" si="109"/>
        <v/>
      </c>
      <c r="BR172" s="794" t="str">
        <f t="shared" si="110"/>
        <v/>
      </c>
      <c r="BS172" s="794" t="str">
        <f t="shared" si="111"/>
        <v/>
      </c>
      <c r="BT172" s="794" t="str">
        <f t="shared" si="112"/>
        <v/>
      </c>
      <c r="BU172" s="794" t="str">
        <f t="shared" si="113"/>
        <v/>
      </c>
      <c r="BV172" s="794" t="str">
        <f t="shared" si="114"/>
        <v/>
      </c>
      <c r="BW172" s="794" t="str">
        <f t="shared" si="115"/>
        <v/>
      </c>
      <c r="BX172" s="794" t="str">
        <f t="shared" si="116"/>
        <v/>
      </c>
      <c r="BY172" s="805" t="str">
        <f>IF(BQ172="","",0.011%*BQ172+0.1)</f>
        <v/>
      </c>
      <c r="BZ172" s="785" t="str">
        <f t="shared" ref="BZ172:CF172" si="127">IF(BR172="","",0.011%*BR172+0.1)</f>
        <v/>
      </c>
      <c r="CA172" s="785" t="str">
        <f t="shared" si="127"/>
        <v/>
      </c>
      <c r="CB172" s="785" t="str">
        <f t="shared" si="127"/>
        <v/>
      </c>
      <c r="CC172" s="785" t="str">
        <f t="shared" si="127"/>
        <v/>
      </c>
      <c r="CD172" s="785" t="str">
        <f t="shared" si="127"/>
        <v/>
      </c>
      <c r="CE172" s="785" t="str">
        <f t="shared" si="127"/>
        <v/>
      </c>
      <c r="CF172" s="836" t="str">
        <f t="shared" si="127"/>
        <v/>
      </c>
    </row>
    <row r="173" spans="14:84" ht="15" customHeight="1" thickBot="1">
      <c r="N173" s="17"/>
      <c r="O173" s="17"/>
      <c r="P173" s="17"/>
      <c r="Q173" s="17"/>
      <c r="R173" s="69"/>
      <c r="S173" s="69"/>
      <c r="T173" s="69"/>
      <c r="U173" s="69"/>
      <c r="AM173" s="521" t="s">
        <v>228</v>
      </c>
      <c r="AN173" s="520">
        <v>400000</v>
      </c>
      <c r="AO173" s="506">
        <f>4*10</f>
        <v>40</v>
      </c>
      <c r="AP173" s="507">
        <f t="shared" si="123"/>
        <v>0</v>
      </c>
      <c r="AQ173" s="507"/>
      <c r="AR173" s="362">
        <f t="shared" si="124"/>
        <v>9.1683222747312582E-3</v>
      </c>
      <c r="BL173" s="782" t="s">
        <v>656</v>
      </c>
      <c r="BM173" s="782">
        <v>12</v>
      </c>
      <c r="BN173" s="789">
        <v>31000500</v>
      </c>
      <c r="BO173" s="782" t="s">
        <v>659</v>
      </c>
      <c r="BP173" s="790">
        <v>36000000</v>
      </c>
      <c r="BQ173" s="793" t="str">
        <f t="shared" si="109"/>
        <v/>
      </c>
      <c r="BR173" s="794" t="str">
        <f t="shared" si="110"/>
        <v/>
      </c>
      <c r="BS173" s="794" t="str">
        <f t="shared" si="111"/>
        <v/>
      </c>
      <c r="BT173" s="794" t="str">
        <f t="shared" si="112"/>
        <v/>
      </c>
      <c r="BU173" s="794" t="str">
        <f t="shared" si="113"/>
        <v/>
      </c>
      <c r="BV173" s="794" t="str">
        <f t="shared" si="114"/>
        <v/>
      </c>
      <c r="BW173" s="794" t="str">
        <f t="shared" si="115"/>
        <v/>
      </c>
      <c r="BX173" s="794" t="str">
        <f t="shared" si="116"/>
        <v/>
      </c>
      <c r="BY173" s="805" t="str">
        <f>IF(BQ173="","",0.01%*BQ173+100)</f>
        <v/>
      </c>
      <c r="BZ173" s="785" t="str">
        <f t="shared" ref="BZ173:CF173" si="128">IF(BR173="","",0.01%*BR173+100)</f>
        <v/>
      </c>
      <c r="CA173" s="785" t="str">
        <f t="shared" si="128"/>
        <v/>
      </c>
      <c r="CB173" s="785" t="str">
        <f t="shared" si="128"/>
        <v/>
      </c>
      <c r="CC173" s="785" t="str">
        <f t="shared" si="128"/>
        <v/>
      </c>
      <c r="CD173" s="785" t="str">
        <f t="shared" si="128"/>
        <v/>
      </c>
      <c r="CE173" s="785" t="str">
        <f t="shared" si="128"/>
        <v/>
      </c>
      <c r="CF173" s="836" t="str">
        <f t="shared" si="128"/>
        <v/>
      </c>
    </row>
    <row r="174" spans="14:84" ht="15" customHeight="1" thickBot="1">
      <c r="N174" s="17"/>
      <c r="O174" s="17"/>
      <c r="P174" s="17"/>
      <c r="Q174" s="17"/>
      <c r="R174" s="69"/>
      <c r="S174" s="69"/>
      <c r="T174" s="69"/>
      <c r="U174" s="69"/>
      <c r="AM174" s="521" t="s">
        <v>229</v>
      </c>
      <c r="AN174" s="506">
        <v>500000</v>
      </c>
      <c r="AO174" s="506">
        <f>5*10</f>
        <v>50</v>
      </c>
      <c r="AP174" s="507">
        <f t="shared" si="123"/>
        <v>0</v>
      </c>
      <c r="AQ174" s="507"/>
      <c r="AR174" s="362">
        <f t="shared" si="124"/>
        <v>9.1683222747312582E-3</v>
      </c>
      <c r="BL174" s="782" t="s">
        <v>661</v>
      </c>
      <c r="BM174" s="782">
        <v>13</v>
      </c>
      <c r="BN174" s="789">
        <v>36000500</v>
      </c>
      <c r="BO174" s="782" t="s">
        <v>660</v>
      </c>
      <c r="BP174" s="790">
        <v>40000000</v>
      </c>
      <c r="BQ174" s="795" t="str">
        <f t="shared" si="109"/>
        <v/>
      </c>
      <c r="BR174" s="796" t="str">
        <f t="shared" si="110"/>
        <v/>
      </c>
      <c r="BS174" s="796" t="str">
        <f t="shared" si="111"/>
        <v/>
      </c>
      <c r="BT174" s="796" t="str">
        <f t="shared" si="112"/>
        <v/>
      </c>
      <c r="BU174" s="796" t="str">
        <f t="shared" si="113"/>
        <v/>
      </c>
      <c r="BV174" s="796" t="str">
        <f t="shared" si="114"/>
        <v/>
      </c>
      <c r="BW174" s="796" t="str">
        <f t="shared" si="115"/>
        <v/>
      </c>
      <c r="BX174" s="797" t="str">
        <f t="shared" si="116"/>
        <v/>
      </c>
      <c r="BY174" s="807" t="str">
        <f>IF(BQ174="","",0.0098%*BQ174)</f>
        <v/>
      </c>
      <c r="BZ174" s="839" t="str">
        <f t="shared" ref="BZ174:CF174" si="129">IF(BR174="","",0.0098%*BR174)</f>
        <v/>
      </c>
      <c r="CA174" s="839" t="str">
        <f t="shared" si="129"/>
        <v/>
      </c>
      <c r="CB174" s="839" t="str">
        <f t="shared" si="129"/>
        <v/>
      </c>
      <c r="CC174" s="839" t="str">
        <f t="shared" si="129"/>
        <v/>
      </c>
      <c r="CD174" s="839" t="str">
        <f t="shared" si="129"/>
        <v/>
      </c>
      <c r="CE174" s="839" t="str">
        <f t="shared" si="129"/>
        <v/>
      </c>
      <c r="CF174" s="840" t="str">
        <f t="shared" si="129"/>
        <v/>
      </c>
    </row>
    <row r="175" spans="14:84" ht="15" customHeight="1">
      <c r="N175" s="17"/>
      <c r="O175" s="17"/>
      <c r="P175" s="17"/>
      <c r="Q175" s="17"/>
      <c r="R175" s="69"/>
      <c r="S175" s="69"/>
      <c r="T175" s="69"/>
      <c r="U175" s="69"/>
      <c r="AM175" s="521" t="s">
        <v>230</v>
      </c>
      <c r="AN175" s="506">
        <v>600000</v>
      </c>
      <c r="AO175" s="506">
        <f>6*10</f>
        <v>60</v>
      </c>
      <c r="AP175" s="507">
        <f t="shared" si="123"/>
        <v>0</v>
      </c>
      <c r="AQ175" s="507"/>
      <c r="AR175" s="362">
        <f t="shared" si="124"/>
        <v>9.1683222747312582E-3</v>
      </c>
      <c r="BX175" s="811" t="s">
        <v>670</v>
      </c>
      <c r="BY175">
        <f>SUM(BY162:BY174)</f>
        <v>0</v>
      </c>
      <c r="BZ175">
        <f t="shared" ref="BZ175:CF175" si="130">SUM(BZ162:BZ174)</f>
        <v>0</v>
      </c>
      <c r="CA175">
        <f t="shared" si="130"/>
        <v>0</v>
      </c>
      <c r="CB175">
        <f t="shared" si="130"/>
        <v>0</v>
      </c>
      <c r="CC175">
        <f t="shared" si="130"/>
        <v>0</v>
      </c>
      <c r="CD175">
        <f t="shared" si="130"/>
        <v>0</v>
      </c>
      <c r="CE175">
        <f t="shared" si="130"/>
        <v>0</v>
      </c>
      <c r="CF175">
        <f t="shared" si="130"/>
        <v>0</v>
      </c>
    </row>
    <row r="176" spans="14:84" ht="15" customHeight="1">
      <c r="N176" s="17"/>
      <c r="O176" s="17"/>
      <c r="P176" s="17"/>
      <c r="Q176" s="17"/>
      <c r="R176" s="69"/>
      <c r="S176" s="69"/>
      <c r="T176" s="69"/>
      <c r="U176" s="69"/>
      <c r="AM176" s="491" t="s">
        <v>223</v>
      </c>
      <c r="AN176" s="506">
        <v>200000</v>
      </c>
      <c r="AO176" s="506">
        <f>10</f>
        <v>10</v>
      </c>
      <c r="AP176" s="507">
        <f t="shared" si="123"/>
        <v>0</v>
      </c>
      <c r="AQ176" s="507"/>
      <c r="AR176" s="362">
        <f t="shared" si="124"/>
        <v>9.1683222747312582E-3</v>
      </c>
      <c r="BX176" s="811" t="s">
        <v>671</v>
      </c>
      <c r="BY176" t="str">
        <f>IF($AV$77="g",$L$34,IF($AV$77="kg",$L$34*1000,IF($AV$77="mg",$L$34*0.001,$L$34)))</f>
        <v>-------</v>
      </c>
      <c r="BZ176" t="str">
        <f>IF($AV$77="g",$L$39,IF($AV$77="kg",$L$39*1000,IF($AV$77="mg",$L$39*0.001,$L$39)))</f>
        <v>-------</v>
      </c>
      <c r="CA176" t="str">
        <f>IF($AV$77="g",$L$45,IF($AV$77="kg",$L$45*1000,IF($AV$77="mg",$L$45*0.001,$L$45)))</f>
        <v>-------</v>
      </c>
      <c r="CB176" t="str">
        <f>IF($AV$77="g",$L$51,IF($AV$77="kg",$L$51*1000,IF($AV$77="mg",$L$51*0.001,$L$51)))</f>
        <v>-------</v>
      </c>
      <c r="CC176" t="str">
        <f>IF($AV$77="g",$L$57,IF($AV$77="kg",$L$57*1000,IF($AV$77="mg",$L$57*0.001,$L$57)))</f>
        <v>-------</v>
      </c>
      <c r="CD176" t="str">
        <f>IF($AV$77="g",$L$63,IF($AV$77="kg",$L$63*1000,IF($AV$77="mg",$L$63*0.001,$L$63)))</f>
        <v>-------</v>
      </c>
      <c r="CE176" t="str">
        <f>IF($AV$77="g",$L$69,IF($AV$77="kg",$L$69*1000,IF($AV$77="mg",$L$69*0.001,$L$69)))</f>
        <v>-------</v>
      </c>
      <c r="CF176" t="str">
        <f>IF($AV$77="g",$L$75,IF($AV$77="kg",$L$75*1000,IF($AV$77="mg",$L$75*0.001,$L$75)))</f>
        <v>-------</v>
      </c>
    </row>
    <row r="177" spans="14:84" ht="15" customHeight="1" thickBot="1">
      <c r="N177" s="17"/>
      <c r="O177" s="17"/>
      <c r="P177" s="17"/>
      <c r="Q177" s="17"/>
      <c r="R177" s="69"/>
      <c r="S177" s="69"/>
      <c r="T177" s="69"/>
      <c r="U177" s="69"/>
      <c r="AM177" s="491" t="s">
        <v>224</v>
      </c>
      <c r="AN177" s="506">
        <v>400000</v>
      </c>
      <c r="AO177" s="506">
        <f>2*10</f>
        <v>20</v>
      </c>
      <c r="AP177" s="507">
        <f t="shared" si="123"/>
        <v>0</v>
      </c>
      <c r="AQ177" s="507"/>
      <c r="AR177" s="362">
        <f t="shared" si="124"/>
        <v>9.1683222747312582E-3</v>
      </c>
      <c r="BL177" s="418"/>
      <c r="BM177" s="418"/>
      <c r="BN177" s="832" t="s">
        <v>619</v>
      </c>
      <c r="BO177" s="832"/>
      <c r="BP177" s="832"/>
      <c r="BQ177" s="832"/>
      <c r="BR177" s="832"/>
      <c r="BS177" s="832"/>
      <c r="BT177" s="832"/>
      <c r="BU177" s="832"/>
      <c r="BV177" s="832"/>
      <c r="BW177" s="870" t="s">
        <v>613</v>
      </c>
      <c r="BX177" s="870"/>
      <c r="BY177" s="784" t="str">
        <f>IF(BY176&lt;BY175,BY175,BY176)</f>
        <v>-------</v>
      </c>
      <c r="BZ177" s="784" t="str">
        <f t="shared" ref="BZ177:CF177" si="131">IF(BZ176&lt;BZ175,BZ175,BZ176)</f>
        <v>-------</v>
      </c>
      <c r="CA177" s="784" t="str">
        <f t="shared" si="131"/>
        <v>-------</v>
      </c>
      <c r="CB177" s="784" t="str">
        <f t="shared" si="131"/>
        <v>-------</v>
      </c>
      <c r="CC177" s="784" t="str">
        <f t="shared" si="131"/>
        <v>-------</v>
      </c>
      <c r="CD177" s="784" t="str">
        <f t="shared" si="131"/>
        <v>-------</v>
      </c>
      <c r="CE177" s="784" t="str">
        <f t="shared" si="131"/>
        <v>-------</v>
      </c>
      <c r="CF177" s="785" t="str">
        <f t="shared" si="131"/>
        <v>-------</v>
      </c>
    </row>
    <row r="178" spans="14:84" ht="15" customHeight="1" thickBot="1">
      <c r="N178" s="17"/>
      <c r="O178" s="17"/>
      <c r="P178" s="17"/>
      <c r="Q178" s="17"/>
      <c r="R178" s="69"/>
      <c r="S178" s="69"/>
      <c r="T178" s="69"/>
      <c r="U178" s="69"/>
      <c r="AM178" s="516" t="s">
        <v>225</v>
      </c>
      <c r="AN178" s="512">
        <v>500000</v>
      </c>
      <c r="AO178" s="502">
        <f>25</f>
        <v>25</v>
      </c>
      <c r="AP178" s="511">
        <f t="shared" si="123"/>
        <v>0</v>
      </c>
      <c r="AQ178" s="534"/>
      <c r="AR178" s="362">
        <f t="shared" si="124"/>
        <v>9.1683222747312582E-3</v>
      </c>
      <c r="BL178" s="418"/>
      <c r="BM178" s="418"/>
      <c r="BN178" s="418"/>
      <c r="BO178" s="418"/>
      <c r="BP178" s="418"/>
      <c r="BQ178" s="418"/>
      <c r="BR178" s="418"/>
      <c r="BS178" s="418"/>
      <c r="BT178" s="418"/>
      <c r="BU178" s="418"/>
      <c r="BV178" s="418"/>
      <c r="BW178" s="418"/>
      <c r="BX178" s="418"/>
      <c r="BY178" s="418"/>
    </row>
    <row r="179" spans="14:84" ht="15" customHeight="1" thickBot="1">
      <c r="N179" s="17"/>
      <c r="O179" s="17"/>
      <c r="P179" s="17"/>
      <c r="Q179" s="17"/>
      <c r="R179" s="69"/>
      <c r="S179" s="69"/>
      <c r="T179" s="69"/>
      <c r="U179" s="69"/>
      <c r="AM179" s="543" t="s">
        <v>378</v>
      </c>
      <c r="AN179" s="542" t="s">
        <v>425</v>
      </c>
      <c r="AO179" s="530" t="str">
        <f>IF(AP179=0,"NÃO","SIM")</f>
        <v>NÃO</v>
      </c>
      <c r="AP179" s="534">
        <f>IF(ISERROR(SUM(AP180:AP188)),SUM(AP180:AP188),SUM(AP180:AP188))</f>
        <v>0</v>
      </c>
      <c r="AQ179" s="507"/>
      <c r="AR179" s="39"/>
      <c r="BL179" s="828"/>
      <c r="BM179" s="828"/>
      <c r="BN179" s="876" t="s">
        <v>609</v>
      </c>
      <c r="BO179" s="876"/>
      <c r="BP179" s="876"/>
      <c r="BQ179" s="876"/>
      <c r="BR179" s="876"/>
      <c r="BS179" s="88"/>
      <c r="BT179" s="876" t="s">
        <v>620</v>
      </c>
      <c r="BU179" s="876"/>
      <c r="BV179" s="88"/>
      <c r="BW179" s="876" t="s">
        <v>621</v>
      </c>
      <c r="BX179" s="876"/>
      <c r="BY179" s="876"/>
    </row>
    <row r="180" spans="14:84" ht="15" customHeight="1">
      <c r="N180" s="17"/>
      <c r="O180" s="17"/>
      <c r="P180" s="17"/>
      <c r="Q180" s="17"/>
      <c r="R180" s="69"/>
      <c r="S180" s="69"/>
      <c r="T180" s="69"/>
      <c r="U180" s="69"/>
      <c r="AM180" s="491" t="s">
        <v>303</v>
      </c>
      <c r="AN180" s="506">
        <f>25000</f>
        <v>25000</v>
      </c>
      <c r="AO180" s="490">
        <f>(1+0.25)</f>
        <v>1.25</v>
      </c>
      <c r="AP180" s="507">
        <f t="shared" ref="AP180:AP188" si="132">IF(ISERROR(MATCH(AM180,$B$32:$B$77,0)),0,(MATCH(AM180,$B$32:$B$77,0)))+IF(ISERROR(MATCH(AM180,$C$32:$C$77,0)),0,(MATCH(AM180,$C$32:$C$77,0)))</f>
        <v>0</v>
      </c>
      <c r="AQ180" s="507"/>
      <c r="AR180" s="362">
        <f t="shared" ref="AR180:AR188" si="133">SQRT((15.88/1000)^2/3)</f>
        <v>9.1683222747312582E-3</v>
      </c>
      <c r="BL180" s="828">
        <v>1</v>
      </c>
      <c r="BM180" s="828" t="s">
        <v>255</v>
      </c>
      <c r="BN180" s="164">
        <v>1</v>
      </c>
      <c r="BO180" s="417" t="s">
        <v>0</v>
      </c>
      <c r="BP180" s="829" t="s">
        <v>622</v>
      </c>
      <c r="BQ180" s="164">
        <v>5</v>
      </c>
      <c r="BR180" s="90" t="s">
        <v>0</v>
      </c>
      <c r="BS180" s="88"/>
      <c r="BT180" s="871" t="s">
        <v>623</v>
      </c>
      <c r="BU180" s="867"/>
      <c r="BV180" s="88"/>
      <c r="BW180" s="877" t="s">
        <v>624</v>
      </c>
      <c r="BX180" s="869"/>
      <c r="BY180" s="869"/>
    </row>
    <row r="181" spans="14:84" ht="15" customHeight="1">
      <c r="N181" s="17"/>
      <c r="O181" s="17"/>
      <c r="P181" s="17"/>
      <c r="Q181" s="17"/>
      <c r="R181" s="69"/>
      <c r="S181" s="69"/>
      <c r="T181" s="69"/>
      <c r="U181" s="69"/>
      <c r="AM181" s="491" t="s">
        <v>305</v>
      </c>
      <c r="AN181" s="506">
        <v>50000</v>
      </c>
      <c r="AO181" s="490">
        <f>(1+0.25)*2</f>
        <v>2.5</v>
      </c>
      <c r="AP181" s="507">
        <f t="shared" si="132"/>
        <v>0</v>
      </c>
      <c r="AQ181" s="507"/>
      <c r="AR181" s="362">
        <f t="shared" si="133"/>
        <v>9.1683222747312582E-3</v>
      </c>
      <c r="BL181" s="828">
        <v>2</v>
      </c>
      <c r="BM181" s="828" t="s">
        <v>255</v>
      </c>
      <c r="BN181" s="164">
        <v>5</v>
      </c>
      <c r="BO181" s="417" t="s">
        <v>0</v>
      </c>
      <c r="BP181" s="829" t="s">
        <v>625</v>
      </c>
      <c r="BQ181" s="164">
        <v>20</v>
      </c>
      <c r="BR181" s="90" t="s">
        <v>0</v>
      </c>
      <c r="BS181" s="88"/>
      <c r="BT181" s="871" t="s">
        <v>623</v>
      </c>
      <c r="BU181" s="867"/>
      <c r="BV181" s="88"/>
      <c r="BW181" s="868" t="s">
        <v>626</v>
      </c>
      <c r="BX181" s="869"/>
      <c r="BY181" s="869"/>
    </row>
    <row r="182" spans="14:84" ht="15" customHeight="1">
      <c r="N182" s="17"/>
      <c r="O182" s="17"/>
      <c r="P182" s="17"/>
      <c r="Q182" s="17"/>
      <c r="R182" s="69"/>
      <c r="S182" s="69"/>
      <c r="T182" s="69"/>
      <c r="U182" s="69"/>
      <c r="AM182" s="491" t="s">
        <v>304</v>
      </c>
      <c r="AN182" s="506">
        <v>50000</v>
      </c>
      <c r="AO182" s="490">
        <v>2.5</v>
      </c>
      <c r="AP182" s="507">
        <f t="shared" si="132"/>
        <v>0</v>
      </c>
      <c r="AQ182" s="507"/>
      <c r="AR182" s="362">
        <f t="shared" si="133"/>
        <v>9.1683222747312582E-3</v>
      </c>
      <c r="BL182" s="828">
        <v>3</v>
      </c>
      <c r="BM182" s="828" t="s">
        <v>255</v>
      </c>
      <c r="BN182" s="164">
        <v>20</v>
      </c>
      <c r="BO182" s="417" t="s">
        <v>0</v>
      </c>
      <c r="BP182" s="829" t="s">
        <v>627</v>
      </c>
      <c r="BQ182" s="164">
        <v>500</v>
      </c>
      <c r="BR182" s="90" t="s">
        <v>0</v>
      </c>
      <c r="BS182" s="88"/>
      <c r="BT182" s="871" t="s">
        <v>623</v>
      </c>
      <c r="BU182" s="867"/>
      <c r="BV182" s="88"/>
      <c r="BW182" s="868" t="s">
        <v>628</v>
      </c>
      <c r="BX182" s="869"/>
      <c r="BY182" s="869"/>
    </row>
    <row r="183" spans="14:84" ht="15" customHeight="1">
      <c r="N183" s="17"/>
      <c r="O183" s="17"/>
      <c r="P183" s="17"/>
      <c r="Q183" s="17"/>
      <c r="R183" s="69"/>
      <c r="S183" s="69"/>
      <c r="T183" s="69"/>
      <c r="U183" s="69"/>
      <c r="AM183" s="491" t="s">
        <v>306</v>
      </c>
      <c r="AN183" s="506">
        <v>100000</v>
      </c>
      <c r="AO183" s="490">
        <f>2.5*2</f>
        <v>5</v>
      </c>
      <c r="AP183" s="507">
        <f t="shared" si="132"/>
        <v>0</v>
      </c>
      <c r="AQ183" s="507"/>
      <c r="AR183" s="362">
        <f t="shared" si="133"/>
        <v>9.1683222747312582E-3</v>
      </c>
      <c r="BL183" s="828">
        <v>4</v>
      </c>
      <c r="BM183" s="828" t="s">
        <v>255</v>
      </c>
      <c r="BN183" s="164">
        <v>500</v>
      </c>
      <c r="BO183" s="417" t="s">
        <v>0</v>
      </c>
      <c r="BP183" s="829" t="s">
        <v>625</v>
      </c>
      <c r="BQ183" s="164">
        <v>20000</v>
      </c>
      <c r="BR183" s="90" t="s">
        <v>0</v>
      </c>
      <c r="BS183" s="88"/>
      <c r="BT183" s="871" t="s">
        <v>623</v>
      </c>
      <c r="BU183" s="867"/>
      <c r="BV183" s="88"/>
      <c r="BW183" s="868" t="s">
        <v>629</v>
      </c>
      <c r="BX183" s="869"/>
      <c r="BY183" s="869"/>
    </row>
    <row r="184" spans="14:84" ht="15" customHeight="1">
      <c r="N184" s="17"/>
      <c r="O184" s="17"/>
      <c r="P184" s="17"/>
      <c r="Q184" s="17"/>
      <c r="R184" s="69"/>
      <c r="S184" s="69"/>
      <c r="T184" s="69"/>
      <c r="U184" s="69"/>
      <c r="AM184" s="491" t="s">
        <v>307</v>
      </c>
      <c r="AN184" s="506">
        <v>150000</v>
      </c>
      <c r="AO184" s="490">
        <f>2.5*3</f>
        <v>7.5</v>
      </c>
      <c r="AP184" s="507">
        <f t="shared" si="132"/>
        <v>0</v>
      </c>
      <c r="AQ184" s="507"/>
      <c r="AR184" s="362">
        <f t="shared" si="133"/>
        <v>9.1683222747312582E-3</v>
      </c>
      <c r="BL184" s="828">
        <v>5</v>
      </c>
      <c r="BM184" s="828" t="s">
        <v>255</v>
      </c>
      <c r="BN184" s="164">
        <v>20</v>
      </c>
      <c r="BO184" s="417" t="s">
        <v>24</v>
      </c>
      <c r="BP184" s="829" t="s">
        <v>625</v>
      </c>
      <c r="BQ184" s="164">
        <v>1000</v>
      </c>
      <c r="BR184" s="90" t="s">
        <v>24</v>
      </c>
      <c r="BS184" s="88"/>
      <c r="BT184" s="871" t="s">
        <v>623</v>
      </c>
      <c r="BU184" s="867"/>
      <c r="BV184" s="88"/>
      <c r="BW184" s="868" t="s">
        <v>630</v>
      </c>
      <c r="BX184" s="869"/>
      <c r="BY184" s="869"/>
    </row>
    <row r="185" spans="14:84" ht="15" customHeight="1">
      <c r="N185" s="17"/>
      <c r="O185" s="17"/>
      <c r="P185" s="17"/>
      <c r="Q185" s="17"/>
      <c r="R185" s="69"/>
      <c r="S185" s="69"/>
      <c r="T185" s="69"/>
      <c r="U185" s="69"/>
      <c r="AM185" s="522" t="s">
        <v>308</v>
      </c>
      <c r="AN185" s="506">
        <v>100000</v>
      </c>
      <c r="AO185" s="490">
        <v>10</v>
      </c>
      <c r="AP185" s="507">
        <f t="shared" si="132"/>
        <v>0</v>
      </c>
      <c r="AQ185" s="507"/>
      <c r="AR185" s="362">
        <f t="shared" si="133"/>
        <v>9.1683222747312582E-3</v>
      </c>
      <c r="BL185" s="828">
        <v>6</v>
      </c>
      <c r="BM185" s="828" t="s">
        <v>179</v>
      </c>
      <c r="BN185" s="164">
        <v>1000</v>
      </c>
      <c r="BO185" s="417" t="s">
        <v>24</v>
      </c>
      <c r="BP185" s="829" t="s">
        <v>625</v>
      </c>
      <c r="BQ185" s="164">
        <v>40000</v>
      </c>
      <c r="BR185" s="90" t="s">
        <v>24</v>
      </c>
      <c r="BS185" s="88"/>
      <c r="BT185" s="867" t="s">
        <v>631</v>
      </c>
      <c r="BU185" s="867"/>
      <c r="BV185" s="88"/>
      <c r="BW185" s="868" t="s">
        <v>630</v>
      </c>
      <c r="BX185" s="869"/>
      <c r="BY185" s="869"/>
    </row>
    <row r="186" spans="14:84" ht="15" customHeight="1">
      <c r="N186" s="17"/>
      <c r="O186" s="17"/>
      <c r="P186" s="17"/>
      <c r="Q186" s="17"/>
      <c r="R186" s="69"/>
      <c r="S186" s="69"/>
      <c r="T186" s="69"/>
      <c r="U186" s="69"/>
      <c r="AM186" s="522" t="s">
        <v>309</v>
      </c>
      <c r="AN186" s="506">
        <v>200000</v>
      </c>
      <c r="AO186" s="490">
        <f>10*2</f>
        <v>20</v>
      </c>
      <c r="AP186" s="507">
        <f t="shared" si="132"/>
        <v>0</v>
      </c>
      <c r="AQ186" s="507"/>
      <c r="AR186" s="362">
        <f t="shared" si="133"/>
        <v>9.1683222747312582E-3</v>
      </c>
      <c r="BL186" s="828">
        <v>7</v>
      </c>
      <c r="BM186" s="828" t="s">
        <v>256</v>
      </c>
      <c r="BN186" s="164">
        <v>40</v>
      </c>
      <c r="BO186" s="417" t="s">
        <v>22</v>
      </c>
      <c r="BP186" s="829" t="s">
        <v>625</v>
      </c>
      <c r="BQ186" s="164">
        <v>1000</v>
      </c>
      <c r="BR186" s="90" t="s">
        <v>22</v>
      </c>
      <c r="BS186" s="88"/>
      <c r="BT186" s="867" t="s">
        <v>632</v>
      </c>
      <c r="BU186" s="867"/>
      <c r="BV186" s="88"/>
      <c r="BW186" s="868" t="s">
        <v>633</v>
      </c>
      <c r="BX186" s="869"/>
      <c r="BY186" s="869"/>
    </row>
    <row r="187" spans="14:84" ht="15" customHeight="1">
      <c r="N187" s="17"/>
      <c r="O187" s="17"/>
      <c r="P187" s="17"/>
      <c r="Q187" s="17"/>
      <c r="R187" s="69"/>
      <c r="S187" s="69"/>
      <c r="T187" s="69"/>
      <c r="U187" s="69"/>
      <c r="AM187" s="522" t="s">
        <v>310</v>
      </c>
      <c r="AN187" s="506">
        <v>300000</v>
      </c>
      <c r="AO187" s="490">
        <f>10*3</f>
        <v>30</v>
      </c>
      <c r="AP187" s="507">
        <f t="shared" si="132"/>
        <v>0</v>
      </c>
      <c r="AQ187" s="507"/>
      <c r="AR187" s="362">
        <f t="shared" si="133"/>
        <v>9.1683222747312582E-3</v>
      </c>
      <c r="BL187" s="828">
        <v>8</v>
      </c>
      <c r="BM187" s="828" t="s">
        <v>256</v>
      </c>
      <c r="BN187" s="164">
        <v>1000</v>
      </c>
      <c r="BO187" s="417" t="s">
        <v>22</v>
      </c>
      <c r="BP187" s="829" t="s">
        <v>625</v>
      </c>
      <c r="BQ187" s="164">
        <v>20000</v>
      </c>
      <c r="BR187" s="90" t="s">
        <v>22</v>
      </c>
      <c r="BS187" s="88"/>
      <c r="BT187" s="867" t="s">
        <v>634</v>
      </c>
      <c r="BU187" s="867"/>
      <c r="BV187" s="88"/>
      <c r="BW187" s="868" t="s">
        <v>633</v>
      </c>
      <c r="BX187" s="869"/>
      <c r="BY187" s="869"/>
    </row>
    <row r="188" spans="14:84" ht="15" customHeight="1" thickBot="1">
      <c r="N188" s="17"/>
      <c r="O188" s="17"/>
      <c r="P188" s="17"/>
      <c r="Q188" s="17"/>
      <c r="R188" s="69"/>
      <c r="S188" s="69"/>
      <c r="T188" s="69"/>
      <c r="U188" s="69"/>
      <c r="AM188" s="523" t="s">
        <v>311</v>
      </c>
      <c r="AN188" s="512">
        <v>400000</v>
      </c>
      <c r="AO188" s="502">
        <f>10*4</f>
        <v>40</v>
      </c>
      <c r="AP188" s="511">
        <f t="shared" si="132"/>
        <v>0</v>
      </c>
      <c r="AQ188" s="534"/>
      <c r="AR188" s="362">
        <f t="shared" si="133"/>
        <v>9.1683222747312582E-3</v>
      </c>
      <c r="BL188" s="828">
        <v>9</v>
      </c>
      <c r="BM188" s="828" t="s">
        <v>256</v>
      </c>
      <c r="BN188" s="164">
        <v>20000</v>
      </c>
      <c r="BO188" s="417" t="s">
        <v>22</v>
      </c>
      <c r="BP188" s="829" t="s">
        <v>625</v>
      </c>
      <c r="BQ188" s="164">
        <v>23000</v>
      </c>
      <c r="BR188" s="90" t="s">
        <v>22</v>
      </c>
      <c r="BS188" s="88"/>
      <c r="BT188" s="867" t="s">
        <v>635</v>
      </c>
      <c r="BU188" s="867"/>
      <c r="BV188" s="88"/>
      <c r="BW188" s="868" t="s">
        <v>636</v>
      </c>
      <c r="BX188" s="868"/>
      <c r="BY188" s="868"/>
    </row>
    <row r="189" spans="14:84" ht="15" customHeight="1">
      <c r="N189" s="17"/>
      <c r="O189" s="17"/>
      <c r="P189" s="17"/>
      <c r="Q189" s="17"/>
      <c r="R189" s="69"/>
      <c r="S189" s="69"/>
      <c r="T189" s="69"/>
      <c r="U189" s="69"/>
      <c r="AM189" s="543" t="s">
        <v>520</v>
      </c>
      <c r="AN189" s="532" t="s">
        <v>497</v>
      </c>
      <c r="AO189" s="533" t="str">
        <f>IF(AP189=0,"NÃO","SIM")</f>
        <v>NÃO</v>
      </c>
      <c r="AP189" s="534">
        <f>IF(ISERROR(SUM(AP190:AP217)),SUM(AP190:AP217),SUM(AP190:AP217))</f>
        <v>0</v>
      </c>
      <c r="AQ189" s="507"/>
      <c r="AR189" s="93"/>
      <c r="BL189" s="828">
        <v>10</v>
      </c>
      <c r="BM189" s="828" t="s">
        <v>256</v>
      </c>
      <c r="BN189" s="164">
        <v>23000</v>
      </c>
      <c r="BO189" s="417" t="s">
        <v>22</v>
      </c>
      <c r="BP189" s="829" t="s">
        <v>625</v>
      </c>
      <c r="BQ189" s="164">
        <v>27000</v>
      </c>
      <c r="BR189" s="90" t="s">
        <v>22</v>
      </c>
      <c r="BS189" s="88"/>
      <c r="BT189" s="867" t="s">
        <v>635</v>
      </c>
      <c r="BU189" s="867"/>
      <c r="BV189" s="88"/>
      <c r="BW189" s="868" t="s">
        <v>637</v>
      </c>
      <c r="BX189" s="868"/>
      <c r="BY189" s="868"/>
    </row>
    <row r="190" spans="14:84" ht="15" customHeight="1">
      <c r="N190" s="17"/>
      <c r="O190" s="17"/>
      <c r="P190" s="17"/>
      <c r="Q190" s="17"/>
      <c r="R190" s="69"/>
      <c r="S190" s="69"/>
      <c r="T190" s="69"/>
      <c r="U190" s="69"/>
      <c r="AM190" s="489" t="s">
        <v>498</v>
      </c>
      <c r="AN190" s="520">
        <f>0.0010174</f>
        <v>1.0173999999999999E-3</v>
      </c>
      <c r="AO190" s="490">
        <f>(0.2/1000)</f>
        <v>2.0000000000000001E-4</v>
      </c>
      <c r="AP190" s="507">
        <f t="shared" ref="AP190:AP217" si="134">IF(ISERROR(MATCH(AM190,$B$32:$B$77,0)),0,(MATCH(AM190,$B$32:$B$77,0)))+IF(ISERROR(MATCH(AM190,$C$32:$C$77,0)),0,(MATCH(AM190,$C$32:$C$77,0)))</f>
        <v>0</v>
      </c>
      <c r="AQ190" s="507"/>
      <c r="AR190" s="92"/>
      <c r="BL190" s="828">
        <v>11</v>
      </c>
      <c r="BM190" s="828" t="s">
        <v>256</v>
      </c>
      <c r="BN190" s="164">
        <v>27000</v>
      </c>
      <c r="BO190" s="417" t="s">
        <v>22</v>
      </c>
      <c r="BP190" s="830" t="s">
        <v>625</v>
      </c>
      <c r="BQ190" s="164">
        <v>31000</v>
      </c>
      <c r="BR190" s="90" t="s">
        <v>22</v>
      </c>
      <c r="BS190" s="90"/>
      <c r="BT190" s="867" t="s">
        <v>635</v>
      </c>
      <c r="BU190" s="867"/>
      <c r="BV190" s="831"/>
      <c r="BW190" s="868" t="s">
        <v>638</v>
      </c>
      <c r="BX190" s="868"/>
      <c r="BY190" s="868"/>
    </row>
    <row r="191" spans="14:84" ht="15" customHeight="1">
      <c r="N191" s="17"/>
      <c r="O191" s="17"/>
      <c r="P191" s="17"/>
      <c r="Q191" s="17"/>
      <c r="R191" s="69"/>
      <c r="S191" s="69"/>
      <c r="T191" s="69"/>
      <c r="U191" s="69"/>
      <c r="AM191" s="489" t="s">
        <v>499</v>
      </c>
      <c r="AN191" s="520">
        <f>0.0020581</f>
        <v>2.0581000000000002E-3</v>
      </c>
      <c r="AO191" s="490">
        <f>(0.2/1000)</f>
        <v>2.0000000000000001E-4</v>
      </c>
      <c r="AP191" s="507">
        <f t="shared" si="134"/>
        <v>0</v>
      </c>
      <c r="AQ191" s="507"/>
      <c r="AR191" s="92"/>
      <c r="BL191" s="828">
        <v>12</v>
      </c>
      <c r="BM191" s="828" t="s">
        <v>256</v>
      </c>
      <c r="BN191" s="164">
        <v>31000</v>
      </c>
      <c r="BO191" s="417" t="s">
        <v>22</v>
      </c>
      <c r="BP191" s="829" t="s">
        <v>625</v>
      </c>
      <c r="BQ191" s="164">
        <v>36000</v>
      </c>
      <c r="BR191" s="90" t="s">
        <v>22</v>
      </c>
      <c r="BS191" s="90"/>
      <c r="BT191" s="867" t="s">
        <v>635</v>
      </c>
      <c r="BU191" s="867"/>
      <c r="BV191" s="831"/>
      <c r="BW191" s="868" t="s">
        <v>639</v>
      </c>
      <c r="BX191" s="869"/>
      <c r="BY191" s="869"/>
    </row>
    <row r="192" spans="14:84" ht="15" customHeight="1">
      <c r="N192" s="17"/>
      <c r="O192" s="17"/>
      <c r="P192" s="17"/>
      <c r="Q192" s="17"/>
      <c r="R192" s="69"/>
      <c r="S192" s="69"/>
      <c r="T192" s="69"/>
      <c r="U192" s="69"/>
      <c r="AM192" s="491" t="s">
        <v>500</v>
      </c>
      <c r="AN192" s="520">
        <f>0.0019306</f>
        <v>1.9306E-3</v>
      </c>
      <c r="AO192" s="490">
        <f>(0.2/1000)</f>
        <v>2.0000000000000001E-4</v>
      </c>
      <c r="AP192" s="507">
        <f t="shared" si="134"/>
        <v>0</v>
      </c>
      <c r="AQ192" s="507"/>
      <c r="AR192" s="92"/>
      <c r="BL192" s="828">
        <v>13</v>
      </c>
      <c r="BM192" s="828" t="s">
        <v>256</v>
      </c>
      <c r="BN192" s="164">
        <v>36000</v>
      </c>
      <c r="BO192" s="417" t="s">
        <v>22</v>
      </c>
      <c r="BP192" s="829" t="s">
        <v>625</v>
      </c>
      <c r="BQ192" s="164">
        <v>40000</v>
      </c>
      <c r="BR192" s="90" t="s">
        <v>22</v>
      </c>
      <c r="BS192" s="90"/>
      <c r="BT192" s="867" t="s">
        <v>635</v>
      </c>
      <c r="BU192" s="867"/>
      <c r="BV192" s="831"/>
      <c r="BW192" s="868" t="s">
        <v>640</v>
      </c>
      <c r="BX192" s="869"/>
      <c r="BY192" s="869"/>
    </row>
    <row r="193" spans="14:45" ht="15" customHeight="1">
      <c r="N193" s="17"/>
      <c r="O193" s="17"/>
      <c r="P193" s="17"/>
      <c r="Q193" s="17"/>
      <c r="R193" s="69"/>
      <c r="S193" s="69"/>
      <c r="T193" s="69"/>
      <c r="U193" s="69"/>
      <c r="AM193" s="491" t="s">
        <v>501</v>
      </c>
      <c r="AN193" s="520">
        <f>0.0049552</f>
        <v>4.9551999999999999E-3</v>
      </c>
      <c r="AO193" s="490">
        <f>(0.2/1000)</f>
        <v>2.0000000000000001E-4</v>
      </c>
      <c r="AP193" s="507">
        <f t="shared" si="134"/>
        <v>0</v>
      </c>
      <c r="AQ193" s="507"/>
      <c r="AR193" s="92"/>
      <c r="AS193" s="21"/>
    </row>
    <row r="194" spans="14:45" ht="15" customHeight="1">
      <c r="N194" s="17"/>
      <c r="O194" s="17"/>
      <c r="P194" s="17"/>
      <c r="Q194" s="17"/>
      <c r="R194" s="69"/>
      <c r="S194" s="69"/>
      <c r="T194" s="69"/>
      <c r="U194" s="69"/>
      <c r="AM194" s="491" t="s">
        <v>502</v>
      </c>
      <c r="AN194" s="506">
        <f>0.0101426</f>
        <v>1.01426E-2</v>
      </c>
      <c r="AO194" s="490">
        <f>(0.25/1000)</f>
        <v>2.5000000000000001E-4</v>
      </c>
      <c r="AP194" s="507">
        <f t="shared" si="134"/>
        <v>0</v>
      </c>
      <c r="AQ194" s="507"/>
      <c r="AR194" s="92"/>
    </row>
    <row r="195" spans="14:45" ht="15" customHeight="1">
      <c r="N195" s="17"/>
      <c r="O195" s="17"/>
      <c r="P195" s="17"/>
      <c r="Q195" s="17"/>
      <c r="R195" s="69"/>
      <c r="S195" s="69"/>
      <c r="T195" s="69"/>
      <c r="U195" s="69"/>
      <c r="AM195" s="491" t="s">
        <v>503</v>
      </c>
      <c r="AN195" s="506">
        <f>0.0199365</f>
        <v>1.9936499999999999E-2</v>
      </c>
      <c r="AO195" s="490">
        <f>(0.3/1000)</f>
        <v>2.9999999999999997E-4</v>
      </c>
      <c r="AP195" s="507">
        <f t="shared" si="134"/>
        <v>0</v>
      </c>
      <c r="AQ195" s="507"/>
      <c r="AR195" s="92"/>
      <c r="AS195" s="5"/>
    </row>
    <row r="196" spans="14:45" ht="15" customHeight="1">
      <c r="N196" s="17"/>
      <c r="O196" s="17"/>
      <c r="P196" s="17"/>
      <c r="Q196" s="17"/>
      <c r="R196" s="69"/>
      <c r="S196" s="69"/>
      <c r="T196" s="69"/>
      <c r="U196" s="69"/>
      <c r="AM196" s="491" t="s">
        <v>504</v>
      </c>
      <c r="AN196" s="506">
        <f>0.019937</f>
        <v>1.9937E-2</v>
      </c>
      <c r="AO196" s="490">
        <f>(0.3/1000)</f>
        <v>2.9999999999999997E-4</v>
      </c>
      <c r="AP196" s="507">
        <f t="shared" si="134"/>
        <v>0</v>
      </c>
      <c r="AQ196" s="507"/>
      <c r="AR196" s="92"/>
      <c r="AS196" s="17"/>
    </row>
    <row r="197" spans="14:45" ht="15" customHeight="1">
      <c r="N197" s="17"/>
      <c r="O197" s="17"/>
      <c r="P197" s="17"/>
      <c r="Q197" s="17"/>
      <c r="R197" s="69"/>
      <c r="S197" s="69"/>
      <c r="T197" s="69"/>
      <c r="U197" s="69"/>
      <c r="AM197" s="491" t="s">
        <v>505</v>
      </c>
      <c r="AN197" s="506">
        <f>0.0498004</f>
        <v>4.9800400000000002E-2</v>
      </c>
      <c r="AO197" s="490">
        <f>(0.4/1000)</f>
        <v>4.0000000000000002E-4</v>
      </c>
      <c r="AP197" s="507">
        <f t="shared" si="134"/>
        <v>0</v>
      </c>
      <c r="AQ197" s="507"/>
      <c r="AR197" s="92"/>
      <c r="AS197" s="17"/>
    </row>
    <row r="198" spans="14:45" ht="15" customHeight="1">
      <c r="N198" s="17"/>
      <c r="O198" s="17"/>
      <c r="P198" s="17"/>
      <c r="Q198" s="17"/>
      <c r="R198" s="69"/>
      <c r="S198" s="69"/>
      <c r="T198" s="69"/>
      <c r="U198" s="69"/>
      <c r="AM198" s="494" t="s">
        <v>487</v>
      </c>
      <c r="AN198" s="506">
        <f>0.099907</f>
        <v>9.9906999999999996E-2</v>
      </c>
      <c r="AO198" s="490">
        <f>(0.5/1000)</f>
        <v>5.0000000000000001E-4</v>
      </c>
      <c r="AP198" s="507">
        <f t="shared" si="134"/>
        <v>0</v>
      </c>
      <c r="AQ198" s="507"/>
      <c r="AR198" s="361">
        <f>0.07/1000</f>
        <v>7.0000000000000007E-5</v>
      </c>
      <c r="AS198" s="17"/>
    </row>
    <row r="199" spans="14:45" ht="15" customHeight="1">
      <c r="N199" s="17"/>
      <c r="O199" s="17"/>
      <c r="P199" s="17"/>
      <c r="Q199" s="17"/>
      <c r="R199" s="69"/>
      <c r="S199" s="69"/>
      <c r="T199" s="69"/>
      <c r="U199" s="69"/>
      <c r="AM199" s="494" t="s">
        <v>486</v>
      </c>
      <c r="AN199" s="506">
        <f>0.20016</f>
        <v>0.20016</v>
      </c>
      <c r="AO199" s="490">
        <f>(0.6/1000)</f>
        <v>5.9999999999999995E-4</v>
      </c>
      <c r="AP199" s="507">
        <f t="shared" si="134"/>
        <v>0</v>
      </c>
      <c r="AQ199" s="507"/>
      <c r="AR199" s="361">
        <f>0.09/1000</f>
        <v>8.9999999999999992E-5</v>
      </c>
      <c r="AS199" s="17"/>
    </row>
    <row r="200" spans="14:45" ht="15" customHeight="1">
      <c r="N200" s="17"/>
      <c r="O200" s="17"/>
      <c r="P200" s="17"/>
      <c r="Q200" s="17"/>
      <c r="R200" s="69"/>
      <c r="S200" s="69"/>
      <c r="T200" s="69"/>
      <c r="U200" s="69"/>
      <c r="AM200" s="494" t="s">
        <v>506</v>
      </c>
      <c r="AN200" s="506">
        <f>0.200219</f>
        <v>0.20021900000000001</v>
      </c>
      <c r="AO200" s="490">
        <f>(0.6/1000)</f>
        <v>5.9999999999999995E-4</v>
      </c>
      <c r="AP200" s="507">
        <f t="shared" si="134"/>
        <v>0</v>
      </c>
      <c r="AQ200" s="507"/>
      <c r="AR200" s="361">
        <f>0.09/1000</f>
        <v>8.9999999999999992E-5</v>
      </c>
      <c r="AS200" s="21"/>
    </row>
    <row r="201" spans="14:45" ht="15" customHeight="1">
      <c r="N201" s="17"/>
      <c r="O201" s="17"/>
      <c r="P201" s="17"/>
      <c r="Q201" s="17"/>
      <c r="R201" s="69"/>
      <c r="S201" s="69"/>
      <c r="T201" s="69"/>
      <c r="U201" s="69"/>
      <c r="AM201" s="495" t="s">
        <v>485</v>
      </c>
      <c r="AN201" s="757">
        <f>0.499883</f>
        <v>0.49988300000000002</v>
      </c>
      <c r="AO201" s="493">
        <f>(0.8/1000)</f>
        <v>8.0000000000000004E-4</v>
      </c>
      <c r="AP201" s="535">
        <f t="shared" si="134"/>
        <v>0</v>
      </c>
      <c r="AQ201" s="507"/>
      <c r="AR201" s="361">
        <f>0.12/1000</f>
        <v>1.1999999999999999E-4</v>
      </c>
      <c r="AS201" s="17"/>
    </row>
    <row r="202" spans="14:45" ht="15" customHeight="1">
      <c r="N202" s="17"/>
      <c r="O202" s="17"/>
      <c r="P202" s="17"/>
      <c r="Q202" s="17"/>
      <c r="R202" s="69"/>
      <c r="S202" s="69"/>
      <c r="T202" s="69"/>
      <c r="U202" s="69"/>
      <c r="AM202" s="496" t="s">
        <v>256</v>
      </c>
      <c r="AN202" s="506">
        <f>1.000336</f>
        <v>1.0003359999999999</v>
      </c>
      <c r="AO202" s="490">
        <f>(1/1000)</f>
        <v>1E-3</v>
      </c>
      <c r="AP202" s="507">
        <f t="shared" si="134"/>
        <v>0</v>
      </c>
      <c r="AQ202" s="507"/>
      <c r="AR202" s="361">
        <f>0.15/1000</f>
        <v>1.4999999999999999E-4</v>
      </c>
      <c r="AS202" s="17"/>
    </row>
    <row r="203" spans="14:45" ht="23.25" customHeight="1">
      <c r="N203" s="17"/>
      <c r="O203" s="17"/>
      <c r="P203" s="17"/>
      <c r="Q203" s="17"/>
      <c r="R203" s="69"/>
      <c r="S203" s="69"/>
      <c r="T203" s="69"/>
      <c r="U203" s="69"/>
      <c r="AM203" s="496" t="s">
        <v>484</v>
      </c>
      <c r="AN203" s="506">
        <f>2.000185</f>
        <v>2.0001850000000001</v>
      </c>
      <c r="AO203" s="490">
        <f>(1.2/1000)</f>
        <v>1.1999999999999999E-3</v>
      </c>
      <c r="AP203" s="507">
        <f t="shared" si="134"/>
        <v>0</v>
      </c>
      <c r="AQ203" s="507"/>
      <c r="AR203" s="361">
        <f>0.19/1000</f>
        <v>1.9000000000000001E-4</v>
      </c>
      <c r="AS203" s="17"/>
    </row>
    <row r="204" spans="14:45" ht="22.5" customHeight="1">
      <c r="N204" s="17"/>
      <c r="O204" s="17"/>
      <c r="P204" s="17"/>
      <c r="Q204" s="17"/>
      <c r="R204" s="69"/>
      <c r="S204" s="69"/>
      <c r="T204" s="69"/>
      <c r="U204" s="69"/>
      <c r="AM204" s="494" t="s">
        <v>507</v>
      </c>
      <c r="AN204" s="506">
        <f>2.000474</f>
        <v>2.0004740000000001</v>
      </c>
      <c r="AO204" s="490">
        <f>(1.2/1000)</f>
        <v>1.1999999999999999E-3</v>
      </c>
      <c r="AP204" s="507">
        <f t="shared" si="134"/>
        <v>0</v>
      </c>
      <c r="AQ204" s="507"/>
      <c r="AR204" s="361">
        <f>0.19/1000</f>
        <v>1.9000000000000001E-4</v>
      </c>
      <c r="AS204" s="17"/>
    </row>
    <row r="205" spans="14:45" ht="22.5" customHeight="1">
      <c r="N205" s="17"/>
      <c r="O205" s="17"/>
      <c r="P205" s="17"/>
      <c r="Q205" s="17"/>
      <c r="R205" s="69"/>
      <c r="S205" s="69"/>
      <c r="T205" s="69"/>
      <c r="U205" s="69"/>
      <c r="AM205" s="496" t="s">
        <v>483</v>
      </c>
      <c r="AN205" s="506">
        <f>5.000711</f>
        <v>5.0007109999999999</v>
      </c>
      <c r="AO205" s="490">
        <f>(1.6/1000)</f>
        <v>1.6000000000000001E-3</v>
      </c>
      <c r="AP205" s="507">
        <f t="shared" si="134"/>
        <v>0</v>
      </c>
      <c r="AQ205" s="507"/>
      <c r="AR205" s="361">
        <f>0.27/1000</f>
        <v>2.7E-4</v>
      </c>
      <c r="AS205" s="21"/>
    </row>
    <row r="206" spans="14:45" ht="25.5" customHeight="1">
      <c r="N206" s="17"/>
      <c r="O206" s="17"/>
      <c r="P206" s="17"/>
      <c r="Q206" s="17"/>
      <c r="R206" s="69"/>
      <c r="S206" s="69"/>
      <c r="T206" s="69"/>
      <c r="U206" s="69"/>
      <c r="AM206" s="496" t="s">
        <v>482</v>
      </c>
      <c r="AN206" s="506">
        <f>10.000483</f>
        <v>10.000482999999999</v>
      </c>
      <c r="AO206" s="490">
        <f>(2/1000)</f>
        <v>2E-3</v>
      </c>
      <c r="AP206" s="507">
        <f t="shared" si="134"/>
        <v>0</v>
      </c>
      <c r="AQ206" s="507"/>
      <c r="AR206" s="361">
        <f>0.38/1000</f>
        <v>3.8000000000000002E-4</v>
      </c>
      <c r="AS206" s="17"/>
    </row>
    <row r="207" spans="14:45" ht="21.75" customHeight="1">
      <c r="N207" s="17"/>
      <c r="O207" s="17"/>
      <c r="P207" s="17"/>
      <c r="Q207" s="17"/>
      <c r="R207" s="69"/>
      <c r="S207" s="69"/>
      <c r="T207" s="69"/>
      <c r="U207" s="69"/>
      <c r="AM207" s="496" t="s">
        <v>481</v>
      </c>
      <c r="AN207" s="506">
        <f>20.000994</f>
        <v>20.000993999999999</v>
      </c>
      <c r="AO207" s="490">
        <f>(2.5/1000)</f>
        <v>2.5000000000000001E-3</v>
      </c>
      <c r="AP207" s="507">
        <f t="shared" si="134"/>
        <v>0</v>
      </c>
      <c r="AQ207" s="507"/>
      <c r="AR207" s="361">
        <f>0.53/1000</f>
        <v>5.2999999999999998E-4</v>
      </c>
      <c r="AS207" s="17"/>
    </row>
    <row r="208" spans="14:45" ht="19.5" customHeight="1">
      <c r="N208" s="17"/>
      <c r="O208" s="17"/>
      <c r="P208" s="17"/>
      <c r="Q208" s="17"/>
      <c r="R208" s="69"/>
      <c r="S208" s="69"/>
      <c r="T208" s="69"/>
      <c r="U208" s="69"/>
      <c r="AM208" s="494" t="s">
        <v>508</v>
      </c>
      <c r="AN208" s="506">
        <f>20.000158</f>
        <v>20.000157999999999</v>
      </c>
      <c r="AO208" s="490">
        <f>(2.5/1000)</f>
        <v>2.5000000000000001E-3</v>
      </c>
      <c r="AP208" s="507">
        <f t="shared" si="134"/>
        <v>0</v>
      </c>
      <c r="AQ208" s="507"/>
      <c r="AR208" s="361">
        <f>0.53/1000</f>
        <v>5.2999999999999998E-4</v>
      </c>
      <c r="AS208" s="17">
        <f>SUM(AP164:AP188)</f>
        <v>0</v>
      </c>
    </row>
    <row r="209" spans="14:45" ht="15" customHeight="1">
      <c r="N209" s="17"/>
      <c r="O209" s="17"/>
      <c r="P209" s="17"/>
      <c r="Q209" s="17"/>
      <c r="R209" s="69"/>
      <c r="S209" s="69"/>
      <c r="T209" s="69"/>
      <c r="U209" s="69"/>
      <c r="AM209" s="496" t="s">
        <v>480</v>
      </c>
      <c r="AN209" s="506">
        <f>50.000753</f>
        <v>50.000753000000003</v>
      </c>
      <c r="AO209" s="490">
        <f>(3/1000)</f>
        <v>3.0000000000000001E-3</v>
      </c>
      <c r="AP209" s="507">
        <f t="shared" si="134"/>
        <v>0</v>
      </c>
      <c r="AQ209" s="507"/>
      <c r="AR209" s="361">
        <f>0.87/1000</f>
        <v>8.7000000000000001E-4</v>
      </c>
      <c r="AS209" s="17"/>
    </row>
    <row r="210" spans="14:45" ht="15" customHeight="1">
      <c r="N210" s="17"/>
      <c r="O210" s="17"/>
      <c r="P210" s="17"/>
      <c r="Q210" s="17"/>
      <c r="R210" s="69"/>
      <c r="S210" s="69"/>
      <c r="T210" s="69"/>
      <c r="U210" s="69"/>
      <c r="AM210" s="498" t="s">
        <v>509</v>
      </c>
      <c r="AN210" s="506">
        <f>100.00147</f>
        <v>100.00147</v>
      </c>
      <c r="AO210" s="490">
        <f>(5/1000)</f>
        <v>5.0000000000000001E-3</v>
      </c>
      <c r="AP210" s="507">
        <f t="shared" si="134"/>
        <v>0</v>
      </c>
      <c r="AQ210" s="507"/>
      <c r="AR210" s="362">
        <f>SQRT((15.88/1000)^2/3)</f>
        <v>9.1683222747312582E-3</v>
      </c>
      <c r="AS210" s="21"/>
    </row>
    <row r="211" spans="14:45" ht="15" customHeight="1">
      <c r="N211" s="17"/>
      <c r="O211" s="17"/>
      <c r="P211" s="17"/>
      <c r="Q211" s="17"/>
      <c r="R211" s="69"/>
      <c r="S211" s="69"/>
      <c r="T211" s="69"/>
      <c r="U211" s="69"/>
      <c r="AM211" s="498" t="s">
        <v>510</v>
      </c>
      <c r="AN211" s="506">
        <f>200.00201</f>
        <v>200.00201000000001</v>
      </c>
      <c r="AO211" s="490">
        <f>(10/1000)</f>
        <v>0.01</v>
      </c>
      <c r="AP211" s="507">
        <f t="shared" si="134"/>
        <v>0</v>
      </c>
      <c r="AQ211" s="507"/>
      <c r="AR211" s="362">
        <f t="shared" ref="AR211:AR216" si="135">SQRT((15.88/1000)^2/3)</f>
        <v>9.1683222747312582E-3</v>
      </c>
      <c r="AS211" s="17"/>
    </row>
    <row r="212" spans="14:45" ht="15" customHeight="1">
      <c r="N212" s="17"/>
      <c r="O212" s="17"/>
      <c r="P212" s="17"/>
      <c r="Q212" s="17"/>
      <c r="R212" s="69"/>
      <c r="S212" s="69"/>
      <c r="T212" s="69"/>
      <c r="U212" s="69"/>
      <c r="AM212" s="498" t="s">
        <v>511</v>
      </c>
      <c r="AN212" s="506">
        <f>200.00273</f>
        <v>200.00273000000001</v>
      </c>
      <c r="AO212" s="490">
        <f>(10/1000)</f>
        <v>0.01</v>
      </c>
      <c r="AP212" s="507">
        <f t="shared" si="134"/>
        <v>0</v>
      </c>
      <c r="AQ212" s="536"/>
      <c r="AR212" s="362">
        <f t="shared" si="135"/>
        <v>9.1683222747312582E-3</v>
      </c>
      <c r="AS212" s="17"/>
    </row>
    <row r="213" spans="14:45" ht="15" customHeight="1">
      <c r="N213" s="17"/>
      <c r="O213" s="17"/>
      <c r="P213" s="17"/>
      <c r="Q213" s="17"/>
      <c r="R213" s="69"/>
      <c r="S213" s="69"/>
      <c r="T213" s="69"/>
      <c r="U213" s="69"/>
      <c r="AM213" s="498" t="s">
        <v>512</v>
      </c>
      <c r="AN213" s="506">
        <f>500.00176</f>
        <v>500.00175999999999</v>
      </c>
      <c r="AO213" s="490">
        <f>(25/1000)</f>
        <v>2.5000000000000001E-2</v>
      </c>
      <c r="AP213" s="536">
        <f t="shared" si="134"/>
        <v>0</v>
      </c>
      <c r="AQ213" s="537"/>
      <c r="AR213" s="362">
        <f t="shared" si="135"/>
        <v>9.1683222747312582E-3</v>
      </c>
      <c r="AS213" s="17"/>
    </row>
    <row r="214" spans="14:45" ht="15" customHeight="1">
      <c r="N214" s="17"/>
      <c r="O214" s="17"/>
      <c r="P214" s="17"/>
      <c r="Q214" s="17"/>
      <c r="R214" s="69"/>
      <c r="S214" s="69"/>
      <c r="T214" s="69"/>
      <c r="U214" s="69"/>
      <c r="AM214" s="498" t="s">
        <v>513</v>
      </c>
      <c r="AN214" s="506">
        <f>1000.0162</f>
        <v>1000.0162</v>
      </c>
      <c r="AO214" s="490">
        <f>(50/1000)</f>
        <v>0.05</v>
      </c>
      <c r="AP214" s="537">
        <f t="shared" si="134"/>
        <v>0</v>
      </c>
      <c r="AQ214" s="507"/>
      <c r="AR214" s="362">
        <f t="shared" si="135"/>
        <v>9.1683222747312582E-3</v>
      </c>
      <c r="AS214" s="17"/>
    </row>
    <row r="215" spans="14:45" ht="15" customHeight="1">
      <c r="N215" s="17"/>
      <c r="O215" s="17"/>
      <c r="P215" s="17"/>
      <c r="Q215" s="17"/>
      <c r="R215" s="69"/>
      <c r="S215" s="69"/>
      <c r="T215" s="69"/>
      <c r="U215" s="69"/>
      <c r="AM215" s="739" t="s">
        <v>514</v>
      </c>
      <c r="AN215" s="506">
        <f>2000.0253</f>
        <v>2000.0253</v>
      </c>
      <c r="AO215" s="490">
        <f>0.1</f>
        <v>0.1</v>
      </c>
      <c r="AP215" s="507">
        <f t="shared" si="134"/>
        <v>0</v>
      </c>
      <c r="AQ215" s="507"/>
      <c r="AR215" s="362">
        <f t="shared" si="135"/>
        <v>9.1683222747312582E-3</v>
      </c>
      <c r="AS215" s="21"/>
    </row>
    <row r="216" spans="14:45" ht="15" customHeight="1">
      <c r="N216" s="17"/>
      <c r="O216" s="17"/>
      <c r="P216" s="17"/>
      <c r="Q216" s="17"/>
      <c r="R216" s="69"/>
      <c r="S216" s="69"/>
      <c r="T216" s="69"/>
      <c r="U216" s="69"/>
      <c r="AM216" s="498" t="s">
        <v>515</v>
      </c>
      <c r="AN216" s="506">
        <f>2000.0238</f>
        <v>2000.0237999999999</v>
      </c>
      <c r="AO216" s="490">
        <f>0.1</f>
        <v>0.1</v>
      </c>
      <c r="AP216" s="507">
        <f t="shared" si="134"/>
        <v>0</v>
      </c>
      <c r="AQ216" s="536"/>
      <c r="AR216" s="362">
        <f t="shared" si="135"/>
        <v>9.1683222747312582E-3</v>
      </c>
      <c r="AS216" s="17">
        <f>SUM(AP315:AP320)</f>
        <v>0</v>
      </c>
    </row>
    <row r="217" spans="14:45" ht="15" customHeight="1" thickBot="1">
      <c r="N217" s="17"/>
      <c r="O217" s="17"/>
      <c r="P217" s="17"/>
      <c r="Q217" s="17"/>
      <c r="R217" s="69"/>
      <c r="S217" s="69"/>
      <c r="T217" s="69"/>
      <c r="U217" s="69"/>
      <c r="AM217" s="504" t="s">
        <v>516</v>
      </c>
      <c r="AN217" s="512">
        <f>5000.0462</f>
        <v>5000.0461999999998</v>
      </c>
      <c r="AO217" s="502">
        <f>0.25</f>
        <v>0.25</v>
      </c>
      <c r="AP217" s="538">
        <f t="shared" si="134"/>
        <v>0</v>
      </c>
      <c r="AQ217" s="534"/>
      <c r="AR217" s="362">
        <f>SQRT((15.88/1000)^2/3)</f>
        <v>9.1683222747312582E-3</v>
      </c>
      <c r="AS217" s="17"/>
    </row>
    <row r="218" spans="14:45" ht="15" customHeight="1">
      <c r="N218" s="17"/>
      <c r="O218" s="17"/>
      <c r="P218" s="17"/>
      <c r="Q218" s="17"/>
      <c r="R218" s="69"/>
      <c r="S218" s="69"/>
      <c r="T218" s="69"/>
      <c r="U218" s="69"/>
      <c r="AM218" s="543" t="s">
        <v>521</v>
      </c>
      <c r="AN218" s="532" t="s">
        <v>497</v>
      </c>
      <c r="AO218" s="533" t="str">
        <f>IF(AP218=0,"NÃO","SIM")</f>
        <v>NÃO</v>
      </c>
      <c r="AP218" s="534">
        <f>IF(ISERROR(SUM(AP219:AP246)),SUM(AP219:AP246),SUM(AP219:AP246))</f>
        <v>0</v>
      </c>
      <c r="AQ218" s="507"/>
      <c r="AR218" s="93"/>
      <c r="AS218" s="17"/>
    </row>
    <row r="219" spans="14:45" ht="15" customHeight="1">
      <c r="N219" s="17"/>
      <c r="O219" s="17"/>
      <c r="P219" s="17"/>
      <c r="Q219" s="17"/>
      <c r="R219" s="69"/>
      <c r="S219" s="69"/>
      <c r="T219" s="69"/>
      <c r="U219" s="69"/>
      <c r="AM219" s="489" t="s">
        <v>526</v>
      </c>
      <c r="AN219" s="520">
        <v>1.0013999999999999E-3</v>
      </c>
      <c r="AO219" s="490">
        <f>(0.2/1000)</f>
        <v>2.0000000000000001E-4</v>
      </c>
      <c r="AP219" s="507">
        <f t="shared" ref="AP219:AP246" si="136">IF(ISERROR(MATCH(AM219,$B$32:$B$77,0)),0,(MATCH(AM219,$B$32:$B$77,0)))+IF(ISERROR(MATCH(AM219,$C$32:$C$77,0)),0,(MATCH(AM219,$C$32:$C$77,0)))</f>
        <v>0</v>
      </c>
      <c r="AQ219" s="507"/>
      <c r="AR219" s="92"/>
      <c r="AS219" s="17"/>
    </row>
    <row r="220" spans="14:45" ht="15" customHeight="1">
      <c r="N220" s="17"/>
      <c r="O220" s="17"/>
      <c r="P220" s="17"/>
      <c r="Q220" s="17"/>
      <c r="R220" s="69"/>
      <c r="S220" s="69"/>
      <c r="T220" s="69"/>
      <c r="U220" s="69"/>
      <c r="AM220" s="489" t="s">
        <v>527</v>
      </c>
      <c r="AN220" s="520">
        <v>2.0395999999999999E-3</v>
      </c>
      <c r="AO220" s="490">
        <f>(0.2/1000)</f>
        <v>2.0000000000000001E-4</v>
      </c>
      <c r="AP220" s="507">
        <f t="shared" si="136"/>
        <v>0</v>
      </c>
      <c r="AQ220" s="507"/>
      <c r="AR220" s="92"/>
      <c r="AS220" s="17"/>
    </row>
    <row r="221" spans="14:45" ht="15" customHeight="1">
      <c r="N221" s="17"/>
      <c r="O221" s="17"/>
      <c r="P221" s="17"/>
      <c r="Q221" s="17"/>
      <c r="R221" s="69"/>
      <c r="S221" s="69"/>
      <c r="T221" s="69"/>
      <c r="U221" s="69"/>
      <c r="AM221" s="491" t="s">
        <v>528</v>
      </c>
      <c r="AN221" s="520">
        <v>2.0176E-3</v>
      </c>
      <c r="AO221" s="490">
        <f>(0.2/1000)</f>
        <v>2.0000000000000001E-4</v>
      </c>
      <c r="AP221" s="507">
        <f t="shared" si="136"/>
        <v>0</v>
      </c>
      <c r="AQ221" s="507"/>
      <c r="AR221" s="92"/>
      <c r="AS221" s="17"/>
    </row>
    <row r="222" spans="14:45" ht="15" customHeight="1">
      <c r="N222" s="17"/>
      <c r="O222" s="17"/>
      <c r="P222" s="17"/>
      <c r="Q222" s="17"/>
      <c r="R222" s="69"/>
      <c r="S222" s="69"/>
      <c r="T222" s="69"/>
      <c r="U222" s="69"/>
      <c r="AM222" s="491" t="s">
        <v>529</v>
      </c>
      <c r="AN222" s="520">
        <v>4.9881999999999999E-3</v>
      </c>
      <c r="AO222" s="490">
        <f>(0.2/1000)</f>
        <v>2.0000000000000001E-4</v>
      </c>
      <c r="AP222" s="507">
        <f t="shared" si="136"/>
        <v>0</v>
      </c>
      <c r="AQ222" s="507"/>
      <c r="AR222" s="92"/>
      <c r="AS222" s="17"/>
    </row>
    <row r="223" spans="14:45" ht="15" customHeight="1">
      <c r="N223" s="17"/>
      <c r="O223" s="17"/>
      <c r="P223" s="17"/>
      <c r="Q223" s="17"/>
      <c r="R223" s="69"/>
      <c r="S223" s="69"/>
      <c r="T223" s="69"/>
      <c r="U223" s="69"/>
      <c r="AM223" s="491" t="s">
        <v>530</v>
      </c>
      <c r="AN223" s="506">
        <v>1.00366E-2</v>
      </c>
      <c r="AO223" s="490">
        <f>(0.25/1000)</f>
        <v>2.5000000000000001E-4</v>
      </c>
      <c r="AP223" s="507">
        <f t="shared" si="136"/>
        <v>0</v>
      </c>
      <c r="AQ223" s="507"/>
      <c r="AR223" s="92"/>
      <c r="AS223" s="17"/>
    </row>
    <row r="224" spans="14:45" ht="15" customHeight="1">
      <c r="N224" s="17"/>
      <c r="O224" s="17"/>
      <c r="P224" s="17"/>
      <c r="Q224" s="17"/>
      <c r="R224" s="69"/>
      <c r="S224" s="69"/>
      <c r="T224" s="69"/>
      <c r="U224" s="69"/>
      <c r="AM224" s="491" t="s">
        <v>531</v>
      </c>
      <c r="AN224" s="506">
        <v>2.0005499999999999E-2</v>
      </c>
      <c r="AO224" s="490">
        <f>(0.3/1000)</f>
        <v>2.9999999999999997E-4</v>
      </c>
      <c r="AP224" s="507">
        <f t="shared" si="136"/>
        <v>0</v>
      </c>
      <c r="AQ224" s="507"/>
      <c r="AR224" s="92"/>
      <c r="AS224" s="17"/>
    </row>
    <row r="225" spans="14:45" ht="15" customHeight="1">
      <c r="N225" s="17"/>
      <c r="O225" s="17"/>
      <c r="P225" s="17"/>
      <c r="Q225" s="17"/>
      <c r="R225" s="69"/>
      <c r="S225" s="69"/>
      <c r="T225" s="69"/>
      <c r="U225" s="69"/>
      <c r="AM225" s="491" t="s">
        <v>532</v>
      </c>
      <c r="AN225" s="506">
        <v>1.9958500000000001E-2</v>
      </c>
      <c r="AO225" s="490">
        <f>(0.3/1000)</f>
        <v>2.9999999999999997E-4</v>
      </c>
      <c r="AP225" s="507">
        <f t="shared" si="136"/>
        <v>0</v>
      </c>
      <c r="AQ225" s="507"/>
      <c r="AR225" s="92"/>
      <c r="AS225" s="17"/>
    </row>
    <row r="226" spans="14:45" ht="15" customHeight="1">
      <c r="N226" s="17"/>
      <c r="O226" s="17"/>
      <c r="P226" s="17"/>
      <c r="Q226" s="17"/>
      <c r="R226" s="69"/>
      <c r="S226" s="69"/>
      <c r="T226" s="69"/>
      <c r="U226" s="69"/>
      <c r="AM226" s="491" t="s">
        <v>533</v>
      </c>
      <c r="AN226" s="506">
        <v>5.01179E-2</v>
      </c>
      <c r="AO226" s="490">
        <f>(0.4/1000)</f>
        <v>4.0000000000000002E-4</v>
      </c>
      <c r="AP226" s="507">
        <f t="shared" si="136"/>
        <v>0</v>
      </c>
      <c r="AQ226" s="507"/>
      <c r="AR226" s="92"/>
      <c r="AS226" s="17"/>
    </row>
    <row r="227" spans="14:45" ht="15" customHeight="1">
      <c r="N227" s="17"/>
      <c r="O227" s="17"/>
      <c r="P227" s="17"/>
      <c r="Q227" s="17"/>
      <c r="R227" s="69"/>
      <c r="S227" s="69"/>
      <c r="T227" s="69"/>
      <c r="U227" s="69"/>
      <c r="AM227" s="494" t="s">
        <v>534</v>
      </c>
      <c r="AN227" s="506">
        <v>0.100188</v>
      </c>
      <c r="AO227" s="490">
        <f>(0.5/1000)</f>
        <v>5.0000000000000001E-4</v>
      </c>
      <c r="AP227" s="507">
        <f t="shared" si="136"/>
        <v>0</v>
      </c>
      <c r="AQ227" s="507"/>
      <c r="AR227" s="361">
        <f>0.07/1000</f>
        <v>7.0000000000000007E-5</v>
      </c>
      <c r="AS227" s="17"/>
    </row>
    <row r="228" spans="14:45" ht="15" customHeight="1">
      <c r="N228" s="17"/>
      <c r="O228" s="17"/>
      <c r="P228" s="17"/>
      <c r="Q228" s="17"/>
      <c r="R228" s="69"/>
      <c r="S228" s="69"/>
      <c r="T228" s="69"/>
      <c r="U228" s="69"/>
      <c r="AM228" s="494" t="s">
        <v>535</v>
      </c>
      <c r="AN228" s="506">
        <v>0.200068</v>
      </c>
      <c r="AO228" s="490">
        <f>(0.6/1000)</f>
        <v>5.9999999999999995E-4</v>
      </c>
      <c r="AP228" s="507">
        <f t="shared" si="136"/>
        <v>0</v>
      </c>
      <c r="AQ228" s="507"/>
      <c r="AR228" s="361">
        <f>0.09/1000</f>
        <v>8.9999999999999992E-5</v>
      </c>
      <c r="AS228" s="17"/>
    </row>
    <row r="229" spans="14:45" ht="15" customHeight="1">
      <c r="N229" s="17"/>
      <c r="O229" s="17"/>
      <c r="P229" s="17"/>
      <c r="Q229" s="17"/>
      <c r="R229" s="69"/>
      <c r="S229" s="69"/>
      <c r="T229" s="69"/>
      <c r="U229" s="69"/>
      <c r="AM229" s="494" t="s">
        <v>536</v>
      </c>
      <c r="AN229" s="506">
        <v>0.20014999999999999</v>
      </c>
      <c r="AO229" s="490">
        <f>(0.6/1000)</f>
        <v>5.9999999999999995E-4</v>
      </c>
      <c r="AP229" s="507">
        <f t="shared" si="136"/>
        <v>0</v>
      </c>
      <c r="AQ229" s="507"/>
      <c r="AR229" s="361">
        <f>0.09/1000</f>
        <v>8.9999999999999992E-5</v>
      </c>
      <c r="AS229" s="17"/>
    </row>
    <row r="230" spans="14:45" ht="15" customHeight="1">
      <c r="N230" s="17"/>
      <c r="O230" s="17"/>
      <c r="P230" s="17"/>
      <c r="Q230" s="17"/>
      <c r="R230" s="69"/>
      <c r="S230" s="69"/>
      <c r="T230" s="69"/>
      <c r="U230" s="69"/>
      <c r="AM230" s="495" t="s">
        <v>537</v>
      </c>
      <c r="AN230" s="757">
        <v>0.49984800000000001</v>
      </c>
      <c r="AO230" s="493">
        <f>(0.8/1000)</f>
        <v>8.0000000000000004E-4</v>
      </c>
      <c r="AP230" s="535">
        <f t="shared" si="136"/>
        <v>0</v>
      </c>
      <c r="AQ230" s="507"/>
      <c r="AR230" s="361">
        <f>0.12/1000</f>
        <v>1.1999999999999999E-4</v>
      </c>
      <c r="AS230" s="17"/>
    </row>
    <row r="231" spans="14:45" ht="15" customHeight="1">
      <c r="N231" s="17"/>
      <c r="O231" s="17"/>
      <c r="P231" s="17"/>
      <c r="Q231" s="17"/>
      <c r="R231" s="69"/>
      <c r="S231" s="69"/>
      <c r="T231" s="69"/>
      <c r="U231" s="69"/>
      <c r="AM231" s="496" t="s">
        <v>538</v>
      </c>
      <c r="AN231" s="506">
        <v>1.000178</v>
      </c>
      <c r="AO231" s="490">
        <f>(1/1000)</f>
        <v>1E-3</v>
      </c>
      <c r="AP231" s="507">
        <f t="shared" si="136"/>
        <v>0</v>
      </c>
      <c r="AQ231" s="507"/>
      <c r="AR231" s="361">
        <f>0.15/1000</f>
        <v>1.4999999999999999E-4</v>
      </c>
      <c r="AS231" s="17"/>
    </row>
    <row r="232" spans="14:45" ht="15" customHeight="1">
      <c r="N232" s="17"/>
      <c r="O232" s="17"/>
      <c r="P232" s="17"/>
      <c r="Q232" s="17"/>
      <c r="R232" s="69"/>
      <c r="S232" s="69"/>
      <c r="T232" s="69"/>
      <c r="U232" s="69"/>
      <c r="AM232" s="496" t="s">
        <v>539</v>
      </c>
      <c r="AN232" s="506">
        <v>2.0002589999999998</v>
      </c>
      <c r="AO232" s="490">
        <f>(1.2/1000)</f>
        <v>1.1999999999999999E-3</v>
      </c>
      <c r="AP232" s="507">
        <f t="shared" si="136"/>
        <v>0</v>
      </c>
      <c r="AQ232" s="507"/>
      <c r="AR232" s="361">
        <f>0.19/1000</f>
        <v>1.9000000000000001E-4</v>
      </c>
      <c r="AS232" s="17"/>
    </row>
    <row r="233" spans="14:45" ht="15" customHeight="1">
      <c r="N233" s="17"/>
      <c r="O233" s="17"/>
      <c r="P233" s="17"/>
      <c r="Q233" s="17"/>
      <c r="R233" s="69"/>
      <c r="S233" s="69"/>
      <c r="T233" s="69"/>
      <c r="U233" s="69"/>
      <c r="AM233" s="494" t="s">
        <v>540</v>
      </c>
      <c r="AN233" s="506">
        <v>2.0003660000000001</v>
      </c>
      <c r="AO233" s="490">
        <f>(1.2/1000)</f>
        <v>1.1999999999999999E-3</v>
      </c>
      <c r="AP233" s="507">
        <f t="shared" si="136"/>
        <v>0</v>
      </c>
      <c r="AQ233" s="507"/>
      <c r="AR233" s="361">
        <f>0.19/1000</f>
        <v>1.9000000000000001E-4</v>
      </c>
      <c r="AS233" s="17"/>
    </row>
    <row r="234" spans="14:45" ht="15" customHeight="1">
      <c r="N234" s="17"/>
      <c r="O234" s="17"/>
      <c r="P234" s="17"/>
      <c r="Q234" s="17"/>
      <c r="R234" s="69"/>
      <c r="S234" s="69"/>
      <c r="T234" s="69"/>
      <c r="U234" s="69"/>
      <c r="AM234" s="496" t="s">
        <v>541</v>
      </c>
      <c r="AN234" s="506">
        <v>5.0006529999999998</v>
      </c>
      <c r="AO234" s="490">
        <f>(1.6/1000)</f>
        <v>1.6000000000000001E-3</v>
      </c>
      <c r="AP234" s="507">
        <f t="shared" si="136"/>
        <v>0</v>
      </c>
      <c r="AQ234" s="507"/>
      <c r="AR234" s="361">
        <f>0.27/1000</f>
        <v>2.7E-4</v>
      </c>
      <c r="AS234" s="17"/>
    </row>
    <row r="235" spans="14:45" ht="15" customHeight="1">
      <c r="N235" s="17"/>
      <c r="O235" s="17"/>
      <c r="P235" s="17"/>
      <c r="Q235" s="17"/>
      <c r="R235" s="69"/>
      <c r="S235" s="69"/>
      <c r="T235" s="69"/>
      <c r="U235" s="69"/>
      <c r="AM235" s="496" t="s">
        <v>542</v>
      </c>
      <c r="AN235" s="506">
        <v>10.000673000000001</v>
      </c>
      <c r="AO235" s="490">
        <f>(2/1000)</f>
        <v>2E-3</v>
      </c>
      <c r="AP235" s="507">
        <f t="shared" si="136"/>
        <v>0</v>
      </c>
      <c r="AQ235" s="507"/>
      <c r="AR235" s="361">
        <f>0.38/1000</f>
        <v>3.8000000000000002E-4</v>
      </c>
      <c r="AS235" s="17"/>
    </row>
    <row r="236" spans="14:45" ht="15" customHeight="1">
      <c r="N236" s="17"/>
      <c r="O236" s="17"/>
      <c r="P236" s="17"/>
      <c r="Q236" s="17"/>
      <c r="R236" s="69"/>
      <c r="S236" s="69"/>
      <c r="T236" s="69"/>
      <c r="U236" s="69"/>
      <c r="AM236" s="496" t="s">
        <v>543</v>
      </c>
      <c r="AN236" s="506">
        <v>20.00074</v>
      </c>
      <c r="AO236" s="490">
        <f>(2.5/1000)</f>
        <v>2.5000000000000001E-3</v>
      </c>
      <c r="AP236" s="507">
        <f t="shared" si="136"/>
        <v>0</v>
      </c>
      <c r="AQ236" s="507"/>
      <c r="AR236" s="361">
        <f>0.53/1000</f>
        <v>5.2999999999999998E-4</v>
      </c>
      <c r="AS236" s="17"/>
    </row>
    <row r="237" spans="14:45" ht="15" customHeight="1">
      <c r="N237" s="17"/>
      <c r="O237" s="17"/>
      <c r="P237" s="17"/>
      <c r="Q237" s="17"/>
      <c r="R237" s="69"/>
      <c r="S237" s="69"/>
      <c r="T237" s="69"/>
      <c r="U237" s="69"/>
      <c r="AM237" s="494" t="s">
        <v>544</v>
      </c>
      <c r="AN237" s="506">
        <v>20.000961</v>
      </c>
      <c r="AO237" s="490">
        <f>(2.5/1000)</f>
        <v>2.5000000000000001E-3</v>
      </c>
      <c r="AP237" s="507">
        <f t="shared" si="136"/>
        <v>0</v>
      </c>
      <c r="AQ237" s="507"/>
      <c r="AR237" s="361">
        <f>0.53/1000</f>
        <v>5.2999999999999998E-4</v>
      </c>
      <c r="AS237" s="17"/>
    </row>
    <row r="238" spans="14:45" ht="15" customHeight="1">
      <c r="N238" s="17"/>
      <c r="O238" s="17"/>
      <c r="P238" s="17"/>
      <c r="Q238" s="17"/>
      <c r="R238" s="69"/>
      <c r="S238" s="69"/>
      <c r="T238" s="69"/>
      <c r="U238" s="69"/>
      <c r="AM238" s="496" t="s">
        <v>545</v>
      </c>
      <c r="AN238" s="506">
        <v>50.000734999999999</v>
      </c>
      <c r="AO238" s="490">
        <f>(3/1000)</f>
        <v>3.0000000000000001E-3</v>
      </c>
      <c r="AP238" s="507">
        <f t="shared" si="136"/>
        <v>0</v>
      </c>
      <c r="AQ238" s="507"/>
      <c r="AR238" s="361">
        <f>0.87/1000</f>
        <v>8.7000000000000001E-4</v>
      </c>
      <c r="AS238" s="17"/>
    </row>
    <row r="239" spans="14:45" ht="15" customHeight="1">
      <c r="N239" s="17"/>
      <c r="O239" s="17"/>
      <c r="P239" s="17"/>
      <c r="Q239" s="17"/>
      <c r="R239" s="69"/>
      <c r="S239" s="69"/>
      <c r="T239" s="69"/>
      <c r="U239" s="69"/>
      <c r="AM239" s="498" t="s">
        <v>546</v>
      </c>
      <c r="AN239" s="506">
        <v>100.00136000000001</v>
      </c>
      <c r="AO239" s="490">
        <f>(5/1000)</f>
        <v>5.0000000000000001E-3</v>
      </c>
      <c r="AP239" s="507">
        <f t="shared" si="136"/>
        <v>0</v>
      </c>
      <c r="AQ239" s="507"/>
      <c r="AR239" s="362">
        <f>SQRT((15.88/1000)^2/3)</f>
        <v>9.1683222747312582E-3</v>
      </c>
      <c r="AS239" s="17"/>
    </row>
    <row r="240" spans="14:45" ht="15" customHeight="1">
      <c r="N240" s="17"/>
      <c r="O240" s="17"/>
      <c r="P240" s="17"/>
      <c r="Q240" s="17"/>
      <c r="R240" s="69"/>
      <c r="S240" s="69"/>
      <c r="T240" s="69"/>
      <c r="U240" s="69"/>
      <c r="AM240" s="498" t="s">
        <v>547</v>
      </c>
      <c r="AN240" s="506">
        <v>200.00282999999999</v>
      </c>
      <c r="AO240" s="490">
        <f>(10/1000)</f>
        <v>0.01</v>
      </c>
      <c r="AP240" s="507">
        <f t="shared" si="136"/>
        <v>0</v>
      </c>
      <c r="AQ240" s="507"/>
      <c r="AR240" s="362">
        <f t="shared" ref="AR240:AR245" si="137">SQRT((15.88/1000)^2/3)</f>
        <v>9.1683222747312582E-3</v>
      </c>
      <c r="AS240" s="17"/>
    </row>
    <row r="241" spans="14:45" ht="15" customHeight="1">
      <c r="N241" s="17"/>
      <c r="O241" s="17"/>
      <c r="P241" s="17"/>
      <c r="Q241" s="17"/>
      <c r="R241" s="69"/>
      <c r="S241" s="69"/>
      <c r="T241" s="69"/>
      <c r="U241" s="69"/>
      <c r="AM241" s="498" t="s">
        <v>548</v>
      </c>
      <c r="AN241" s="506">
        <v>200.00221999999999</v>
      </c>
      <c r="AO241" s="490">
        <f>(10/1000)</f>
        <v>0.01</v>
      </c>
      <c r="AP241" s="507">
        <f t="shared" si="136"/>
        <v>0</v>
      </c>
      <c r="AQ241" s="536"/>
      <c r="AR241" s="362">
        <f t="shared" si="137"/>
        <v>9.1683222747312582E-3</v>
      </c>
      <c r="AS241" s="17"/>
    </row>
    <row r="242" spans="14:45" ht="15" customHeight="1">
      <c r="N242" s="17"/>
      <c r="O242" s="17"/>
      <c r="P242" s="17"/>
      <c r="Q242" s="17"/>
      <c r="R242" s="69"/>
      <c r="S242" s="69"/>
      <c r="T242" s="69"/>
      <c r="U242" s="69"/>
      <c r="AM242" s="498" t="s">
        <v>549</v>
      </c>
      <c r="AN242" s="506">
        <v>500.00295999999997</v>
      </c>
      <c r="AO242" s="490">
        <f>(25/1000)</f>
        <v>2.5000000000000001E-2</v>
      </c>
      <c r="AP242" s="536">
        <f t="shared" si="136"/>
        <v>0</v>
      </c>
      <c r="AQ242" s="537"/>
      <c r="AR242" s="362">
        <f t="shared" si="137"/>
        <v>9.1683222747312582E-3</v>
      </c>
      <c r="AS242" s="17"/>
    </row>
    <row r="243" spans="14:45" ht="15" customHeight="1">
      <c r="N243" s="17"/>
      <c r="O243" s="17"/>
      <c r="P243" s="17"/>
      <c r="Q243" s="17"/>
      <c r="R243" s="69"/>
      <c r="S243" s="69"/>
      <c r="T243" s="69"/>
      <c r="U243" s="69"/>
      <c r="AM243" s="498" t="s">
        <v>550</v>
      </c>
      <c r="AN243" s="506">
        <v>1000.0106</v>
      </c>
      <c r="AO243" s="490">
        <f>(50/1000)</f>
        <v>0.05</v>
      </c>
      <c r="AP243" s="537">
        <f t="shared" si="136"/>
        <v>0</v>
      </c>
      <c r="AQ243" s="507"/>
      <c r="AR243" s="362">
        <f t="shared" si="137"/>
        <v>9.1683222747312582E-3</v>
      </c>
      <c r="AS243" s="17"/>
    </row>
    <row r="244" spans="14:45" ht="15" customHeight="1">
      <c r="N244" s="17"/>
      <c r="O244" s="17"/>
      <c r="P244" s="17"/>
      <c r="Q244" s="17"/>
      <c r="R244" s="69"/>
      <c r="S244" s="69"/>
      <c r="T244" s="69"/>
      <c r="U244" s="69"/>
      <c r="AM244" s="739" t="s">
        <v>551</v>
      </c>
      <c r="AN244" s="758">
        <v>2000.0255999999999</v>
      </c>
      <c r="AO244" s="490">
        <f>0.1</f>
        <v>0.1</v>
      </c>
      <c r="AP244" s="507">
        <f t="shared" si="136"/>
        <v>0</v>
      </c>
      <c r="AQ244" s="507"/>
      <c r="AR244" s="362">
        <f t="shared" si="137"/>
        <v>9.1683222747312582E-3</v>
      </c>
      <c r="AS244" s="17"/>
    </row>
    <row r="245" spans="14:45" ht="15" customHeight="1">
      <c r="N245" s="17"/>
      <c r="O245" s="17"/>
      <c r="P245" s="17"/>
      <c r="Q245" s="17"/>
      <c r="R245" s="69"/>
      <c r="S245" s="69"/>
      <c r="T245" s="69"/>
      <c r="U245" s="69"/>
      <c r="AM245" s="498" t="s">
        <v>552</v>
      </c>
      <c r="AN245" s="758">
        <v>2000.0272</v>
      </c>
      <c r="AO245" s="490">
        <f>0.1</f>
        <v>0.1</v>
      </c>
      <c r="AP245" s="507">
        <f t="shared" si="136"/>
        <v>0</v>
      </c>
      <c r="AQ245" s="536"/>
      <c r="AR245" s="362">
        <f t="shared" si="137"/>
        <v>9.1683222747312582E-3</v>
      </c>
      <c r="AS245" s="17"/>
    </row>
    <row r="246" spans="14:45" ht="15" customHeight="1" thickBot="1">
      <c r="N246" s="17"/>
      <c r="O246" s="17"/>
      <c r="P246" s="17"/>
      <c r="Q246" s="17"/>
      <c r="R246" s="69"/>
      <c r="S246" s="69"/>
      <c r="T246" s="69"/>
      <c r="U246" s="69"/>
      <c r="AM246" s="504" t="s">
        <v>553</v>
      </c>
      <c r="AN246" s="512">
        <v>5000.0600000000004</v>
      </c>
      <c r="AO246" s="502">
        <f>0.25</f>
        <v>0.25</v>
      </c>
      <c r="AP246" s="538">
        <f t="shared" si="136"/>
        <v>0</v>
      </c>
      <c r="AQ246" s="534"/>
      <c r="AR246" s="362">
        <f>SQRT((15.88/1000)^2/3)</f>
        <v>9.1683222747312582E-3</v>
      </c>
      <c r="AS246" s="17"/>
    </row>
    <row r="247" spans="14:45" ht="15" customHeight="1">
      <c r="N247" s="17"/>
      <c r="O247" s="17"/>
      <c r="P247" s="17"/>
      <c r="Q247" s="17"/>
      <c r="R247" s="69"/>
      <c r="S247" s="69"/>
      <c r="T247" s="69"/>
      <c r="U247" s="69"/>
      <c r="AM247" s="524" t="s">
        <v>121</v>
      </c>
      <c r="AN247" s="546"/>
      <c r="AO247" s="530" t="str">
        <f>IF(AP247=0,"NÃO","SIM")</f>
        <v>NÃO</v>
      </c>
      <c r="AP247" s="531">
        <f>IF(ISERROR(SUM(AP248:AP255)),SUM(AP248:AP255),SUM(AP248:AP255))</f>
        <v>0</v>
      </c>
      <c r="AQ247" s="507"/>
      <c r="AR247" s="39"/>
      <c r="AS247" s="17"/>
    </row>
    <row r="248" spans="14:45" ht="15" customHeight="1">
      <c r="N248" s="17"/>
      <c r="O248" s="17"/>
      <c r="P248" s="17"/>
      <c r="Q248" s="17"/>
      <c r="R248" s="69"/>
      <c r="S248" s="69"/>
      <c r="T248" s="69"/>
      <c r="U248" s="69"/>
      <c r="AM248" s="540" t="str">
        <f>IF(AN248=0,"","L1")</f>
        <v/>
      </c>
      <c r="AN248" s="603">
        <f>E34*1000</f>
        <v>0</v>
      </c>
      <c r="AO248" s="749">
        <f>SQRT((X34^2+X35^2+X36^2)+2*($X$29^2+$X$30^2+X31^2+X32^2+X33^2))/$AV$78</f>
        <v>0</v>
      </c>
      <c r="AP248" s="507">
        <f t="shared" ref="AP248:AP255" si="138">IF(ISERROR(MATCH(AM248,$B$32:$B$77,0)),0,(MATCH(AM248,$B$32:$B$77,0)))+IF(ISERROR(MATCH(AM248,$C$32:$C$77,0)),0,(MATCH(AM248,$C$32:$C$77,0)))</f>
        <v>0</v>
      </c>
      <c r="AQ248" s="507"/>
      <c r="AR248" s="362"/>
    </row>
    <row r="249" spans="14:45" ht="15" customHeight="1">
      <c r="N249" s="17"/>
      <c r="O249" s="17"/>
      <c r="P249" s="17"/>
      <c r="Q249" s="17"/>
      <c r="R249" s="69"/>
      <c r="S249" s="69"/>
      <c r="T249" s="69"/>
      <c r="U249" s="69"/>
      <c r="AM249" s="540" t="str">
        <f>IF(AN249=0,"",IF(AN248="","L1","L2"))</f>
        <v/>
      </c>
      <c r="AN249" s="603">
        <f>E39*1000</f>
        <v>0</v>
      </c>
      <c r="AO249" s="749">
        <f>SQRT((X34^2+X35^2+X36^2)+2*($X$29^2+$X$30^2+X31^2+X32^2+X33^2))/$AV$78</f>
        <v>0</v>
      </c>
      <c r="AP249" s="507">
        <f t="shared" si="138"/>
        <v>0</v>
      </c>
      <c r="AQ249" s="536"/>
      <c r="AR249" s="362"/>
    </row>
    <row r="250" spans="14:45" ht="15" customHeight="1">
      <c r="N250" s="17"/>
      <c r="O250" s="17"/>
      <c r="P250" s="17"/>
      <c r="Q250" s="17"/>
      <c r="R250" s="69"/>
      <c r="S250" s="69"/>
      <c r="T250" s="69"/>
      <c r="U250" s="69"/>
      <c r="AM250" s="540" t="str">
        <f>IF(AN250=0,"",IF(AND(AM248="",AM249=""),"L1","L2"))</f>
        <v/>
      </c>
      <c r="AN250" s="603">
        <f>E45*1000</f>
        <v>0</v>
      </c>
      <c r="AO250" s="749">
        <f>SQRT((X40^2+X41^2+X42^2)+2*($X$29^2+$X$30^2+X37^2+X38^2+X39^2))/$AV$78</f>
        <v>0</v>
      </c>
      <c r="AP250" s="536">
        <f t="shared" si="138"/>
        <v>0</v>
      </c>
      <c r="AQ250" s="536"/>
      <c r="AR250" s="362"/>
    </row>
    <row r="251" spans="14:45" ht="15" customHeight="1">
      <c r="N251" s="17"/>
      <c r="O251" s="17"/>
      <c r="P251" s="17"/>
      <c r="Q251" s="17"/>
      <c r="R251" s="69"/>
      <c r="S251" s="69"/>
      <c r="T251" s="69"/>
      <c r="U251" s="69"/>
      <c r="AM251" s="540" t="str">
        <f>IF(AN251=0,"",IF(AND(AM248="",AM249="",AM250=""),"L1",IF(AND(AM248&lt;&gt;"L2",AM249&lt;&gt;"L2",AM250&lt;&gt;"L2",AM251&lt;&gt;"L2"),"L2","L3")))</f>
        <v/>
      </c>
      <c r="AN251" s="603">
        <f>E51*1000</f>
        <v>0</v>
      </c>
      <c r="AO251" s="749">
        <f>SQRT((X46^2+X47^2+X48^2)+2*($X$29^2+$X$30^2+X43^2+X44^2+X45^2))/$AV$78</f>
        <v>0</v>
      </c>
      <c r="AP251" s="536">
        <f t="shared" si="138"/>
        <v>0</v>
      </c>
      <c r="AQ251" s="507"/>
      <c r="AR251" s="362"/>
    </row>
    <row r="252" spans="14:45" ht="15" customHeight="1">
      <c r="N252" s="17"/>
      <c r="O252" s="17"/>
      <c r="P252" s="17"/>
      <c r="Q252" s="17"/>
      <c r="R252" s="69"/>
      <c r="S252" s="69"/>
      <c r="T252" s="69"/>
      <c r="U252" s="69"/>
      <c r="AM252" s="540" t="str">
        <f>IF(AN252=0,"",IF(AND(AM248="",AM249="",AM250="",AM251=""),"L1",IF(AND(AM248&lt;&gt;"L2",AM249&lt;&gt;"L2",AM250&lt;&gt;"L2",AM251&lt;&gt;"L2"),"L2",IF(AND(AM250&lt;&gt;"L3",AM251&lt;&gt;"L3"),"L3","L4"))))</f>
        <v/>
      </c>
      <c r="AN252" s="603">
        <f>E57*1000</f>
        <v>0</v>
      </c>
      <c r="AO252" s="749">
        <f>SQRT((X52^2+X53^2+X54^2)+2*($X$29^2+$X$30^2+X49^2+X50^2+X51^2))/$AV$78</f>
        <v>0</v>
      </c>
      <c r="AP252" s="507">
        <f t="shared" si="138"/>
        <v>0</v>
      </c>
      <c r="AQ252" s="507"/>
      <c r="AR252" s="362"/>
    </row>
    <row r="253" spans="14:45" ht="15" customHeight="1">
      <c r="N253" s="17"/>
      <c r="O253" s="17"/>
      <c r="P253" s="17"/>
      <c r="Q253" s="17"/>
      <c r="R253" s="69"/>
      <c r="S253" s="69"/>
      <c r="T253" s="69"/>
      <c r="U253" s="69"/>
      <c r="AM253" s="540" t="str">
        <f>IF(AN253=0,"",IF(AND(AM248="",AM249="",AM250="",AM251="",AM252=""),"L1",IF(AND(AM248&lt;&gt;"L2",AM249&lt;&gt;"L2",AM250&lt;&gt;"L2",AM251&lt;&gt;"L2",AM252&lt;&gt;"L2"),"L2",IF(AND(AM250&lt;&gt;"L3",AM251&lt;&gt;"L3",AM252&lt;&gt;"L3"),"L3",IF(AND(AM250&lt;&gt;"L4",AM251&lt;&gt;"L4",AM252&lt;&gt;"L4"),"L4","L5")))))</f>
        <v/>
      </c>
      <c r="AN253" s="603">
        <f>E63*1000</f>
        <v>0</v>
      </c>
      <c r="AO253" s="749">
        <f>SQRT((X58^2+X59^2+X60^2)+2*($X$29^2+$X$30^2+X55^2+X56^2+X57^2))/$AV$78</f>
        <v>0</v>
      </c>
      <c r="AP253" s="507">
        <f t="shared" si="138"/>
        <v>0</v>
      </c>
      <c r="AQ253" s="507"/>
      <c r="AR253" s="362"/>
    </row>
    <row r="254" spans="14:45" ht="15" customHeight="1" thickBot="1">
      <c r="N254" s="17"/>
      <c r="O254" s="17"/>
      <c r="P254" s="17"/>
      <c r="Q254" s="17"/>
      <c r="R254" s="69"/>
      <c r="S254" s="69"/>
      <c r="T254" s="69"/>
      <c r="U254" s="69"/>
      <c r="AM254" s="540" t="str">
        <f>IF(AN254=0,"",IF(AND(AM248="",AM249="",AM250="",AM251="",AM252="",AM253=""),"L1",IF(AND(AM249&lt;&gt;"L2",AM250&lt;&gt;"L2",AM251&lt;&gt;"L2",AM252&lt;&gt;"L2",AM253&lt;&gt;"L2"),"L2",IF(AND(AM250&lt;&gt;"L3",AM251&lt;&gt;"L3",AM252&lt;&gt;"L3",AM253&lt;&gt;"L3"),"L3",IF(AND(AM251&lt;&gt;"L4",AM252&lt;&gt;"L4",AM253&lt;&gt;"L4"),"L4","L5")))))</f>
        <v/>
      </c>
      <c r="AN254" s="603">
        <f>E69*1000</f>
        <v>0</v>
      </c>
      <c r="AO254" s="749">
        <f>SQRT((X64^2+X65^2+X66^2)+2*($X$29^2+$X$30^2+X61^2+X62^2+X63^2))/$AV$78</f>
        <v>0</v>
      </c>
      <c r="AP254" s="507">
        <f t="shared" si="138"/>
        <v>0</v>
      </c>
      <c r="AQ254" s="511"/>
      <c r="AR254" s="362"/>
    </row>
    <row r="255" spans="14:45" ht="15" customHeight="1" thickBot="1">
      <c r="N255" s="17"/>
      <c r="O255" s="17"/>
      <c r="P255" s="17"/>
      <c r="Q255" s="17"/>
      <c r="R255" s="69"/>
      <c r="S255" s="69"/>
      <c r="T255" s="69"/>
      <c r="U255" s="69"/>
      <c r="AM255" s="666" t="str">
        <f>IF(AN255=0,"",IF(AND(AM249="",AM250="",AM251="",AM252="",AM253="",AM254=""),"L1",IF(AND(AM250&lt;&gt;"L2",AM251&lt;&gt;"L2",AM252&lt;&gt;"L2",AM253&lt;&gt;"L2",AM254&lt;&gt;"L2"),"L2",IF(AND(AM251&lt;&gt;"L3",AM252&lt;&gt;"L3",AM253&lt;&gt;"L3",AM254&lt;&gt;"L3"),"L3",IF(AND(AM252&lt;&gt;"L4",AM253&lt;&gt;"L4",AM254&lt;&gt;"L4"),"L4","L5")))))</f>
        <v/>
      </c>
      <c r="AN255" s="604">
        <f>E75*1000</f>
        <v>0</v>
      </c>
      <c r="AO255" s="752">
        <f>SQRT((X70^2+X71^2+X72^2)+2*($X$29^2+$X$30^2+X67^2+X68^2+X69^2))/$AV$78</f>
        <v>0</v>
      </c>
      <c r="AP255" s="511">
        <f t="shared" si="138"/>
        <v>0</v>
      </c>
      <c r="AR255" s="605"/>
    </row>
    <row r="256" spans="14:45" ht="15" customHeight="1">
      <c r="N256" s="17"/>
      <c r="O256" s="17"/>
      <c r="P256" s="17"/>
      <c r="Q256" s="17"/>
      <c r="R256" s="69"/>
      <c r="S256" s="69"/>
      <c r="T256" s="69"/>
      <c r="U256" s="69"/>
    </row>
    <row r="257" spans="14:46" ht="15" customHeight="1">
      <c r="N257" s="17"/>
      <c r="O257" s="17"/>
      <c r="P257" s="17"/>
      <c r="Q257" s="17"/>
      <c r="R257" s="69"/>
      <c r="S257" s="69"/>
      <c r="T257" s="69"/>
      <c r="U257" s="69"/>
      <c r="AQ257" s="751"/>
    </row>
    <row r="258" spans="14:46" ht="15" customHeight="1">
      <c r="N258" s="17"/>
      <c r="O258" s="17"/>
      <c r="P258" s="17"/>
      <c r="Q258" s="17"/>
      <c r="R258" s="69"/>
      <c r="S258" s="69"/>
      <c r="T258" s="69"/>
      <c r="U258" s="69"/>
      <c r="AQ258" s="87"/>
    </row>
    <row r="259" spans="14:46" ht="15" customHeight="1">
      <c r="N259" s="17"/>
      <c r="O259" s="17"/>
      <c r="P259" s="17"/>
      <c r="Q259" s="17"/>
      <c r="R259" s="69"/>
      <c r="S259" s="69"/>
      <c r="T259" s="69"/>
      <c r="U259" s="69"/>
      <c r="AO259" s="750"/>
      <c r="AP259" s="87"/>
      <c r="AQ259" s="87"/>
      <c r="AR259" s="87"/>
    </row>
    <row r="260" spans="14:46" ht="15" customHeight="1">
      <c r="N260" s="17"/>
      <c r="O260" s="17"/>
      <c r="P260" s="17"/>
      <c r="Q260" s="17"/>
      <c r="R260" s="69"/>
      <c r="S260" s="69"/>
      <c r="T260" s="69"/>
      <c r="U260" s="69"/>
      <c r="AO260" s="87"/>
      <c r="AP260" s="87"/>
      <c r="AQ260" s="376"/>
      <c r="AR260" s="87"/>
      <c r="AS260" s="750"/>
    </row>
    <row r="261" spans="14:46" ht="15" customHeight="1">
      <c r="N261" s="17"/>
      <c r="O261" s="17"/>
      <c r="P261" s="17"/>
      <c r="Q261" s="17"/>
      <c r="R261" s="69"/>
      <c r="S261" s="69"/>
      <c r="T261" s="69"/>
      <c r="U261" s="69"/>
      <c r="AO261" s="376"/>
      <c r="AP261" s="87"/>
      <c r="AQ261" s="679"/>
      <c r="AR261" s="87"/>
      <c r="AS261" s="87"/>
    </row>
    <row r="262" spans="14:46" ht="15" customHeight="1">
      <c r="N262" s="17"/>
      <c r="O262" s="17"/>
      <c r="P262" s="17"/>
      <c r="Q262" s="17"/>
      <c r="R262" s="69"/>
      <c r="S262" s="69"/>
      <c r="T262" s="69"/>
      <c r="U262" s="69"/>
      <c r="AO262" s="678"/>
      <c r="AP262" s="87"/>
      <c r="AQ262" s="679"/>
      <c r="AR262" s="87"/>
      <c r="AS262" s="376"/>
    </row>
    <row r="263" spans="14:46" ht="15" customHeight="1">
      <c r="N263" s="17"/>
      <c r="O263" s="17"/>
      <c r="P263" s="17"/>
      <c r="Q263" s="17"/>
      <c r="R263" s="69"/>
      <c r="S263" s="69"/>
      <c r="T263" s="69"/>
      <c r="U263" s="69"/>
      <c r="AO263" s="678"/>
      <c r="AP263" s="87"/>
      <c r="AQ263" s="679"/>
      <c r="AR263" s="87"/>
      <c r="AS263" s="678"/>
    </row>
    <row r="264" spans="14:46" ht="15" customHeight="1">
      <c r="N264" s="17"/>
      <c r="O264" s="17"/>
      <c r="P264" s="17"/>
      <c r="Q264" s="17"/>
      <c r="R264" s="69"/>
      <c r="S264" s="69"/>
      <c r="T264" s="69"/>
      <c r="U264" s="69"/>
      <c r="AO264" s="678"/>
      <c r="AP264" s="87"/>
      <c r="AQ264" s="751"/>
      <c r="AR264" s="87"/>
      <c r="AS264" s="678"/>
    </row>
    <row r="265" spans="14:46" ht="15" customHeight="1">
      <c r="N265" s="17"/>
      <c r="O265" s="17"/>
      <c r="P265" s="17"/>
      <c r="Q265" s="17"/>
      <c r="R265" s="69"/>
      <c r="S265" s="69"/>
      <c r="T265" s="69"/>
      <c r="U265" s="69"/>
      <c r="AS265" s="678"/>
      <c r="AT265" s="87"/>
    </row>
    <row r="266" spans="14:46" ht="15" customHeight="1">
      <c r="N266" s="17"/>
      <c r="O266" s="17"/>
      <c r="P266" s="17"/>
      <c r="Q266" s="17"/>
      <c r="R266" s="69"/>
      <c r="S266" s="69"/>
      <c r="T266" s="69"/>
      <c r="U266" s="69"/>
      <c r="AT266" s="87"/>
    </row>
    <row r="267" spans="14:46" ht="15" customHeight="1">
      <c r="N267" s="17"/>
      <c r="O267" s="17"/>
      <c r="P267" s="17"/>
      <c r="Q267" s="17"/>
      <c r="R267" s="69"/>
      <c r="S267" s="69"/>
      <c r="T267" s="69"/>
      <c r="U267" s="69"/>
      <c r="AT267" s="376"/>
    </row>
    <row r="268" spans="14:46" ht="15" customHeight="1">
      <c r="N268" s="17"/>
      <c r="O268" s="17"/>
      <c r="P268" s="17"/>
      <c r="Q268" s="17"/>
      <c r="R268" s="69"/>
      <c r="S268" s="69"/>
      <c r="T268" s="69"/>
      <c r="U268" s="69"/>
      <c r="AT268" s="679"/>
    </row>
    <row r="269" spans="14:46" ht="15" customHeight="1">
      <c r="N269" s="17"/>
      <c r="O269" s="17"/>
      <c r="P269" s="17"/>
      <c r="Q269" s="17"/>
      <c r="R269" s="69"/>
      <c r="S269" s="69"/>
      <c r="T269" s="69"/>
      <c r="U269" s="69"/>
      <c r="AT269" s="679"/>
    </row>
    <row r="270" spans="14:46" ht="15" customHeight="1">
      <c r="N270" s="17"/>
      <c r="O270" s="17"/>
      <c r="P270" s="17"/>
      <c r="Q270" s="17"/>
      <c r="R270" s="69"/>
      <c r="S270" s="69"/>
      <c r="T270" s="69"/>
      <c r="U270" s="69"/>
      <c r="AT270" s="679"/>
    </row>
    <row r="271" spans="14:46" ht="15" customHeight="1">
      <c r="N271" s="17"/>
      <c r="O271" s="17"/>
      <c r="P271" s="17"/>
      <c r="Q271" s="17"/>
      <c r="R271" s="69"/>
      <c r="S271" s="69"/>
      <c r="T271" s="69"/>
      <c r="U271" s="69"/>
    </row>
    <row r="272" spans="14:46" ht="15" customHeight="1">
      <c r="N272" s="17"/>
      <c r="O272" s="17"/>
      <c r="P272" s="17"/>
      <c r="Q272" s="17"/>
      <c r="R272" s="69"/>
      <c r="S272" s="69"/>
      <c r="T272" s="69"/>
      <c r="U272" s="69"/>
    </row>
    <row r="273" spans="14:21" ht="15" customHeight="1">
      <c r="N273" s="17"/>
      <c r="O273" s="17"/>
      <c r="P273" s="17"/>
      <c r="Q273" s="17"/>
      <c r="R273" s="69"/>
      <c r="S273" s="69"/>
      <c r="T273" s="69"/>
      <c r="U273" s="69"/>
    </row>
    <row r="274" spans="14:21" ht="15" customHeight="1">
      <c r="N274" s="17"/>
      <c r="O274" s="17"/>
      <c r="P274" s="17"/>
      <c r="Q274" s="17"/>
      <c r="R274" s="69"/>
      <c r="S274" s="69"/>
      <c r="T274" s="69"/>
      <c r="U274" s="69"/>
    </row>
    <row r="275" spans="14:21" ht="15" customHeight="1">
      <c r="N275" s="17"/>
      <c r="O275" s="17"/>
      <c r="P275" s="17"/>
      <c r="Q275" s="17"/>
      <c r="R275" s="69"/>
      <c r="S275" s="69"/>
      <c r="T275" s="69"/>
      <c r="U275" s="69"/>
    </row>
    <row r="276" spans="14:21" ht="15" customHeight="1">
      <c r="N276" s="17"/>
      <c r="O276" s="17"/>
      <c r="P276" s="17"/>
      <c r="Q276" s="17"/>
      <c r="R276" s="69"/>
      <c r="S276" s="69"/>
      <c r="T276" s="69"/>
      <c r="U276" s="69"/>
    </row>
    <row r="277" spans="14:21" ht="15" customHeight="1">
      <c r="N277" s="17"/>
      <c r="O277" s="17"/>
      <c r="P277" s="17"/>
      <c r="Q277" s="17"/>
      <c r="R277" s="69"/>
      <c r="S277" s="69"/>
      <c r="T277" s="69"/>
      <c r="U277" s="69"/>
    </row>
    <row r="278" spans="14:21" ht="15" customHeight="1">
      <c r="N278" s="17"/>
      <c r="O278" s="17"/>
      <c r="P278" s="17"/>
      <c r="Q278" s="17"/>
      <c r="R278" s="69"/>
      <c r="S278" s="69"/>
      <c r="T278" s="69"/>
      <c r="U278" s="69"/>
    </row>
    <row r="279" spans="14:21" ht="15" customHeight="1">
      <c r="N279" s="17"/>
      <c r="O279" s="17"/>
      <c r="P279" s="17"/>
      <c r="Q279" s="17"/>
      <c r="R279" s="69"/>
      <c r="S279" s="69"/>
      <c r="T279" s="69"/>
      <c r="U279" s="69"/>
    </row>
    <row r="280" spans="14:21" ht="15" customHeight="1">
      <c r="N280" s="17"/>
      <c r="O280" s="17"/>
      <c r="P280" s="17"/>
      <c r="Q280" s="17"/>
      <c r="R280" s="69"/>
      <c r="S280" s="69"/>
      <c r="T280" s="69"/>
      <c r="U280" s="69"/>
    </row>
    <row r="281" spans="14:21" ht="15" customHeight="1">
      <c r="N281" s="17"/>
      <c r="O281" s="17"/>
      <c r="P281" s="17"/>
      <c r="Q281" s="17"/>
      <c r="R281" s="69"/>
      <c r="S281" s="69"/>
      <c r="T281" s="69"/>
      <c r="U281" s="69"/>
    </row>
    <row r="282" spans="14:21" ht="15" customHeight="1">
      <c r="N282" s="17"/>
      <c r="O282" s="17"/>
      <c r="P282" s="17"/>
      <c r="Q282" s="17"/>
      <c r="R282" s="69"/>
      <c r="S282" s="69"/>
      <c r="T282" s="69"/>
      <c r="U282" s="69"/>
    </row>
    <row r="283" spans="14:21" ht="15" customHeight="1">
      <c r="N283" s="17"/>
      <c r="O283" s="17"/>
      <c r="P283" s="17"/>
      <c r="Q283" s="17"/>
      <c r="R283" s="69"/>
      <c r="S283" s="69"/>
      <c r="T283" s="69"/>
      <c r="U283" s="69"/>
    </row>
    <row r="284" spans="14:21" ht="15" customHeight="1">
      <c r="N284" s="17"/>
      <c r="O284" s="17"/>
      <c r="P284" s="17"/>
      <c r="Q284" s="17"/>
      <c r="R284" s="69"/>
      <c r="S284" s="69"/>
      <c r="T284" s="69"/>
      <c r="U284" s="69"/>
    </row>
    <row r="285" spans="14:21" ht="15" customHeight="1">
      <c r="N285" s="17"/>
      <c r="O285" s="17"/>
      <c r="P285" s="17"/>
      <c r="Q285" s="17"/>
      <c r="R285" s="69"/>
      <c r="S285" s="69"/>
      <c r="T285" s="69"/>
      <c r="U285" s="69"/>
    </row>
    <row r="286" spans="14:21" ht="15" customHeight="1">
      <c r="N286" s="17"/>
      <c r="O286" s="17"/>
      <c r="P286" s="17"/>
      <c r="Q286" s="17"/>
      <c r="R286" s="69"/>
      <c r="S286" s="69"/>
      <c r="T286" s="69"/>
      <c r="U286" s="69"/>
    </row>
    <row r="287" spans="14:21" ht="15" customHeight="1">
      <c r="N287" s="17"/>
      <c r="O287" s="17"/>
      <c r="P287" s="17"/>
      <c r="Q287" s="17"/>
      <c r="R287" s="69"/>
      <c r="S287" s="69"/>
      <c r="T287" s="69"/>
      <c r="U287" s="69"/>
    </row>
    <row r="288" spans="14:21" ht="15" customHeight="1">
      <c r="N288" s="17"/>
      <c r="O288" s="17"/>
      <c r="P288" s="17"/>
      <c r="Q288" s="17"/>
      <c r="R288" s="69"/>
      <c r="S288" s="69"/>
      <c r="T288" s="69"/>
      <c r="U288" s="69"/>
    </row>
    <row r="289" spans="14:21" ht="15" customHeight="1">
      <c r="N289" s="17"/>
      <c r="O289" s="17"/>
      <c r="P289" s="17"/>
      <c r="Q289" s="17"/>
      <c r="R289" s="69"/>
      <c r="S289" s="69"/>
      <c r="T289" s="69"/>
      <c r="U289" s="69"/>
    </row>
    <row r="290" spans="14:21" ht="15" customHeight="1">
      <c r="N290" s="17"/>
      <c r="O290" s="17"/>
      <c r="P290" s="17"/>
      <c r="Q290" s="17"/>
      <c r="R290" s="69"/>
      <c r="S290" s="69"/>
      <c r="T290" s="69"/>
      <c r="U290" s="69"/>
    </row>
    <row r="291" spans="14:21" ht="15" customHeight="1">
      <c r="N291" s="17"/>
      <c r="O291" s="17"/>
      <c r="P291" s="17"/>
      <c r="Q291" s="17"/>
      <c r="R291" s="69"/>
      <c r="S291" s="69"/>
      <c r="T291" s="69"/>
      <c r="U291" s="69"/>
    </row>
    <row r="292" spans="14:21" ht="15" customHeight="1">
      <c r="N292" s="17"/>
      <c r="O292" s="17"/>
      <c r="P292" s="17"/>
      <c r="Q292" s="17"/>
      <c r="R292" s="69"/>
      <c r="S292" s="69"/>
      <c r="T292" s="69"/>
      <c r="U292" s="69"/>
    </row>
    <row r="293" spans="14:21" ht="15" customHeight="1">
      <c r="N293" s="17"/>
      <c r="O293" s="17"/>
      <c r="P293" s="17"/>
      <c r="Q293" s="17"/>
      <c r="R293" s="69"/>
      <c r="S293" s="69"/>
      <c r="T293" s="69"/>
      <c r="U293" s="69"/>
    </row>
    <row r="294" spans="14:21" ht="15" customHeight="1">
      <c r="N294" s="17"/>
      <c r="O294" s="17"/>
      <c r="P294" s="17"/>
      <c r="Q294" s="17"/>
      <c r="R294" s="69"/>
      <c r="S294" s="69"/>
      <c r="T294" s="69"/>
      <c r="U294" s="69"/>
    </row>
    <row r="295" spans="14:21" ht="15" customHeight="1">
      <c r="N295" s="17"/>
      <c r="O295" s="17"/>
      <c r="P295" s="17"/>
      <c r="Q295" s="17"/>
      <c r="R295" s="69"/>
      <c r="S295" s="69"/>
      <c r="T295" s="69"/>
      <c r="U295" s="69"/>
    </row>
    <row r="296" spans="14:21" ht="15" customHeight="1">
      <c r="N296" s="17"/>
      <c r="O296" s="17"/>
      <c r="P296" s="17"/>
      <c r="Q296" s="17"/>
      <c r="R296" s="69"/>
      <c r="S296" s="69"/>
      <c r="T296" s="69"/>
    </row>
    <row r="297" spans="14:21" ht="15" customHeight="1">
      <c r="N297" s="17"/>
      <c r="O297" s="17"/>
      <c r="P297" s="17"/>
      <c r="Q297" s="17"/>
      <c r="R297" s="69"/>
      <c r="S297" s="69"/>
      <c r="T297" s="69"/>
    </row>
    <row r="298" spans="14:21" ht="15" customHeight="1">
      <c r="N298" s="17"/>
      <c r="O298" s="17"/>
      <c r="P298" s="17"/>
      <c r="Q298" s="17"/>
      <c r="R298" s="69"/>
      <c r="S298" s="69"/>
      <c r="T298" s="69"/>
    </row>
    <row r="299" spans="14:21" ht="15" customHeight="1">
      <c r="N299" s="17"/>
      <c r="O299" s="17"/>
      <c r="P299" s="17"/>
      <c r="Q299" s="17"/>
      <c r="R299" s="69"/>
      <c r="S299" s="69"/>
      <c r="T299" s="69"/>
    </row>
    <row r="300" spans="14:21" ht="15" customHeight="1">
      <c r="N300" s="17"/>
      <c r="O300" s="17"/>
      <c r="P300" s="17"/>
      <c r="Q300" s="17"/>
      <c r="R300" s="69"/>
      <c r="S300" s="69"/>
      <c r="T300" s="69"/>
    </row>
    <row r="301" spans="14:21" ht="15" customHeight="1">
      <c r="N301" s="17"/>
      <c r="O301" s="17"/>
      <c r="P301" s="17"/>
      <c r="Q301" s="17"/>
      <c r="R301" s="69"/>
      <c r="S301" s="69"/>
      <c r="T301" s="69"/>
    </row>
    <row r="302" spans="14:21" ht="15" customHeight="1">
      <c r="N302" s="17"/>
      <c r="O302" s="17"/>
      <c r="P302" s="17"/>
      <c r="Q302" s="17"/>
      <c r="R302" s="69"/>
      <c r="S302" s="69"/>
      <c r="T302" s="69"/>
    </row>
    <row r="303" spans="14:21" ht="15" customHeight="1">
      <c r="O303" s="17"/>
      <c r="P303" s="17"/>
      <c r="Q303" s="17"/>
      <c r="R303" s="69"/>
      <c r="S303" s="69"/>
      <c r="T303" s="69"/>
    </row>
    <row r="304" spans="14:21" ht="15" customHeight="1">
      <c r="O304" s="17"/>
      <c r="P304" s="17"/>
      <c r="Q304" s="17"/>
      <c r="R304" s="69"/>
      <c r="S304" s="69"/>
      <c r="T304" s="69"/>
    </row>
  </sheetData>
  <mergeCells count="195">
    <mergeCell ref="A1:M1"/>
    <mergeCell ref="A2:B2"/>
    <mergeCell ref="C2:F2"/>
    <mergeCell ref="G2:H2"/>
    <mergeCell ref="J2:J3"/>
    <mergeCell ref="AD2:AF2"/>
    <mergeCell ref="AM4:AO4"/>
    <mergeCell ref="A5:B5"/>
    <mergeCell ref="C5:F5"/>
    <mergeCell ref="G5:L5"/>
    <mergeCell ref="AI5:AK5"/>
    <mergeCell ref="AI2:AK2"/>
    <mergeCell ref="A3:B3"/>
    <mergeCell ref="C3:F3"/>
    <mergeCell ref="G3:H3"/>
    <mergeCell ref="A4:B4"/>
    <mergeCell ref="C4:F4"/>
    <mergeCell ref="G4:L4"/>
    <mergeCell ref="N4:P4"/>
    <mergeCell ref="AI4:AK4"/>
    <mergeCell ref="BH6:BJ6"/>
    <mergeCell ref="A7:B7"/>
    <mergeCell ref="C7:F7"/>
    <mergeCell ref="G7:H9"/>
    <mergeCell ref="I7:I8"/>
    <mergeCell ref="J7:K9"/>
    <mergeCell ref="L7:L8"/>
    <mergeCell ref="O7:P7"/>
    <mergeCell ref="BA7:BA8"/>
    <mergeCell ref="BB7:BB8"/>
    <mergeCell ref="A6:B6"/>
    <mergeCell ref="C6:F6"/>
    <mergeCell ref="G6:L6"/>
    <mergeCell ref="N6:P6"/>
    <mergeCell ref="AI6:AK6"/>
    <mergeCell ref="BB6:BD6"/>
    <mergeCell ref="BI7:BI8"/>
    <mergeCell ref="BJ7:BJ8"/>
    <mergeCell ref="A9:B9"/>
    <mergeCell ref="C9:F9"/>
    <mergeCell ref="N9:Q9"/>
    <mergeCell ref="AI9:AK9"/>
    <mergeCell ref="AT5:AU5"/>
    <mergeCell ref="N10:P11"/>
    <mergeCell ref="Q10:Q11"/>
    <mergeCell ref="A11:B11"/>
    <mergeCell ref="AI12:AK12"/>
    <mergeCell ref="A13:B13"/>
    <mergeCell ref="I13:J13"/>
    <mergeCell ref="BK7:BK8"/>
    <mergeCell ref="BL7:BL8"/>
    <mergeCell ref="A8:B8"/>
    <mergeCell ref="C8:F8"/>
    <mergeCell ref="AI8:AK8"/>
    <mergeCell ref="BC7:BC8"/>
    <mergeCell ref="BD7:BD8"/>
    <mergeCell ref="BE7:BE8"/>
    <mergeCell ref="BF7:BF8"/>
    <mergeCell ref="BG7:BG8"/>
    <mergeCell ref="BH7:BH8"/>
    <mergeCell ref="C11:F11"/>
    <mergeCell ref="H11:I11"/>
    <mergeCell ref="A12:C12"/>
    <mergeCell ref="D12:F12"/>
    <mergeCell ref="G12:H13"/>
    <mergeCell ref="I12:J12"/>
    <mergeCell ref="A10:B10"/>
    <mergeCell ref="C10:F10"/>
    <mergeCell ref="H10:I10"/>
    <mergeCell ref="C18:D18"/>
    <mergeCell ref="E18:F18"/>
    <mergeCell ref="AI18:AK18"/>
    <mergeCell ref="BB18:BD18"/>
    <mergeCell ref="C19:D19"/>
    <mergeCell ref="BA19:BA20"/>
    <mergeCell ref="BB19:BB20"/>
    <mergeCell ref="I18:J18"/>
    <mergeCell ref="A14:B14"/>
    <mergeCell ref="I14:J14"/>
    <mergeCell ref="A16:L16"/>
    <mergeCell ref="I19:I20"/>
    <mergeCell ref="J19:J20"/>
    <mergeCell ref="BC19:BC20"/>
    <mergeCell ref="BD19:BD20"/>
    <mergeCell ref="BE19:BE20"/>
    <mergeCell ref="BF19:BF20"/>
    <mergeCell ref="C20:D20"/>
    <mergeCell ref="AI20:AK20"/>
    <mergeCell ref="AT20:AU20"/>
    <mergeCell ref="AI21:AK21"/>
    <mergeCell ref="AT21:AU21"/>
    <mergeCell ref="A22:L22"/>
    <mergeCell ref="U22:AF22"/>
    <mergeCell ref="AT22:AU22"/>
    <mergeCell ref="G23:H23"/>
    <mergeCell ref="L23:L25"/>
    <mergeCell ref="AI23:AJ23"/>
    <mergeCell ref="AT23:AU23"/>
    <mergeCell ref="AI24:AJ24"/>
    <mergeCell ref="A29:A30"/>
    <mergeCell ref="B29:D29"/>
    <mergeCell ref="G29:I29"/>
    <mergeCell ref="M29:M30"/>
    <mergeCell ref="O29:P29"/>
    <mergeCell ref="Q29:R29"/>
    <mergeCell ref="AT24:AU24"/>
    <mergeCell ref="AD25:AF25"/>
    <mergeCell ref="AT25:AU25"/>
    <mergeCell ref="AI26:AJ26"/>
    <mergeCell ref="AK26:AL26"/>
    <mergeCell ref="AT26:AU26"/>
    <mergeCell ref="S29:T29"/>
    <mergeCell ref="AT29:AU29"/>
    <mergeCell ref="B30:C30"/>
    <mergeCell ref="O30:P30"/>
    <mergeCell ref="Q30:R30"/>
    <mergeCell ref="S30:T30"/>
    <mergeCell ref="AT30:AU30"/>
    <mergeCell ref="BF88:BH89"/>
    <mergeCell ref="BA91:BC91"/>
    <mergeCell ref="AW26:AW30"/>
    <mergeCell ref="AB27:AF27"/>
    <mergeCell ref="AT27:AU27"/>
    <mergeCell ref="AT28:AU28"/>
    <mergeCell ref="B31:C31"/>
    <mergeCell ref="O31:P31"/>
    <mergeCell ref="Q31:R31"/>
    <mergeCell ref="S31:T31"/>
    <mergeCell ref="AT31:AU31"/>
    <mergeCell ref="AT94:AV94"/>
    <mergeCell ref="A37:A42"/>
    <mergeCell ref="A43:A48"/>
    <mergeCell ref="A49:A54"/>
    <mergeCell ref="A55:A60"/>
    <mergeCell ref="AY56:BB56"/>
    <mergeCell ref="AU59:AV59"/>
    <mergeCell ref="BA136:BC136"/>
    <mergeCell ref="A32:A36"/>
    <mergeCell ref="AT32:AU32"/>
    <mergeCell ref="AT33:AU33"/>
    <mergeCell ref="AT34:AU34"/>
    <mergeCell ref="A61:A66"/>
    <mergeCell ref="A67:A72"/>
    <mergeCell ref="A73:A78"/>
    <mergeCell ref="BA142:BC142"/>
    <mergeCell ref="BA154:BC154"/>
    <mergeCell ref="BA157:BC157"/>
    <mergeCell ref="AT98:AU98"/>
    <mergeCell ref="AT101:AV101"/>
    <mergeCell ref="BA102:BC102"/>
    <mergeCell ref="AT112:AU112"/>
    <mergeCell ref="BA113:BC113"/>
    <mergeCell ref="BA124:BC124"/>
    <mergeCell ref="AT114:AV114"/>
    <mergeCell ref="AT118:AU118"/>
    <mergeCell ref="AY135:BJ135"/>
    <mergeCell ref="BT185:BU185"/>
    <mergeCell ref="BW185:BY185"/>
    <mergeCell ref="BM135:BP135"/>
    <mergeCell ref="BM160:BP160"/>
    <mergeCell ref="BQ160:BX160"/>
    <mergeCell ref="BY160:CF160"/>
    <mergeCell ref="BW177:BX177"/>
    <mergeCell ref="BN179:BR179"/>
    <mergeCell ref="BT179:BU179"/>
    <mergeCell ref="BW179:BY179"/>
    <mergeCell ref="BT180:BU180"/>
    <mergeCell ref="BW180:BY180"/>
    <mergeCell ref="BW157:BX157"/>
    <mergeCell ref="BQ135:BX135"/>
    <mergeCell ref="BY135:CF135"/>
    <mergeCell ref="BT191:BU191"/>
    <mergeCell ref="BW191:BY191"/>
    <mergeCell ref="BT192:BU192"/>
    <mergeCell ref="BW192:BY192"/>
    <mergeCell ref="AQ4:AR4"/>
    <mergeCell ref="AQ5:AR5"/>
    <mergeCell ref="BT186:BU186"/>
    <mergeCell ref="BW186:BY186"/>
    <mergeCell ref="BT187:BU187"/>
    <mergeCell ref="BW187:BY187"/>
    <mergeCell ref="BT188:BU188"/>
    <mergeCell ref="BW188:BY188"/>
    <mergeCell ref="BT189:BU189"/>
    <mergeCell ref="BW189:BY189"/>
    <mergeCell ref="BT190:BU190"/>
    <mergeCell ref="BW190:BY190"/>
    <mergeCell ref="BT181:BU181"/>
    <mergeCell ref="BW181:BY181"/>
    <mergeCell ref="BT182:BU182"/>
    <mergeCell ref="BW182:BY182"/>
    <mergeCell ref="BT183:BU183"/>
    <mergeCell ref="BW183:BY183"/>
    <mergeCell ref="BT184:BU184"/>
    <mergeCell ref="BW184:BY184"/>
  </mergeCells>
  <conditionalFormatting sqref="G3:H3">
    <cfRule type="cellIs" dxfId="3" priority="1" operator="equal">
      <formula>$G$3</formula>
    </cfRule>
    <cfRule type="cellIs" dxfId="2" priority="2" stopIfTrue="1" operator="equal">
      <formula>"»»» Verifique a Data"</formula>
    </cfRule>
  </conditionalFormatting>
  <printOptions horizontalCentered="1" verticalCentered="1"/>
  <pageMargins left="0.35433070866141736" right="0.35433070866141736" top="0.59055118110236227" bottom="0.39370078740157483" header="0.31496062992125984" footer="0.31496062992125984"/>
  <pageSetup paperSize="9" scale="28" orientation="landscape" r:id="rId1"/>
  <headerFooter alignWithMargins="0">
    <oddFooter>&amp;RPág. 1 de &amp;N</oddFooter>
  </headerFooter>
  <drawing r:id="rId2"/>
  <legacyDrawing r:id="rId3"/>
  <oleObjects>
    <mc:AlternateContent xmlns:mc="http://schemas.openxmlformats.org/markup-compatibility/2006">
      <mc:Choice Requires="x14">
        <oleObject progId="Equation.3" shapeId="68613" r:id="rId4">
          <objectPr defaultSize="0" autoPict="0" r:id="rId5">
            <anchor moveWithCells="1" sizeWithCells="1">
              <from>
                <xdr:col>27</xdr:col>
                <xdr:colOff>38100</xdr:colOff>
                <xdr:row>28</xdr:row>
                <xdr:rowOff>76200</xdr:rowOff>
              </from>
              <to>
                <xdr:col>29</xdr:col>
                <xdr:colOff>28575</xdr:colOff>
                <xdr:row>29</xdr:row>
                <xdr:rowOff>333375</xdr:rowOff>
              </to>
            </anchor>
          </objectPr>
        </oleObject>
      </mc:Choice>
      <mc:Fallback>
        <oleObject progId="Equation.3" shapeId="68613" r:id="rId4"/>
      </mc:Fallback>
    </mc:AlternateContent>
    <mc:AlternateContent xmlns:mc="http://schemas.openxmlformats.org/markup-compatibility/2006">
      <mc:Choice Requires="x14">
        <oleObject progId="Equation.3" shapeId="68614" r:id="rId6">
          <objectPr defaultSize="0" autoPict="0" r:id="rId7">
            <anchor moveWithCells="1" sizeWithCells="1">
              <from>
                <xdr:col>29</xdr:col>
                <xdr:colOff>219075</xdr:colOff>
                <xdr:row>28</xdr:row>
                <xdr:rowOff>76200</xdr:rowOff>
              </from>
              <to>
                <xdr:col>29</xdr:col>
                <xdr:colOff>1304925</xdr:colOff>
                <xdr:row>30</xdr:row>
                <xdr:rowOff>114300</xdr:rowOff>
              </to>
            </anchor>
          </objectPr>
        </oleObject>
      </mc:Choice>
      <mc:Fallback>
        <oleObject progId="Equation.3" shapeId="68614" r:id="rId6"/>
      </mc:Fallback>
    </mc:AlternateContent>
    <mc:AlternateContent xmlns:mc="http://schemas.openxmlformats.org/markup-compatibility/2006">
      <mc:Choice Requires="x14">
        <oleObject progId="Equation.DSMT4" shapeId="68618" r:id="rId8">
          <objectPr defaultSize="0" autoPict="0" r:id="rId9">
            <anchor moveWithCells="1" sizeWithCells="1">
              <from>
                <xdr:col>20</xdr:col>
                <xdr:colOff>723900</xdr:colOff>
                <xdr:row>33</xdr:row>
                <xdr:rowOff>28575</xdr:rowOff>
              </from>
              <to>
                <xdr:col>20</xdr:col>
                <xdr:colOff>2295525</xdr:colOff>
                <xdr:row>33</xdr:row>
                <xdr:rowOff>600075</xdr:rowOff>
              </to>
            </anchor>
          </objectPr>
        </oleObject>
      </mc:Choice>
      <mc:Fallback>
        <oleObject progId="Equation.DSMT4" shapeId="68618" r:id="rId8"/>
      </mc:Fallback>
    </mc:AlternateContent>
    <mc:AlternateContent xmlns:mc="http://schemas.openxmlformats.org/markup-compatibility/2006">
      <mc:Choice Requires="x14">
        <oleObject progId="Equation.DSMT4" shapeId="68619" r:id="rId10">
          <objectPr defaultSize="0" autoPict="0" r:id="rId11">
            <anchor moveWithCells="1" sizeWithCells="1">
              <from>
                <xdr:col>20</xdr:col>
                <xdr:colOff>609600</xdr:colOff>
                <xdr:row>35</xdr:row>
                <xdr:rowOff>47625</xdr:rowOff>
              </from>
              <to>
                <xdr:col>20</xdr:col>
                <xdr:colOff>2724150</xdr:colOff>
                <xdr:row>35</xdr:row>
                <xdr:rowOff>428625</xdr:rowOff>
              </to>
            </anchor>
          </objectPr>
        </oleObject>
      </mc:Choice>
      <mc:Fallback>
        <oleObject progId="Equation.DSMT4" shapeId="68619" r:id="rId10"/>
      </mc:Fallback>
    </mc:AlternateContent>
    <mc:AlternateContent xmlns:mc="http://schemas.openxmlformats.org/markup-compatibility/2006">
      <mc:Choice Requires="x14">
        <oleObject progId="Equation.DSMT4" shapeId="68620" r:id="rId12">
          <objectPr defaultSize="0" autoPict="0" r:id="rId13">
            <anchor moveWithCells="1" sizeWithCells="1">
              <from>
                <xdr:col>22</xdr:col>
                <xdr:colOff>933450</xdr:colOff>
                <xdr:row>24</xdr:row>
                <xdr:rowOff>76200</xdr:rowOff>
              </from>
              <to>
                <xdr:col>31</xdr:col>
                <xdr:colOff>361950</xdr:colOff>
                <xdr:row>25</xdr:row>
                <xdr:rowOff>219075</xdr:rowOff>
              </to>
            </anchor>
          </objectPr>
        </oleObject>
      </mc:Choice>
      <mc:Fallback>
        <oleObject progId="Equation.DSMT4" shapeId="68620" r:id="rId12"/>
      </mc:Fallback>
    </mc:AlternateContent>
    <mc:AlternateContent xmlns:mc="http://schemas.openxmlformats.org/markup-compatibility/2006">
      <mc:Choice Requires="x14">
        <oleObject progId="Equation.DSMT4" shapeId="68621" r:id="rId14">
          <objectPr defaultSize="0" autoPict="0" r:id="rId15">
            <anchor moveWithCells="1" sizeWithCells="1">
              <from>
                <xdr:col>20</xdr:col>
                <xdr:colOff>600075</xdr:colOff>
                <xdr:row>31</xdr:row>
                <xdr:rowOff>28575</xdr:rowOff>
              </from>
              <to>
                <xdr:col>20</xdr:col>
                <xdr:colOff>2133600</xdr:colOff>
                <xdr:row>31</xdr:row>
                <xdr:rowOff>342900</xdr:rowOff>
              </to>
            </anchor>
          </objectPr>
        </oleObject>
      </mc:Choice>
      <mc:Fallback>
        <oleObject progId="Equation.DSMT4" shapeId="68621" r:id="rId14"/>
      </mc:Fallback>
    </mc:AlternateContent>
    <mc:AlternateContent xmlns:mc="http://schemas.openxmlformats.org/markup-compatibility/2006">
      <mc:Choice Requires="x14">
        <oleObject progId="Equation.DSMT4" shapeId="68622" r:id="rId16">
          <objectPr defaultSize="0" autoPict="0" r:id="rId17">
            <anchor moveWithCells="1" sizeWithCells="1">
              <from>
                <xdr:col>20</xdr:col>
                <xdr:colOff>152400</xdr:colOff>
                <xdr:row>30</xdr:row>
                <xdr:rowOff>47625</xdr:rowOff>
              </from>
              <to>
                <xdr:col>20</xdr:col>
                <xdr:colOff>2752725</xdr:colOff>
                <xdr:row>31</xdr:row>
                <xdr:rowOff>28575</xdr:rowOff>
              </to>
            </anchor>
          </objectPr>
        </oleObject>
      </mc:Choice>
      <mc:Fallback>
        <oleObject progId="Equation.DSMT4" shapeId="68622" r:id="rId16"/>
      </mc:Fallback>
    </mc:AlternateContent>
    <mc:AlternateContent xmlns:mc="http://schemas.openxmlformats.org/markup-compatibility/2006">
      <mc:Choice Requires="x14">
        <oleObject progId="Equation.DSMT4" shapeId="68623" r:id="rId18">
          <objectPr defaultSize="0" autoPict="0" r:id="rId19">
            <anchor moveWithCells="1" sizeWithCells="1">
              <from>
                <xdr:col>20</xdr:col>
                <xdr:colOff>104775</xdr:colOff>
                <xdr:row>22</xdr:row>
                <xdr:rowOff>295275</xdr:rowOff>
              </from>
              <to>
                <xdr:col>20</xdr:col>
                <xdr:colOff>1905000</xdr:colOff>
                <xdr:row>23</xdr:row>
                <xdr:rowOff>228600</xdr:rowOff>
              </to>
            </anchor>
          </objectPr>
        </oleObject>
      </mc:Choice>
      <mc:Fallback>
        <oleObject progId="Equation.DSMT4" shapeId="68623" r:id="rId18"/>
      </mc:Fallback>
    </mc:AlternateContent>
    <mc:AlternateContent xmlns:mc="http://schemas.openxmlformats.org/markup-compatibility/2006">
      <mc:Choice Requires="x14">
        <oleObject progId="Equation.DSMT4" shapeId="68624" r:id="rId20">
          <objectPr defaultSize="0" autoPict="0" r:id="rId21">
            <anchor moveWithCells="1" sizeWithCells="1">
              <from>
                <xdr:col>20</xdr:col>
                <xdr:colOff>1781175</xdr:colOff>
                <xdr:row>22</xdr:row>
                <xdr:rowOff>38100</xdr:rowOff>
              </from>
              <to>
                <xdr:col>20</xdr:col>
                <xdr:colOff>3028950</xdr:colOff>
                <xdr:row>22</xdr:row>
                <xdr:rowOff>295275</xdr:rowOff>
              </to>
            </anchor>
          </objectPr>
        </oleObject>
      </mc:Choice>
      <mc:Fallback>
        <oleObject progId="Equation.DSMT4" shapeId="68624" r:id="rId20"/>
      </mc:Fallback>
    </mc:AlternateContent>
    <mc:AlternateContent xmlns:mc="http://schemas.openxmlformats.org/markup-compatibility/2006">
      <mc:Choice Requires="x14">
        <oleObject progId="Equation.DSMT4" shapeId="68625" r:id="rId22">
          <objectPr defaultSize="0" autoPict="0" r:id="rId23">
            <anchor moveWithCells="1" sizeWithCells="1">
              <from>
                <xdr:col>20</xdr:col>
                <xdr:colOff>76200</xdr:colOff>
                <xdr:row>21</xdr:row>
                <xdr:rowOff>371475</xdr:rowOff>
              </from>
              <to>
                <xdr:col>20</xdr:col>
                <xdr:colOff>1609725</xdr:colOff>
                <xdr:row>22</xdr:row>
                <xdr:rowOff>314325</xdr:rowOff>
              </to>
            </anchor>
          </objectPr>
        </oleObject>
      </mc:Choice>
      <mc:Fallback>
        <oleObject progId="Equation.DSMT4" shapeId="68625" r:id="rId22"/>
      </mc:Fallback>
    </mc:AlternateContent>
    <mc:AlternateContent xmlns:mc="http://schemas.openxmlformats.org/markup-compatibility/2006">
      <mc:Choice Requires="x14">
        <oleObject progId="Equation.DSMT4" shapeId="68626" r:id="rId24">
          <objectPr defaultSize="0" autoPict="0" r:id="rId25">
            <anchor moveWithCells="1" sizeWithCells="1">
              <from>
                <xdr:col>19</xdr:col>
                <xdr:colOff>981075</xdr:colOff>
                <xdr:row>32</xdr:row>
                <xdr:rowOff>238125</xdr:rowOff>
              </from>
              <to>
                <xdr:col>21</xdr:col>
                <xdr:colOff>323850</xdr:colOff>
                <xdr:row>33</xdr:row>
                <xdr:rowOff>9525</xdr:rowOff>
              </to>
            </anchor>
          </objectPr>
        </oleObject>
      </mc:Choice>
      <mc:Fallback>
        <oleObject progId="Equation.DSMT4" shapeId="68626" r:id="rId24"/>
      </mc:Fallback>
    </mc:AlternateContent>
    <mc:AlternateContent xmlns:mc="http://schemas.openxmlformats.org/markup-compatibility/2006">
      <mc:Choice Requires="x14">
        <oleObject progId="Equation.DSMT4" shapeId="68627" r:id="rId26">
          <objectPr defaultSize="0" autoPict="0" r:id="rId27">
            <anchor moveWithCells="1" sizeWithCells="1">
              <from>
                <xdr:col>20</xdr:col>
                <xdr:colOff>457200</xdr:colOff>
                <xdr:row>31</xdr:row>
                <xdr:rowOff>485775</xdr:rowOff>
              </from>
              <to>
                <xdr:col>20</xdr:col>
                <xdr:colOff>2552700</xdr:colOff>
                <xdr:row>32</xdr:row>
                <xdr:rowOff>285750</xdr:rowOff>
              </to>
            </anchor>
          </objectPr>
        </oleObject>
      </mc:Choice>
      <mc:Fallback>
        <oleObject progId="Equation.DSMT4" shapeId="68627" r:id="rId26"/>
      </mc:Fallback>
    </mc:AlternateContent>
    <mc:AlternateContent xmlns:mc="http://schemas.openxmlformats.org/markup-compatibility/2006">
      <mc:Choice Requires="x14">
        <oleObject progId="Equation.DSMT4" shapeId="68628" r:id="rId28">
          <objectPr defaultSize="0" autoPict="0" r:id="rId29">
            <anchor moveWithCells="1" sizeWithCells="1">
              <from>
                <xdr:col>20</xdr:col>
                <xdr:colOff>485775</xdr:colOff>
                <xdr:row>33</xdr:row>
                <xdr:rowOff>542925</xdr:rowOff>
              </from>
              <to>
                <xdr:col>20</xdr:col>
                <xdr:colOff>2476500</xdr:colOff>
                <xdr:row>34</xdr:row>
                <xdr:rowOff>361950</xdr:rowOff>
              </to>
            </anchor>
          </objectPr>
        </oleObject>
      </mc:Choice>
      <mc:Fallback>
        <oleObject progId="Equation.DSMT4" shapeId="68628" r:id="rId28"/>
      </mc:Fallback>
    </mc:AlternateContent>
    <mc:AlternateContent xmlns:mc="http://schemas.openxmlformats.org/markup-compatibility/2006">
      <mc:Choice Requires="x14">
        <oleObject progId="Equation.DSMT4" shapeId="68629" r:id="rId30">
          <objectPr defaultSize="0" autoPict="0" r:id="rId31">
            <anchor moveWithCells="1" sizeWithCells="1">
              <from>
                <xdr:col>20</xdr:col>
                <xdr:colOff>123825</xdr:colOff>
                <xdr:row>34</xdr:row>
                <xdr:rowOff>314325</xdr:rowOff>
              </from>
              <to>
                <xdr:col>20</xdr:col>
                <xdr:colOff>2752725</xdr:colOff>
                <xdr:row>35</xdr:row>
                <xdr:rowOff>0</xdr:rowOff>
              </to>
            </anchor>
          </objectPr>
        </oleObject>
      </mc:Choice>
      <mc:Fallback>
        <oleObject progId="Equation.DSMT4" shapeId="68629" r:id="rId30"/>
      </mc:Fallback>
    </mc:AlternateContent>
    <mc:AlternateContent xmlns:mc="http://schemas.openxmlformats.org/markup-compatibility/2006">
      <mc:Choice Requires="x14">
        <oleObject progId="Equation.DSMT4" shapeId="68630" r:id="rId32">
          <objectPr defaultSize="0" autoPict="0" r:id="rId33">
            <anchor moveWithCells="1" sizeWithCells="1">
              <from>
                <xdr:col>14</xdr:col>
                <xdr:colOff>504825</xdr:colOff>
                <xdr:row>29</xdr:row>
                <xdr:rowOff>180975</xdr:rowOff>
              </from>
              <to>
                <xdr:col>15</xdr:col>
                <xdr:colOff>447675</xdr:colOff>
                <xdr:row>30</xdr:row>
                <xdr:rowOff>9525</xdr:rowOff>
              </to>
            </anchor>
          </objectPr>
        </oleObject>
      </mc:Choice>
      <mc:Fallback>
        <oleObject progId="Equation.DSMT4" shapeId="68630" r:id="rId32"/>
      </mc:Fallback>
    </mc:AlternateContent>
    <mc:AlternateContent xmlns:mc="http://schemas.openxmlformats.org/markup-compatibility/2006">
      <mc:Choice Requires="x14">
        <oleObject progId="Equation.DSMT4" shapeId="68631" r:id="rId34">
          <objectPr defaultSize="0" autoPict="0" r:id="rId35">
            <anchor moveWithCells="1" sizeWithCells="1">
              <from>
                <xdr:col>21</xdr:col>
                <xdr:colOff>257175</xdr:colOff>
                <xdr:row>22</xdr:row>
                <xdr:rowOff>76200</xdr:rowOff>
              </from>
              <to>
                <xdr:col>24</xdr:col>
                <xdr:colOff>514350</xdr:colOff>
                <xdr:row>23</xdr:row>
                <xdr:rowOff>66675</xdr:rowOff>
              </to>
            </anchor>
          </objectPr>
        </oleObject>
      </mc:Choice>
      <mc:Fallback>
        <oleObject progId="Equation.DSMT4" shapeId="68631" r:id="rId34"/>
      </mc:Fallback>
    </mc:AlternateContent>
    <mc:AlternateContent xmlns:mc="http://schemas.openxmlformats.org/markup-compatibility/2006">
      <mc:Choice Requires="x14">
        <oleObject progId="Equation.DSMT4" shapeId="68632" r:id="rId36">
          <objectPr defaultSize="0" autoPict="0" r:id="rId37">
            <anchor moveWithCells="1" sizeWithCells="1">
              <from>
                <xdr:col>24</xdr:col>
                <xdr:colOff>990600</xdr:colOff>
                <xdr:row>22</xdr:row>
                <xdr:rowOff>66675</xdr:rowOff>
              </from>
              <to>
                <xdr:col>31</xdr:col>
                <xdr:colOff>371475</xdr:colOff>
                <xdr:row>23</xdr:row>
                <xdr:rowOff>57150</xdr:rowOff>
              </to>
            </anchor>
          </objectPr>
        </oleObject>
      </mc:Choice>
      <mc:Fallback>
        <oleObject progId="Equation.DSMT4" shapeId="68632" r:id="rId36"/>
      </mc:Fallback>
    </mc:AlternateContent>
    <mc:AlternateContent xmlns:mc="http://schemas.openxmlformats.org/markup-compatibility/2006">
      <mc:Choice Requires="x14">
        <oleObject progId="Equation.DSMT4" shapeId="68633" r:id="rId38">
          <objectPr defaultSize="0" autoPict="0" r:id="rId39">
            <anchor moveWithCells="1" sizeWithCells="1">
              <from>
                <xdr:col>20</xdr:col>
                <xdr:colOff>38100</xdr:colOff>
                <xdr:row>23</xdr:row>
                <xdr:rowOff>200025</xdr:rowOff>
              </from>
              <to>
                <xdr:col>20</xdr:col>
                <xdr:colOff>1943100</xdr:colOff>
                <xdr:row>24</xdr:row>
                <xdr:rowOff>161925</xdr:rowOff>
              </to>
            </anchor>
          </objectPr>
        </oleObject>
      </mc:Choice>
      <mc:Fallback>
        <oleObject progId="Equation.DSMT4" shapeId="68633" r:id="rId38"/>
      </mc:Fallback>
    </mc:AlternateContent>
    <mc:AlternateContent xmlns:mc="http://schemas.openxmlformats.org/markup-compatibility/2006">
      <mc:Choice Requires="x14">
        <oleObject progId="Equation.DSMT4" shapeId="68634" r:id="rId40">
          <objectPr defaultSize="0" autoPict="0" r:id="rId41">
            <anchor moveWithCells="1" sizeWithCells="1">
              <from>
                <xdr:col>20</xdr:col>
                <xdr:colOff>104775</xdr:colOff>
                <xdr:row>24</xdr:row>
                <xdr:rowOff>190500</xdr:rowOff>
              </from>
              <to>
                <xdr:col>20</xdr:col>
                <xdr:colOff>1695450</xdr:colOff>
                <xdr:row>25</xdr:row>
                <xdr:rowOff>219075</xdr:rowOff>
              </to>
            </anchor>
          </objectPr>
        </oleObject>
      </mc:Choice>
      <mc:Fallback>
        <oleObject progId="Equation.DSMT4" shapeId="68634" r:id="rId40"/>
      </mc:Fallback>
    </mc:AlternateContent>
    <mc:AlternateContent xmlns:mc="http://schemas.openxmlformats.org/markup-compatibility/2006">
      <mc:Choice Requires="x14">
        <oleObject progId="Equation.DSMT4" shapeId="68635" r:id="rId42">
          <objectPr defaultSize="0" autoPict="0" r:id="rId43">
            <anchor moveWithCells="1" sizeWithCells="1">
              <from>
                <xdr:col>38</xdr:col>
                <xdr:colOff>904875</xdr:colOff>
                <xdr:row>255</xdr:row>
                <xdr:rowOff>142875</xdr:rowOff>
              </from>
              <to>
                <xdr:col>40</xdr:col>
                <xdr:colOff>419100</xdr:colOff>
                <xdr:row>258</xdr:row>
                <xdr:rowOff>9525</xdr:rowOff>
              </to>
            </anchor>
          </objectPr>
        </oleObject>
      </mc:Choice>
      <mc:Fallback>
        <oleObject progId="Equation.DSMT4" shapeId="68635" r:id="rId42"/>
      </mc:Fallback>
    </mc:AlternateContent>
    <mc:AlternateContent xmlns:mc="http://schemas.openxmlformats.org/markup-compatibility/2006">
      <mc:Choice Requires="x14">
        <oleObject progId="Equation.DSMT4" shapeId="68672" r:id="rId44">
          <objectPr defaultSize="0" autoPict="0" r:id="rId45">
            <anchor moveWithCells="1" sizeWithCells="1">
              <from>
                <xdr:col>20</xdr:col>
                <xdr:colOff>628650</xdr:colOff>
                <xdr:row>82</xdr:row>
                <xdr:rowOff>180975</xdr:rowOff>
              </from>
              <to>
                <xdr:col>20</xdr:col>
                <xdr:colOff>2762250</xdr:colOff>
                <xdr:row>84</xdr:row>
                <xdr:rowOff>104775</xdr:rowOff>
              </to>
            </anchor>
          </objectPr>
        </oleObject>
      </mc:Choice>
      <mc:Fallback>
        <oleObject progId="Equation.DSMT4" shapeId="68672" r:id="rId44"/>
      </mc:Fallback>
    </mc:AlternateContent>
    <mc:AlternateContent xmlns:mc="http://schemas.openxmlformats.org/markup-compatibility/2006">
      <mc:Choice Requires="x14">
        <oleObject progId="Equation.DSMT4" shapeId="68677" r:id="rId46">
          <objectPr defaultSize="0" autoPict="0" r:id="rId47">
            <anchor moveWithCells="1" sizeWithCells="1">
              <from>
                <xdr:col>20</xdr:col>
                <xdr:colOff>704850</xdr:colOff>
                <xdr:row>91</xdr:row>
                <xdr:rowOff>266700</xdr:rowOff>
              </from>
              <to>
                <xdr:col>20</xdr:col>
                <xdr:colOff>2295525</xdr:colOff>
                <xdr:row>92</xdr:row>
                <xdr:rowOff>238125</xdr:rowOff>
              </to>
            </anchor>
          </objectPr>
        </oleObject>
      </mc:Choice>
      <mc:Fallback>
        <oleObject progId="Equation.DSMT4" shapeId="68677" r:id="rId4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8" name="Drop Down 9">
              <controlPr defaultSize="0" autoLine="0" autoPict="0">
                <anchor moveWithCells="1">
                  <from>
                    <xdr:col>4</xdr:col>
                    <xdr:colOff>66675</xdr:colOff>
                    <xdr:row>12</xdr:row>
                    <xdr:rowOff>66675</xdr:rowOff>
                  </from>
                  <to>
                    <xdr:col>4</xdr:col>
                    <xdr:colOff>990600</xdr:colOff>
                    <xdr:row>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49" name="Drop Down 16">
              <controlPr defaultSize="0" autoLine="0" autoPict="0">
                <anchor moveWithCells="1">
                  <from>
                    <xdr:col>15</xdr:col>
                    <xdr:colOff>323850</xdr:colOff>
                    <xdr:row>3</xdr:row>
                    <xdr:rowOff>238125</xdr:rowOff>
                  </from>
                  <to>
                    <xdr:col>16</xdr:col>
                    <xdr:colOff>828675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2" r:id="rId50" name="Drop Down 1026">
              <controlPr defaultSize="0" autoLine="0" autoPict="0">
                <anchor moveWithCells="1">
                  <from>
                    <xdr:col>10</xdr:col>
                    <xdr:colOff>190500</xdr:colOff>
                    <xdr:row>1</xdr:row>
                    <xdr:rowOff>200025</xdr:rowOff>
                  </from>
                  <to>
                    <xdr:col>11</xdr:col>
                    <xdr:colOff>676275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5" r:id="rId51" name="Check Box 1344">
              <controlPr defaultSize="0" autoFill="0" autoLine="0" autoPict="0">
                <anchor moveWithCells="1">
                  <from>
                    <xdr:col>11</xdr:col>
                    <xdr:colOff>123825</xdr:colOff>
                    <xdr:row>6</xdr:row>
                    <xdr:rowOff>57150</xdr:rowOff>
                  </from>
                  <to>
                    <xdr:col>11</xdr:col>
                    <xdr:colOff>419100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6" r:id="rId52" name="Check Box 1481">
              <controlPr defaultSize="0" autoFill="0" autoLine="0" autoPict="0">
                <anchor moveWithCells="1">
                  <from>
                    <xdr:col>8</xdr:col>
                    <xdr:colOff>123825</xdr:colOff>
                    <xdr:row>6</xdr:row>
                    <xdr:rowOff>57150</xdr:rowOff>
                  </from>
                  <to>
                    <xdr:col>8</xdr:col>
                    <xdr:colOff>419100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7" r:id="rId53" name="Check Box 9">
              <controlPr defaultSize="0" autoFill="0" autoLine="0" autoPict="0">
                <anchor moveWithCells="1">
                  <from>
                    <xdr:col>6</xdr:col>
                    <xdr:colOff>123825</xdr:colOff>
                    <xdr:row>13</xdr:row>
                    <xdr:rowOff>57150</xdr:rowOff>
                  </from>
                  <to>
                    <xdr:col>6</xdr:col>
                    <xdr:colOff>419100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5" r:id="rId54" name="Check Box 10">
              <controlPr defaultSize="0" autoFill="0" autoLine="0" autoPict="0">
                <anchor moveWithCells="1">
                  <from>
                    <xdr:col>8</xdr:col>
                    <xdr:colOff>123825</xdr:colOff>
                    <xdr:row>18</xdr:row>
                    <xdr:rowOff>57150</xdr:rowOff>
                  </from>
                  <to>
                    <xdr:col>8</xdr:col>
                    <xdr:colOff>485775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6" r:id="rId55" name="Drop Down 68">
              <controlPr defaultSize="0" autoLine="0" autoPict="0">
                <anchor moveWithCells="1">
                  <from>
                    <xdr:col>10</xdr:col>
                    <xdr:colOff>57150</xdr:colOff>
                    <xdr:row>16</xdr:row>
                    <xdr:rowOff>95250</xdr:rowOff>
                  </from>
                  <to>
                    <xdr:col>11</xdr:col>
                    <xdr:colOff>542925</xdr:colOff>
                    <xdr:row>16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1BCF9-9BE6-4F0B-BA3C-10192FD918C8}">
  <sheetPr codeName="Sheet6">
    <tabColor rgb="FFFFFF00"/>
    <pageSetUpPr fitToPage="1"/>
  </sheetPr>
  <dimension ref="A1:CT304"/>
  <sheetViews>
    <sheetView showGridLines="0" topLeftCell="Y183" zoomScale="80" zoomScaleNormal="80" workbookViewId="0">
      <selection activeCell="AK207" sqref="AK207"/>
    </sheetView>
  </sheetViews>
  <sheetFormatPr defaultRowHeight="15" customHeight="1"/>
  <cols>
    <col min="1" max="1" width="10.85546875" customWidth="1"/>
    <col min="2" max="2" width="15.28515625" customWidth="1"/>
    <col min="3" max="3" width="13" customWidth="1"/>
    <col min="4" max="4" width="16" style="33" bestFit="1" customWidth="1"/>
    <col min="5" max="5" width="16.42578125" style="6" bestFit="1" customWidth="1"/>
    <col min="6" max="6" width="16.140625" customWidth="1"/>
    <col min="7" max="7" width="14.42578125" customWidth="1"/>
    <col min="8" max="8" width="13.140625" customWidth="1"/>
    <col min="9" max="9" width="14.42578125" customWidth="1"/>
    <col min="10" max="10" width="15.28515625" customWidth="1"/>
    <col min="11" max="11" width="14.5703125" bestFit="1" customWidth="1"/>
    <col min="12" max="12" width="15.85546875" style="6" customWidth="1"/>
    <col min="13" max="13" width="15.85546875" style="89" customWidth="1"/>
    <col min="14" max="14" width="13.85546875" customWidth="1"/>
    <col min="15" max="15" width="13.5703125" customWidth="1"/>
    <col min="16" max="16" width="15.28515625" customWidth="1"/>
    <col min="17" max="17" width="15" customWidth="1"/>
    <col min="18" max="20" width="15" style="87" customWidth="1"/>
    <col min="21" max="21" width="45.5703125" style="87" customWidth="1"/>
    <col min="22" max="22" width="15.85546875" bestFit="1" customWidth="1"/>
    <col min="23" max="23" width="18.28515625" bestFit="1" customWidth="1"/>
    <col min="24" max="24" width="18.5703125" bestFit="1" customWidth="1"/>
    <col min="25" max="25" width="17.7109375" bestFit="1" customWidth="1"/>
    <col min="26" max="26" width="13.5703125" customWidth="1"/>
    <col min="27" max="28" width="15.85546875" bestFit="1" customWidth="1"/>
    <col min="29" max="29" width="11.5703125" customWidth="1"/>
    <col min="30" max="30" width="21" customWidth="1"/>
    <col min="31" max="31" width="10.85546875" bestFit="1" customWidth="1"/>
    <col min="32" max="32" width="11.140625" customWidth="1"/>
    <col min="33" max="33" width="11.7109375" hidden="1" customWidth="1"/>
    <col min="34" max="34" width="7.85546875" customWidth="1"/>
    <col min="35" max="35" width="21.28515625" style="7" customWidth="1"/>
    <col min="36" max="36" width="15.85546875" style="7" customWidth="1"/>
    <col min="37" max="37" width="21" style="8" customWidth="1"/>
    <col min="38" max="38" width="16" style="8" customWidth="1"/>
    <col min="39" max="39" width="27.42578125" style="525" customWidth="1"/>
    <col min="40" max="40" width="49.28515625" style="525" customWidth="1"/>
    <col min="41" max="41" width="18.42578125" style="525" bestFit="1" customWidth="1"/>
    <col min="42" max="43" width="7.28515625" style="525" customWidth="1"/>
    <col min="44" max="44" width="17.7109375" customWidth="1"/>
    <col min="45" max="45" width="6.28515625" customWidth="1"/>
    <col min="46" max="46" width="12.140625" customWidth="1"/>
    <col min="47" max="47" width="20" customWidth="1"/>
    <col min="48" max="48" width="18.5703125" customWidth="1"/>
    <col min="49" max="49" width="72.85546875" customWidth="1"/>
    <col min="50" max="50" width="27.7109375" customWidth="1"/>
    <col min="51" max="51" width="9.85546875" customWidth="1"/>
    <col min="52" max="52" width="11.7109375" customWidth="1"/>
    <col min="53" max="53" width="14" customWidth="1"/>
    <col min="54" max="54" width="12.85546875" bestFit="1" customWidth="1"/>
    <col min="55" max="55" width="9.85546875" bestFit="1" customWidth="1"/>
    <col min="56" max="56" width="12" customWidth="1"/>
    <col min="57" max="57" width="12.140625" customWidth="1"/>
    <col min="58" max="58" width="12.5703125" customWidth="1"/>
    <col min="59" max="59" width="12" customWidth="1"/>
    <col min="60" max="60" width="12.85546875" bestFit="1" customWidth="1"/>
    <col min="61" max="62" width="13.5703125" customWidth="1"/>
    <col min="63" max="63" width="12.7109375" customWidth="1"/>
    <col min="64" max="64" width="27.28515625" customWidth="1"/>
    <col min="65" max="65" width="15.28515625" customWidth="1"/>
    <col min="67" max="67" width="25" customWidth="1"/>
    <col min="68" max="68" width="23.140625" customWidth="1"/>
    <col min="85" max="85" width="11" bestFit="1" customWidth="1"/>
  </cols>
  <sheetData>
    <row r="1" spans="1:83" ht="42.75" customHeight="1" thickBot="1">
      <c r="A1" s="885" t="s">
        <v>463</v>
      </c>
      <c r="B1" s="885"/>
      <c r="C1" s="885"/>
      <c r="D1" s="885"/>
      <c r="E1" s="885"/>
      <c r="F1" s="885"/>
      <c r="G1" s="885"/>
      <c r="H1" s="885"/>
      <c r="I1" s="885"/>
      <c r="J1" s="885"/>
      <c r="K1" s="885"/>
      <c r="L1" s="885"/>
      <c r="M1" s="885"/>
    </row>
    <row r="2" spans="1:83" ht="34.5" customHeight="1">
      <c r="A2" s="1165" t="s">
        <v>282</v>
      </c>
      <c r="B2" s="1165"/>
      <c r="C2" s="1166"/>
      <c r="D2" s="1167"/>
      <c r="E2" s="1167"/>
      <c r="F2" s="1168"/>
      <c r="G2" s="1169" t="str">
        <f>IF(C2="","",CONCATENATE(RIGHT(YEAR(C3),4),"-",C2))</f>
        <v/>
      </c>
      <c r="H2" s="1169"/>
      <c r="I2" s="681"/>
      <c r="J2" s="1108" t="s">
        <v>328</v>
      </c>
      <c r="K2" s="681"/>
      <c r="L2" s="681"/>
      <c r="M2" s="87"/>
      <c r="AD2" s="969" t="s">
        <v>325</v>
      </c>
      <c r="AE2" s="970"/>
      <c r="AF2" s="971"/>
      <c r="AI2" s="969" t="s">
        <v>320</v>
      </c>
      <c r="AJ2" s="970"/>
      <c r="AK2" s="971"/>
    </row>
    <row r="3" spans="1:83" ht="18.75" customHeight="1" thickBot="1">
      <c r="A3" s="1108" t="s">
        <v>268</v>
      </c>
      <c r="B3" s="1108"/>
      <c r="C3" s="1179"/>
      <c r="D3" s="1180"/>
      <c r="E3" s="1180"/>
      <c r="F3" s="1181"/>
      <c r="G3" s="1182" t="str">
        <f ca="1">IF(C3="","",IF(NOW()-C3&gt;30,"-&gt; Verifique a Data",""))</f>
        <v/>
      </c>
      <c r="H3" s="1182"/>
      <c r="I3" s="681"/>
      <c r="J3" s="1170"/>
      <c r="K3" s="681"/>
      <c r="L3" s="681"/>
      <c r="M3" s="87"/>
      <c r="AD3" s="398" t="b">
        <v>0</v>
      </c>
      <c r="AE3" s="399" t="s">
        <v>62</v>
      </c>
      <c r="AF3" s="400" t="str">
        <f>IF(AD3,"SiM","NÃO")</f>
        <v>NÃO</v>
      </c>
      <c r="AH3" s="3"/>
      <c r="AI3" s="48" t="b">
        <v>0</v>
      </c>
      <c r="AJ3" s="42" t="s">
        <v>62</v>
      </c>
      <c r="AK3" s="43" t="str">
        <f>IF(AI3,"SiM","NÃO")</f>
        <v>NÃO</v>
      </c>
      <c r="AL3" s="3"/>
      <c r="AP3" s="488"/>
      <c r="AQ3" s="488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</row>
    <row r="4" spans="1:83" ht="31.5" customHeight="1" thickBot="1">
      <c r="A4" s="1183" t="s">
        <v>65</v>
      </c>
      <c r="B4" s="1184"/>
      <c r="C4" s="1185"/>
      <c r="D4" s="1186"/>
      <c r="E4" s="1186"/>
      <c r="F4" s="1187"/>
      <c r="G4" s="1188" t="s">
        <v>327</v>
      </c>
      <c r="H4" s="1189"/>
      <c r="I4" s="1189"/>
      <c r="J4" s="1189"/>
      <c r="K4" s="1189"/>
      <c r="L4" s="1190"/>
      <c r="M4" s="569"/>
      <c r="N4" s="917" t="s">
        <v>329</v>
      </c>
      <c r="O4" s="918"/>
      <c r="P4" s="918"/>
      <c r="Q4" s="401"/>
      <c r="AH4" s="3"/>
      <c r="AI4" s="1075" t="s">
        <v>68</v>
      </c>
      <c r="AJ4" s="910"/>
      <c r="AK4" s="1076"/>
      <c r="AL4" s="3"/>
      <c r="AM4" s="911" t="s">
        <v>423</v>
      </c>
      <c r="AN4" s="912"/>
      <c r="AO4" s="913"/>
      <c r="AP4" s="488"/>
      <c r="AQ4" s="878" t="s">
        <v>316</v>
      </c>
      <c r="AR4" s="879"/>
      <c r="AS4" s="3"/>
      <c r="AT4" s="3"/>
      <c r="AU4" s="3"/>
      <c r="AV4" s="3"/>
      <c r="AW4" s="3"/>
      <c r="AX4" s="3"/>
      <c r="AY4" s="3"/>
      <c r="AZ4" s="3"/>
      <c r="BA4" s="3"/>
      <c r="BB4" s="3">
        <f>2/(2*SQRT(3))</f>
        <v>0.57735026918962584</v>
      </c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</row>
    <row r="5" spans="1:83" ht="34.5" customHeight="1" thickBot="1">
      <c r="A5" s="1171" t="s">
        <v>77</v>
      </c>
      <c r="B5" s="1172"/>
      <c r="C5" s="1173"/>
      <c r="D5" s="1174"/>
      <c r="E5" s="1174"/>
      <c r="F5" s="1175"/>
      <c r="G5" s="1176"/>
      <c r="H5" s="1177"/>
      <c r="I5" s="1177"/>
      <c r="J5" s="1177"/>
      <c r="K5" s="1177"/>
      <c r="L5" s="1178"/>
      <c r="M5" s="570"/>
      <c r="N5" s="402"/>
      <c r="Q5" s="403"/>
      <c r="AH5" s="3"/>
      <c r="AI5" s="1077" t="str">
        <f>IF(AK3="sim","Equipamento calibrado nas instalações fixas do laboratório.","")</f>
        <v/>
      </c>
      <c r="AJ5" s="1078"/>
      <c r="AK5" s="1079"/>
      <c r="AL5" s="3"/>
      <c r="AM5" s="526" t="s">
        <v>313</v>
      </c>
      <c r="AN5" s="527" t="s">
        <v>424</v>
      </c>
      <c r="AO5" s="528" t="s">
        <v>517</v>
      </c>
      <c r="AP5" s="488"/>
      <c r="AQ5" s="880" t="s">
        <v>315</v>
      </c>
      <c r="AR5" s="881"/>
      <c r="AS5" s="3"/>
      <c r="AT5" s="925" t="s">
        <v>382</v>
      </c>
      <c r="AU5" s="926"/>
      <c r="AV5" s="280" t="s">
        <v>375</v>
      </c>
      <c r="AW5" s="434" t="s">
        <v>379</v>
      </c>
      <c r="AX5" s="434" t="s">
        <v>376</v>
      </c>
      <c r="AY5" s="434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</row>
    <row r="6" spans="1:83" ht="21" customHeight="1" thickBot="1">
      <c r="A6" s="1157" t="s">
        <v>367</v>
      </c>
      <c r="B6" s="1158"/>
      <c r="C6" s="1159"/>
      <c r="D6" s="1160"/>
      <c r="E6" s="1160"/>
      <c r="F6" s="1161"/>
      <c r="G6" s="1162"/>
      <c r="H6" s="1163"/>
      <c r="I6" s="1163"/>
      <c r="J6" s="1163"/>
      <c r="K6" s="1163"/>
      <c r="L6" s="1164"/>
      <c r="M6" s="570"/>
      <c r="N6" s="1020" t="s">
        <v>350</v>
      </c>
      <c r="O6" s="1021"/>
      <c r="P6" s="1021"/>
      <c r="Q6" s="403"/>
      <c r="AI6" s="969" t="s">
        <v>162</v>
      </c>
      <c r="AJ6" s="970"/>
      <c r="AK6" s="971"/>
      <c r="AM6" s="543" t="s">
        <v>522</v>
      </c>
      <c r="AN6" s="529" t="s">
        <v>524</v>
      </c>
      <c r="AO6" s="530" t="str">
        <f>IF(AP6=0,"NÃO","SIM")</f>
        <v>NÃO</v>
      </c>
      <c r="AP6" s="531">
        <f>IF(ISERROR(SUM(AP7:AP31)),SUM(AP7:AP31),SUM(AP7:AP31))</f>
        <v>0</v>
      </c>
      <c r="AQ6" s="746" t="s">
        <v>234</v>
      </c>
      <c r="AR6" s="361" t="s">
        <v>157</v>
      </c>
      <c r="AS6" t="str">
        <f t="shared" ref="AS6:AS18" si="0">IF(AT6="","",1)</f>
        <v/>
      </c>
      <c r="AT6" s="446" t="str">
        <f>IF(AO189="sim",AM189,"")</f>
        <v/>
      </c>
      <c r="AU6" s="59"/>
      <c r="AV6" s="226" t="str">
        <f>AM189</f>
        <v>713</v>
      </c>
      <c r="AW6" s="445" t="s">
        <v>560</v>
      </c>
      <c r="AX6" s="229" t="s">
        <v>561</v>
      </c>
      <c r="AY6" s="228">
        <v>1</v>
      </c>
      <c r="AZ6" s="45"/>
      <c r="BA6" s="241"/>
      <c r="BB6" s="907" t="s">
        <v>291</v>
      </c>
      <c r="BC6" s="907"/>
      <c r="BD6" s="907"/>
      <c r="BE6" s="240" t="s">
        <v>4</v>
      </c>
      <c r="BF6" s="235">
        <f>IF($E$14="",$C$14,$E$14)</f>
        <v>0</v>
      </c>
      <c r="BG6" s="242"/>
      <c r="BH6" s="907" t="s">
        <v>292</v>
      </c>
      <c r="BI6" s="907"/>
      <c r="BJ6" s="907"/>
      <c r="BK6" s="240" t="s">
        <v>4</v>
      </c>
      <c r="BL6" s="236" t="e">
        <f>#REF!</f>
        <v>#REF!</v>
      </c>
      <c r="BM6" s="3"/>
      <c r="BN6" s="45"/>
      <c r="BO6" s="45"/>
      <c r="BP6" s="45"/>
      <c r="BQ6" s="45"/>
      <c r="BR6" s="45"/>
      <c r="BS6" s="45"/>
      <c r="BT6" s="45"/>
      <c r="BU6" s="45"/>
      <c r="BV6" s="45"/>
    </row>
    <row r="7" spans="1:83" ht="19.5" customHeight="1">
      <c r="A7" s="1128" t="s">
        <v>358</v>
      </c>
      <c r="B7" s="1129"/>
      <c r="C7" s="1143"/>
      <c r="D7" s="1144"/>
      <c r="E7" s="1144"/>
      <c r="F7" s="1145"/>
      <c r="G7" s="1137" t="s">
        <v>269</v>
      </c>
      <c r="H7" s="1146"/>
      <c r="I7" s="1149" t="s">
        <v>80</v>
      </c>
      <c r="J7" s="1151" t="s">
        <v>279</v>
      </c>
      <c r="K7" s="1152"/>
      <c r="L7" s="1149" t="s">
        <v>80</v>
      </c>
      <c r="M7" s="571"/>
      <c r="N7" s="402"/>
      <c r="O7" s="1035"/>
      <c r="P7" s="1035"/>
      <c r="Q7" s="403"/>
      <c r="AI7" s="48" t="b">
        <v>0</v>
      </c>
      <c r="AJ7" s="42" t="s">
        <v>62</v>
      </c>
      <c r="AK7" s="43" t="str">
        <f>IF(AI7,"SiM","NÃO")</f>
        <v>NÃO</v>
      </c>
      <c r="AM7" s="489" t="s">
        <v>49</v>
      </c>
      <c r="AN7" s="506">
        <v>1.0009000000000001E-3</v>
      </c>
      <c r="AO7" s="743">
        <f>0.000006</f>
        <v>6.0000000000000002E-6</v>
      </c>
      <c r="AP7" s="489">
        <f t="shared" ref="AP7:AP31" si="1">IF(ISERROR(MATCH(AM7,$B$32:$B$77,0)),0,(MATCH(AM7,$B$32:$B$77,0)))+IF(ISERROR(MATCH(AM7,$C$32:$C$77,0)),0,(MATCH(AM7,$C$32:$C$77,0)))</f>
        <v>0</v>
      </c>
      <c r="AQ7" s="489"/>
      <c r="AR7" s="91"/>
      <c r="AS7" t="str">
        <f t="shared" si="0"/>
        <v/>
      </c>
      <c r="AT7" s="447" t="str">
        <f>IF(AO218="sim",AM218,"")</f>
        <v/>
      </c>
      <c r="AU7" s="38"/>
      <c r="AV7" s="226" t="str">
        <f>AM218</f>
        <v>714</v>
      </c>
      <c r="AW7" s="445" t="s">
        <v>560</v>
      </c>
      <c r="AX7" s="229" t="s">
        <v>561</v>
      </c>
      <c r="AY7" s="228">
        <v>2</v>
      </c>
      <c r="AZ7" s="45"/>
      <c r="BA7" s="908" t="s">
        <v>299</v>
      </c>
      <c r="BB7" s="909" t="s">
        <v>293</v>
      </c>
      <c r="BC7" s="909" t="s">
        <v>294</v>
      </c>
      <c r="BD7" s="909" t="s">
        <v>295</v>
      </c>
      <c r="BE7" s="909" t="s">
        <v>79</v>
      </c>
      <c r="BF7" s="909" t="s">
        <v>296</v>
      </c>
      <c r="BG7" s="910" t="s">
        <v>46</v>
      </c>
      <c r="BH7" s="909" t="s">
        <v>293</v>
      </c>
      <c r="BI7" s="909" t="s">
        <v>294</v>
      </c>
      <c r="BJ7" s="909" t="s">
        <v>295</v>
      </c>
      <c r="BK7" s="909" t="s">
        <v>79</v>
      </c>
      <c r="BL7" s="909" t="s">
        <v>296</v>
      </c>
      <c r="BM7" s="3"/>
      <c r="BN7" s="45"/>
      <c r="BO7" s="45"/>
      <c r="BP7" s="45"/>
      <c r="BQ7" s="45"/>
      <c r="BR7" s="45"/>
      <c r="BS7" s="45"/>
      <c r="BT7" s="45"/>
      <c r="BU7" s="45"/>
      <c r="BV7" s="45"/>
    </row>
    <row r="8" spans="1:83" ht="20.25" customHeight="1" thickBot="1">
      <c r="A8" s="1128" t="s">
        <v>359</v>
      </c>
      <c r="B8" s="1129"/>
      <c r="C8" s="1109"/>
      <c r="D8" s="1110"/>
      <c r="E8" s="1110"/>
      <c r="F8" s="1111"/>
      <c r="G8" s="1139"/>
      <c r="H8" s="1147"/>
      <c r="I8" s="1150"/>
      <c r="J8" s="1153"/>
      <c r="K8" s="1154"/>
      <c r="L8" s="1150"/>
      <c r="M8" s="571"/>
      <c r="N8" s="402"/>
      <c r="O8" s="404"/>
      <c r="P8" s="404"/>
      <c r="Q8" s="403"/>
      <c r="AI8" s="1075" t="s">
        <v>68</v>
      </c>
      <c r="AJ8" s="910"/>
      <c r="AK8" s="1076"/>
      <c r="AM8" s="489" t="s">
        <v>50</v>
      </c>
      <c r="AN8" s="506">
        <v>1.9997000000000001E-3</v>
      </c>
      <c r="AO8" s="743">
        <f>0.000006</f>
        <v>6.0000000000000002E-6</v>
      </c>
      <c r="AP8" s="507">
        <f t="shared" si="1"/>
        <v>0</v>
      </c>
      <c r="AQ8" s="507"/>
      <c r="AR8" s="92"/>
      <c r="AS8" t="str">
        <f t="shared" si="0"/>
        <v/>
      </c>
      <c r="AT8" s="447" t="str">
        <f>IF(AO6="sim",AM6,"")</f>
        <v/>
      </c>
      <c r="AU8" s="38"/>
      <c r="AV8" s="226" t="str">
        <f>AM6</f>
        <v>715</v>
      </c>
      <c r="AW8" s="445" t="s">
        <v>557</v>
      </c>
      <c r="AX8" s="229" t="s">
        <v>561</v>
      </c>
      <c r="AY8" s="228">
        <v>3</v>
      </c>
      <c r="AZ8" s="45"/>
      <c r="BA8" s="908"/>
      <c r="BB8" s="909"/>
      <c r="BC8" s="909"/>
      <c r="BD8" s="909"/>
      <c r="BE8" s="909"/>
      <c r="BF8" s="909"/>
      <c r="BG8" s="910"/>
      <c r="BH8" s="909"/>
      <c r="BI8" s="909"/>
      <c r="BJ8" s="909"/>
      <c r="BK8" s="909"/>
      <c r="BL8" s="909"/>
      <c r="BM8" s="3"/>
      <c r="BN8" s="45"/>
      <c r="BO8" s="45"/>
      <c r="BP8" s="45"/>
      <c r="BQ8" s="45"/>
      <c r="BR8" s="45"/>
      <c r="BS8" s="45"/>
      <c r="BT8" s="45"/>
      <c r="BU8" s="45"/>
      <c r="BV8" s="45"/>
    </row>
    <row r="9" spans="1:83" ht="21.75" customHeight="1" thickBot="1">
      <c r="A9" s="1107" t="s">
        <v>266</v>
      </c>
      <c r="B9" s="1108"/>
      <c r="C9" s="1109"/>
      <c r="D9" s="1110"/>
      <c r="E9" s="1110"/>
      <c r="F9" s="1111"/>
      <c r="G9" s="1139"/>
      <c r="H9" s="1148"/>
      <c r="I9" s="682" t="str">
        <f>AK3</f>
        <v>NÃO</v>
      </c>
      <c r="J9" s="1155"/>
      <c r="K9" s="1156"/>
      <c r="L9" s="683" t="str">
        <f>AK7</f>
        <v>NÃO</v>
      </c>
      <c r="M9" s="439"/>
      <c r="N9" s="895" t="s">
        <v>163</v>
      </c>
      <c r="O9" s="896"/>
      <c r="P9" s="896"/>
      <c r="Q9" s="897"/>
      <c r="AB9" s="9"/>
      <c r="AC9" s="10"/>
      <c r="AD9" s="10"/>
      <c r="AE9" s="11"/>
      <c r="AF9" s="12"/>
      <c r="AG9" s="13"/>
      <c r="AH9" s="13"/>
      <c r="AI9" s="1077" t="str">
        <f>IF(AK3="Não","",IF(AK7="SIM",CONCATENATE("Equipamento com compensação da gravidade e calibração válida para o local de utilização: ", G5," ", G6, "."),CONCATENATE("Efeito da gravidade incluído na avaliação da incerteza da medição. A calibração do equipamento é válida para o local de utilização: ",G5," ", G6, ".")))</f>
        <v/>
      </c>
      <c r="AJ9" s="1078"/>
      <c r="AK9" s="1079"/>
      <c r="AL9" s="14"/>
      <c r="AM9" s="491" t="s">
        <v>51</v>
      </c>
      <c r="AN9" s="506">
        <v>1.9967000000000001E-3</v>
      </c>
      <c r="AO9" s="743">
        <f>0.000006</f>
        <v>6.0000000000000002E-6</v>
      </c>
      <c r="AP9" s="507">
        <f t="shared" si="1"/>
        <v>0</v>
      </c>
      <c r="AQ9" s="507"/>
      <c r="AR9" s="92"/>
      <c r="AS9" t="str">
        <f t="shared" si="0"/>
        <v/>
      </c>
      <c r="AT9" s="447" t="str">
        <f>IF(AO32="sim",AM32,"")</f>
        <v/>
      </c>
      <c r="AU9" s="38"/>
      <c r="AV9" s="226">
        <f>AM32</f>
        <v>716</v>
      </c>
      <c r="AW9" s="445" t="s">
        <v>558</v>
      </c>
      <c r="AX9" s="229" t="s">
        <v>561</v>
      </c>
      <c r="AY9" s="228">
        <v>4</v>
      </c>
      <c r="AZ9" s="45"/>
      <c r="BA9" s="237">
        <v>0</v>
      </c>
      <c r="BB9" s="234">
        <f>(BF6/(2*SQRT(3)))*2</f>
        <v>0</v>
      </c>
      <c r="BC9" s="234">
        <f t="shared" ref="BC9:BC17" si="2">IF(BB9&lt;0.00001,0.00000001,IF(BB9&lt;0.0001,0.0000001,IF(BB9&lt;0.001,0.000001,IF(BB9&lt;0.01,0.00001,IF(BB9&lt;0.1,0.0001,IF(BB9&lt;1,0.01,IF(BB9&lt;10,0.1,1)))))))</f>
        <v>1E-8</v>
      </c>
      <c r="BD9" s="234">
        <f t="shared" ref="BD9:BD17" si="3">CEILING(BB9,BC9)</f>
        <v>0</v>
      </c>
      <c r="BE9" s="234">
        <f t="shared" ref="BE9:BE17" si="4">IF(BD9&lt;0.00001,7,IF(BD9&lt;0.0001,6,IF(BD9&lt;0.001,5,IF(BD9&lt;0.01,4,IF(BD9&lt;0.1,3,IF(BD9&lt;1,2,IF(BD9&lt;10,1,0)))))))</f>
        <v>7</v>
      </c>
      <c r="BF9" s="238" t="str">
        <f t="shared" ref="BF9:BF17" si="5">FIXED(BD9,BE9,TRUE)</f>
        <v>0,0000000</v>
      </c>
      <c r="BG9" s="238">
        <v>0</v>
      </c>
      <c r="BH9" s="234" t="e">
        <f>(BL6/(2*SQRT(3)))*2</f>
        <v>#REF!</v>
      </c>
      <c r="BI9" s="234" t="e">
        <f t="shared" ref="BI9:BI17" si="6">IF(BH9&lt;0.00001,0.00000001,IF(BH9&lt;0.0001,0.0000001,IF(BH9&lt;0.001,0.000001,IF(BH9&lt;0.01,0.00001,IF(BH9&lt;0.1,0.0001,IF(BH9&lt;1,0.01,IF(BH9&lt;10,0.1,1)))))))</f>
        <v>#REF!</v>
      </c>
      <c r="BJ9" s="234" t="e">
        <f t="shared" ref="BJ9:BJ17" si="7">CEILING(BH9,BI9)</f>
        <v>#REF!</v>
      </c>
      <c r="BK9" s="234" t="e">
        <f t="shared" ref="BK9:BK17" si="8">IF(BJ9&lt;0.00001,7,IF(BJ9&lt;0.0001,6,IF(BJ9&lt;0.001,5,IF(BJ9&lt;0.01,4,IF(BJ9&lt;0.1,3,IF(BJ9&lt;1,2,IF(BJ9&lt;10,1,0)))))))</f>
        <v>#REF!</v>
      </c>
      <c r="BL9" s="238" t="e">
        <f t="shared" ref="BL9:BL17" si="9">FIXED(BJ9,BK9)</f>
        <v>#REF!</v>
      </c>
      <c r="BM9" s="3"/>
      <c r="BN9" s="45"/>
      <c r="BO9" s="45"/>
      <c r="BP9" s="45"/>
      <c r="BQ9" s="45"/>
      <c r="BR9" s="45"/>
      <c r="BS9" s="45"/>
      <c r="BT9" s="45"/>
      <c r="BU9" s="45"/>
      <c r="BV9" s="45"/>
    </row>
    <row r="10" spans="1:83" ht="23.25" customHeight="1" thickBot="1">
      <c r="A10" s="1107" t="s">
        <v>153</v>
      </c>
      <c r="B10" s="1108"/>
      <c r="C10" s="1109"/>
      <c r="D10" s="1110"/>
      <c r="E10" s="1110"/>
      <c r="F10" s="1111"/>
      <c r="G10" s="684" t="s">
        <v>277</v>
      </c>
      <c r="H10" s="1112">
        <f>9.780318*(1+0.0053024*(SIN(42*PI()/180))^2-0.0000058*(SIN(2*42*PI()/180))^2)-0.000003085*462</f>
        <v>9.8020558239805222</v>
      </c>
      <c r="I10" s="1113"/>
      <c r="J10" s="685" t="s">
        <v>272</v>
      </c>
      <c r="K10" s="686" t="s">
        <v>270</v>
      </c>
      <c r="L10" s="687" t="s">
        <v>271</v>
      </c>
      <c r="M10" s="572"/>
      <c r="N10" s="1118" t="str">
        <f>IF($AV$98=1,"",IF($AV$98=2,CONCATENATE("2.ª Via ao Certificado Nº ",G2," emitido em"),CONCATENATE("Correcção ao Certificado Nº ",G2," emitido em ")))</f>
        <v/>
      </c>
      <c r="O10" s="1119"/>
      <c r="P10" s="1119"/>
      <c r="Q10" s="1097" t="str">
        <f>IF(N10="","",O7)</f>
        <v/>
      </c>
      <c r="AB10" s="13"/>
      <c r="AC10" s="13"/>
      <c r="AD10" s="13"/>
      <c r="AE10" s="13"/>
      <c r="AF10" s="13"/>
      <c r="AG10" s="13"/>
      <c r="AH10" s="13"/>
      <c r="AL10" s="14"/>
      <c r="AM10" s="492" t="s">
        <v>52</v>
      </c>
      <c r="AN10" s="757">
        <v>4.9959999999999996E-3</v>
      </c>
      <c r="AO10" s="744">
        <f>0.000006</f>
        <v>6.0000000000000002E-6</v>
      </c>
      <c r="AP10" s="507">
        <f t="shared" si="1"/>
        <v>0</v>
      </c>
      <c r="AQ10" s="507"/>
      <c r="AR10" s="92"/>
      <c r="AS10" t="str">
        <f t="shared" si="0"/>
        <v/>
      </c>
      <c r="AT10" s="447" t="str">
        <f>IF(AO61="sim",AM61,"")</f>
        <v/>
      </c>
      <c r="AU10" s="38"/>
      <c r="AV10" s="226" t="str">
        <f>AM61</f>
        <v>717</v>
      </c>
      <c r="AW10" s="445" t="s">
        <v>559</v>
      </c>
      <c r="AX10" s="229" t="s">
        <v>561</v>
      </c>
      <c r="AY10" s="228">
        <v>5</v>
      </c>
      <c r="AZ10" s="45"/>
      <c r="BA10" s="237">
        <v>1</v>
      </c>
      <c r="BB10" s="234" t="e">
        <f>IF($I$9="Sim",BX$177*AV78,BY$157*AV78)</f>
        <v>#VALUE!</v>
      </c>
      <c r="BC10" s="234" t="e">
        <f t="shared" si="2"/>
        <v>#VALUE!</v>
      </c>
      <c r="BD10" s="234" t="e">
        <f t="shared" si="3"/>
        <v>#VALUE!</v>
      </c>
      <c r="BE10" s="234" t="e">
        <f t="shared" si="4"/>
        <v>#VALUE!</v>
      </c>
      <c r="BF10" s="238" t="e">
        <f>FIXED(BD10,BE10,TRUE)</f>
        <v>#VALUE!</v>
      </c>
      <c r="BG10" s="238">
        <v>1</v>
      </c>
      <c r="BH10" s="234" t="e">
        <f>#REF!</f>
        <v>#REF!</v>
      </c>
      <c r="BI10" s="234" t="e">
        <f t="shared" si="6"/>
        <v>#REF!</v>
      </c>
      <c r="BJ10" s="234" t="e">
        <f t="shared" si="7"/>
        <v>#REF!</v>
      </c>
      <c r="BK10" s="234" t="e">
        <f t="shared" si="8"/>
        <v>#REF!</v>
      </c>
      <c r="BL10" s="238" t="e">
        <f t="shared" si="9"/>
        <v>#REF!</v>
      </c>
      <c r="BM10" s="3"/>
      <c r="BN10" s="45"/>
      <c r="BO10" s="45"/>
      <c r="BP10" s="45"/>
      <c r="BQ10" s="45"/>
      <c r="BR10" s="45"/>
      <c r="BS10" s="45"/>
      <c r="BT10" s="45"/>
      <c r="BU10" s="45"/>
      <c r="BV10" s="45"/>
    </row>
    <row r="11" spans="1:83" ht="22.5" customHeight="1" thickBot="1">
      <c r="A11" s="1122" t="s">
        <v>364</v>
      </c>
      <c r="B11" s="1123"/>
      <c r="C11" s="1130"/>
      <c r="D11" s="1131"/>
      <c r="E11" s="1131"/>
      <c r="F11" s="1132"/>
      <c r="G11" s="684" t="s">
        <v>278</v>
      </c>
      <c r="H11" s="1133"/>
      <c r="I11" s="1134"/>
      <c r="J11" s="688">
        <f>C13*2/3</f>
        <v>0</v>
      </c>
      <c r="K11" s="689" t="str">
        <f>FIXED(ROUND(($J11*($H$11-$H$10)/$H$10),$AI$15+2),$AI$15+2)</f>
        <v>0,00</v>
      </c>
      <c r="L11" s="690" t="str">
        <f>K11</f>
        <v>0,00</v>
      </c>
      <c r="M11" s="573"/>
      <c r="N11" s="1120"/>
      <c r="O11" s="1121"/>
      <c r="P11" s="1121"/>
      <c r="Q11" s="1098"/>
      <c r="AB11" s="13"/>
      <c r="AC11" s="13"/>
      <c r="AD11" s="13"/>
      <c r="AE11" s="13"/>
      <c r="AF11" s="13"/>
      <c r="AG11" s="13"/>
      <c r="AH11" s="13"/>
      <c r="AL11" s="14"/>
      <c r="AM11" s="491" t="s">
        <v>53</v>
      </c>
      <c r="AN11" s="506">
        <v>9.9967000000000007E-3</v>
      </c>
      <c r="AO11" s="490">
        <f>0.000008</f>
        <v>7.9999999999999996E-6</v>
      </c>
      <c r="AP11" s="507">
        <f t="shared" si="1"/>
        <v>0</v>
      </c>
      <c r="AQ11" s="507"/>
      <c r="AR11" s="92"/>
      <c r="AS11" t="str">
        <f t="shared" si="0"/>
        <v/>
      </c>
      <c r="AT11" s="447" t="str">
        <f>IF(AO64="sim",AM64,"")</f>
        <v/>
      </c>
      <c r="AU11" s="38"/>
      <c r="AV11" s="226" t="str">
        <f>AM64</f>
        <v>534, 536, 542, 548 a 552, 663, 681, 682  e 708</v>
      </c>
      <c r="AW11" s="445" t="s">
        <v>385</v>
      </c>
      <c r="AX11" s="229" t="s">
        <v>561</v>
      </c>
      <c r="AY11" s="228">
        <v>6</v>
      </c>
      <c r="AZ11" s="45"/>
      <c r="BA11" s="237">
        <v>2</v>
      </c>
      <c r="BB11" s="234" t="e">
        <f>IF($I$9="Sim",BY$177*AV78,BY$157*AV78)</f>
        <v>#VALUE!</v>
      </c>
      <c r="BC11" s="234" t="e">
        <f t="shared" si="2"/>
        <v>#VALUE!</v>
      </c>
      <c r="BD11" s="234" t="e">
        <f t="shared" si="3"/>
        <v>#VALUE!</v>
      </c>
      <c r="BE11" s="234" t="e">
        <f t="shared" si="4"/>
        <v>#VALUE!</v>
      </c>
      <c r="BF11" s="238" t="e">
        <f t="shared" si="5"/>
        <v>#VALUE!</v>
      </c>
      <c r="BG11" s="238">
        <v>2</v>
      </c>
      <c r="BH11" s="234" t="e">
        <f>#REF!</f>
        <v>#REF!</v>
      </c>
      <c r="BI11" s="234" t="e">
        <f t="shared" si="6"/>
        <v>#REF!</v>
      </c>
      <c r="BJ11" s="234" t="e">
        <f t="shared" si="7"/>
        <v>#REF!</v>
      </c>
      <c r="BK11" s="234" t="e">
        <f t="shared" si="8"/>
        <v>#REF!</v>
      </c>
      <c r="BL11" s="238" t="e">
        <f t="shared" si="9"/>
        <v>#REF!</v>
      </c>
      <c r="BM11" s="3"/>
      <c r="BN11" s="45"/>
      <c r="BO11" s="45"/>
      <c r="BP11" s="45"/>
      <c r="BQ11" s="45"/>
      <c r="BR11" s="45"/>
      <c r="BS11" s="45"/>
      <c r="BT11" s="45"/>
      <c r="BU11" s="45"/>
      <c r="BV11" s="45"/>
    </row>
    <row r="12" spans="1:83" ht="26.25" customHeight="1" thickBot="1">
      <c r="A12" s="1135" t="s">
        <v>273</v>
      </c>
      <c r="B12" s="893"/>
      <c r="C12" s="1136"/>
      <c r="D12" s="892" t="s">
        <v>63</v>
      </c>
      <c r="E12" s="893"/>
      <c r="F12" s="894"/>
      <c r="G12" s="1137" t="s">
        <v>323</v>
      </c>
      <c r="H12" s="1138"/>
      <c r="I12" s="1141" t="s">
        <v>275</v>
      </c>
      <c r="J12" s="1142"/>
      <c r="K12" s="691" t="s">
        <v>274</v>
      </c>
      <c r="L12" s="692" t="s">
        <v>165</v>
      </c>
      <c r="M12" s="439"/>
      <c r="AB12" s="13"/>
      <c r="AC12" s="13"/>
      <c r="AD12" s="13"/>
      <c r="AE12" s="13"/>
      <c r="AF12" s="13"/>
      <c r="AG12" s="13"/>
      <c r="AH12" s="13"/>
      <c r="AI12" s="1080" t="s">
        <v>319</v>
      </c>
      <c r="AJ12" s="1081"/>
      <c r="AK12" s="1082"/>
      <c r="AL12" s="14"/>
      <c r="AM12" s="491" t="s">
        <v>54</v>
      </c>
      <c r="AN12" s="506">
        <v>2.00006E-2</v>
      </c>
      <c r="AO12" s="490">
        <f>0.00001</f>
        <v>1.0000000000000001E-5</v>
      </c>
      <c r="AP12" s="507">
        <f t="shared" si="1"/>
        <v>0</v>
      </c>
      <c r="AQ12" s="507"/>
      <c r="AR12" s="92"/>
      <c r="AS12" t="str">
        <f t="shared" si="0"/>
        <v/>
      </c>
      <c r="AT12" s="447" t="str">
        <f>IF(AO120="sim",AM120,"")</f>
        <v/>
      </c>
      <c r="AU12" s="38"/>
      <c r="AV12" s="226">
        <f>AM120</f>
        <v>529</v>
      </c>
      <c r="AW12" s="445" t="s">
        <v>386</v>
      </c>
      <c r="AX12" s="229" t="s">
        <v>562</v>
      </c>
      <c r="AY12" s="228">
        <v>7</v>
      </c>
      <c r="AZ12" s="45"/>
      <c r="BA12" s="237">
        <v>3</v>
      </c>
      <c r="BB12" s="234" t="e">
        <f>IF($I$9="Sim",BZ$177*AV78,BZ$157*AV78)</f>
        <v>#VALUE!</v>
      </c>
      <c r="BC12" s="234" t="e">
        <f t="shared" si="2"/>
        <v>#VALUE!</v>
      </c>
      <c r="BD12" s="234" t="e">
        <f t="shared" si="3"/>
        <v>#VALUE!</v>
      </c>
      <c r="BE12" s="234" t="e">
        <f t="shared" si="4"/>
        <v>#VALUE!</v>
      </c>
      <c r="BF12" s="238" t="e">
        <f t="shared" si="5"/>
        <v>#VALUE!</v>
      </c>
      <c r="BG12" s="238">
        <v>3</v>
      </c>
      <c r="BH12" s="234" t="e">
        <f>#REF!</f>
        <v>#REF!</v>
      </c>
      <c r="BI12" s="234" t="e">
        <f t="shared" si="6"/>
        <v>#REF!</v>
      </c>
      <c r="BJ12" s="234" t="e">
        <f t="shared" si="7"/>
        <v>#REF!</v>
      </c>
      <c r="BK12" s="234" t="e">
        <f t="shared" si="8"/>
        <v>#REF!</v>
      </c>
      <c r="BL12" s="238" t="e">
        <f t="shared" si="9"/>
        <v>#REF!</v>
      </c>
      <c r="BM12" s="3"/>
      <c r="BN12" s="45"/>
      <c r="BO12" s="45"/>
      <c r="BP12" s="45"/>
      <c r="BQ12" s="45"/>
      <c r="BR12" s="45"/>
      <c r="BS12" s="45"/>
      <c r="BT12" s="45"/>
      <c r="BU12" s="45"/>
      <c r="BV12" s="45"/>
    </row>
    <row r="13" spans="1:83" ht="31.5" customHeight="1" thickBot="1">
      <c r="A13" s="1124" t="s">
        <v>461</v>
      </c>
      <c r="B13" s="1125"/>
      <c r="C13" s="197"/>
      <c r="D13" s="693"/>
      <c r="E13" s="694"/>
      <c r="F13" s="681"/>
      <c r="G13" s="1139"/>
      <c r="H13" s="1140"/>
      <c r="I13" s="1126" t="s">
        <v>267</v>
      </c>
      <c r="J13" s="1127"/>
      <c r="K13" s="695"/>
      <c r="L13" s="696"/>
      <c r="M13" s="574"/>
      <c r="S13" s="298"/>
      <c r="T13" s="298"/>
      <c r="U13"/>
      <c r="AC13" s="13"/>
      <c r="AF13" s="13"/>
      <c r="AG13" s="13"/>
      <c r="AH13" s="13"/>
      <c r="AI13" s="856" t="str">
        <f>IF(E$14="",IF(ISERROR(SEARCH(",",$C$14)),"N/A",SEARCH(",",$C$14)),IF(ISERROR(SEARCH(",",$E$14)),"N/A",SEARCH(",",$E$14)))</f>
        <v>N/A</v>
      </c>
      <c r="AJ13" s="274" t="s">
        <v>160</v>
      </c>
      <c r="AK13" s="275"/>
      <c r="AL13" s="14"/>
      <c r="AM13" s="491" t="s">
        <v>55</v>
      </c>
      <c r="AN13" s="506">
        <v>1.9998800000000001E-2</v>
      </c>
      <c r="AO13" s="490">
        <f>0.00001</f>
        <v>1.0000000000000001E-5</v>
      </c>
      <c r="AP13" s="507">
        <f t="shared" si="1"/>
        <v>0</v>
      </c>
      <c r="AQ13" s="507"/>
      <c r="AR13" s="92"/>
      <c r="AS13" t="str">
        <f t="shared" si="0"/>
        <v/>
      </c>
      <c r="AT13" s="447" t="str">
        <f>IF(AO141="sim",AM141,"")</f>
        <v/>
      </c>
      <c r="AU13" s="38"/>
      <c r="AV13" s="226">
        <f>AM141</f>
        <v>530</v>
      </c>
      <c r="AW13" s="445" t="s">
        <v>387</v>
      </c>
      <c r="AX13" s="229" t="s">
        <v>561</v>
      </c>
      <c r="AY13" s="228">
        <v>8</v>
      </c>
      <c r="AZ13" s="45"/>
      <c r="BA13" s="237">
        <v>4</v>
      </c>
      <c r="BB13" s="234" t="e">
        <f>IF($I$9="Sim",CA$177*AV78,CA$157*AV78)</f>
        <v>#VALUE!</v>
      </c>
      <c r="BC13" s="234" t="e">
        <f t="shared" si="2"/>
        <v>#VALUE!</v>
      </c>
      <c r="BD13" s="234" t="e">
        <f t="shared" si="3"/>
        <v>#VALUE!</v>
      </c>
      <c r="BE13" s="234" t="e">
        <f t="shared" si="4"/>
        <v>#VALUE!</v>
      </c>
      <c r="BF13" s="238" t="e">
        <f t="shared" si="5"/>
        <v>#VALUE!</v>
      </c>
      <c r="BG13" s="238">
        <v>4</v>
      </c>
      <c r="BH13" s="234" t="e">
        <f>#REF!</f>
        <v>#REF!</v>
      </c>
      <c r="BI13" s="234" t="e">
        <f t="shared" si="6"/>
        <v>#REF!</v>
      </c>
      <c r="BJ13" s="234" t="e">
        <f t="shared" si="7"/>
        <v>#REF!</v>
      </c>
      <c r="BK13" s="234" t="e">
        <f t="shared" si="8"/>
        <v>#REF!</v>
      </c>
      <c r="BL13" s="238" t="e">
        <f t="shared" si="9"/>
        <v>#REF!</v>
      </c>
      <c r="BM13" s="3"/>
      <c r="BN13" s="45"/>
      <c r="BO13" s="45"/>
      <c r="BP13" s="45"/>
      <c r="BQ13" s="45"/>
      <c r="BR13" s="45"/>
      <c r="BS13" s="45"/>
      <c r="BT13" s="45"/>
      <c r="BU13" s="45"/>
      <c r="BV13" s="45"/>
    </row>
    <row r="14" spans="1:83" s="13" customFormat="1" ht="27" customHeight="1" thickBot="1">
      <c r="A14" s="1114" t="s">
        <v>462</v>
      </c>
      <c r="B14" s="1115"/>
      <c r="C14" s="198"/>
      <c r="D14" s="697" t="s">
        <v>416</v>
      </c>
      <c r="E14" s="585"/>
      <c r="F14" s="698"/>
      <c r="G14" s="699" t="s">
        <v>324</v>
      </c>
      <c r="H14" s="700" t="str">
        <f>AF3</f>
        <v>NÃO</v>
      </c>
      <c r="I14" s="1116" t="s">
        <v>64</v>
      </c>
      <c r="J14" s="1117"/>
      <c r="K14" s="701"/>
      <c r="L14" s="702"/>
      <c r="M14" s="574"/>
      <c r="S14" s="298"/>
      <c r="T14" s="298"/>
      <c r="U14"/>
      <c r="V14"/>
      <c r="W14"/>
      <c r="AI14" s="856">
        <f>IF($E$14="",LEN($C$14),LEN($E$14))</f>
        <v>0</v>
      </c>
      <c r="AJ14" s="274" t="s">
        <v>161</v>
      </c>
      <c r="AK14" s="275"/>
      <c r="AL14" s="14"/>
      <c r="AM14" s="492" t="s">
        <v>56</v>
      </c>
      <c r="AN14" s="757">
        <v>5.0003899999999997E-2</v>
      </c>
      <c r="AO14" s="493">
        <f>0.000012</f>
        <v>1.2E-5</v>
      </c>
      <c r="AP14" s="507">
        <f t="shared" si="1"/>
        <v>0</v>
      </c>
      <c r="AQ14" s="507"/>
      <c r="AR14" s="92"/>
      <c r="AS14" t="str">
        <f t="shared" si="0"/>
        <v/>
      </c>
      <c r="AT14" s="447" t="str">
        <f>IF(AO152="sim",AM152,"")</f>
        <v/>
      </c>
      <c r="AU14" s="38"/>
      <c r="AV14" s="230">
        <f>AM152</f>
        <v>531</v>
      </c>
      <c r="AW14" s="445" t="s">
        <v>388</v>
      </c>
      <c r="AX14" s="229" t="s">
        <v>561</v>
      </c>
      <c r="AY14" s="228">
        <v>9</v>
      </c>
      <c r="AZ14" s="45"/>
      <c r="BA14" s="237">
        <v>5</v>
      </c>
      <c r="BB14" s="234" t="e">
        <f>IF($I$9="Sim",CB$177*AV78,CB$157*AV78)</f>
        <v>#VALUE!</v>
      </c>
      <c r="BC14" s="234" t="e">
        <f t="shared" si="2"/>
        <v>#VALUE!</v>
      </c>
      <c r="BD14" s="234" t="e">
        <f t="shared" si="3"/>
        <v>#VALUE!</v>
      </c>
      <c r="BE14" s="234" t="e">
        <f t="shared" si="4"/>
        <v>#VALUE!</v>
      </c>
      <c r="BF14" s="238" t="e">
        <f t="shared" si="5"/>
        <v>#VALUE!</v>
      </c>
      <c r="BG14" s="238">
        <v>5</v>
      </c>
      <c r="BH14" s="234" t="e">
        <f>#REF!</f>
        <v>#REF!</v>
      </c>
      <c r="BI14" s="234" t="e">
        <f t="shared" si="6"/>
        <v>#REF!</v>
      </c>
      <c r="BJ14" s="234" t="e">
        <f t="shared" si="7"/>
        <v>#REF!</v>
      </c>
      <c r="BK14" s="234" t="e">
        <f t="shared" si="8"/>
        <v>#REF!</v>
      </c>
      <c r="BL14" s="238" t="e">
        <f t="shared" si="9"/>
        <v>#REF!</v>
      </c>
      <c r="BM14" s="3"/>
      <c r="BN14" s="45"/>
      <c r="BO14" s="45"/>
      <c r="BP14" s="45"/>
      <c r="BQ14" s="45"/>
      <c r="BR14" s="45"/>
      <c r="BS14" s="45"/>
      <c r="BT14" s="45"/>
      <c r="BU14" s="45"/>
      <c r="BV14" s="45"/>
    </row>
    <row r="15" spans="1:83" ht="25.5" customHeight="1">
      <c r="A15" s="13"/>
      <c r="B15" s="13"/>
      <c r="C15" s="13"/>
      <c r="D15" s="13"/>
      <c r="E15" s="10"/>
      <c r="F15" s="13"/>
      <c r="G15" s="13"/>
      <c r="H15" s="13"/>
      <c r="I15" s="13"/>
      <c r="J15" s="13"/>
      <c r="K15" s="13"/>
      <c r="L15" s="13"/>
      <c r="M15" s="293"/>
      <c r="W15" s="32"/>
      <c r="X15" s="71"/>
      <c r="AC15" s="13"/>
      <c r="AF15" s="13"/>
      <c r="AG15" s="13"/>
      <c r="AH15" s="13"/>
      <c r="AI15" s="276">
        <f>IF(AI13="N/A",0,AI14-AI13)</f>
        <v>0</v>
      </c>
      <c r="AJ15" s="274" t="s">
        <v>413</v>
      </c>
      <c r="AK15" s="275"/>
      <c r="AL15" s="14"/>
      <c r="AM15" s="494" t="s">
        <v>57</v>
      </c>
      <c r="AN15" s="506">
        <v>0.1000038</v>
      </c>
      <c r="AO15" s="490">
        <f>0.000016</f>
        <v>1.5999999999999999E-5</v>
      </c>
      <c r="AP15" s="507">
        <f t="shared" si="1"/>
        <v>0</v>
      </c>
      <c r="AQ15" s="746"/>
      <c r="AR15" s="361">
        <f>0.003/1000</f>
        <v>3.0000000000000001E-6</v>
      </c>
      <c r="AS15" t="str">
        <f t="shared" si="0"/>
        <v/>
      </c>
      <c r="AT15" s="447" t="str">
        <f>IF(AO163="sim",AM163,"")</f>
        <v/>
      </c>
      <c r="AU15" s="38"/>
      <c r="AV15" s="230" t="str">
        <f>AM163</f>
        <v>532</v>
      </c>
      <c r="AW15" s="445" t="s">
        <v>389</v>
      </c>
      <c r="AX15" s="229" t="s">
        <v>561</v>
      </c>
      <c r="AY15" s="228">
        <v>10</v>
      </c>
      <c r="AZ15" s="45"/>
      <c r="BA15" s="237">
        <v>6</v>
      </c>
      <c r="BB15" s="234" t="e">
        <f>IF($I$9="Sim",CC$177*AV78,CC$157*AV78)</f>
        <v>#VALUE!</v>
      </c>
      <c r="BC15" s="234" t="e">
        <f t="shared" si="2"/>
        <v>#VALUE!</v>
      </c>
      <c r="BD15" s="234" t="e">
        <f t="shared" si="3"/>
        <v>#VALUE!</v>
      </c>
      <c r="BE15" s="234" t="e">
        <f t="shared" si="4"/>
        <v>#VALUE!</v>
      </c>
      <c r="BF15" s="238" t="e">
        <f t="shared" si="5"/>
        <v>#VALUE!</v>
      </c>
      <c r="BG15" s="238">
        <v>6</v>
      </c>
      <c r="BH15" s="234" t="e">
        <f>#REF!</f>
        <v>#REF!</v>
      </c>
      <c r="BI15" s="234" t="e">
        <f t="shared" si="6"/>
        <v>#REF!</v>
      </c>
      <c r="BJ15" s="234" t="e">
        <f t="shared" si="7"/>
        <v>#REF!</v>
      </c>
      <c r="BK15" s="234" t="e">
        <f t="shared" si="8"/>
        <v>#REF!</v>
      </c>
      <c r="BL15" s="238" t="e">
        <f t="shared" si="9"/>
        <v>#REF!</v>
      </c>
      <c r="BM15" s="3"/>
      <c r="BN15" s="45"/>
      <c r="BO15" s="45"/>
      <c r="BP15" s="45"/>
      <c r="BQ15" s="45"/>
      <c r="BR15" s="45"/>
      <c r="BS15" s="45"/>
      <c r="BT15" s="45"/>
      <c r="BU15" s="45"/>
      <c r="BV15" s="45"/>
    </row>
    <row r="16" spans="1:83" ht="31.5" customHeight="1" thickBot="1">
      <c r="A16" s="1022" t="s">
        <v>283</v>
      </c>
      <c r="B16" s="1023"/>
      <c r="C16" s="1023"/>
      <c r="D16" s="1023"/>
      <c r="E16" s="1023"/>
      <c r="F16" s="1023"/>
      <c r="G16" s="1023"/>
      <c r="H16" s="1023"/>
      <c r="I16" s="1023"/>
      <c r="J16" s="1023"/>
      <c r="K16" s="1023"/>
      <c r="L16" s="1023"/>
      <c r="M16" s="575"/>
      <c r="X16" s="71"/>
      <c r="AC16" s="13"/>
      <c r="AE16" s="13"/>
      <c r="AF16" s="13"/>
      <c r="AG16" s="13"/>
      <c r="AH16" s="13"/>
      <c r="AI16" s="277">
        <f>AI15+1</f>
        <v>1</v>
      </c>
      <c r="AJ16" s="278" t="s">
        <v>414</v>
      </c>
      <c r="AK16" s="279"/>
      <c r="AL16" s="14"/>
      <c r="AM16" s="494" t="s">
        <v>58</v>
      </c>
      <c r="AN16" s="506">
        <v>0.20000009999999999</v>
      </c>
      <c r="AO16" s="490">
        <f>0.00002</f>
        <v>2.0000000000000002E-5</v>
      </c>
      <c r="AP16" s="507">
        <f t="shared" si="1"/>
        <v>0</v>
      </c>
      <c r="AQ16" s="746"/>
      <c r="AR16" s="361">
        <f>0.005/1000</f>
        <v>5.0000000000000004E-6</v>
      </c>
      <c r="AS16" t="str">
        <f t="shared" si="0"/>
        <v/>
      </c>
      <c r="AT16" s="447" t="str">
        <f>IF(AO166="sim",AM166,"")</f>
        <v/>
      </c>
      <c r="AU16" s="38"/>
      <c r="AV16" s="230">
        <f>AM166</f>
        <v>533</v>
      </c>
      <c r="AW16" s="445" t="s">
        <v>390</v>
      </c>
      <c r="AX16" s="229" t="s">
        <v>561</v>
      </c>
      <c r="AY16" s="228">
        <v>11</v>
      </c>
      <c r="AZ16" s="45"/>
      <c r="BA16" s="237">
        <v>7</v>
      </c>
      <c r="BB16" s="234" t="e">
        <f>IF($I$9="Sim",CD$177*AV78,CD$157*AV78)</f>
        <v>#VALUE!</v>
      </c>
      <c r="BC16" s="234" t="e">
        <f t="shared" si="2"/>
        <v>#VALUE!</v>
      </c>
      <c r="BD16" s="234" t="e">
        <f t="shared" si="3"/>
        <v>#VALUE!</v>
      </c>
      <c r="BE16" s="234" t="e">
        <f t="shared" si="4"/>
        <v>#VALUE!</v>
      </c>
      <c r="BF16" s="238" t="e">
        <f t="shared" si="5"/>
        <v>#VALUE!</v>
      </c>
      <c r="BG16" s="238">
        <v>7</v>
      </c>
      <c r="BH16" s="234" t="e">
        <f>#REF!</f>
        <v>#REF!</v>
      </c>
      <c r="BI16" s="234" t="e">
        <f t="shared" si="6"/>
        <v>#REF!</v>
      </c>
      <c r="BJ16" s="234" t="e">
        <f t="shared" si="7"/>
        <v>#REF!</v>
      </c>
      <c r="BK16" s="234" t="e">
        <f t="shared" si="8"/>
        <v>#REF!</v>
      </c>
      <c r="BL16" s="238" t="e">
        <f t="shared" si="9"/>
        <v>#REF!</v>
      </c>
      <c r="BM16" s="3"/>
      <c r="BN16" s="45"/>
      <c r="BO16" s="45"/>
      <c r="BP16" s="45"/>
      <c r="BQ16" s="45"/>
      <c r="BR16" s="45"/>
      <c r="BS16" s="45"/>
      <c r="BT16" s="45"/>
      <c r="BU16" s="45"/>
      <c r="BV16" s="45"/>
    </row>
    <row r="17" spans="1:98" ht="36" customHeight="1" thickBot="1">
      <c r="AB17" s="13"/>
      <c r="AC17" s="379"/>
      <c r="AD17" s="286"/>
      <c r="AE17" s="286"/>
      <c r="AF17" s="87"/>
      <c r="AG17" s="13"/>
      <c r="AH17" s="13"/>
      <c r="AL17" s="14"/>
      <c r="AM17" s="494" t="s">
        <v>59</v>
      </c>
      <c r="AN17" s="506">
        <v>0.19999149999999999</v>
      </c>
      <c r="AO17" s="490">
        <f>0.00002</f>
        <v>2.0000000000000002E-5</v>
      </c>
      <c r="AP17" s="507">
        <f t="shared" si="1"/>
        <v>0</v>
      </c>
      <c r="AQ17" s="746"/>
      <c r="AR17" s="361">
        <f>0.005/1000</f>
        <v>5.0000000000000004E-6</v>
      </c>
      <c r="AS17" t="str">
        <f t="shared" si="0"/>
        <v/>
      </c>
      <c r="AT17" s="447" t="str">
        <f>IF(AO169="sim",AM169,"")</f>
        <v/>
      </c>
      <c r="AU17" s="38"/>
      <c r="AV17" s="843" t="str">
        <f>AM169</f>
        <v>633 a 641</v>
      </c>
      <c r="AW17" s="229" t="s">
        <v>391</v>
      </c>
      <c r="AX17" s="227" t="s">
        <v>667</v>
      </c>
      <c r="AY17" s="228">
        <v>12</v>
      </c>
      <c r="BA17" s="237">
        <v>8</v>
      </c>
      <c r="BB17" s="234" t="e">
        <f>IF($I$9="Sim",CE$177*AV78,CE$157*AV78)</f>
        <v>#VALUE!</v>
      </c>
      <c r="BC17" s="234" t="e">
        <f t="shared" si="2"/>
        <v>#VALUE!</v>
      </c>
      <c r="BD17" s="234" t="e">
        <f t="shared" si="3"/>
        <v>#VALUE!</v>
      </c>
      <c r="BE17" s="234" t="e">
        <f t="shared" si="4"/>
        <v>#VALUE!</v>
      </c>
      <c r="BF17" s="238" t="e">
        <f t="shared" si="5"/>
        <v>#VALUE!</v>
      </c>
      <c r="BG17" s="238">
        <v>8</v>
      </c>
      <c r="BH17" s="234" t="e">
        <f>#REF!</f>
        <v>#REF!</v>
      </c>
      <c r="BI17" s="234" t="e">
        <f t="shared" si="6"/>
        <v>#REF!</v>
      </c>
      <c r="BJ17" s="234" t="e">
        <f t="shared" si="7"/>
        <v>#REF!</v>
      </c>
      <c r="BK17" s="234" t="e">
        <f t="shared" si="8"/>
        <v>#REF!</v>
      </c>
      <c r="BL17" s="238" t="e">
        <f t="shared" si="9"/>
        <v>#REF!</v>
      </c>
      <c r="BM17" s="3"/>
    </row>
    <row r="18" spans="1:98" ht="29.25" customHeight="1" thickBot="1">
      <c r="B18" s="288" t="s">
        <v>284</v>
      </c>
      <c r="C18" s="1083" t="s">
        <v>326</v>
      </c>
      <c r="D18" s="1084"/>
      <c r="E18" s="999" t="s">
        <v>412</v>
      </c>
      <c r="F18" s="1000"/>
      <c r="G18" s="289" t="s">
        <v>9</v>
      </c>
      <c r="I18" s="888" t="s">
        <v>276</v>
      </c>
      <c r="J18" s="889"/>
      <c r="K18" s="776" t="s">
        <v>570</v>
      </c>
      <c r="L18" s="777" t="s">
        <v>565</v>
      </c>
      <c r="M18" s="571"/>
      <c r="U18" s="86"/>
      <c r="Z18" s="375"/>
      <c r="AA18" s="293"/>
      <c r="AB18" s="13"/>
      <c r="AC18" s="379"/>
      <c r="AD18" s="332"/>
      <c r="AE18" s="376"/>
      <c r="AF18" s="87"/>
      <c r="AG18" s="13"/>
      <c r="AH18" s="13"/>
      <c r="AI18" s="969" t="s">
        <v>61</v>
      </c>
      <c r="AJ18" s="970"/>
      <c r="AK18" s="971"/>
      <c r="AL18" s="14"/>
      <c r="AM18" s="495" t="s">
        <v>60</v>
      </c>
      <c r="AN18" s="757">
        <v>0.5000021</v>
      </c>
      <c r="AO18" s="493">
        <f>0.000025</f>
        <v>2.5000000000000001E-5</v>
      </c>
      <c r="AP18" s="507">
        <f t="shared" si="1"/>
        <v>0</v>
      </c>
      <c r="AQ18" s="746"/>
      <c r="AR18" s="361">
        <f>0.008/1000</f>
        <v>7.9999999999999996E-6</v>
      </c>
      <c r="AS18" t="str">
        <f t="shared" si="0"/>
        <v/>
      </c>
      <c r="AT18" s="447" t="str">
        <f>IF(AO179="sim",AM179,"")</f>
        <v/>
      </c>
      <c r="AU18" s="38"/>
      <c r="AV18" s="843" t="str">
        <f>AM179</f>
        <v>642 a 650</v>
      </c>
      <c r="AW18" s="229" t="s">
        <v>392</v>
      </c>
      <c r="AX18" s="227" t="s">
        <v>667</v>
      </c>
      <c r="AY18" s="228">
        <v>13</v>
      </c>
      <c r="BA18" s="239"/>
      <c r="BB18" s="907" t="s">
        <v>297</v>
      </c>
      <c r="BC18" s="907"/>
      <c r="BD18" s="907"/>
      <c r="BE18" s="240" t="s">
        <v>4</v>
      </c>
      <c r="BF18" s="236" t="e">
        <f>#REF!</f>
        <v>#REF!</v>
      </c>
    </row>
    <row r="19" spans="1:98" ht="27" customHeight="1" thickBot="1">
      <c r="B19" s="199"/>
      <c r="C19" s="1068" t="str">
        <f>IF(B19="","",IF(B19=1,D34,IF(B19=2,D39,IF(B19=3,D45,IF(B19=4,D51,IF(B19=5,D57,IF(B19=6,D63,IF(B19=7,D69,IF(B19=8,D75,Erro)))))))))</f>
        <v/>
      </c>
      <c r="D19" s="1069"/>
      <c r="E19" s="471" t="str">
        <f>IF(F19&lt;&gt;"",FIXED(MROUND(F19,$C$14),$AI$15,TRUE),"------")</f>
        <v>------</v>
      </c>
      <c r="F19" s="181"/>
      <c r="G19" s="182" t="str">
        <f>IF(F19="","",FIXED(ROUND((E19-C19),$AI$15),$AI$15,TRUE))</f>
        <v/>
      </c>
      <c r="I19" s="890" t="s">
        <v>80</v>
      </c>
      <c r="J19" s="994" t="str">
        <f>AK19</f>
        <v>NÃO</v>
      </c>
      <c r="K19" s="775"/>
      <c r="L19" s="778"/>
      <c r="M19" s="571"/>
      <c r="Z19" s="293"/>
      <c r="AA19" s="293"/>
      <c r="AC19" s="377"/>
      <c r="AD19" s="332"/>
      <c r="AE19" s="376"/>
      <c r="AF19" s="378"/>
      <c r="AI19" s="48" t="b">
        <v>0</v>
      </c>
      <c r="AJ19" s="42" t="s">
        <v>62</v>
      </c>
      <c r="AK19" s="43" t="str">
        <f>IF(AI19,"SiM","NÃO")</f>
        <v>NÃO</v>
      </c>
      <c r="AM19" s="496">
        <v>1</v>
      </c>
      <c r="AN19" s="506">
        <v>1.0000009999999999</v>
      </c>
      <c r="AO19" s="490">
        <f>0.00003</f>
        <v>3.0000000000000001E-5</v>
      </c>
      <c r="AP19" s="507">
        <f t="shared" si="1"/>
        <v>0</v>
      </c>
      <c r="AQ19" s="746"/>
      <c r="AR19" s="361">
        <f>0.013/1000</f>
        <v>1.2999999999999999E-5</v>
      </c>
      <c r="AS19" t="str">
        <f>IF(AT19="","",1)</f>
        <v/>
      </c>
      <c r="AT19" s="447" t="str">
        <f>IF(AO247="sim",AM247,"")</f>
        <v/>
      </c>
      <c r="AU19" s="41"/>
      <c r="AV19" s="760" t="str">
        <f>AM247</f>
        <v>Cargas de substituição</v>
      </c>
      <c r="AW19" s="229" t="s">
        <v>426</v>
      </c>
      <c r="AX19" s="229"/>
      <c r="AY19" s="228">
        <v>14</v>
      </c>
      <c r="BA19" s="908" t="s">
        <v>298</v>
      </c>
      <c r="BB19" s="909" t="s">
        <v>293</v>
      </c>
      <c r="BC19" s="909" t="s">
        <v>294</v>
      </c>
      <c r="BD19" s="909" t="s">
        <v>295</v>
      </c>
      <c r="BE19" s="909" t="s">
        <v>79</v>
      </c>
      <c r="BF19" s="909" t="s">
        <v>296</v>
      </c>
    </row>
    <row r="20" spans="1:98" ht="24.75" customHeight="1" thickBot="1">
      <c r="B20" s="200"/>
      <c r="C20" s="997" t="str">
        <f>IF(B20="","",IF(B20=1,D34,IF(B20=2,D39,IF(B20=3,D45,IF(B20=4,D51,IF(B20=5,D57,IF(B20=6,D63,IF(B20=7,D69,IF(B20=8,D75,Erro)))))))))</f>
        <v/>
      </c>
      <c r="D20" s="998"/>
      <c r="E20" s="183" t="str">
        <f>IF(F20&lt;&gt;"",FIXED(MROUND(F20,$C$14),$AI$15,TRUE),"------")</f>
        <v>------</v>
      </c>
      <c r="F20" s="184"/>
      <c r="G20" s="185" t="str">
        <f>IF(F20="","",FIXED(ROUND((E20-C20),$AI$15),$AI$15,TRUE))</f>
        <v/>
      </c>
      <c r="I20" s="891"/>
      <c r="J20" s="995"/>
      <c r="M20" s="571"/>
      <c r="Z20" s="293"/>
      <c r="AA20" s="293"/>
      <c r="AC20" s="377"/>
      <c r="AD20" s="332"/>
      <c r="AE20" s="376"/>
      <c r="AF20" s="378"/>
      <c r="AI20" s="960" t="s">
        <v>68</v>
      </c>
      <c r="AJ20" s="961"/>
      <c r="AK20" s="962"/>
      <c r="AM20" s="496">
        <v>2</v>
      </c>
      <c r="AN20" s="506">
        <v>1.999987</v>
      </c>
      <c r="AO20" s="490">
        <f>0.00004</f>
        <v>4.0000000000000003E-5</v>
      </c>
      <c r="AP20" s="507">
        <f t="shared" si="1"/>
        <v>0</v>
      </c>
      <c r="AQ20" s="746"/>
      <c r="AR20" s="361">
        <f>0.023/1000</f>
        <v>2.3E-5</v>
      </c>
      <c r="AT20" s="925" t="s">
        <v>69</v>
      </c>
      <c r="AU20" s="926"/>
      <c r="AV20" s="230" t="s">
        <v>70</v>
      </c>
      <c r="AW20" s="229"/>
      <c r="AX20" s="52"/>
      <c r="AY20" s="228">
        <v>15</v>
      </c>
      <c r="BA20" s="908"/>
      <c r="BB20" s="909"/>
      <c r="BC20" s="909"/>
      <c r="BD20" s="909"/>
      <c r="BE20" s="909"/>
      <c r="BF20" s="909"/>
    </row>
    <row r="21" spans="1:98" ht="21.75" customHeight="1" thickBot="1">
      <c r="O21" s="440"/>
      <c r="P21" s="87"/>
      <c r="Q21" s="678"/>
      <c r="R21" s="679"/>
      <c r="AI21" s="934" t="str">
        <f>IF(AND('Registo Calibração'!F19="",F19=""),"Ensaio Prévio aplicável somente a equipamento com possibilidade de se aceder ao ajuste interno.",IF(AND('Registo Calibração'!AK19="sim",AK19="sim"),"Foi realizado o ensaio prévio conforme indicado na tabela e o equipamento foi ajustado conforme especificações do fabricante.",IF(AND('Registo Calibração'!F19&lt;&gt;"",F19=""), "Ensaio prévio realizado na 1.ª Escala (Max1) e/ou da 2.ª escala (Max2) da balança.", "Ensaio prévio realizado conforme indicado na tabela. Não se realizou o ajuste interno do equipamento.")))</f>
        <v>Ensaio Prévio aplicável somente a equipamento com possibilidade de se aceder ao ajuste interno.</v>
      </c>
      <c r="AJ21" s="935"/>
      <c r="AK21" s="936"/>
      <c r="AM21" s="494" t="s">
        <v>46</v>
      </c>
      <c r="AN21" s="506">
        <v>2.0000179999999999</v>
      </c>
      <c r="AO21" s="490">
        <f>0.00004</f>
        <v>4.0000000000000003E-5</v>
      </c>
      <c r="AP21" s="507">
        <f t="shared" si="1"/>
        <v>0</v>
      </c>
      <c r="AQ21" s="746"/>
      <c r="AR21" s="361">
        <f>0.023/1000</f>
        <v>2.3E-5</v>
      </c>
      <c r="AT21" s="902" t="str">
        <f>IF(AT6="","",AW6)</f>
        <v/>
      </c>
      <c r="AU21" s="903"/>
      <c r="AV21" s="230" t="s">
        <v>70</v>
      </c>
      <c r="AW21" s="445"/>
      <c r="AX21" s="229"/>
      <c r="AY21" s="37"/>
      <c r="BA21" s="238">
        <v>0</v>
      </c>
      <c r="BB21" s="234" t="e">
        <f>(BF18/(2*SQRT(3)))*2</f>
        <v>#REF!</v>
      </c>
      <c r="BC21" s="234" t="e">
        <f t="shared" ref="BC21:BC29" si="10">IF(BB21&lt;0.00001,0.00000001,IF(BB21&lt;0.0001,0.0000001,IF(BB21&lt;0.001,0.000001,IF(BB21&lt;0.01,0.00001,IF(BB21&lt;0.1,0.0001,IF(BB21&lt;1,0.01,IF(BB21&lt;10,0.1,1)))))))</f>
        <v>#REF!</v>
      </c>
      <c r="BD21" s="234" t="e">
        <f t="shared" ref="BD21:BD29" si="11">CEILING(BB21,BC21)</f>
        <v>#REF!</v>
      </c>
      <c r="BE21" s="234" t="e">
        <f t="shared" ref="BE21:BE29" si="12">IF(BD21&lt;0.00001,7,IF(BD21&lt;0.0001,6,IF(BD21&lt;0.001,5,IF(BD21&lt;0.01,4,IF(BD21&lt;0.1,3,IF(BD21&lt;1,2,IF(BD21&lt;10,1,0)))))))</f>
        <v>#REF!</v>
      </c>
      <c r="BF21" s="238" t="e">
        <f t="shared" ref="BF21:BF29" si="13">FIXED(BD21,BE21)</f>
        <v>#REF!</v>
      </c>
    </row>
    <row r="22" spans="1:98" ht="30" customHeight="1" thickBot="1">
      <c r="A22" s="1023" t="s">
        <v>286</v>
      </c>
      <c r="B22" s="1023"/>
      <c r="C22" s="1023"/>
      <c r="D22" s="1023"/>
      <c r="E22" s="1023"/>
      <c r="F22" s="1023"/>
      <c r="G22" s="1023"/>
      <c r="H22" s="1023"/>
      <c r="I22" s="1023"/>
      <c r="J22" s="1023"/>
      <c r="K22" s="1023"/>
      <c r="L22" s="1023"/>
      <c r="M22" s="550" t="str">
        <f>IF(F23="","",IF(F23&lt;=4,ROUNDUP(C13/3,0),ROUNDUP((1/(F23-1))*C13,0)))</f>
        <v/>
      </c>
      <c r="U22" s="1072" t="s">
        <v>5</v>
      </c>
      <c r="V22" s="1073"/>
      <c r="W22" s="1073"/>
      <c r="X22" s="1073"/>
      <c r="Y22" s="1073"/>
      <c r="Z22" s="1073"/>
      <c r="AA22" s="1073"/>
      <c r="AB22" s="1073"/>
      <c r="AC22" s="1073"/>
      <c r="AD22" s="1073"/>
      <c r="AE22" s="1073"/>
      <c r="AF22" s="1074"/>
      <c r="AM22" s="497">
        <v>5</v>
      </c>
      <c r="AN22" s="757">
        <v>5.000019</v>
      </c>
      <c r="AO22" s="493">
        <f>0.00005</f>
        <v>5.0000000000000002E-5</v>
      </c>
      <c r="AP22" s="507">
        <f t="shared" si="1"/>
        <v>0</v>
      </c>
      <c r="AQ22" s="746"/>
      <c r="AR22" s="361">
        <f>0.051/1000</f>
        <v>5.1E-5</v>
      </c>
      <c r="AT22" s="886" t="str">
        <f>IF(AT7="","",AW7)</f>
        <v/>
      </c>
      <c r="AU22" s="887"/>
      <c r="AV22" s="230" t="s">
        <v>70</v>
      </c>
      <c r="AW22" s="445"/>
      <c r="AX22" s="229"/>
      <c r="AY22" s="37"/>
      <c r="BA22" s="238">
        <v>1</v>
      </c>
      <c r="BB22" s="234" t="e">
        <f>#REF!</f>
        <v>#REF!</v>
      </c>
      <c r="BC22" s="234" t="e">
        <f t="shared" si="10"/>
        <v>#REF!</v>
      </c>
      <c r="BD22" s="234" t="e">
        <f t="shared" si="11"/>
        <v>#REF!</v>
      </c>
      <c r="BE22" s="234" t="e">
        <f t="shared" si="12"/>
        <v>#REF!</v>
      </c>
      <c r="BF22" s="238" t="e">
        <f t="shared" si="13"/>
        <v>#REF!</v>
      </c>
    </row>
    <row r="23" spans="1:98" ht="33" customHeight="1" thickBot="1">
      <c r="E23" s="583" t="s">
        <v>289</v>
      </c>
      <c r="F23" s="215"/>
      <c r="G23" s="996" t="s">
        <v>287</v>
      </c>
      <c r="H23" s="996"/>
      <c r="I23" s="176"/>
      <c r="J23" s="177" t="str">
        <f>AV77</f>
        <v>kg</v>
      </c>
      <c r="L23" s="949" t="s">
        <v>288</v>
      </c>
      <c r="M23" s="576"/>
      <c r="T23" s="294"/>
      <c r="U23" s="616"/>
      <c r="AI23" s="952" t="s">
        <v>158</v>
      </c>
      <c r="AJ23" s="953"/>
      <c r="AK23" s="284" t="str">
        <f>$AV$77</f>
        <v>kg</v>
      </c>
      <c r="AL23"/>
      <c r="AM23" s="496">
        <v>10</v>
      </c>
      <c r="AN23" s="506">
        <v>10.000014</v>
      </c>
      <c r="AO23" s="490">
        <f>0.00006</f>
        <v>6.0000000000000002E-5</v>
      </c>
      <c r="AP23" s="507">
        <f t="shared" si="1"/>
        <v>0</v>
      </c>
      <c r="AQ23" s="746"/>
      <c r="AR23" s="361">
        <f>0.095/1000</f>
        <v>9.5000000000000005E-5</v>
      </c>
      <c r="AT23" s="886" t="str">
        <f t="shared" ref="AT23:AT34" si="14">IF(AT8="","",AW8)</f>
        <v/>
      </c>
      <c r="AU23" s="887"/>
      <c r="AV23" s="230" t="s">
        <v>70</v>
      </c>
      <c r="AW23" s="52"/>
      <c r="AX23" s="52"/>
      <c r="AY23" s="37"/>
      <c r="BA23" s="238">
        <v>2</v>
      </c>
      <c r="BB23" s="234" t="e">
        <f>#REF!</f>
        <v>#REF!</v>
      </c>
      <c r="BC23" s="234" t="e">
        <f t="shared" si="10"/>
        <v>#REF!</v>
      </c>
      <c r="BD23" s="234" t="e">
        <f t="shared" si="11"/>
        <v>#REF!</v>
      </c>
      <c r="BE23" s="234" t="e">
        <f t="shared" si="12"/>
        <v>#REF!</v>
      </c>
      <c r="BF23" s="238" t="e">
        <f t="shared" si="13"/>
        <v>#REF!</v>
      </c>
    </row>
    <row r="24" spans="1:98" ht="19.5" customHeight="1" thickBot="1">
      <c r="A24" s="317" t="s">
        <v>122</v>
      </c>
      <c r="B24" s="178">
        <v>2</v>
      </c>
      <c r="C24" s="178">
        <v>3</v>
      </c>
      <c r="D24" s="179">
        <v>4</v>
      </c>
      <c r="E24" s="179">
        <v>5</v>
      </c>
      <c r="F24" s="179">
        <v>6</v>
      </c>
      <c r="G24" s="179">
        <v>7</v>
      </c>
      <c r="H24" s="179">
        <v>8</v>
      </c>
      <c r="I24" s="179">
        <v>9</v>
      </c>
      <c r="J24" s="179">
        <v>10</v>
      </c>
      <c r="K24" s="214">
        <v>11</v>
      </c>
      <c r="L24" s="950"/>
      <c r="M24" s="576"/>
      <c r="N24" s="37"/>
      <c r="T24" s="295"/>
      <c r="U24" s="616"/>
      <c r="AF24" s="9"/>
      <c r="AG24" s="5"/>
      <c r="AI24" s="954" t="s">
        <v>159</v>
      </c>
      <c r="AJ24" s="955"/>
      <c r="AK24" s="285">
        <f>AV78</f>
        <v>1E-3</v>
      </c>
      <c r="AM24" s="496">
        <v>20</v>
      </c>
      <c r="AN24" s="506">
        <v>20.000043999999999</v>
      </c>
      <c r="AO24" s="490">
        <f>0.00008</f>
        <v>8.0000000000000007E-5</v>
      </c>
      <c r="AP24" s="507">
        <f t="shared" si="1"/>
        <v>0</v>
      </c>
      <c r="AQ24" s="746"/>
      <c r="AR24" s="361">
        <f>0.185/1000</f>
        <v>1.85E-4</v>
      </c>
      <c r="AT24" s="886" t="str">
        <f t="shared" si="14"/>
        <v/>
      </c>
      <c r="AU24" s="887"/>
      <c r="AY24" s="37"/>
      <c r="BA24" s="238">
        <v>3</v>
      </c>
      <c r="BB24" s="234" t="e">
        <f>#REF!</f>
        <v>#REF!</v>
      </c>
      <c r="BC24" s="234" t="e">
        <f t="shared" si="10"/>
        <v>#REF!</v>
      </c>
      <c r="BD24" s="234" t="e">
        <f t="shared" si="11"/>
        <v>#REF!</v>
      </c>
      <c r="BE24" s="234" t="e">
        <f t="shared" si="12"/>
        <v>#REF!</v>
      </c>
      <c r="BF24" s="238" t="e">
        <f t="shared" si="13"/>
        <v>#REF!</v>
      </c>
      <c r="BN24" s="5"/>
      <c r="BO24" s="5"/>
      <c r="BP24" s="5"/>
      <c r="BQ24" s="5"/>
      <c r="BR24" s="5"/>
      <c r="BS24" s="5"/>
      <c r="BT24" s="5"/>
    </row>
    <row r="25" spans="1:98" ht="23.25" customHeight="1" thickBot="1">
      <c r="A25" s="180" t="str">
        <f>IF($F$23&lt;2,"",$I$23)</f>
        <v/>
      </c>
      <c r="B25" s="180" t="str">
        <f>IF($F$23&lt;2,"",$I$23)</f>
        <v/>
      </c>
      <c r="C25" s="180" t="str">
        <f>IF($F$23&lt;2,"",$I$23)</f>
        <v/>
      </c>
      <c r="D25" s="180" t="str">
        <f>IF($F$23&lt;4,"",$I$23)</f>
        <v/>
      </c>
      <c r="E25" s="180" t="str">
        <f>IF($F$23&lt;4,"",$I$23)</f>
        <v/>
      </c>
      <c r="F25" s="180" t="str">
        <f>IF($F$23&lt;5,"",$I$23)</f>
        <v/>
      </c>
      <c r="G25" s="180" t="str">
        <f>IF($F$23&lt;6,"",$I$23)</f>
        <v/>
      </c>
      <c r="H25" s="180" t="str">
        <f>IF($F$23&lt;=7,"",$I$23)</f>
        <v/>
      </c>
      <c r="I25" s="180" t="str">
        <f>IF($F$23&lt;=7,"",$I$23)</f>
        <v/>
      </c>
      <c r="J25" s="180" t="str">
        <f>IF($F$23&lt;=9,"",$I$23)</f>
        <v/>
      </c>
      <c r="K25" s="180" t="str">
        <f>IF($F$23&lt;=9,"",$I$23)</f>
        <v/>
      </c>
      <c r="L25" s="951"/>
      <c r="T25" s="295"/>
      <c r="U25" s="616"/>
      <c r="AD25" s="959"/>
      <c r="AE25" s="959"/>
      <c r="AF25" s="959"/>
      <c r="AG25" s="5"/>
      <c r="AH25" s="5"/>
      <c r="AI25"/>
      <c r="AJ25"/>
      <c r="AK25"/>
      <c r="AL25"/>
      <c r="AM25" s="494" t="s">
        <v>47</v>
      </c>
      <c r="AN25" s="506">
        <v>20.000026999999999</v>
      </c>
      <c r="AO25" s="490">
        <f>0.00008</f>
        <v>8.0000000000000007E-5</v>
      </c>
      <c r="AP25" s="507">
        <f t="shared" si="1"/>
        <v>0</v>
      </c>
      <c r="AQ25" s="746"/>
      <c r="AR25" s="361">
        <f>0.185/1000</f>
        <v>1.85E-4</v>
      </c>
      <c r="AT25" s="886" t="str">
        <f t="shared" si="14"/>
        <v/>
      </c>
      <c r="AU25" s="887"/>
      <c r="AV25" s="37"/>
      <c r="AW25" s="231" t="s">
        <v>78</v>
      </c>
      <c r="AY25" s="37"/>
      <c r="AZ25" s="5"/>
      <c r="BA25" s="238">
        <v>4</v>
      </c>
      <c r="BB25" s="234" t="e">
        <f>#REF!</f>
        <v>#REF!</v>
      </c>
      <c r="BC25" s="234" t="e">
        <f t="shared" si="10"/>
        <v>#REF!</v>
      </c>
      <c r="BD25" s="234" t="e">
        <f t="shared" si="11"/>
        <v>#REF!</v>
      </c>
      <c r="BE25" s="234" t="e">
        <f t="shared" si="12"/>
        <v>#REF!</v>
      </c>
      <c r="BF25" s="238" t="e">
        <f t="shared" si="13"/>
        <v>#REF!</v>
      </c>
      <c r="BN25" s="5"/>
      <c r="BO25" s="5"/>
      <c r="BP25" s="5"/>
      <c r="BQ25" s="5"/>
      <c r="BR25" s="5"/>
      <c r="BS25" s="5"/>
      <c r="BT25" s="5"/>
    </row>
    <row r="26" spans="1:98" ht="23.25" customHeight="1" thickBot="1">
      <c r="A26" s="211" t="str">
        <f>IF(A25&lt;&gt;"",FIXED(A25,$AI$15,TRUE),"-------")</f>
        <v>-------</v>
      </c>
      <c r="B26" s="212" t="str">
        <f>IF($A$25&lt;&gt;"",FIXED(B25,$AI$15,TRUE),"-------")</f>
        <v>-------</v>
      </c>
      <c r="C26" s="212" t="str">
        <f>IF($A$25&lt;&gt;"",FIXED(C25,$AI$15,TRUE),"-------")</f>
        <v>-------</v>
      </c>
      <c r="D26" s="212" t="str">
        <f>IF($A$25&lt;&gt;"",FIXED(D25,$AI$15,TRUE),"-------")</f>
        <v>-------</v>
      </c>
      <c r="E26" s="213" t="str">
        <f>IF($F$23&lt;4,"-------",FIXED(E25,$AI$15,TRUE))</f>
        <v>-------</v>
      </c>
      <c r="F26" s="213" t="str">
        <f>IF($F$23&lt;5,"-------",FIXED(F25,$AI$15,TRUE))</f>
        <v>-------</v>
      </c>
      <c r="G26" s="213" t="str">
        <f>IF($F$23&lt;6,"-------",FIXED(G25,$AI$15,TRUE))</f>
        <v>-------</v>
      </c>
      <c r="H26" s="213" t="str">
        <f>IF($F$23&lt;=7,"-------",FIXED(H25,$AI$15,TRUE))</f>
        <v>-------</v>
      </c>
      <c r="I26" s="213" t="str">
        <f>IF($F$23&lt;=7,"-------",FIXED(I25,$AI$15,TRUE))</f>
        <v>-------</v>
      </c>
      <c r="J26" s="213" t="str">
        <f>IF($F$23&lt;=9,"-------",FIXED(J25,$AI$15,TRUE))</f>
        <v>-------</v>
      </c>
      <c r="K26" s="213" t="str">
        <f>IF($F$23&lt;10,"-------",FIXED(K25,$AI$15,TRUE))</f>
        <v>-------</v>
      </c>
      <c r="L26" s="270">
        <f>IF(F23&lt;=1,0,IF(ABS(MAX(B25:K25)-A25)&lt;ABS(MIN(B25:K25)-A25),FIXED(MIN(B25:K25)-A25,$AI$15),FIXED(MAX(B25:K25)-A25,$AI$15)))</f>
        <v>0</v>
      </c>
      <c r="M26" s="169" t="str">
        <f>$AV$77</f>
        <v>kg</v>
      </c>
      <c r="T26" s="296"/>
      <c r="U26" s="616"/>
      <c r="AG26" s="18"/>
      <c r="AH26" s="18"/>
      <c r="AI26" s="966" t="s">
        <v>312</v>
      </c>
      <c r="AJ26" s="967"/>
      <c r="AK26" s="964" t="s">
        <v>314</v>
      </c>
      <c r="AL26" s="965"/>
      <c r="AM26" s="497">
        <v>50</v>
      </c>
      <c r="AN26" s="757">
        <v>50.000022999999999</v>
      </c>
      <c r="AO26" s="493">
        <f>0.0001</f>
        <v>1E-4</v>
      </c>
      <c r="AP26" s="507">
        <f t="shared" si="1"/>
        <v>0</v>
      </c>
      <c r="AQ26" s="746"/>
      <c r="AR26" s="361">
        <f>0.447/1000</f>
        <v>4.4700000000000002E-4</v>
      </c>
      <c r="AT26" s="886" t="str">
        <f t="shared" si="14"/>
        <v/>
      </c>
      <c r="AU26" s="887"/>
      <c r="AV26" s="37"/>
      <c r="AW26" s="947" t="s">
        <v>477</v>
      </c>
      <c r="AX26" s="300"/>
      <c r="AY26" s="233"/>
      <c r="AZ26" s="51"/>
      <c r="BA26" s="238">
        <v>5</v>
      </c>
      <c r="BB26" s="234" t="e">
        <f>#REF!</f>
        <v>#REF!</v>
      </c>
      <c r="BC26" s="234" t="e">
        <f t="shared" si="10"/>
        <v>#REF!</v>
      </c>
      <c r="BD26" s="234" t="e">
        <f t="shared" si="11"/>
        <v>#REF!</v>
      </c>
      <c r="BE26" s="234" t="e">
        <f t="shared" si="12"/>
        <v>#REF!</v>
      </c>
      <c r="BF26" s="238" t="e">
        <f t="shared" si="13"/>
        <v>#REF!</v>
      </c>
      <c r="BN26" s="51"/>
      <c r="BO26" s="51"/>
      <c r="BP26" s="51"/>
      <c r="BQ26" s="51"/>
      <c r="BR26" s="51"/>
      <c r="BS26" s="51"/>
      <c r="BT26" s="51"/>
      <c r="BU26" s="51"/>
      <c r="BV26" s="51"/>
      <c r="BW26" s="51"/>
      <c r="BX26" s="51"/>
      <c r="BY26" s="51"/>
      <c r="BZ26" s="51"/>
      <c r="CA26" s="51"/>
      <c r="CB26" s="51"/>
      <c r="CC26" s="51"/>
      <c r="CD26" s="51"/>
      <c r="CE26" s="51"/>
      <c r="CF26" s="51"/>
      <c r="CG26" s="51"/>
      <c r="CH26" s="51"/>
      <c r="CI26" s="51"/>
      <c r="CJ26" s="51"/>
      <c r="CK26" s="51"/>
      <c r="CL26" s="51"/>
      <c r="CM26" s="51"/>
      <c r="CN26" s="51"/>
      <c r="CO26" s="51"/>
      <c r="CP26" s="51"/>
      <c r="CQ26" s="51"/>
      <c r="CR26" s="51"/>
      <c r="CS26" s="51"/>
      <c r="CT26" s="51"/>
    </row>
    <row r="27" spans="1:98" ht="41.25" customHeight="1" thickBot="1">
      <c r="B27" s="15"/>
      <c r="C27" s="15"/>
      <c r="D27" s="15"/>
      <c r="H27" s="16"/>
      <c r="I27" s="821"/>
      <c r="J27" s="821"/>
      <c r="K27" s="821" t="s">
        <v>616</v>
      </c>
      <c r="L27" s="37" t="s">
        <v>615</v>
      </c>
      <c r="M27" s="774" t="s">
        <v>564</v>
      </c>
      <c r="N27" s="5"/>
      <c r="T27" s="296"/>
      <c r="U27" s="368" t="s">
        <v>348</v>
      </c>
      <c r="V27" s="617" t="s">
        <v>149</v>
      </c>
      <c r="W27" s="618" t="s">
        <v>10</v>
      </c>
      <c r="X27" s="618" t="s">
        <v>336</v>
      </c>
      <c r="Y27" s="618" t="s">
        <v>156</v>
      </c>
      <c r="Z27" s="618" t="s">
        <v>337</v>
      </c>
      <c r="AA27" s="619" t="s">
        <v>453</v>
      </c>
      <c r="AB27" s="941" t="s">
        <v>322</v>
      </c>
      <c r="AC27" s="942"/>
      <c r="AD27" s="942"/>
      <c r="AE27" s="942"/>
      <c r="AF27" s="943"/>
      <c r="AG27" s="18"/>
      <c r="AH27" s="19"/>
      <c r="AI27" s="72" t="s">
        <v>154</v>
      </c>
      <c r="AJ27" s="72" t="s">
        <v>155</v>
      </c>
      <c r="AK27" s="72" t="s">
        <v>154</v>
      </c>
      <c r="AL27" s="72" t="s">
        <v>155</v>
      </c>
      <c r="AM27" s="498">
        <v>100</v>
      </c>
      <c r="AN27" s="506">
        <v>100.00005299999999</v>
      </c>
      <c r="AO27" s="490">
        <f>0.00016</f>
        <v>1.6000000000000001E-4</v>
      </c>
      <c r="AP27" s="507">
        <f t="shared" si="1"/>
        <v>0</v>
      </c>
      <c r="AQ27" s="746"/>
      <c r="AR27" s="362">
        <f>SQRT((8.89/1000)^2/3)</f>
        <v>5.1326438930957728E-3</v>
      </c>
      <c r="AT27" s="886" t="str">
        <f t="shared" si="14"/>
        <v/>
      </c>
      <c r="AU27" s="887"/>
      <c r="AV27" s="37"/>
      <c r="AW27" s="947"/>
      <c r="AX27" s="300"/>
      <c r="AY27" s="233"/>
      <c r="AZ27" s="51"/>
      <c r="BA27" s="238">
        <v>6</v>
      </c>
      <c r="BB27" s="234" t="e">
        <f>#REF!</f>
        <v>#REF!</v>
      </c>
      <c r="BC27" s="234" t="e">
        <f t="shared" si="10"/>
        <v>#REF!</v>
      </c>
      <c r="BD27" s="234" t="e">
        <f t="shared" si="11"/>
        <v>#REF!</v>
      </c>
      <c r="BE27" s="234" t="e">
        <f t="shared" si="12"/>
        <v>#REF!</v>
      </c>
      <c r="BF27" s="238" t="e">
        <f t="shared" si="13"/>
        <v>#REF!</v>
      </c>
      <c r="BN27" s="51"/>
      <c r="BO27" s="51"/>
      <c r="BP27" s="51"/>
      <c r="BQ27" s="51"/>
      <c r="BR27" s="51"/>
      <c r="BS27" s="51"/>
      <c r="BT27" s="51"/>
      <c r="BU27" s="51"/>
      <c r="BV27" s="51"/>
      <c r="BW27" s="51"/>
      <c r="BX27" s="51"/>
      <c r="BY27" s="51"/>
      <c r="BZ27" s="51"/>
      <c r="CA27" s="51"/>
      <c r="CB27" s="51"/>
      <c r="CC27" s="51"/>
      <c r="CD27" s="51"/>
      <c r="CE27" s="51"/>
      <c r="CF27" s="51"/>
      <c r="CG27" s="51"/>
      <c r="CH27" s="51"/>
      <c r="CI27" s="51"/>
      <c r="CJ27" s="51"/>
      <c r="CK27" s="51"/>
      <c r="CL27" s="51"/>
      <c r="CM27" s="51"/>
      <c r="CN27" s="51"/>
      <c r="CO27" s="51"/>
      <c r="CP27" s="51"/>
      <c r="CQ27" s="51"/>
      <c r="CR27" s="51"/>
      <c r="CS27" s="51"/>
      <c r="CT27" s="51"/>
    </row>
    <row r="28" spans="1:98" ht="21" customHeight="1" thickBot="1">
      <c r="A28" s="772" t="s">
        <v>419</v>
      </c>
      <c r="B28" s="299"/>
      <c r="C28" s="299"/>
      <c r="D28" s="299"/>
      <c r="E28" s="584"/>
      <c r="F28" s="299"/>
      <c r="G28" s="299"/>
      <c r="H28" s="299"/>
      <c r="I28" s="825"/>
      <c r="J28" s="825"/>
      <c r="K28" s="825"/>
      <c r="L28" s="771"/>
      <c r="M28" s="773">
        <f>IF(AND(L28&lt;&gt;"",I28&lt;&gt;""),"",IF(I28&lt;&gt;"",STDEV(I28:K28),IF(L28=1,STDEV(G32:G36),IF(L28=2,STDEV(G37:G41),IF(L28=3,STDEV(G43:G47),IF(L28=4,STDEV(G49:G53),IF(L28=5,STDEV(G55:G59),IF(L28=6,STDEV(G61:G65),IF(L28=7,STDEV(G67:G71),STDEV(G73:G77))))))))))</f>
        <v>0</v>
      </c>
      <c r="U28" s="369" t="s">
        <v>349</v>
      </c>
      <c r="V28" s="324" t="s">
        <v>334</v>
      </c>
      <c r="W28" s="325" t="s">
        <v>347</v>
      </c>
      <c r="X28" s="328" t="s">
        <v>335</v>
      </c>
      <c r="Y28" s="326" t="s">
        <v>317</v>
      </c>
      <c r="Z28" s="325" t="s">
        <v>318</v>
      </c>
      <c r="AA28" s="607" t="s">
        <v>454</v>
      </c>
      <c r="AB28" s="393" t="s">
        <v>150</v>
      </c>
      <c r="AC28" s="318" t="s">
        <v>321</v>
      </c>
      <c r="AD28" s="392" t="s">
        <v>318</v>
      </c>
      <c r="AE28" s="319" t="s">
        <v>6</v>
      </c>
      <c r="AF28" s="391" t="s">
        <v>332</v>
      </c>
      <c r="AG28" s="6"/>
      <c r="AH28" s="19" t="s">
        <v>11</v>
      </c>
      <c r="AI28" s="670">
        <f t="shared" ref="AI28:AI37" si="15">IF(ISERROR(VLOOKUP(B32,$AM$7:$AO$255,2,FALSE)),0,(VLOOKUP(B32,$AM$7:$AO$255,2,FALSE)*$AV$78))</f>
        <v>0</v>
      </c>
      <c r="AJ28" s="671">
        <f t="shared" ref="AJ28:AJ37" si="16">IF(ISERROR(VLOOKUP(C32,$AM$7:$AO$255,2,FALSE)),0,(VLOOKUP(C32,$AM$7:$AO$255,2,FALSE)*$AV$78))</f>
        <v>0</v>
      </c>
      <c r="AK28" s="271">
        <f t="shared" ref="AK28:AK37" si="17">IF(ISERROR(VLOOKUP(B32,$AM$7:$AO$255,3,FALSE)),0,(VLOOKUP(B32,$AM$7:$AO$255,3,FALSE)*$AV$78))</f>
        <v>0</v>
      </c>
      <c r="AL28" s="54">
        <f t="shared" ref="AL28:AL37" si="18">IF(ISERROR(VLOOKUP(C32,$AM$7:$AO$255,3,FALSE)),0,(VLOOKUP(C32,$AM$7:$AO$255,3,FALSE)*$AV$78))</f>
        <v>0</v>
      </c>
      <c r="AM28" s="499">
        <v>200</v>
      </c>
      <c r="AN28" s="506">
        <v>199.99995999999999</v>
      </c>
      <c r="AO28" s="490">
        <f>0.0003</f>
        <v>2.9999999999999997E-4</v>
      </c>
      <c r="AP28" s="507">
        <f t="shared" si="1"/>
        <v>0</v>
      </c>
      <c r="AQ28" s="746"/>
      <c r="AR28" s="362">
        <f>SQRT((8.89/1000)^2/3)</f>
        <v>5.1326438930957728E-3</v>
      </c>
      <c r="AT28" s="886" t="str">
        <f t="shared" si="14"/>
        <v/>
      </c>
      <c r="AU28" s="887"/>
      <c r="AW28" s="947"/>
      <c r="AX28" s="300"/>
      <c r="AY28" s="51"/>
      <c r="AZ28" s="51"/>
      <c r="BA28" s="238">
        <v>7</v>
      </c>
      <c r="BB28" s="234" t="e">
        <f>#REF!</f>
        <v>#REF!</v>
      </c>
      <c r="BC28" s="234" t="e">
        <f t="shared" si="10"/>
        <v>#REF!</v>
      </c>
      <c r="BD28" s="234" t="e">
        <f t="shared" si="11"/>
        <v>#REF!</v>
      </c>
      <c r="BE28" s="234" t="e">
        <f t="shared" si="12"/>
        <v>#REF!</v>
      </c>
      <c r="BF28" s="238" t="e">
        <f t="shared" si="13"/>
        <v>#REF!</v>
      </c>
      <c r="BN28" s="51"/>
      <c r="BO28" s="51"/>
      <c r="BP28" s="51"/>
      <c r="BQ28" s="51"/>
      <c r="BR28" s="51"/>
      <c r="BS28" s="51"/>
      <c r="BT28" s="51"/>
      <c r="BU28" s="51"/>
      <c r="BV28" s="51"/>
      <c r="BW28" s="51"/>
      <c r="BX28" s="51"/>
      <c r="BY28" s="51"/>
      <c r="BZ28" s="51"/>
      <c r="CA28" s="51"/>
      <c r="CB28" s="51"/>
      <c r="CC28" s="51"/>
      <c r="CD28" s="51"/>
      <c r="CE28" s="51"/>
      <c r="CF28" s="51"/>
      <c r="CG28" s="51"/>
      <c r="CH28" s="51"/>
      <c r="CI28" s="51"/>
      <c r="CJ28" s="51"/>
      <c r="CK28" s="51"/>
      <c r="CL28" s="51"/>
      <c r="CM28" s="51"/>
      <c r="CN28" s="51"/>
      <c r="CO28" s="51"/>
      <c r="CP28" s="51"/>
      <c r="CQ28" s="51"/>
      <c r="CR28" s="51"/>
      <c r="CS28" s="51"/>
      <c r="CT28" s="51"/>
    </row>
    <row r="29" spans="1:98" s="21" customFormat="1" ht="29.25" customHeight="1" thickBot="1">
      <c r="A29" s="1004" t="s">
        <v>340</v>
      </c>
      <c r="B29" s="1014" t="s">
        <v>285</v>
      </c>
      <c r="C29" s="1010"/>
      <c r="D29" s="1015"/>
      <c r="E29" s="566" t="s">
        <v>447</v>
      </c>
      <c r="F29" s="566" t="s">
        <v>451</v>
      </c>
      <c r="G29" s="1009" t="s">
        <v>412</v>
      </c>
      <c r="H29" s="1010"/>
      <c r="I29" s="1105"/>
      <c r="J29" s="201" t="s">
        <v>318</v>
      </c>
      <c r="K29" s="202" t="s">
        <v>6</v>
      </c>
      <c r="L29" s="203" t="s">
        <v>446</v>
      </c>
      <c r="M29" s="1106" t="s">
        <v>330</v>
      </c>
      <c r="O29" s="983" t="s">
        <v>346</v>
      </c>
      <c r="P29" s="984"/>
      <c r="Q29" s="937" t="s">
        <v>152</v>
      </c>
      <c r="R29" s="938"/>
      <c r="S29" s="985" t="s">
        <v>263</v>
      </c>
      <c r="T29" s="986"/>
      <c r="U29" s="602" t="s">
        <v>456</v>
      </c>
      <c r="V29" s="394">
        <f>IF($H$14="Sim", $C$14/4,IF($E$14="",$C$14/2,$E$14/2))</f>
        <v>0</v>
      </c>
      <c r="W29" s="395">
        <f>V29^2/3</f>
        <v>0</v>
      </c>
      <c r="X29" s="396">
        <f t="shared" ref="X29:X34" si="19">SQRT(W29)</f>
        <v>0</v>
      </c>
      <c r="Y29" s="396">
        <v>1</v>
      </c>
      <c r="Z29" s="396">
        <v>50</v>
      </c>
      <c r="AA29" s="397">
        <f>(X29*Y29)^2</f>
        <v>0</v>
      </c>
      <c r="AF29" s="389"/>
      <c r="AG29" s="327" t="s">
        <v>333</v>
      </c>
      <c r="AH29" s="19"/>
      <c r="AI29" s="672">
        <f t="shared" si="15"/>
        <v>0</v>
      </c>
      <c r="AJ29" s="673">
        <f t="shared" si="16"/>
        <v>0</v>
      </c>
      <c r="AK29" s="272">
        <f t="shared" si="17"/>
        <v>0</v>
      </c>
      <c r="AL29" s="56">
        <f t="shared" si="18"/>
        <v>0</v>
      </c>
      <c r="AM29" s="499" t="s">
        <v>48</v>
      </c>
      <c r="AN29" s="506">
        <v>199.99997999999999</v>
      </c>
      <c r="AO29" s="490">
        <f>0.0003</f>
        <v>2.9999999999999997E-4</v>
      </c>
      <c r="AP29" s="507">
        <f t="shared" si="1"/>
        <v>0</v>
      </c>
      <c r="AQ29" s="746"/>
      <c r="AR29" s="362">
        <f>SQRT((8.89/1000)^2/3)</f>
        <v>5.1326438930957728E-3</v>
      </c>
      <c r="AS29"/>
      <c r="AT29" s="886" t="str">
        <f t="shared" si="14"/>
        <v/>
      </c>
      <c r="AU29" s="887"/>
      <c r="AV29" s="50"/>
      <c r="AW29" s="947"/>
      <c r="AX29" s="300"/>
      <c r="AY29" s="51"/>
      <c r="AZ29" s="51"/>
      <c r="BA29" s="238">
        <v>8</v>
      </c>
      <c r="BB29" s="234" t="e">
        <f>#REF!</f>
        <v>#REF!</v>
      </c>
      <c r="BC29" s="234" t="e">
        <f t="shared" si="10"/>
        <v>#REF!</v>
      </c>
      <c r="BD29" s="234" t="e">
        <f t="shared" si="11"/>
        <v>#REF!</v>
      </c>
      <c r="BE29" s="234" t="e">
        <f t="shared" si="12"/>
        <v>#REF!</v>
      </c>
      <c r="BF29" s="238" t="e">
        <f t="shared" si="13"/>
        <v>#REF!</v>
      </c>
      <c r="BG29"/>
      <c r="BH29"/>
      <c r="BI29"/>
      <c r="BJ29"/>
      <c r="BK29"/>
      <c r="BL29"/>
      <c r="BM29"/>
      <c r="BN29" s="51"/>
      <c r="BO29" s="51"/>
      <c r="BP29" s="51"/>
      <c r="BQ29" s="51"/>
      <c r="BR29" s="51"/>
      <c r="BS29" s="51"/>
      <c r="BT29" s="51"/>
      <c r="BU29" s="51"/>
      <c r="BV29" s="51"/>
      <c r="BW29" s="51"/>
      <c r="BX29" s="51"/>
      <c r="BY29" s="51"/>
      <c r="BZ29" s="51"/>
      <c r="CA29" s="51"/>
      <c r="CB29" s="51"/>
      <c r="CC29" s="51"/>
      <c r="CD29" s="51"/>
      <c r="CE29" s="51"/>
      <c r="CF29" s="51"/>
      <c r="CG29" s="51"/>
      <c r="CH29" s="51"/>
      <c r="CI29" s="51"/>
      <c r="CJ29" s="51"/>
      <c r="CK29" s="51"/>
      <c r="CL29" s="51"/>
      <c r="CM29" s="51"/>
      <c r="CN29" s="51"/>
      <c r="CO29" s="51"/>
      <c r="CP29" s="51"/>
      <c r="CQ29" s="51"/>
      <c r="CR29" s="51"/>
      <c r="CS29" s="51"/>
      <c r="CT29" s="51"/>
    </row>
    <row r="30" spans="1:98" s="21" customFormat="1" ht="39.75" customHeight="1" thickBot="1">
      <c r="A30" s="1005"/>
      <c r="B30" s="1016" t="s">
        <v>438</v>
      </c>
      <c r="C30" s="1017"/>
      <c r="D30" s="568" t="s">
        <v>449</v>
      </c>
      <c r="E30" s="568" t="s">
        <v>448</v>
      </c>
      <c r="F30" s="581" t="s">
        <v>457</v>
      </c>
      <c r="G30" s="577" t="s">
        <v>450</v>
      </c>
      <c r="H30" s="204" t="s">
        <v>8</v>
      </c>
      <c r="I30" s="578" t="s">
        <v>9</v>
      </c>
      <c r="J30" s="308" t="s">
        <v>331</v>
      </c>
      <c r="K30" s="205"/>
      <c r="L30" s="206" t="s">
        <v>3</v>
      </c>
      <c r="M30" s="957"/>
      <c r="O30" s="981"/>
      <c r="P30" s="982"/>
      <c r="Q30" s="939" t="s">
        <v>339</v>
      </c>
      <c r="R30" s="940"/>
      <c r="S30" s="981"/>
      <c r="T30" s="982"/>
      <c r="U30" s="653" t="s">
        <v>455</v>
      </c>
      <c r="V30" s="654">
        <f>IF($E$14="",$C$14/2,$E$14/2)</f>
        <v>0</v>
      </c>
      <c r="W30" s="655">
        <f>V30^2/3</f>
        <v>0</v>
      </c>
      <c r="X30" s="655">
        <f t="shared" si="19"/>
        <v>0</v>
      </c>
      <c r="Y30" s="655">
        <v>1</v>
      </c>
      <c r="Z30" s="655">
        <v>50</v>
      </c>
      <c r="AA30" s="656">
        <f>(X30*Y30)^2</f>
        <v>0</v>
      </c>
      <c r="AB30" s="77"/>
      <c r="AC30" s="18"/>
      <c r="AD30" s="18"/>
      <c r="AE30" s="18"/>
      <c r="AF30" s="78"/>
      <c r="AG30" s="6">
        <f>IF(I34&gt;0,$C$14,-$C$14)</f>
        <v>0</v>
      </c>
      <c r="AI30" s="672">
        <f t="shared" si="15"/>
        <v>0</v>
      </c>
      <c r="AJ30" s="673">
        <f t="shared" si="16"/>
        <v>0</v>
      </c>
      <c r="AK30" s="272">
        <f t="shared" si="17"/>
        <v>0</v>
      </c>
      <c r="AL30" s="56">
        <f t="shared" si="18"/>
        <v>0</v>
      </c>
      <c r="AM30" s="500">
        <v>500</v>
      </c>
      <c r="AN30" s="757">
        <v>499.99968999999999</v>
      </c>
      <c r="AO30" s="493">
        <f>0.0008</f>
        <v>8.0000000000000004E-4</v>
      </c>
      <c r="AP30" s="507">
        <f t="shared" si="1"/>
        <v>0</v>
      </c>
      <c r="AQ30" s="746"/>
      <c r="AR30" s="362">
        <f>SQRT((8.89/1000)^2/3)</f>
        <v>5.1326438930957728E-3</v>
      </c>
      <c r="AS30"/>
      <c r="AT30" s="886" t="str">
        <f t="shared" si="14"/>
        <v/>
      </c>
      <c r="AU30" s="887"/>
      <c r="AV30"/>
      <c r="AW30" s="947"/>
      <c r="AX30" s="300"/>
      <c r="AY30"/>
      <c r="AZ30" s="17"/>
      <c r="BA30" s="243"/>
      <c r="BB30" s="244"/>
      <c r="BC30" s="244"/>
      <c r="BD30" s="244"/>
      <c r="BE30" s="244"/>
      <c r="BF30" s="245"/>
      <c r="BG30"/>
      <c r="BH30"/>
      <c r="BI30"/>
      <c r="BJ30"/>
      <c r="BK30"/>
      <c r="BL30"/>
      <c r="BM30"/>
      <c r="BN30" s="17"/>
      <c r="BO30" s="17"/>
      <c r="BP30" s="17"/>
      <c r="BQ30" s="17"/>
      <c r="BR30" s="17"/>
      <c r="BS30" s="17"/>
      <c r="BT30" s="17"/>
      <c r="BU30" s="17"/>
    </row>
    <row r="31" spans="1:98" s="21" customFormat="1" ht="30.75" customHeight="1" thickBot="1">
      <c r="A31" s="593" t="s">
        <v>452</v>
      </c>
      <c r="B31" s="1012">
        <v>0</v>
      </c>
      <c r="C31" s="1013"/>
      <c r="D31" s="594">
        <v>0</v>
      </c>
      <c r="E31" s="595" t="str">
        <f>$AV$77</f>
        <v>kg</v>
      </c>
      <c r="F31" s="595" t="str">
        <f>FIXED(MROUND(D31,$C$14/10),$AI$15+1,TRUE)</f>
        <v>0,0</v>
      </c>
      <c r="G31" s="307"/>
      <c r="H31" s="216" t="str">
        <f>FIXED(G31,$AI$15,TRUE)</f>
        <v>0</v>
      </c>
      <c r="I31" s="217" t="str">
        <f>FIXED((H31-0),$AI$15)</f>
        <v>0</v>
      </c>
      <c r="J31" s="218" t="str">
        <f>"&gt; 500"</f>
        <v>&gt; 500</v>
      </c>
      <c r="K31" s="219">
        <v>2</v>
      </c>
      <c r="L31" s="309" t="str">
        <f>BF9</f>
        <v>0,0000000</v>
      </c>
      <c r="M31" s="311"/>
      <c r="O31" s="981" t="s">
        <v>281</v>
      </c>
      <c r="P31" s="982"/>
      <c r="Q31" s="981" t="s">
        <v>281</v>
      </c>
      <c r="R31" s="982"/>
      <c r="S31" s="1103" t="s">
        <v>281</v>
      </c>
      <c r="T31" s="1104"/>
      <c r="U31" s="658"/>
      <c r="V31" s="613" t="str">
        <f>IF($I$23&lt;&gt;"",ABS($L$26*(F34/(2*$I$23))),IF('2º MR-MI'!$I$23&lt;&gt;0,ABS('2º MR-MI'!$L$26*(F34/(2*'2º MR-MI'!$I$23))),IF('Registo Calibração'!$I$23&lt;&gt;0,ABS('Registo Calibração'!$L$26*(F34/(2*'Registo Calibração'!$I$23))),"")))</f>
        <v/>
      </c>
      <c r="W31" s="614">
        <f>IF(V31="",0,(V31)^2/3)</f>
        <v>0</v>
      </c>
      <c r="X31" s="614">
        <f t="shared" si="19"/>
        <v>0</v>
      </c>
      <c r="Y31" s="614">
        <v>1</v>
      </c>
      <c r="Z31" s="614">
        <v>50</v>
      </c>
      <c r="AA31" s="615">
        <f>IF(V31="",0,(X31*Y31)^2)</f>
        <v>0</v>
      </c>
      <c r="AB31" s="79"/>
      <c r="AC31" s="17"/>
      <c r="AD31" s="22"/>
      <c r="AE31" s="23"/>
      <c r="AF31" s="80"/>
      <c r="AG31" s="6"/>
      <c r="AH31" s="19"/>
      <c r="AI31" s="672">
        <f t="shared" si="15"/>
        <v>0</v>
      </c>
      <c r="AJ31" s="673">
        <f t="shared" si="16"/>
        <v>0</v>
      </c>
      <c r="AK31" s="272">
        <f t="shared" si="17"/>
        <v>0</v>
      </c>
      <c r="AL31" s="56">
        <f t="shared" si="18"/>
        <v>0</v>
      </c>
      <c r="AM31" s="501">
        <v>1000</v>
      </c>
      <c r="AN31" s="512">
        <v>1000.00082</v>
      </c>
      <c r="AO31" s="502">
        <f>0.0016</f>
        <v>1.6000000000000001E-3</v>
      </c>
      <c r="AP31" s="511">
        <f t="shared" si="1"/>
        <v>0</v>
      </c>
      <c r="AQ31" s="746"/>
      <c r="AR31" s="362">
        <f>SQRT((8.89/1000)^2/3)</f>
        <v>5.1326438930957728E-3</v>
      </c>
      <c r="AS31"/>
      <c r="AT31" s="886" t="str">
        <f t="shared" si="14"/>
        <v/>
      </c>
      <c r="AU31" s="887"/>
      <c r="AV31"/>
      <c r="AW31" s="232" t="s">
        <v>123</v>
      </c>
      <c r="AX31" s="232"/>
      <c r="AY31"/>
      <c r="AZ31" s="17"/>
      <c r="BA31" s="243"/>
      <c r="BB31" s="244"/>
      <c r="BC31" s="244"/>
      <c r="BD31" s="244"/>
      <c r="BE31" s="244"/>
      <c r="BF31" s="245"/>
      <c r="BG31"/>
      <c r="BH31"/>
      <c r="BI31"/>
      <c r="BJ31"/>
      <c r="BK31"/>
      <c r="BL31"/>
      <c r="BM31"/>
      <c r="BN31" s="17"/>
      <c r="BO31" s="17"/>
      <c r="BP31" s="17"/>
      <c r="BQ31" s="17"/>
      <c r="BR31" s="17"/>
      <c r="BS31" s="17"/>
      <c r="BT31" s="17"/>
      <c r="BU31" s="17"/>
    </row>
    <row r="32" spans="1:98" s="21" customFormat="1" ht="42" customHeight="1" thickBot="1">
      <c r="A32" s="1006">
        <v>1</v>
      </c>
      <c r="B32" s="596"/>
      <c r="C32" s="336"/>
      <c r="D32" s="590">
        <f>SUM(AI28:AI32,AJ28:AJ32)</f>
        <v>0</v>
      </c>
      <c r="E32" s="244"/>
      <c r="F32" s="567"/>
      <c r="G32" s="579"/>
      <c r="H32" s="207"/>
      <c r="I32" s="208"/>
      <c r="J32" s="208"/>
      <c r="K32" s="209"/>
      <c r="L32" s="209"/>
      <c r="M32" s="312"/>
      <c r="O32" s="356">
        <f t="shared" ref="O32:P41" si="20">AK28</f>
        <v>0</v>
      </c>
      <c r="P32" s="358">
        <f t="shared" si="20"/>
        <v>0</v>
      </c>
      <c r="Q32" s="259">
        <f t="shared" ref="Q32:Q41" si="21">IF(ABS($L$13-$K$13)&gt;3,IF(ISERROR(VLOOKUP(B32,$AY$58:$BB$80,3,FALSE)),0,(VLOOKUP(B32,$AY$58:$BB$80,3,FALSE)*$AV$78)),IF(ISERROR(VLOOKUP(B32,$AY$58:$BB$80,4,FALSE)),0,(VLOOKUP(B32,$AY$58:$BB$80,4,FALSE)*$AV$78)))</f>
        <v>0</v>
      </c>
      <c r="R32" s="260">
        <f t="shared" ref="R32:R41" si="22">IF(ABS($L$13-$K$13)&gt;3,IF(ISERROR(VLOOKUP(C32,$AY$58:$BB$80,3,FALSE)),0,(VLOOKUP(C32,$AY$58:$BB$80,3,FALSE)*$AV$78)),IF(ISERROR(VLOOKUP(C32,$AY$58:$BB$80,4,FALSE)),0,(VLOOKUP(C32,$AY$58:$BB$80,4,FALSE)*$AV$78)))</f>
        <v>0</v>
      </c>
      <c r="S32" s="667">
        <f t="shared" ref="S32:S41" si="23">IF($L$19="Não",IF(ISERROR(VLOOKUP(B32,$AM$15:$AR$255,5,FALSE)),0,(VLOOKUP(B32,$AM$15:$AR$255,5,FALSE)*$AV$78)),0)</f>
        <v>0</v>
      </c>
      <c r="T32" s="158">
        <f t="shared" ref="T32:T41" si="24">IF($L$19="Não",IF(ISERROR(VLOOKUP(C32,$AM$15:$AR$255,5,FALSE)),0,(VLOOKUP(C32,$AM$15:$AR$255,5,FALSE)*$AV$78)),0)</f>
        <v>0</v>
      </c>
      <c r="U32" s="657"/>
      <c r="V32" s="826">
        <f>IF(G33&lt;&gt;"",STDEV(G32:G36),$M$28)</f>
        <v>0</v>
      </c>
      <c r="W32" s="330">
        <f>IF(G33="",V32^2,V32^2/(Z32+1))</f>
        <v>0</v>
      </c>
      <c r="X32" s="330">
        <f t="shared" si="19"/>
        <v>0</v>
      </c>
      <c r="Y32" s="330">
        <v>1</v>
      </c>
      <c r="Z32" s="330">
        <f>IF(G33="",2,COUNT(G32:G36)-1)</f>
        <v>3</v>
      </c>
      <c r="AA32" s="331">
        <f>(Y32*X32)^2</f>
        <v>0</v>
      </c>
      <c r="AB32" s="79"/>
      <c r="AC32" s="17"/>
      <c r="AD32" s="22"/>
      <c r="AE32" s="23"/>
      <c r="AF32" s="80"/>
      <c r="AG32" s="6"/>
      <c r="AH32" s="27"/>
      <c r="AI32" s="674">
        <f t="shared" si="15"/>
        <v>0</v>
      </c>
      <c r="AJ32" s="675">
        <f t="shared" si="16"/>
        <v>0</v>
      </c>
      <c r="AK32" s="273">
        <f t="shared" si="17"/>
        <v>0</v>
      </c>
      <c r="AL32" s="58">
        <f t="shared" si="18"/>
        <v>0</v>
      </c>
      <c r="AM32" s="543">
        <v>716</v>
      </c>
      <c r="AN32" s="532" t="s">
        <v>525</v>
      </c>
      <c r="AO32" s="533" t="str">
        <f>IF(AP32=0,"NÃO","SIM")</f>
        <v>NÃO</v>
      </c>
      <c r="AP32" s="534">
        <f>IF(ISERROR(SUM(AP33:AP60)),SUM(AP33:AP60),SUM(AP33:AP60))</f>
        <v>0</v>
      </c>
      <c r="AQ32" s="534"/>
      <c r="AR32" s="93"/>
      <c r="AS32"/>
      <c r="AT32" s="886" t="str">
        <f t="shared" si="14"/>
        <v/>
      </c>
      <c r="AU32" s="887"/>
      <c r="AV32"/>
      <c r="AX32"/>
      <c r="BA32" s="244"/>
      <c r="BB32" s="244"/>
      <c r="BC32" s="244"/>
      <c r="BD32" s="244"/>
      <c r="BE32" s="245"/>
      <c r="BF32"/>
      <c r="BG32"/>
      <c r="BH32"/>
      <c r="BI32"/>
      <c r="BJ32"/>
      <c r="BK32"/>
      <c r="BL32"/>
    </row>
    <row r="33" spans="1:85" s="21" customFormat="1" ht="47.25" customHeight="1" thickBot="1">
      <c r="A33" s="1007"/>
      <c r="B33" s="597"/>
      <c r="C33" s="337"/>
      <c r="D33" s="587"/>
      <c r="E33" s="244"/>
      <c r="F33" s="567"/>
      <c r="G33" s="580">
        <f>G32</f>
        <v>0</v>
      </c>
      <c r="H33" s="207"/>
      <c r="I33" s="208"/>
      <c r="J33" s="208"/>
      <c r="K33" s="209"/>
      <c r="L33" s="209"/>
      <c r="M33" s="312"/>
      <c r="O33" s="355">
        <f t="shared" si="20"/>
        <v>0</v>
      </c>
      <c r="P33" s="359">
        <f t="shared" si="20"/>
        <v>0</v>
      </c>
      <c r="Q33" s="261">
        <f t="shared" si="21"/>
        <v>0</v>
      </c>
      <c r="R33" s="262">
        <f t="shared" si="22"/>
        <v>0</v>
      </c>
      <c r="S33" s="668">
        <f t="shared" si="23"/>
        <v>0</v>
      </c>
      <c r="T33" s="159">
        <f t="shared" si="24"/>
        <v>0</v>
      </c>
      <c r="U33" s="382" t="s">
        <v>338</v>
      </c>
      <c r="V33" s="366" t="str">
        <f>IF($H$11="","",IF($L$9="SIM",IF(L$11&lt;&gt;K$11,ABS(L$11-K$11)*($D32/J$11),0),ABS($M34)))</f>
        <v/>
      </c>
      <c r="W33" s="363">
        <f>IF(V33="",0,V33^2/3)</f>
        <v>0</v>
      </c>
      <c r="X33" s="363">
        <f t="shared" si="19"/>
        <v>0</v>
      </c>
      <c r="Y33" s="364">
        <v>1</v>
      </c>
      <c r="Z33" s="365">
        <v>50</v>
      </c>
      <c r="AA33" s="367">
        <f>IF(V33="",0,(X33*Y33)^2)</f>
        <v>0</v>
      </c>
      <c r="AB33" s="387"/>
      <c r="AF33" s="388"/>
      <c r="AG33" s="6"/>
      <c r="AH33" s="19" t="s">
        <v>12</v>
      </c>
      <c r="AI33" s="53">
        <f t="shared" si="15"/>
        <v>0</v>
      </c>
      <c r="AJ33" s="60">
        <f t="shared" si="16"/>
        <v>0</v>
      </c>
      <c r="AK33" s="271">
        <f t="shared" si="17"/>
        <v>0</v>
      </c>
      <c r="AL33" s="54">
        <f t="shared" si="18"/>
        <v>0</v>
      </c>
      <c r="AM33" s="489" t="s">
        <v>167</v>
      </c>
      <c r="AN33" s="520">
        <v>1.0034E-3</v>
      </c>
      <c r="AO33" s="490">
        <f>(0.02/1000)</f>
        <v>2.0000000000000002E-5</v>
      </c>
      <c r="AP33" s="507">
        <f t="shared" ref="AP33:AP60" si="25">IF(ISERROR(MATCH(AM33,$B$32:$B$77,0)),0,(MATCH(AM33,$B$32:$B$77,0)))+IF(ISERROR(MATCH(AM33,$C$32:$C$77,0)),0,(MATCH(AM33,$C$32:$C$77,0)))</f>
        <v>0</v>
      </c>
      <c r="AQ33" s="507"/>
      <c r="AR33" s="92"/>
      <c r="AS33"/>
      <c r="AT33" s="886" t="str">
        <f t="shared" si="14"/>
        <v/>
      </c>
      <c r="AU33" s="887"/>
      <c r="AV33"/>
      <c r="AW33"/>
      <c r="AX33"/>
      <c r="AY33" s="17"/>
      <c r="AZ33" s="17"/>
      <c r="BF33"/>
      <c r="BG33"/>
      <c r="BH33"/>
      <c r="BI33"/>
      <c r="BJ33"/>
      <c r="BK33"/>
      <c r="BL33"/>
      <c r="BM33" s="17"/>
      <c r="BN33" s="17"/>
      <c r="BO33" s="17"/>
      <c r="BP33" s="17"/>
      <c r="BQ33" s="17"/>
      <c r="BR33" s="17"/>
      <c r="BS33" s="17"/>
      <c r="BT33" s="17"/>
    </row>
    <row r="34" spans="1:85" s="21" customFormat="1" ht="48.75" customHeight="1" thickBot="1">
      <c r="A34" s="1007"/>
      <c r="B34" s="597"/>
      <c r="C34" s="337"/>
      <c r="D34" s="592" t="str">
        <f>FIXED(MROUND(D32,IF($E$14&lt;&gt;0,$E$14/10,$C$14/10)),$AI$15+1,TRUE)</f>
        <v>0,0</v>
      </c>
      <c r="E34" s="599"/>
      <c r="F34" s="600" t="str">
        <f>FIXED(MROUND(D34,$C$14/10),$AI$15+1,TRUE)</f>
        <v>0,0</v>
      </c>
      <c r="G34" s="580">
        <f>G33</f>
        <v>0</v>
      </c>
      <c r="H34" s="223" t="str">
        <f>IF(OR(D32&lt;&gt;0,E34&lt;&gt;0),AVERAGE(G32:G36),"-------")</f>
        <v>-------</v>
      </c>
      <c r="I34" s="224" t="str">
        <f>IF(OR(D32&lt;&gt;0,E34&lt;&gt;0),(H36-F34),"-------")</f>
        <v>-------</v>
      </c>
      <c r="J34" s="224" t="str">
        <f>IF(OR(B32&lt;&gt;"",E34&lt;&gt;""),ROUNDDOWN(AD34,0),"-------")</f>
        <v>-------</v>
      </c>
      <c r="K34" s="225" t="e">
        <f>IF(G32="===","------",AE34)</f>
        <v>#DIV/0!</v>
      </c>
      <c r="L34" s="225" t="str">
        <f>IF(OR(B32&lt;&gt;"",E34&lt;&gt;""),AF34,"-------")</f>
        <v>-------</v>
      </c>
      <c r="M34" s="313" t="str">
        <f>IF($H$11&lt;&gt;"",FIXED(ROUND((D32*($H$11-$H$10)/$H$10),$AI$15),$AI$15),"")</f>
        <v/>
      </c>
      <c r="O34" s="355">
        <f t="shared" si="20"/>
        <v>0</v>
      </c>
      <c r="P34" s="359">
        <f t="shared" si="20"/>
        <v>0</v>
      </c>
      <c r="Q34" s="261">
        <f t="shared" si="21"/>
        <v>0</v>
      </c>
      <c r="R34" s="262">
        <f t="shared" si="22"/>
        <v>0</v>
      </c>
      <c r="S34" s="668">
        <f t="shared" si="23"/>
        <v>0</v>
      </c>
      <c r="T34" s="159">
        <f t="shared" si="24"/>
        <v>0</v>
      </c>
      <c r="U34" s="383"/>
      <c r="V34" s="606">
        <f>(SUM(O32:O36,P32:P36))</f>
        <v>0</v>
      </c>
      <c r="W34" s="370">
        <f>V34^2/3</f>
        <v>0</v>
      </c>
      <c r="X34" s="370">
        <f t="shared" si="19"/>
        <v>0</v>
      </c>
      <c r="Y34" s="370">
        <v>1</v>
      </c>
      <c r="Z34" s="370">
        <v>50</v>
      </c>
      <c r="AA34" s="371">
        <f>IF(V34="","",(X34*Y34)^2)</f>
        <v>0</v>
      </c>
      <c r="AB34" s="386">
        <f>SUM(AA29:AA36,AA81,AA92)</f>
        <v>0</v>
      </c>
      <c r="AC34" s="17">
        <f>SQRT(AB34)</f>
        <v>0</v>
      </c>
      <c r="AD34" s="283" t="e">
        <f>(AC34^4)/(((($X$29*$Y$29)^4)/$Z$29)+((($X$30*$Y$30)^4)/$Z$30)+((($X$31*$Y$31)^4)/$Z$31)+(((X32*Y32)^4)/Z32)+(((X33*Y33)^4)/Z33)+(((X34*Y34)^4)/Z34)+(((X35*Y35)^4)/Z35)+(((X36*Y36)^4)/Z36)+(((X81*Y81)^4)/Z81)+(((X92*Y92)^4)/Z92))</f>
        <v>#DIV/0!</v>
      </c>
      <c r="AE34" s="23" t="e">
        <f>TINV(0.0455,AD34)</f>
        <v>#DIV/0!</v>
      </c>
      <c r="AF34" s="390" t="e">
        <f>CEILING((AE34*AC34),$C$14/100)</f>
        <v>#DIV/0!</v>
      </c>
      <c r="AG34" s="6"/>
      <c r="AH34" s="19"/>
      <c r="AI34" s="55">
        <f t="shared" si="15"/>
        <v>0</v>
      </c>
      <c r="AJ34" s="61">
        <f t="shared" si="16"/>
        <v>0</v>
      </c>
      <c r="AK34" s="272">
        <f t="shared" si="17"/>
        <v>0</v>
      </c>
      <c r="AL34" s="56">
        <f t="shared" si="18"/>
        <v>0</v>
      </c>
      <c r="AM34" s="489" t="s">
        <v>168</v>
      </c>
      <c r="AN34" s="520">
        <v>2.0011E-3</v>
      </c>
      <c r="AO34" s="490">
        <f>(0.02/1000)</f>
        <v>2.0000000000000002E-5</v>
      </c>
      <c r="AP34" s="507">
        <f t="shared" si="25"/>
        <v>0</v>
      </c>
      <c r="AQ34" s="507"/>
      <c r="AR34" s="92"/>
      <c r="AS34"/>
      <c r="AT34" s="886" t="str">
        <f t="shared" si="14"/>
        <v/>
      </c>
      <c r="AU34" s="887"/>
      <c r="AV34"/>
      <c r="AW34"/>
      <c r="AX34"/>
      <c r="AY34" s="17"/>
      <c r="AZ34" s="17"/>
      <c r="BF34"/>
      <c r="BG34"/>
      <c r="BH34"/>
      <c r="BI34"/>
      <c r="BJ34"/>
      <c r="BK34"/>
      <c r="BL34"/>
      <c r="BM34" s="17"/>
      <c r="BN34" s="17"/>
      <c r="BO34" s="17"/>
      <c r="BP34" s="17"/>
      <c r="BQ34" s="17"/>
      <c r="BR34" s="17"/>
      <c r="BS34" s="17"/>
    </row>
    <row r="35" spans="1:85" s="21" customFormat="1" ht="42.75" customHeight="1" thickBot="1">
      <c r="A35" s="1007"/>
      <c r="B35" s="597"/>
      <c r="C35" s="337"/>
      <c r="D35" s="587"/>
      <c r="E35" s="244"/>
      <c r="F35" s="848" t="s">
        <v>674</v>
      </c>
      <c r="G35" s="580">
        <f>G34</f>
        <v>0</v>
      </c>
      <c r="H35" s="207"/>
      <c r="I35" s="315"/>
      <c r="J35" s="208"/>
      <c r="K35" s="210"/>
      <c r="L35" s="209"/>
      <c r="M35" s="312"/>
      <c r="O35" s="355">
        <f t="shared" si="20"/>
        <v>0</v>
      </c>
      <c r="P35" s="359">
        <f t="shared" si="20"/>
        <v>0</v>
      </c>
      <c r="Q35" s="261">
        <f t="shared" si="21"/>
        <v>0</v>
      </c>
      <c r="R35" s="262">
        <f t="shared" si="22"/>
        <v>0</v>
      </c>
      <c r="S35" s="668">
        <f t="shared" si="23"/>
        <v>0</v>
      </c>
      <c r="T35" s="159">
        <f t="shared" si="24"/>
        <v>0</v>
      </c>
      <c r="U35" s="384" t="s">
        <v>338</v>
      </c>
      <c r="V35" s="333">
        <f>IF($L$19="sim",SUM(O32:P36)/4,SUM(S32:T36))</f>
        <v>0</v>
      </c>
      <c r="W35" s="334">
        <f>IF(V35="","",V35^2/3)</f>
        <v>0</v>
      </c>
      <c r="X35" s="334">
        <f>IF($L$19="Sim",SQRT(W35),SUM(S32:T36))</f>
        <v>0</v>
      </c>
      <c r="Y35" s="334">
        <v>1</v>
      </c>
      <c r="Z35" s="334">
        <v>50</v>
      </c>
      <c r="AA35" s="335">
        <f>(X35*Y35)^2</f>
        <v>0</v>
      </c>
      <c r="AB35" s="76"/>
      <c r="AC35" s="17"/>
      <c r="AD35" s="22"/>
      <c r="AE35" s="23"/>
      <c r="AF35" s="80"/>
      <c r="AG35" s="6"/>
      <c r="AI35" s="55">
        <f t="shared" si="15"/>
        <v>0</v>
      </c>
      <c r="AJ35" s="61">
        <f t="shared" si="16"/>
        <v>0</v>
      </c>
      <c r="AK35" s="272">
        <f t="shared" si="17"/>
        <v>0</v>
      </c>
      <c r="AL35" s="56">
        <f t="shared" si="18"/>
        <v>0</v>
      </c>
      <c r="AM35" s="491" t="s">
        <v>169</v>
      </c>
      <c r="AN35" s="520">
        <v>2.0046E-3</v>
      </c>
      <c r="AO35" s="490">
        <f>(0.02/1000)</f>
        <v>2.0000000000000002E-5</v>
      </c>
      <c r="AP35" s="507">
        <f t="shared" si="25"/>
        <v>0</v>
      </c>
      <c r="AQ35" s="507"/>
      <c r="AR35" s="92"/>
      <c r="AT35" s="40" t="s">
        <v>71</v>
      </c>
      <c r="AU35" s="41">
        <f>SUM(AS6:AS25)</f>
        <v>0</v>
      </c>
      <c r="AV35"/>
      <c r="AW35"/>
      <c r="AX35"/>
      <c r="AY35" s="17"/>
      <c r="AZ35" s="17"/>
      <c r="BF35"/>
      <c r="BG35"/>
      <c r="BH35"/>
      <c r="BI35"/>
      <c r="BJ35"/>
      <c r="BK35"/>
      <c r="BL35"/>
      <c r="BM35" s="17"/>
      <c r="BN35" s="17"/>
      <c r="BO35" s="17"/>
      <c r="BP35" s="17"/>
      <c r="BQ35" s="17"/>
      <c r="BR35" s="17"/>
      <c r="BS35" s="17"/>
    </row>
    <row r="36" spans="1:85" s="21" customFormat="1" ht="28.5" customHeight="1" thickBot="1">
      <c r="A36" s="1008"/>
      <c r="B36" s="598"/>
      <c r="C36" s="338"/>
      <c r="D36" s="591"/>
      <c r="E36" s="601"/>
      <c r="F36" s="847"/>
      <c r="G36" s="846">
        <f>G35</f>
        <v>0</v>
      </c>
      <c r="H36" s="306" t="str">
        <f>IF(H34&lt;&gt;"-------",FIXED(IF($E$14&lt;&gt;0,MROUND(H34,$E$14),MROUND(H34,$C$14)),LEN(L36)-2,TRUE),"------")</f>
        <v>------</v>
      </c>
      <c r="I36" s="220" t="str">
        <f>IF(I34&lt;&gt;"-------",FIXED(ROUND(I34,$AI$15),LEN(L36)-2,TRUE),"------")</f>
        <v>------</v>
      </c>
      <c r="J36" s="221" t="str">
        <f>IF(G32="===","------",IF(J34&gt;500,"&gt; 500",J34))</f>
        <v>&gt; 500</v>
      </c>
      <c r="K36" s="222" t="e">
        <f>K34</f>
        <v>#DIV/0!</v>
      </c>
      <c r="L36" s="310" t="str">
        <f>IF(L34&lt;&gt;"-------",BF10,"------")</f>
        <v>------</v>
      </c>
      <c r="M36" s="314"/>
      <c r="O36" s="357">
        <f t="shared" si="20"/>
        <v>0</v>
      </c>
      <c r="P36" s="360">
        <f t="shared" si="20"/>
        <v>0</v>
      </c>
      <c r="Q36" s="263">
        <f t="shared" si="21"/>
        <v>0</v>
      </c>
      <c r="R36" s="264">
        <f t="shared" si="22"/>
        <v>0</v>
      </c>
      <c r="S36" s="669">
        <f t="shared" si="23"/>
        <v>0</v>
      </c>
      <c r="T36" s="160">
        <f t="shared" si="24"/>
        <v>0</v>
      </c>
      <c r="U36" s="385"/>
      <c r="V36" s="372">
        <f>SUM(Q32:R36)</f>
        <v>0</v>
      </c>
      <c r="W36" s="373">
        <f>IF(V36="","",V36^2/3)</f>
        <v>0</v>
      </c>
      <c r="X36" s="373">
        <f>SQRT(W36)</f>
        <v>0</v>
      </c>
      <c r="Y36" s="373">
        <v>1</v>
      </c>
      <c r="Z36" s="373">
        <v>50</v>
      </c>
      <c r="AA36" s="374">
        <f>IF(V36="","",(X36*Y36)^2)</f>
        <v>0</v>
      </c>
      <c r="AB36" s="320"/>
      <c r="AC36" s="73"/>
      <c r="AD36" s="74"/>
      <c r="AE36" s="75"/>
      <c r="AF36" s="321"/>
      <c r="AG36" s="6">
        <f>IF(I39&gt;0,$C$14,-$C$14)</f>
        <v>0</v>
      </c>
      <c r="AH36" s="19"/>
      <c r="AI36" s="55">
        <f t="shared" si="15"/>
        <v>0</v>
      </c>
      <c r="AJ36" s="61">
        <f t="shared" si="16"/>
        <v>0</v>
      </c>
      <c r="AK36" s="272">
        <f t="shared" si="17"/>
        <v>0</v>
      </c>
      <c r="AL36" s="56">
        <f t="shared" si="18"/>
        <v>0</v>
      </c>
      <c r="AM36" s="491" t="s">
        <v>170</v>
      </c>
      <c r="AN36" s="520">
        <v>5.0032000000000002E-3</v>
      </c>
      <c r="AO36" s="490">
        <f>(0.02/1000)</f>
        <v>2.0000000000000002E-5</v>
      </c>
      <c r="AP36" s="507">
        <f t="shared" si="25"/>
        <v>0</v>
      </c>
      <c r="AQ36" s="507"/>
      <c r="AR36" s="92"/>
      <c r="AS36"/>
      <c r="AT36"/>
      <c r="AU36"/>
      <c r="AV36"/>
      <c r="AW36"/>
      <c r="AX36"/>
      <c r="AY36" s="17"/>
      <c r="AZ36" s="17"/>
      <c r="BF36"/>
      <c r="BG36"/>
      <c r="BH36"/>
      <c r="BI36"/>
      <c r="BJ36"/>
      <c r="BK36"/>
      <c r="BL36"/>
      <c r="BM36" s="17"/>
      <c r="BN36" s="17"/>
      <c r="BO36" s="17"/>
      <c r="BP36" s="17"/>
      <c r="BQ36" s="17"/>
      <c r="BR36" s="17"/>
      <c r="BS36" s="17"/>
    </row>
    <row r="37" spans="1:85" s="21" customFormat="1" ht="15" customHeight="1" thickBot="1">
      <c r="A37" s="882">
        <v>2</v>
      </c>
      <c r="B37" s="596"/>
      <c r="C37" s="659"/>
      <c r="D37" s="588">
        <f>IF(E39="",SUM(AI33:AI37,AJ33:AJ37),SUM(AI33:AI37,AJ33:AJ37)-I34)</f>
        <v>0</v>
      </c>
      <c r="E37" s="244"/>
      <c r="F37" s="567"/>
      <c r="G37" s="579"/>
      <c r="H37" s="207"/>
      <c r="I37" s="208"/>
      <c r="J37" s="208"/>
      <c r="K37" s="210"/>
      <c r="L37" s="209"/>
      <c r="M37" s="312"/>
      <c r="O37" s="356">
        <f t="shared" si="20"/>
        <v>0</v>
      </c>
      <c r="P37" s="358">
        <f t="shared" si="20"/>
        <v>0</v>
      </c>
      <c r="Q37" s="261">
        <f t="shared" si="21"/>
        <v>0</v>
      </c>
      <c r="R37" s="262">
        <f t="shared" si="22"/>
        <v>0</v>
      </c>
      <c r="S37" s="667">
        <f t="shared" si="23"/>
        <v>0</v>
      </c>
      <c r="T37" s="158">
        <f t="shared" si="24"/>
        <v>0</v>
      </c>
      <c r="U37" s="612"/>
      <c r="V37" s="613" t="str">
        <f>IF($I$23&lt;&gt;"",ABS($L$26*(F39/(2*$I$23))),IF('2º MR-MI'!$I$23&lt;&gt;0,ABS('2º MR-MI'!$L$26*(F39/(2*'2º MR-MI'!$I$23))),IF('Registo Calibração'!$I$23&lt;&gt;0,ABS('Registo Calibração'!$L$26*(F39/(2*'Registo Calibração'!$I$23))),"")))</f>
        <v/>
      </c>
      <c r="W37" s="614">
        <f>IF(V37="",0,(V37)^2/3)</f>
        <v>0</v>
      </c>
      <c r="X37" s="614">
        <f>SQRT(W37)</f>
        <v>0</v>
      </c>
      <c r="Y37" s="614">
        <v>1</v>
      </c>
      <c r="Z37" s="614">
        <v>50</v>
      </c>
      <c r="AA37" s="615">
        <f>IF(V37="",0,(X37*Y37)^2)</f>
        <v>0</v>
      </c>
      <c r="AB37" s="608"/>
      <c r="AC37" s="27"/>
      <c r="AD37" s="609"/>
      <c r="AE37" s="610"/>
      <c r="AF37" s="611"/>
      <c r="AG37" s="6"/>
      <c r="AH37" s="27"/>
      <c r="AI37" s="57">
        <f t="shared" si="15"/>
        <v>0</v>
      </c>
      <c r="AJ37" s="62">
        <f t="shared" si="16"/>
        <v>0</v>
      </c>
      <c r="AK37" s="273">
        <f t="shared" si="17"/>
        <v>0</v>
      </c>
      <c r="AL37" s="58">
        <f t="shared" si="18"/>
        <v>0</v>
      </c>
      <c r="AM37" s="491" t="s">
        <v>171</v>
      </c>
      <c r="AN37" s="506">
        <v>9.9980999999999993E-3</v>
      </c>
      <c r="AO37" s="490">
        <f>(0.025/1000)</f>
        <v>2.5000000000000001E-5</v>
      </c>
      <c r="AP37" s="507">
        <f t="shared" si="25"/>
        <v>0</v>
      </c>
      <c r="AQ37" s="507"/>
      <c r="AR37" s="92"/>
      <c r="AS37" s="5"/>
      <c r="AV37"/>
      <c r="AW37"/>
      <c r="AX37"/>
      <c r="BF37"/>
      <c r="BG37"/>
      <c r="BH37"/>
      <c r="BI37"/>
      <c r="BJ37"/>
      <c r="BK37"/>
      <c r="BL37"/>
    </row>
    <row r="38" spans="1:85" s="21" customFormat="1" ht="15" customHeight="1" thickBot="1">
      <c r="A38" s="883"/>
      <c r="B38" s="597"/>
      <c r="C38" s="660"/>
      <c r="D38" s="587"/>
      <c r="E38" s="244"/>
      <c r="F38" s="567"/>
      <c r="G38" s="580">
        <f>G37</f>
        <v>0</v>
      </c>
      <c r="H38" s="207"/>
      <c r="I38" s="208"/>
      <c r="J38" s="208"/>
      <c r="K38" s="210"/>
      <c r="L38" s="209"/>
      <c r="M38" s="312"/>
      <c r="O38" s="355">
        <f t="shared" si="20"/>
        <v>0</v>
      </c>
      <c r="P38" s="359">
        <f t="shared" si="20"/>
        <v>0</v>
      </c>
      <c r="Q38" s="261">
        <f t="shared" si="21"/>
        <v>0</v>
      </c>
      <c r="R38" s="262">
        <f t="shared" si="22"/>
        <v>0</v>
      </c>
      <c r="S38" s="668">
        <f t="shared" si="23"/>
        <v>0</v>
      </c>
      <c r="T38" s="159">
        <f t="shared" si="24"/>
        <v>0</v>
      </c>
      <c r="U38"/>
      <c r="V38" s="329">
        <f>IF(G38&lt;&gt;"",STDEV(G37:G41),$M$28)</f>
        <v>0</v>
      </c>
      <c r="W38" s="330">
        <f>IF(G38="",V38^2,V38^2/(Z38+1))</f>
        <v>0</v>
      </c>
      <c r="X38" s="330">
        <f>SQRT(W38)</f>
        <v>0</v>
      </c>
      <c r="Y38" s="330">
        <v>1</v>
      </c>
      <c r="Z38" s="330">
        <f>IF(G38="",2,COUNT(G37:G41)-1)</f>
        <v>3</v>
      </c>
      <c r="AA38" s="331">
        <f>(Y38*X38)^2</f>
        <v>0</v>
      </c>
      <c r="AB38" s="79"/>
      <c r="AC38" s="17"/>
      <c r="AD38" s="22"/>
      <c r="AE38" s="23"/>
      <c r="AF38" s="80"/>
      <c r="AG38" s="6"/>
      <c r="AH38" s="19" t="s">
        <v>13</v>
      </c>
      <c r="AI38" s="53">
        <f t="shared" ref="AI38:AJ42" si="26">IF(ISERROR(VLOOKUP(B43,$AM$7:$AO$255,2,FALSE)),0,(VLOOKUP(B43,$AM$7:$AO$255,2,FALSE)*$AV$78))</f>
        <v>0</v>
      </c>
      <c r="AJ38" s="60">
        <f t="shared" si="26"/>
        <v>0</v>
      </c>
      <c r="AK38" s="271">
        <f t="shared" ref="AK38:AL42" si="27">IF(ISERROR(VLOOKUP(B43,$AM$7:$AO$255,3,FALSE)),0,(VLOOKUP(B43,$AM$7:$AO$255,3,FALSE)*$AV$78))</f>
        <v>0</v>
      </c>
      <c r="AL38" s="54">
        <f t="shared" si="27"/>
        <v>0</v>
      </c>
      <c r="AM38" s="491" t="s">
        <v>172</v>
      </c>
      <c r="AN38" s="506">
        <v>2.0011000000000001E-2</v>
      </c>
      <c r="AO38" s="490">
        <f>(0.03/1000)</f>
        <v>2.9999999999999997E-5</v>
      </c>
      <c r="AP38" s="507">
        <f t="shared" si="25"/>
        <v>0</v>
      </c>
      <c r="AQ38" s="507"/>
      <c r="AR38" s="92"/>
      <c r="AS38" s="17"/>
      <c r="AT38" s="443" t="s">
        <v>66</v>
      </c>
      <c r="AU38"/>
      <c r="AV38"/>
      <c r="AW38"/>
      <c r="AX38"/>
      <c r="AY38" s="17"/>
      <c r="AZ38" s="17"/>
      <c r="BF38"/>
      <c r="BG38"/>
      <c r="BH38"/>
      <c r="BI38"/>
      <c r="BJ38"/>
      <c r="BK38"/>
      <c r="BL38"/>
      <c r="BM38" s="17"/>
      <c r="BN38" s="17"/>
      <c r="BO38" s="17"/>
      <c r="BP38" s="17"/>
      <c r="BQ38" s="17"/>
      <c r="BR38" s="17"/>
      <c r="BS38" s="17"/>
    </row>
    <row r="39" spans="1:85" s="21" customFormat="1" ht="15.75" customHeight="1" thickBot="1">
      <c r="A39" s="883"/>
      <c r="B39" s="597"/>
      <c r="C39" s="660"/>
      <c r="D39" s="592" t="str">
        <f>FIXED(MROUND(D37,IF($E$14&lt;&gt;0,$E$14/10,$C$14/10)),$AI$15+1,TRUE)</f>
        <v>0,0</v>
      </c>
      <c r="E39" s="599"/>
      <c r="F39" s="600" t="str">
        <f>FIXED(MROUND(D39,$C$14/10),$AI$15+1,TRUE)</f>
        <v>0,0</v>
      </c>
      <c r="G39" s="580">
        <f>G38</f>
        <v>0</v>
      </c>
      <c r="H39" s="223" t="str">
        <f>IF(OR(D37&lt;&gt;0,E39&lt;&gt;0),AVERAGE(G37:G41),"-------")</f>
        <v>-------</v>
      </c>
      <c r="I39" s="224" t="str">
        <f>IF(OR(D37&lt;&gt;0,E39&lt;&gt;0),(H41-F39),"-------")</f>
        <v>-------</v>
      </c>
      <c r="J39" s="224" t="str">
        <f>IF(OR(B37&lt;&gt;"",E39&lt;&gt;""),ROUNDDOWN(AD40,0),"-------")</f>
        <v>-------</v>
      </c>
      <c r="K39" s="225" t="e">
        <f>IF(G37="===","------",AE40)</f>
        <v>#DIV/0!</v>
      </c>
      <c r="L39" s="225" t="str">
        <f>IF(OR(B37&lt;&gt;"",E39&lt;&gt;""),AF40,"-------")</f>
        <v>-------</v>
      </c>
      <c r="M39" s="313" t="str">
        <f>IF($H$11&lt;&gt;"",FIXED(ROUND((D37*($H$11-$H$10)/$H$10),$AI$15),$AI$15),"")</f>
        <v/>
      </c>
      <c r="O39" s="355">
        <f t="shared" si="20"/>
        <v>0</v>
      </c>
      <c r="P39" s="359">
        <f t="shared" si="20"/>
        <v>0</v>
      </c>
      <c r="Q39" s="261">
        <f t="shared" si="21"/>
        <v>0</v>
      </c>
      <c r="R39" s="262">
        <f t="shared" si="22"/>
        <v>0</v>
      </c>
      <c r="S39" s="668">
        <f t="shared" si="23"/>
        <v>0</v>
      </c>
      <c r="T39" s="159">
        <f t="shared" si="24"/>
        <v>0</v>
      </c>
      <c r="U39"/>
      <c r="V39" s="366" t="str">
        <f>IF($H$11="","",IF($L$9="SIM",IF(L$11&lt;&gt;K$11,ABS(L$11-K$11)*($D37/J$11),0),ABS($M39)))</f>
        <v/>
      </c>
      <c r="W39" s="363">
        <f>IF(V39="",0,V39^2/3)</f>
        <v>0</v>
      </c>
      <c r="X39" s="363">
        <f>SQRT(W39)</f>
        <v>0</v>
      </c>
      <c r="Y39" s="364">
        <v>1</v>
      </c>
      <c r="Z39" s="365">
        <v>50</v>
      </c>
      <c r="AA39" s="367">
        <f>IF(V39="",0,(X39*Y39)^2)</f>
        <v>0</v>
      </c>
      <c r="AB39" s="79"/>
      <c r="AC39" s="17"/>
      <c r="AD39" s="22"/>
      <c r="AE39" s="23"/>
      <c r="AF39" s="80"/>
      <c r="AG39" s="6"/>
      <c r="AH39" s="19"/>
      <c r="AI39" s="55">
        <f t="shared" si="26"/>
        <v>0</v>
      </c>
      <c r="AJ39" s="61">
        <f t="shared" si="26"/>
        <v>0</v>
      </c>
      <c r="AK39" s="272">
        <f t="shared" si="27"/>
        <v>0</v>
      </c>
      <c r="AL39" s="56">
        <f t="shared" si="27"/>
        <v>0</v>
      </c>
      <c r="AM39" s="491" t="s">
        <v>173</v>
      </c>
      <c r="AN39" s="506">
        <v>2.001E-2</v>
      </c>
      <c r="AO39" s="490">
        <f>(0.03/1000)</f>
        <v>2.9999999999999997E-5</v>
      </c>
      <c r="AP39" s="507">
        <f t="shared" si="25"/>
        <v>0</v>
      </c>
      <c r="AQ39" s="507"/>
      <c r="AR39" s="92"/>
      <c r="AS39" s="17"/>
      <c r="AT39" s="17"/>
      <c r="AU39"/>
      <c r="AV39"/>
      <c r="AW39"/>
      <c r="AX39"/>
      <c r="AY39" s="17"/>
      <c r="AZ39" s="17"/>
      <c r="BF39"/>
      <c r="BG39"/>
      <c r="BH39"/>
      <c r="BI39"/>
      <c r="BJ39"/>
      <c r="BK39"/>
      <c r="BL39"/>
      <c r="BM39" s="17"/>
      <c r="BN39" s="17"/>
      <c r="BO39" s="17"/>
      <c r="BP39" s="17"/>
      <c r="BQ39" s="17"/>
      <c r="BR39" s="17"/>
      <c r="BS39" s="17"/>
    </row>
    <row r="40" spans="1:85" s="21" customFormat="1" ht="15" customHeight="1">
      <c r="A40" s="883"/>
      <c r="B40" s="597"/>
      <c r="C40" s="660"/>
      <c r="D40" s="587"/>
      <c r="E40" s="244"/>
      <c r="F40" s="567"/>
      <c r="G40" s="580">
        <f>G39</f>
        <v>0</v>
      </c>
      <c r="H40" s="207"/>
      <c r="I40" s="315"/>
      <c r="J40" s="208"/>
      <c r="K40" s="210"/>
      <c r="L40" s="209"/>
      <c r="M40" s="312"/>
      <c r="O40" s="355">
        <f t="shared" si="20"/>
        <v>0</v>
      </c>
      <c r="P40" s="359">
        <f t="shared" si="20"/>
        <v>0</v>
      </c>
      <c r="Q40" s="261">
        <f t="shared" si="21"/>
        <v>0</v>
      </c>
      <c r="R40" s="262">
        <f t="shared" si="22"/>
        <v>0</v>
      </c>
      <c r="S40" s="668">
        <f t="shared" si="23"/>
        <v>0</v>
      </c>
      <c r="T40" s="159">
        <f t="shared" si="24"/>
        <v>0</v>
      </c>
      <c r="U40" s="297"/>
      <c r="V40" s="606">
        <f>(SUM(O37:O41,P37:P41))</f>
        <v>0</v>
      </c>
      <c r="W40" s="370">
        <f>V40^2/3</f>
        <v>0</v>
      </c>
      <c r="X40" s="370">
        <f>SQRT(W40)</f>
        <v>0</v>
      </c>
      <c r="Y40" s="370">
        <v>1</v>
      </c>
      <c r="Z40" s="370">
        <v>50</v>
      </c>
      <c r="AA40" s="371">
        <f>IF(V40="","",(X40*Y40)^2)</f>
        <v>0</v>
      </c>
      <c r="AB40" s="386">
        <f>SUM($AA$29:$AA$30,AA37:AA42,AA82,AA93)</f>
        <v>0</v>
      </c>
      <c r="AC40" s="17">
        <f>SQRT(AB40)</f>
        <v>0</v>
      </c>
      <c r="AD40" s="283" t="e">
        <f>(AC40^4)/(((($X$29*$Y$29)^4)/$Z$29)+((($X$30*$Y$30)^4)/$Z$30)+((($X$31*$Y$31)^4)/$Z$31)+(((X38*Y38)^4)/Z38)+(((X39*Y39)^4)/Z39)+(((X40*Y40)^4)/Z40)+(((X41*Y41)^4)/Z41)+(((X42*Y42)^4)/Z42)+(((X82*Y82)^4)/Z82)+(((X93*Y93)^4)/Z93))</f>
        <v>#DIV/0!</v>
      </c>
      <c r="AE40" s="23" t="e">
        <f>TINV(0.0455,AD40)</f>
        <v>#DIV/0!</v>
      </c>
      <c r="AF40" s="390" t="e">
        <f>CEILING((AE40*AC40),$C$14/100)</f>
        <v>#DIV/0!</v>
      </c>
      <c r="AG40" s="6"/>
      <c r="AI40" s="55">
        <f t="shared" si="26"/>
        <v>0</v>
      </c>
      <c r="AJ40" s="61">
        <f t="shared" si="26"/>
        <v>0</v>
      </c>
      <c r="AK40" s="272">
        <f t="shared" si="27"/>
        <v>0</v>
      </c>
      <c r="AL40" s="56">
        <f t="shared" si="27"/>
        <v>0</v>
      </c>
      <c r="AM40" s="491" t="s">
        <v>174</v>
      </c>
      <c r="AN40" s="506">
        <v>5.0004399999999997E-2</v>
      </c>
      <c r="AO40" s="490">
        <f>(0.04/1000)</f>
        <v>4.0000000000000003E-5</v>
      </c>
      <c r="AP40" s="507">
        <f t="shared" si="25"/>
        <v>0</v>
      </c>
      <c r="AQ40" s="507"/>
      <c r="AR40" s="92"/>
      <c r="AS40" s="17"/>
      <c r="AT40" s="17"/>
      <c r="AU40"/>
      <c r="AV40"/>
      <c r="AW40"/>
      <c r="AX40"/>
      <c r="AY40" s="17"/>
      <c r="AZ40" s="17"/>
      <c r="BF40"/>
      <c r="BG40"/>
      <c r="BH40"/>
      <c r="BI40"/>
      <c r="BJ40"/>
      <c r="BK40"/>
      <c r="BL40"/>
      <c r="BM40" s="17"/>
      <c r="BN40" s="17"/>
      <c r="BO40" s="17"/>
      <c r="BP40" s="17"/>
      <c r="BQ40" s="17"/>
      <c r="BR40" s="17"/>
      <c r="BS40" s="17"/>
    </row>
    <row r="41" spans="1:85" s="21" customFormat="1" ht="15" customHeight="1" thickBot="1">
      <c r="A41" s="883"/>
      <c r="B41" s="661"/>
      <c r="C41" s="662"/>
      <c r="D41" s="582"/>
      <c r="E41" s="244"/>
      <c r="F41" s="567"/>
      <c r="G41" s="623">
        <f>G40</f>
        <v>0</v>
      </c>
      <c r="H41" s="306" t="str">
        <f>IF(H39&lt;&gt;"-------",FIXED(IF($E$14&lt;&gt;0,MROUND(H39,$E$14),MROUND(H39,$C$14)),LEN(L41)-2,TRUE),"------")</f>
        <v>------</v>
      </c>
      <c r="I41" s="220" t="str">
        <f>IF(I39&lt;&gt;"-------",FIXED(ROUND(I39,$AI$15),LEN(L41)-2,TRUE),"------")</f>
        <v>------</v>
      </c>
      <c r="J41" s="620" t="str">
        <f>IF(G37="===","------",IF(J39&gt;500,"&gt; 500",J39))</f>
        <v>&gt; 500</v>
      </c>
      <c r="K41" s="624" t="e">
        <f>K39</f>
        <v>#DIV/0!</v>
      </c>
      <c r="L41" s="621" t="str">
        <f>IF(L39&lt;&gt;"-------",BF11,"------")</f>
        <v>------</v>
      </c>
      <c r="M41" s="312"/>
      <c r="O41" s="355">
        <f t="shared" si="20"/>
        <v>0</v>
      </c>
      <c r="P41" s="359">
        <f t="shared" si="20"/>
        <v>0</v>
      </c>
      <c r="Q41" s="261">
        <f t="shared" si="21"/>
        <v>0</v>
      </c>
      <c r="R41" s="262">
        <f t="shared" si="22"/>
        <v>0</v>
      </c>
      <c r="S41" s="668">
        <f t="shared" si="23"/>
        <v>0</v>
      </c>
      <c r="T41" s="159">
        <f t="shared" si="24"/>
        <v>0</v>
      </c>
      <c r="U41" s="297"/>
      <c r="V41" s="333">
        <f>IF($L$19="sim",SUM(O37:P41)/4,SUM(S37:T41))</f>
        <v>0</v>
      </c>
      <c r="W41" s="334">
        <f>IF(V41="","",V41^2/3)</f>
        <v>0</v>
      </c>
      <c r="X41" s="334">
        <f>IF($L$19="Sim",SQRT(W41),SUM(S37:T41))</f>
        <v>0</v>
      </c>
      <c r="Y41" s="334">
        <v>1</v>
      </c>
      <c r="Z41" s="334">
        <v>50</v>
      </c>
      <c r="AA41" s="335">
        <f>(X41*Y41)^2</f>
        <v>0</v>
      </c>
      <c r="AB41" s="79"/>
      <c r="AC41" s="17"/>
      <c r="AD41" s="22"/>
      <c r="AE41" s="23"/>
      <c r="AF41" s="80"/>
      <c r="AG41" s="6">
        <f>IF(I45&gt;0,$C$14,-$C$14)</f>
        <v>0</v>
      </c>
      <c r="AH41" s="19"/>
      <c r="AI41" s="55">
        <f t="shared" si="26"/>
        <v>0</v>
      </c>
      <c r="AJ41" s="61">
        <f t="shared" si="26"/>
        <v>0</v>
      </c>
      <c r="AK41" s="272">
        <f t="shared" si="27"/>
        <v>0</v>
      </c>
      <c r="AL41" s="56">
        <f t="shared" si="27"/>
        <v>0</v>
      </c>
      <c r="AM41" s="494" t="s">
        <v>175</v>
      </c>
      <c r="AN41" s="506">
        <v>0.100021</v>
      </c>
      <c r="AO41" s="490">
        <f>(0.05/1000)</f>
        <v>5.0000000000000002E-5</v>
      </c>
      <c r="AP41" s="507">
        <f t="shared" si="25"/>
        <v>0</v>
      </c>
      <c r="AQ41" s="746"/>
      <c r="AR41" s="361">
        <f>0.008/1000</f>
        <v>7.9999999999999996E-6</v>
      </c>
      <c r="AS41" s="17"/>
      <c r="AT41" s="444" t="s">
        <v>67</v>
      </c>
      <c r="AU41"/>
      <c r="AV41"/>
      <c r="AW41"/>
      <c r="AX41"/>
      <c r="AY41" s="17"/>
      <c r="AZ41" s="17"/>
      <c r="BF41"/>
      <c r="BG41"/>
      <c r="BH41"/>
      <c r="BI41"/>
      <c r="BJ41"/>
      <c r="BK41"/>
      <c r="BL41"/>
      <c r="BM41" s="17"/>
      <c r="BN41" s="17"/>
      <c r="BO41" s="17"/>
      <c r="BP41" s="17"/>
      <c r="BQ41" s="17"/>
      <c r="BR41" s="17"/>
      <c r="BS41" s="17"/>
    </row>
    <row r="42" spans="1:85" s="21" customFormat="1" ht="15" customHeight="1" thickBot="1">
      <c r="A42" s="1018"/>
      <c r="B42" s="625"/>
      <c r="C42" s="626"/>
      <c r="D42" s="591"/>
      <c r="E42" s="627"/>
      <c r="F42" s="847"/>
      <c r="G42" s="628"/>
      <c r="H42" s="629"/>
      <c r="I42" s="630"/>
      <c r="J42" s="630"/>
      <c r="K42" s="631"/>
      <c r="L42" s="632"/>
      <c r="M42" s="633"/>
      <c r="N42" s="622"/>
      <c r="O42" s="634"/>
      <c r="P42" s="635"/>
      <c r="Q42" s="634"/>
      <c r="R42" s="635"/>
      <c r="S42" s="636"/>
      <c r="T42" s="635"/>
      <c r="U42" s="640"/>
      <c r="V42" s="372">
        <f>SUM(Q37:R41)</f>
        <v>0</v>
      </c>
      <c r="W42" s="373">
        <f>IF(V42="","",V42^2/3)</f>
        <v>0</v>
      </c>
      <c r="X42" s="373">
        <f>SQRT(W42)</f>
        <v>0</v>
      </c>
      <c r="Y42" s="373">
        <v>1</v>
      </c>
      <c r="Z42" s="373">
        <v>50</v>
      </c>
      <c r="AA42" s="374">
        <f>IF(V42="","",(X42*Y42)^2)</f>
        <v>0</v>
      </c>
      <c r="AB42" s="322"/>
      <c r="AC42" s="24"/>
      <c r="AD42" s="25"/>
      <c r="AE42" s="26"/>
      <c r="AF42" s="323"/>
      <c r="AG42" s="6"/>
      <c r="AH42" s="27"/>
      <c r="AI42" s="57">
        <f t="shared" si="26"/>
        <v>0</v>
      </c>
      <c r="AJ42" s="62">
        <f t="shared" si="26"/>
        <v>0</v>
      </c>
      <c r="AK42" s="273">
        <f t="shared" si="27"/>
        <v>0</v>
      </c>
      <c r="AL42" s="58">
        <f t="shared" si="27"/>
        <v>0</v>
      </c>
      <c r="AM42" s="494" t="s">
        <v>176</v>
      </c>
      <c r="AN42" s="506">
        <v>0.20002500000000001</v>
      </c>
      <c r="AO42" s="490">
        <f>(0.06/1000)</f>
        <v>5.9999999999999995E-5</v>
      </c>
      <c r="AP42" s="507">
        <f t="shared" si="25"/>
        <v>0</v>
      </c>
      <c r="AQ42" s="746"/>
      <c r="AR42" s="361">
        <f>0.01/1000</f>
        <v>1.0000000000000001E-5</v>
      </c>
      <c r="BF42"/>
      <c r="BG42"/>
      <c r="BH42"/>
      <c r="BI42"/>
      <c r="BJ42"/>
      <c r="BK42"/>
      <c r="BL42"/>
    </row>
    <row r="43" spans="1:85" s="21" customFormat="1" ht="15" customHeight="1">
      <c r="A43" s="1019">
        <v>3</v>
      </c>
      <c r="B43" s="596"/>
      <c r="C43" s="336"/>
      <c r="D43" s="588">
        <f>IF(E45="",SUM(AI38:AI42,AJ38:AJ42),SUM(AI38:AI42,AJ38:AJ42)-I39)</f>
        <v>0</v>
      </c>
      <c r="E43" s="244"/>
      <c r="F43" s="567"/>
      <c r="G43" s="579"/>
      <c r="H43" s="207"/>
      <c r="I43" s="208"/>
      <c r="J43" s="208"/>
      <c r="K43" s="210"/>
      <c r="L43" s="209"/>
      <c r="M43" s="312"/>
      <c r="O43" s="355">
        <f t="shared" ref="O43:P47" si="28">AK38</f>
        <v>0</v>
      </c>
      <c r="P43" s="359">
        <f t="shared" si="28"/>
        <v>0</v>
      </c>
      <c r="Q43" s="261">
        <f t="shared" ref="Q43:R47" si="29">IF(ABS($L$13-$K$13)&gt;3,IF(ISERROR(VLOOKUP(B43,$AY$58:$BB$80,3,FALSE)),0,(VLOOKUP(B43,$AY$58:$BB$80,3,FALSE)*$AV$78)),IF(ISERROR(VLOOKUP(B43,$AY$58:$BB$80,4,FALSE)),0,(VLOOKUP(B43,$AY$58:$BB$80,4,FALSE)*$AV$78)))</f>
        <v>0</v>
      </c>
      <c r="R43" s="262">
        <f t="shared" si="29"/>
        <v>0</v>
      </c>
      <c r="S43" s="667">
        <f t="shared" ref="S43:T47" si="30">IF($L$19="Não",IF(ISERROR(VLOOKUP(B43,$AM$15:$AR$255,5,FALSE)),0,(VLOOKUP(B43,$AM$15:$AR$255,5,FALSE)*$AV$78)),0)</f>
        <v>0</v>
      </c>
      <c r="T43" s="158">
        <f t="shared" si="30"/>
        <v>0</v>
      </c>
      <c r="U43" s="612"/>
      <c r="V43" s="613" t="str">
        <f>IF($I$23&lt;&gt;"",ABS($L$26*(F45/(2*$I$23))),IF('2º MR-MI'!$I$23&lt;&gt;0,ABS('2º MR-MI'!$L$26*(F45/(2*'2º MR-MI'!$I$23))),IF('Registo Calibração'!$I$23&lt;&gt;0,ABS('Registo Calibração'!$L$26*(F45/(2*'Registo Calibração'!$I$23))),"")))</f>
        <v/>
      </c>
      <c r="W43" s="614">
        <f>IF(V43="",0,(V43)^2/3)</f>
        <v>0</v>
      </c>
      <c r="X43" s="614">
        <f>SQRT(W43)</f>
        <v>0</v>
      </c>
      <c r="Y43" s="614">
        <v>1</v>
      </c>
      <c r="Z43" s="614">
        <v>50</v>
      </c>
      <c r="AA43" s="615">
        <f>IF(V43="",0,(X43*Y43)^2)</f>
        <v>0</v>
      </c>
      <c r="AB43" s="608"/>
      <c r="AC43" s="27"/>
      <c r="AD43" s="609"/>
      <c r="AE43" s="610"/>
      <c r="AF43" s="611"/>
      <c r="AG43" s="6"/>
      <c r="AH43" s="19" t="s">
        <v>16</v>
      </c>
      <c r="AI43" s="53">
        <f t="shared" ref="AI43:AJ47" si="31">IF(ISERROR(VLOOKUP(B49,$AM$7:$AO$255,2,FALSE)),0,(VLOOKUP(B49,$AM$7:$AO$255,2,FALSE)*$AV$78))</f>
        <v>0</v>
      </c>
      <c r="AJ43" s="60">
        <f t="shared" si="31"/>
        <v>0</v>
      </c>
      <c r="AK43" s="271">
        <f t="shared" ref="AK43:AL47" si="32">IF(ISERROR(VLOOKUP(B49,$AM$7:$AO$255,3,FALSE)),0,(VLOOKUP(B49,$AM$7:$AO$255,3,FALSE)*$AV$78))</f>
        <v>0</v>
      </c>
      <c r="AL43" s="54">
        <f t="shared" si="32"/>
        <v>0</v>
      </c>
      <c r="AM43" s="494" t="s">
        <v>177</v>
      </c>
      <c r="AN43" s="506">
        <v>0.200021</v>
      </c>
      <c r="AO43" s="490">
        <f>(0.06/1000)</f>
        <v>5.9999999999999995E-5</v>
      </c>
      <c r="AP43" s="507">
        <f t="shared" si="25"/>
        <v>0</v>
      </c>
      <c r="AQ43" s="746"/>
      <c r="AR43" s="361">
        <f>0.01/1000</f>
        <v>1.0000000000000001E-5</v>
      </c>
      <c r="AS43" s="17"/>
      <c r="AT43" s="17"/>
      <c r="AU43"/>
      <c r="AV43"/>
      <c r="AW43"/>
      <c r="AX43"/>
      <c r="AY43" s="17"/>
      <c r="AZ43" s="17"/>
      <c r="BF43"/>
      <c r="BG43"/>
      <c r="BH43"/>
      <c r="BI43"/>
      <c r="BJ43"/>
      <c r="BK43"/>
      <c r="BL43"/>
      <c r="BM43" s="17"/>
      <c r="BN43" s="17"/>
      <c r="BO43" s="17"/>
      <c r="BP43" s="17"/>
      <c r="BQ43" s="17"/>
      <c r="BR43" s="17"/>
      <c r="BS43" s="17"/>
    </row>
    <row r="44" spans="1:85" s="21" customFormat="1" ht="15" customHeight="1" thickBot="1">
      <c r="A44" s="883"/>
      <c r="B44" s="663"/>
      <c r="C44" s="664"/>
      <c r="D44" s="582"/>
      <c r="E44" s="244"/>
      <c r="F44" s="567"/>
      <c r="G44" s="580">
        <f>G43</f>
        <v>0</v>
      </c>
      <c r="H44" s="207"/>
      <c r="I44" s="208"/>
      <c r="J44" s="208"/>
      <c r="K44" s="210"/>
      <c r="L44" s="209"/>
      <c r="M44" s="312"/>
      <c r="O44" s="355">
        <f t="shared" si="28"/>
        <v>0</v>
      </c>
      <c r="P44" s="359">
        <f t="shared" si="28"/>
        <v>0</v>
      </c>
      <c r="Q44" s="261">
        <f t="shared" si="29"/>
        <v>0</v>
      </c>
      <c r="R44" s="262">
        <f t="shared" si="29"/>
        <v>0</v>
      </c>
      <c r="S44" s="668">
        <f t="shared" si="30"/>
        <v>0</v>
      </c>
      <c r="T44" s="159">
        <f t="shared" si="30"/>
        <v>0</v>
      </c>
      <c r="U44" s="297"/>
      <c r="V44" s="329">
        <f>IF(G44&lt;&gt;"",STDEV(G43:G47),$M$28)</f>
        <v>0</v>
      </c>
      <c r="W44" s="330">
        <f>IF(G44="",V44^2,V44^2/(Z44+1))</f>
        <v>0</v>
      </c>
      <c r="X44" s="330">
        <f>SQRT(W44)</f>
        <v>0</v>
      </c>
      <c r="Y44" s="330">
        <v>1</v>
      </c>
      <c r="Z44" s="330">
        <f>IF(G44="",2,COUNT(G43:G47)-1)</f>
        <v>3</v>
      </c>
      <c r="AA44" s="331">
        <f>(Y44*X44)^2</f>
        <v>0</v>
      </c>
      <c r="AB44" s="79"/>
      <c r="AC44" s="17"/>
      <c r="AD44" s="22"/>
      <c r="AE44" s="23"/>
      <c r="AF44" s="80"/>
      <c r="AG44" s="6"/>
      <c r="AH44" s="19"/>
      <c r="AI44" s="55">
        <f t="shared" si="31"/>
        <v>0</v>
      </c>
      <c r="AJ44" s="61">
        <f t="shared" si="31"/>
        <v>0</v>
      </c>
      <c r="AK44" s="272">
        <f t="shared" si="32"/>
        <v>0</v>
      </c>
      <c r="AL44" s="56">
        <f t="shared" si="32"/>
        <v>0</v>
      </c>
      <c r="AM44" s="495" t="s">
        <v>178</v>
      </c>
      <c r="AN44" s="757">
        <v>0.500031</v>
      </c>
      <c r="AO44" s="493">
        <f>(0.08/1000)</f>
        <v>8.0000000000000007E-5</v>
      </c>
      <c r="AP44" s="535">
        <f t="shared" si="25"/>
        <v>0</v>
      </c>
      <c r="AQ44" s="746"/>
      <c r="AR44" s="361">
        <f>0.016/1000</f>
        <v>1.5999999999999999E-5</v>
      </c>
      <c r="AS44" s="17"/>
      <c r="AT44" s="17"/>
      <c r="AU44"/>
      <c r="AV44"/>
      <c r="AW44"/>
      <c r="AX44"/>
      <c r="AY44" s="17"/>
      <c r="AZ44" s="17"/>
      <c r="BF44"/>
      <c r="BG44"/>
      <c r="BH44"/>
      <c r="BI44"/>
      <c r="BJ44"/>
      <c r="BK44"/>
      <c r="BL44"/>
      <c r="BM44" s="17"/>
      <c r="BN44" s="17"/>
      <c r="BO44" s="17"/>
      <c r="BP44" s="17"/>
      <c r="BQ44" s="17"/>
      <c r="BR44" s="17"/>
      <c r="BS44" s="17"/>
    </row>
    <row r="45" spans="1:85" s="21" customFormat="1" ht="15" customHeight="1" thickBot="1">
      <c r="A45" s="883"/>
      <c r="B45" s="597"/>
      <c r="C45" s="337"/>
      <c r="D45" s="592" t="str">
        <f>FIXED(MROUND(D43,IF($E$14&lt;&gt;0,$E$14/10,$C$14/10)),$AI$15+1,TRUE)</f>
        <v>0,0</v>
      </c>
      <c r="E45" s="599"/>
      <c r="F45" s="600" t="str">
        <f>FIXED(MROUND(D45,$C$14/10),$AI$15+1,TRUE)</f>
        <v>0,0</v>
      </c>
      <c r="G45" s="580">
        <f>G44</f>
        <v>0</v>
      </c>
      <c r="H45" s="223" t="str">
        <f>IF(OR(D43&lt;&gt;0,E45&lt;&gt;0),AVERAGE(G43:G47),"-------")</f>
        <v>-------</v>
      </c>
      <c r="I45" s="224" t="str">
        <f>IF(OR(D43&lt;&gt;0,E45&lt;&gt;0),(H47-F45),"-------")</f>
        <v>-------</v>
      </c>
      <c r="J45" s="224" t="str">
        <f>IF(OR(B43&lt;&gt;"",E45&lt;&gt;""),ROUNDDOWN(AD46,0),"-------")</f>
        <v>-------</v>
      </c>
      <c r="K45" s="225" t="e">
        <f>IF(G43="===","------",AE46)</f>
        <v>#DIV/0!</v>
      </c>
      <c r="L45" s="225" t="str">
        <f>IF(OR(B43&lt;&gt;"",E45&lt;&gt;""),AF46,"-------")</f>
        <v>-------</v>
      </c>
      <c r="M45" s="313" t="str">
        <f>IF($H$11&lt;&gt;"",FIXED(ROUND((D43*($H$11-$H$10)/$H$10),$AI$15),$AI$15),"")</f>
        <v/>
      </c>
      <c r="O45" s="355">
        <f t="shared" si="28"/>
        <v>0</v>
      </c>
      <c r="P45" s="359">
        <f t="shared" si="28"/>
        <v>0</v>
      </c>
      <c r="Q45" s="261">
        <f t="shared" si="29"/>
        <v>0</v>
      </c>
      <c r="R45" s="262">
        <f t="shared" si="29"/>
        <v>0</v>
      </c>
      <c r="S45" s="668">
        <f t="shared" si="30"/>
        <v>0</v>
      </c>
      <c r="T45" s="159">
        <f t="shared" si="30"/>
        <v>0</v>
      </c>
      <c r="U45" s="297"/>
      <c r="V45" s="366" t="str">
        <f>IF($H$11="","",IF($L$9="SIM",IF(L$11&lt;&gt;K$11,ABS(L$11-K$11)*($D43/J$11),0),ABS($M45)))</f>
        <v/>
      </c>
      <c r="W45" s="363">
        <f>IF(V45="",0,V45^2/3)</f>
        <v>0</v>
      </c>
      <c r="X45" s="363">
        <f>SQRT(W45)</f>
        <v>0</v>
      </c>
      <c r="Y45" s="364">
        <v>1</v>
      </c>
      <c r="Z45" s="365">
        <v>50</v>
      </c>
      <c r="AA45" s="367">
        <f>IF(V45="",0,(X45*Y45)^2)</f>
        <v>0</v>
      </c>
      <c r="AB45" s="79"/>
      <c r="AC45" s="17"/>
      <c r="AD45" s="22"/>
      <c r="AE45" s="23"/>
      <c r="AF45" s="80"/>
      <c r="AG45" s="6"/>
      <c r="AI45" s="55">
        <f t="shared" si="31"/>
        <v>0</v>
      </c>
      <c r="AJ45" s="61">
        <f t="shared" si="31"/>
        <v>0</v>
      </c>
      <c r="AK45" s="272">
        <f t="shared" si="32"/>
        <v>0</v>
      </c>
      <c r="AL45" s="56">
        <f t="shared" si="32"/>
        <v>0</v>
      </c>
      <c r="AM45" s="496" t="s">
        <v>179</v>
      </c>
      <c r="AN45" s="506">
        <v>1.00003</v>
      </c>
      <c r="AO45" s="490">
        <f>(0.1/1000)</f>
        <v>1E-4</v>
      </c>
      <c r="AP45" s="507">
        <f t="shared" si="25"/>
        <v>0</v>
      </c>
      <c r="AQ45" s="746"/>
      <c r="AR45" s="361">
        <f>0.023/1000</f>
        <v>2.3E-5</v>
      </c>
      <c r="AS45" s="17"/>
      <c r="AT45" s="17"/>
      <c r="AU45"/>
      <c r="AV45"/>
      <c r="AW45"/>
      <c r="AX45"/>
      <c r="AY45" s="17"/>
      <c r="AZ45" s="17"/>
      <c r="BA45" s="17"/>
      <c r="BB45" s="17"/>
      <c r="BC45" s="17"/>
      <c r="BD45" s="17"/>
      <c r="BE45" s="17"/>
      <c r="BF45"/>
      <c r="BG45"/>
      <c r="BH45"/>
      <c r="BI45"/>
      <c r="BJ45"/>
      <c r="BK45"/>
      <c r="BL45"/>
      <c r="BM45" s="17"/>
      <c r="BN45" s="17"/>
      <c r="BO45" s="17"/>
      <c r="BP45" s="17"/>
      <c r="BQ45" s="17"/>
      <c r="BR45" s="17"/>
      <c r="BS45" s="17"/>
    </row>
    <row r="46" spans="1:85" s="21" customFormat="1" ht="15" customHeight="1">
      <c r="A46" s="883"/>
      <c r="B46" s="597"/>
      <c r="C46" s="337"/>
      <c r="D46" s="589"/>
      <c r="E46" s="244"/>
      <c r="F46" s="567"/>
      <c r="G46" s="580">
        <f>G45</f>
        <v>0</v>
      </c>
      <c r="H46" s="207"/>
      <c r="I46" s="315"/>
      <c r="J46" s="208"/>
      <c r="K46" s="210"/>
      <c r="L46" s="209"/>
      <c r="M46" s="312"/>
      <c r="O46" s="355">
        <f t="shared" si="28"/>
        <v>0</v>
      </c>
      <c r="P46" s="359">
        <f t="shared" si="28"/>
        <v>0</v>
      </c>
      <c r="Q46" s="261">
        <f t="shared" si="29"/>
        <v>0</v>
      </c>
      <c r="R46" s="262">
        <f t="shared" si="29"/>
        <v>0</v>
      </c>
      <c r="S46" s="668">
        <f t="shared" si="30"/>
        <v>0</v>
      </c>
      <c r="T46" s="159">
        <f t="shared" si="30"/>
        <v>0</v>
      </c>
      <c r="U46" s="297"/>
      <c r="V46" s="606">
        <f>(SUM(O43:O47,P43:P47))</f>
        <v>0</v>
      </c>
      <c r="W46" s="370">
        <f>V46^2/3</f>
        <v>0</v>
      </c>
      <c r="X46" s="370">
        <f>SQRT(W46)</f>
        <v>0</v>
      </c>
      <c r="Y46" s="370">
        <v>1</v>
      </c>
      <c r="Z46" s="370">
        <v>50</v>
      </c>
      <c r="AA46" s="371">
        <f>IF(V46="","",(X46*Y46)^2)</f>
        <v>0</v>
      </c>
      <c r="AB46" s="386">
        <f>SUM($AA$29:$AA$30,AA43:AA48,AA83,AA94)</f>
        <v>0</v>
      </c>
      <c r="AC46" s="17">
        <f>SQRT(AB46)</f>
        <v>0</v>
      </c>
      <c r="AD46" s="283" t="e">
        <f>(AC46^4)/(((($X$29*$Y$29)^4)/$Z$29)+((($X$30*$Y$30)^4)/$Z$30)+((($X$43*$Y$43)^4)/$Z$43)+(((X44*Y44)^4)/Z44)+(((X45*Y45)^4)/Z45)+(((X46*Y46)^4)/Z46)+(((X47*Y47)^4)/Z47)+(((X48*Y48)^4)/Z48)+(((X83*Y83)^4)/Z83)+(((X94*Y94)^4)/Z94))</f>
        <v>#DIV/0!</v>
      </c>
      <c r="AE46" s="23" t="e">
        <f>TINV(0.0455,AD46)</f>
        <v>#DIV/0!</v>
      </c>
      <c r="AF46" s="390" t="e">
        <f>CEILING((AE46*AC46),$C$14/100)</f>
        <v>#DIV/0!</v>
      </c>
      <c r="AG46" s="6">
        <f>IF(I51&gt;0,$C$14,-$C$14)</f>
        <v>0</v>
      </c>
      <c r="AH46" s="19"/>
      <c r="AI46" s="55">
        <f t="shared" si="31"/>
        <v>0</v>
      </c>
      <c r="AJ46" s="61">
        <f t="shared" si="31"/>
        <v>0</v>
      </c>
      <c r="AK46" s="272">
        <f t="shared" si="32"/>
        <v>0</v>
      </c>
      <c r="AL46" s="56">
        <f t="shared" si="32"/>
        <v>0</v>
      </c>
      <c r="AM46" s="496" t="s">
        <v>180</v>
      </c>
      <c r="AN46" s="506">
        <v>2.000022</v>
      </c>
      <c r="AO46" s="490">
        <f>(0.12/1000)</f>
        <v>1.1999999999999999E-4</v>
      </c>
      <c r="AP46" s="507">
        <f t="shared" si="25"/>
        <v>0</v>
      </c>
      <c r="AQ46" s="746"/>
      <c r="AR46" s="361">
        <f>0.035/1000</f>
        <v>3.5000000000000004E-5</v>
      </c>
      <c r="AS46" s="17"/>
      <c r="AT46" s="17"/>
      <c r="AU46"/>
      <c r="AV46"/>
      <c r="AW46"/>
      <c r="AX46"/>
      <c r="AY46"/>
      <c r="AZ46" s="17"/>
      <c r="BA46" s="17"/>
      <c r="BB46" s="17"/>
      <c r="BC46" s="17"/>
      <c r="BD46" s="17"/>
      <c r="BE46" s="17"/>
      <c r="BF46"/>
      <c r="BG46"/>
      <c r="BH46"/>
      <c r="BI46"/>
      <c r="BJ46"/>
      <c r="BK46"/>
      <c r="BL46"/>
      <c r="BM46" s="17"/>
      <c r="BN46" s="17"/>
      <c r="BO46" s="17"/>
      <c r="BP46" s="17"/>
      <c r="BQ46" s="17"/>
      <c r="BR46" s="17"/>
      <c r="BS46" s="17"/>
      <c r="CG46" s="28">
        <f>AVERAGE(G32:G36)</f>
        <v>0</v>
      </c>
    </row>
    <row r="47" spans="1:85" s="21" customFormat="1" ht="15" customHeight="1" thickBot="1">
      <c r="A47" s="883"/>
      <c r="B47" s="661"/>
      <c r="C47" s="665"/>
      <c r="D47" s="582"/>
      <c r="E47" s="244"/>
      <c r="F47" s="567"/>
      <c r="G47" s="623">
        <f>G46</f>
        <v>0</v>
      </c>
      <c r="H47" s="306" t="str">
        <f>IF(H45&lt;&gt;"-------",FIXED(IF($E$14&lt;&gt;0,MROUND(H45,$E$14),MROUND(H45,$C$14)),LEN(L47)-2,TRUE),"------")</f>
        <v>------</v>
      </c>
      <c r="I47" s="220" t="str">
        <f>IF(I45&lt;&gt;"-------",FIXED(ROUND(I45,$AI$15),LEN(L47)-2,TRUE),"------")</f>
        <v>------</v>
      </c>
      <c r="J47" s="620" t="str">
        <f>IF(G43="===","------",IF(J45&gt;500,"&gt; 500",J45))</f>
        <v>&gt; 500</v>
      </c>
      <c r="K47" s="624" t="e">
        <f>K45</f>
        <v>#DIV/0!</v>
      </c>
      <c r="L47" s="621" t="str">
        <f>IF(L45&lt;&gt;"-------",BF12,"------")</f>
        <v>------</v>
      </c>
      <c r="M47" s="312"/>
      <c r="O47" s="355">
        <f t="shared" si="28"/>
        <v>0</v>
      </c>
      <c r="P47" s="359">
        <f t="shared" si="28"/>
        <v>0</v>
      </c>
      <c r="Q47" s="261">
        <f t="shared" si="29"/>
        <v>0</v>
      </c>
      <c r="R47" s="262">
        <f t="shared" si="29"/>
        <v>0</v>
      </c>
      <c r="S47" s="668">
        <f t="shared" si="30"/>
        <v>0</v>
      </c>
      <c r="T47" s="159">
        <f t="shared" si="30"/>
        <v>0</v>
      </c>
      <c r="U47" s="297"/>
      <c r="V47" s="333">
        <f>IF($L$19="sim",SUM(O43:P47)/4,SUM(S43:T47))</f>
        <v>0</v>
      </c>
      <c r="W47" s="334">
        <f>IF(V47="","",V47^2/3)</f>
        <v>0</v>
      </c>
      <c r="X47" s="334">
        <f>IF($L$19="Sim",SQRT(W47),SUM(S43:T47))</f>
        <v>0</v>
      </c>
      <c r="Y47" s="334">
        <v>1</v>
      </c>
      <c r="Z47" s="334">
        <v>50</v>
      </c>
      <c r="AA47" s="335">
        <f>(X47*Y47)^2</f>
        <v>0</v>
      </c>
      <c r="AB47" s="79"/>
      <c r="AC47" s="17"/>
      <c r="AD47" s="22"/>
      <c r="AE47" s="23"/>
      <c r="AF47" s="80"/>
      <c r="AG47" s="6"/>
      <c r="AH47" s="27"/>
      <c r="AI47" s="57">
        <f t="shared" si="31"/>
        <v>0</v>
      </c>
      <c r="AJ47" s="62">
        <f t="shared" si="31"/>
        <v>0</v>
      </c>
      <c r="AK47" s="273">
        <f t="shared" si="32"/>
        <v>0</v>
      </c>
      <c r="AL47" s="58">
        <f t="shared" si="32"/>
        <v>0</v>
      </c>
      <c r="AM47" s="494" t="s">
        <v>181</v>
      </c>
      <c r="AN47" s="506">
        <v>2.0000399999999998</v>
      </c>
      <c r="AO47" s="490">
        <f>(0.12/1000)</f>
        <v>1.1999999999999999E-4</v>
      </c>
      <c r="AP47" s="507">
        <f t="shared" si="25"/>
        <v>0</v>
      </c>
      <c r="AQ47" s="746"/>
      <c r="AR47" s="361">
        <f>0.035/1000</f>
        <v>3.5000000000000004E-5</v>
      </c>
      <c r="AU47"/>
      <c r="AV47"/>
      <c r="AW47"/>
      <c r="AX47"/>
      <c r="AY47"/>
      <c r="AZ47"/>
    </row>
    <row r="48" spans="1:85" s="21" customFormat="1" ht="15" customHeight="1" thickBot="1">
      <c r="A48" s="884"/>
      <c r="B48" s="637"/>
      <c r="C48" s="638"/>
      <c r="D48" s="591"/>
      <c r="E48" s="627"/>
      <c r="F48" s="847"/>
      <c r="G48" s="628"/>
      <c r="H48" s="629"/>
      <c r="I48" s="630"/>
      <c r="J48" s="630"/>
      <c r="K48" s="631"/>
      <c r="L48" s="639"/>
      <c r="M48" s="633"/>
      <c r="O48" s="634"/>
      <c r="P48" s="635"/>
      <c r="Q48" s="634"/>
      <c r="R48" s="635"/>
      <c r="S48" s="636"/>
      <c r="T48" s="635"/>
      <c r="U48" s="640"/>
      <c r="V48" s="372">
        <f>SUM(Q43:R47)</f>
        <v>0</v>
      </c>
      <c r="W48" s="373">
        <f>IF(V48="","",V48^2/3)</f>
        <v>0</v>
      </c>
      <c r="X48" s="373">
        <f>SQRT(W48)</f>
        <v>0</v>
      </c>
      <c r="Y48" s="373">
        <v>1</v>
      </c>
      <c r="Z48" s="373">
        <v>50</v>
      </c>
      <c r="AA48" s="374">
        <f>IF(V48="","",(X48*Y48)^2)</f>
        <v>0</v>
      </c>
      <c r="AB48" s="322"/>
      <c r="AC48" s="24"/>
      <c r="AD48" s="25"/>
      <c r="AE48" s="26"/>
      <c r="AF48" s="323"/>
      <c r="AG48" s="6"/>
      <c r="AH48" s="19" t="s">
        <v>17</v>
      </c>
      <c r="AI48" s="53">
        <f t="shared" ref="AI48:AJ52" si="33">IF(ISERROR(VLOOKUP(B55,$AM$7:$AO$255,2,FALSE)),0,(VLOOKUP(B55,$AM$7:$AO$255,2,FALSE)*$AV$78))</f>
        <v>0</v>
      </c>
      <c r="AJ48" s="60">
        <f t="shared" si="33"/>
        <v>0</v>
      </c>
      <c r="AK48" s="271">
        <f t="shared" ref="AK48:AL52" si="34">IF(ISERROR(VLOOKUP(B55,$AM$7:$AO$255,3,FALSE)),0,(VLOOKUP(B55,$AM$7:$AO$255,3,FALSE)*$AV$78))</f>
        <v>0</v>
      </c>
      <c r="AL48" s="54">
        <f t="shared" si="34"/>
        <v>0</v>
      </c>
      <c r="AM48" s="496" t="s">
        <v>182</v>
      </c>
      <c r="AN48" s="506">
        <v>5.0000439999999999</v>
      </c>
      <c r="AO48" s="490">
        <f>(0.16/1000)</f>
        <v>1.6000000000000001E-4</v>
      </c>
      <c r="AP48" s="507">
        <f t="shared" si="25"/>
        <v>0</v>
      </c>
      <c r="AQ48" s="746"/>
      <c r="AR48" s="361">
        <f>0.066/1000</f>
        <v>6.6000000000000005E-5</v>
      </c>
      <c r="AS48" s="17"/>
      <c r="AT48" s="17"/>
      <c r="AU48"/>
      <c r="AV48"/>
      <c r="AW48"/>
      <c r="AX48"/>
      <c r="AY48"/>
      <c r="AZ48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</row>
    <row r="49" spans="1:72" s="21" customFormat="1" ht="15" customHeight="1">
      <c r="A49" s="882">
        <v>4</v>
      </c>
      <c r="B49" s="596"/>
      <c r="C49" s="336"/>
      <c r="D49" s="588">
        <f>IF(E51="",SUM(AI43:AI47,AJ43:AJ47),SUM(AI43:AI47,AJ43:AJ47)-I45)</f>
        <v>0</v>
      </c>
      <c r="E49" s="244"/>
      <c r="F49" s="567"/>
      <c r="G49" s="579"/>
      <c r="H49" s="207"/>
      <c r="I49" s="208"/>
      <c r="J49" s="208"/>
      <c r="K49" s="210"/>
      <c r="L49" s="209"/>
      <c r="M49" s="312"/>
      <c r="O49" s="355">
        <f t="shared" ref="O49:P53" si="35">AK43</f>
        <v>0</v>
      </c>
      <c r="P49" s="359">
        <f t="shared" si="35"/>
        <v>0</v>
      </c>
      <c r="Q49" s="261">
        <f t="shared" ref="Q49:R53" si="36">IF(ABS($L$13-$K$13)&gt;3,IF(ISERROR(VLOOKUP(B49,$AY$58:$BB$80,3,FALSE)),0,(VLOOKUP(B49,$AY$58:$BB$80,3,FALSE)*$AV$78)),IF(ISERROR(VLOOKUP(B49,$AY$58:$BB$80,4,FALSE)),0,(VLOOKUP(B49,$AY$58:$BB$80,4,FALSE)*$AV$78)))</f>
        <v>0</v>
      </c>
      <c r="R49" s="262">
        <f t="shared" si="36"/>
        <v>0</v>
      </c>
      <c r="S49" s="667">
        <f t="shared" ref="S49:T53" si="37">IF($L$19="Não",IF(ISERROR(VLOOKUP(B49,$AM$15:$AR$255,5,FALSE)),0,(VLOOKUP(B49,$AM$15:$AR$255,5,FALSE)*$AV$78)),0)</f>
        <v>0</v>
      </c>
      <c r="T49" s="158">
        <f t="shared" si="37"/>
        <v>0</v>
      </c>
      <c r="U49" s="612"/>
      <c r="V49" s="613" t="str">
        <f>IF($I$23&lt;&gt;"",ABS($L$26*(F51/(2*$I$23))),IF('2º MR-MI'!$I$23&lt;&gt;0,ABS('2º MR-MI'!$L$26*(F51/(2*'2º MR-MI'!$I$23))),IF('Registo Calibração'!$I$23&lt;&gt;0,ABS('Registo Calibração'!$L$26*(F51/(2*'Registo Calibração'!$I$23))),"")))</f>
        <v/>
      </c>
      <c r="W49" s="614">
        <f>IF(V49="",0,(V49)^2/3)</f>
        <v>0</v>
      </c>
      <c r="X49" s="614">
        <f>SQRT(W49)</f>
        <v>0</v>
      </c>
      <c r="Y49" s="614">
        <v>1</v>
      </c>
      <c r="Z49" s="614">
        <v>50</v>
      </c>
      <c r="AA49" s="615">
        <f>IF(V49="",0,(X49*Y49)^2)</f>
        <v>0</v>
      </c>
      <c r="AB49" s="608"/>
      <c r="AC49" s="27"/>
      <c r="AD49" s="609"/>
      <c r="AE49" s="610"/>
      <c r="AF49" s="611"/>
      <c r="AG49" s="6"/>
      <c r="AH49" s="19"/>
      <c r="AI49" s="55">
        <f t="shared" si="33"/>
        <v>0</v>
      </c>
      <c r="AJ49" s="61">
        <f t="shared" si="33"/>
        <v>0</v>
      </c>
      <c r="AK49" s="272">
        <f t="shared" si="34"/>
        <v>0</v>
      </c>
      <c r="AL49" s="56">
        <f t="shared" si="34"/>
        <v>0</v>
      </c>
      <c r="AM49" s="496" t="s">
        <v>183</v>
      </c>
      <c r="AN49" s="506">
        <v>10.000014999999999</v>
      </c>
      <c r="AO49" s="490">
        <f>(0.2/1000)</f>
        <v>2.0000000000000001E-4</v>
      </c>
      <c r="AP49" s="507">
        <f t="shared" si="25"/>
        <v>0</v>
      </c>
      <c r="AQ49" s="746"/>
      <c r="AR49" s="361">
        <f>0.115/1000</f>
        <v>1.15E-4</v>
      </c>
      <c r="AS49" s="17"/>
      <c r="AT49" s="17"/>
      <c r="AU49"/>
      <c r="AV49"/>
      <c r="AW49"/>
      <c r="AX49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</row>
    <row r="50" spans="1:72" s="21" customFormat="1" ht="15" customHeight="1" thickBot="1">
      <c r="A50" s="883"/>
      <c r="B50" s="663"/>
      <c r="C50" s="664"/>
      <c r="D50" s="582"/>
      <c r="E50" s="244"/>
      <c r="F50" s="567"/>
      <c r="G50" s="580">
        <f>G49</f>
        <v>0</v>
      </c>
      <c r="H50" s="207"/>
      <c r="I50" s="208"/>
      <c r="J50" s="208"/>
      <c r="K50" s="210"/>
      <c r="L50" s="209"/>
      <c r="M50" s="312"/>
      <c r="O50" s="355">
        <f t="shared" si="35"/>
        <v>0</v>
      </c>
      <c r="P50" s="359">
        <f t="shared" si="35"/>
        <v>0</v>
      </c>
      <c r="Q50" s="261">
        <f t="shared" si="36"/>
        <v>0</v>
      </c>
      <c r="R50" s="262">
        <f t="shared" si="36"/>
        <v>0</v>
      </c>
      <c r="S50" s="668">
        <f t="shared" si="37"/>
        <v>0</v>
      </c>
      <c r="T50" s="159">
        <f t="shared" si="37"/>
        <v>0</v>
      </c>
      <c r="U50" s="297"/>
      <c r="V50" s="329">
        <f>IF(G50&lt;&gt;"",STDEV(G49:G53),$M$28)</f>
        <v>0</v>
      </c>
      <c r="W50" s="330">
        <f>IF(G50="",V50^2,V50^2/(Z50+1))</f>
        <v>0</v>
      </c>
      <c r="X50" s="330">
        <f>SQRT(W50)</f>
        <v>0</v>
      </c>
      <c r="Y50" s="330">
        <v>1</v>
      </c>
      <c r="Z50" s="330">
        <f>IF(G50="",2,COUNT(G49:G53)-1)</f>
        <v>3</v>
      </c>
      <c r="AA50" s="331">
        <f>(Y50*X50)^2</f>
        <v>0</v>
      </c>
      <c r="AB50" s="79"/>
      <c r="AC50" s="17"/>
      <c r="AD50" s="22"/>
      <c r="AE50" s="23"/>
      <c r="AF50" s="80"/>
      <c r="AG50" s="6"/>
      <c r="AI50" s="55">
        <f t="shared" si="33"/>
        <v>0</v>
      </c>
      <c r="AJ50" s="61">
        <f t="shared" si="33"/>
        <v>0</v>
      </c>
      <c r="AK50" s="272">
        <f t="shared" si="34"/>
        <v>0</v>
      </c>
      <c r="AL50" s="56">
        <f t="shared" si="34"/>
        <v>0</v>
      </c>
      <c r="AM50" s="496" t="s">
        <v>184</v>
      </c>
      <c r="AN50" s="506">
        <v>20.000070000000001</v>
      </c>
      <c r="AO50" s="490">
        <f>(0.25/1000)</f>
        <v>2.5000000000000001E-4</v>
      </c>
      <c r="AP50" s="507">
        <f t="shared" si="25"/>
        <v>0</v>
      </c>
      <c r="AQ50" s="746"/>
      <c r="AR50" s="361">
        <f>0.209/1000</f>
        <v>2.0899999999999998E-4</v>
      </c>
      <c r="AS50" s="17">
        <f>SUM(AP7:AP31)</f>
        <v>0</v>
      </c>
      <c r="AT50" s="20" t="s">
        <v>18</v>
      </c>
      <c r="AU50"/>
      <c r="AV50"/>
      <c r="AW50"/>
      <c r="AX50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</row>
    <row r="51" spans="1:72" s="21" customFormat="1" ht="15" customHeight="1" thickBot="1">
      <c r="A51" s="883"/>
      <c r="B51" s="597"/>
      <c r="C51" s="337"/>
      <c r="D51" s="592" t="str">
        <f>FIXED(MROUND(D49,IF($E$14&lt;&gt;0,$E$14/10,$C$14/10)),$AI$15+1,TRUE)</f>
        <v>0,0</v>
      </c>
      <c r="E51" s="599"/>
      <c r="F51" s="600" t="str">
        <f>FIXED(MROUND(D51,$C$14/10),$AI$15+1,TRUE)</f>
        <v>0,0</v>
      </c>
      <c r="G51" s="580">
        <f>G50</f>
        <v>0</v>
      </c>
      <c r="H51" s="223" t="str">
        <f>IF(OR(D49&lt;&gt;0,E51&lt;&gt;0),AVERAGE(G49:G53),"-------")</f>
        <v>-------</v>
      </c>
      <c r="I51" s="224" t="str">
        <f>IF(OR(D49&lt;&gt;0,E51&lt;&gt;0),(H53-F51),"-------")</f>
        <v>-------</v>
      </c>
      <c r="J51" s="224" t="str">
        <f>IF(OR(B49&lt;&gt;"",E51&lt;&gt;""),ROUNDDOWN(AD52,0),"-------")</f>
        <v>-------</v>
      </c>
      <c r="K51" s="225" t="e">
        <f>IF(G49="===","------",AE52)</f>
        <v>#DIV/0!</v>
      </c>
      <c r="L51" s="225" t="str">
        <f>IF(OR(B49&lt;&gt;"",E51&lt;&gt;""),AF52,"-------")</f>
        <v>-------</v>
      </c>
      <c r="M51" s="313" t="str">
        <f>IF($H$11&lt;&gt;"",FIXED(ROUND((D49*($H$11-$H$10)/$H$10),$AI$15),$AI$15),"")</f>
        <v/>
      </c>
      <c r="O51" s="355">
        <f t="shared" si="35"/>
        <v>0</v>
      </c>
      <c r="P51" s="359">
        <f t="shared" si="35"/>
        <v>0</v>
      </c>
      <c r="Q51" s="261">
        <f t="shared" si="36"/>
        <v>0</v>
      </c>
      <c r="R51" s="262">
        <f t="shared" si="36"/>
        <v>0</v>
      </c>
      <c r="S51" s="668">
        <f t="shared" si="37"/>
        <v>0</v>
      </c>
      <c r="T51" s="159">
        <f t="shared" si="37"/>
        <v>0</v>
      </c>
      <c r="U51" s="297"/>
      <c r="V51" s="366" t="str">
        <f>IF($H$11="","",IF($L$9="SIM",IF(L$11&lt;&gt;K$11,ABS(L$11-K$11)*($D49/J$11),0),ABS($M51)))</f>
        <v/>
      </c>
      <c r="W51" s="363">
        <f>IF(V51="",0,V51^2/3)</f>
        <v>0</v>
      </c>
      <c r="X51" s="363">
        <f>SQRT(W51)</f>
        <v>0</v>
      </c>
      <c r="Y51" s="364">
        <v>1</v>
      </c>
      <c r="Z51" s="365">
        <v>50</v>
      </c>
      <c r="AA51" s="367">
        <f>IF(V51="",0,(X51*Y51)^2)</f>
        <v>0</v>
      </c>
      <c r="AB51" s="79"/>
      <c r="AC51" s="17"/>
      <c r="AD51" s="22"/>
      <c r="AE51" s="23"/>
      <c r="AF51" s="80"/>
      <c r="AG51" s="6">
        <f>IF(I57&gt;0,$C$14,-$C$14)</f>
        <v>0</v>
      </c>
      <c r="AH51" s="19"/>
      <c r="AI51" s="55">
        <f t="shared" si="33"/>
        <v>0</v>
      </c>
      <c r="AJ51" s="61">
        <f t="shared" si="33"/>
        <v>0</v>
      </c>
      <c r="AK51" s="272">
        <f t="shared" si="34"/>
        <v>0</v>
      </c>
      <c r="AL51" s="56">
        <f t="shared" si="34"/>
        <v>0</v>
      </c>
      <c r="AM51" s="494" t="s">
        <v>185</v>
      </c>
      <c r="AN51" s="506">
        <v>20.000059</v>
      </c>
      <c r="AO51" s="490">
        <f>(0.25/1000)</f>
        <v>2.5000000000000001E-4</v>
      </c>
      <c r="AP51" s="507">
        <f t="shared" si="25"/>
        <v>0</v>
      </c>
      <c r="AQ51" s="746"/>
      <c r="AR51" s="361">
        <f>0.209/1000</f>
        <v>2.0899999999999998E-4</v>
      </c>
      <c r="AS51" s="17"/>
      <c r="AT51" s="17"/>
      <c r="AU51"/>
      <c r="AV51"/>
      <c r="AW51"/>
      <c r="AX51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</row>
    <row r="52" spans="1:72" s="21" customFormat="1" ht="15" customHeight="1" thickBot="1">
      <c r="A52" s="883"/>
      <c r="B52" s="597"/>
      <c r="C52" s="337"/>
      <c r="D52" s="589"/>
      <c r="E52" s="244"/>
      <c r="F52" s="567"/>
      <c r="G52" s="580">
        <f>G51</f>
        <v>0</v>
      </c>
      <c r="H52" s="207"/>
      <c r="I52" s="315"/>
      <c r="J52" s="208"/>
      <c r="K52" s="210"/>
      <c r="L52" s="209"/>
      <c r="M52" s="312"/>
      <c r="O52" s="355">
        <f t="shared" si="35"/>
        <v>0</v>
      </c>
      <c r="P52" s="359">
        <f t="shared" si="35"/>
        <v>0</v>
      </c>
      <c r="Q52" s="261">
        <f t="shared" si="36"/>
        <v>0</v>
      </c>
      <c r="R52" s="262">
        <f t="shared" si="36"/>
        <v>0</v>
      </c>
      <c r="S52" s="668">
        <f t="shared" si="37"/>
        <v>0</v>
      </c>
      <c r="T52" s="159">
        <f t="shared" si="37"/>
        <v>0</v>
      </c>
      <c r="U52" s="297"/>
      <c r="V52" s="606">
        <f>(SUM(O49:O53,P49:P53))</f>
        <v>0</v>
      </c>
      <c r="W52" s="370">
        <f>V52^2/3</f>
        <v>0</v>
      </c>
      <c r="X52" s="370">
        <f>SQRT(W52)</f>
        <v>0</v>
      </c>
      <c r="Y52" s="370">
        <v>1</v>
      </c>
      <c r="Z52" s="370">
        <v>50</v>
      </c>
      <c r="AA52" s="371">
        <f>IF(V52="","",(X52*Y52)^2)</f>
        <v>0</v>
      </c>
      <c r="AB52" s="386">
        <f>SUM($AA$29:$AA$30,AA49:AA54,AA84,AA95)</f>
        <v>0</v>
      </c>
      <c r="AC52" s="17">
        <f>SQRT(AB52)</f>
        <v>0</v>
      </c>
      <c r="AD52" s="283" t="e">
        <f>(AC52^4)/(((($X$29*$Y$29)^4)/$Z$29)+((($X$30*$Y$30)^4)/$Z$30)+((($X$49*$Y$49)^4)/$Z$49)+(((X50*Y50)^4)/Z50)+(((X51*Y51)^4)/Z51)+(((X52*Y52)^4)/Z52)+(((X53*Y53)^4)/Z53)+(((X54*Y54)^4)/Z54)+(((X84*Y84)^4)/Z84)+(((X95*Y95)^4)/Z95))</f>
        <v>#DIV/0!</v>
      </c>
      <c r="AE52" s="23" t="e">
        <f>TINV(0.0455,AD52)</f>
        <v>#DIV/0!</v>
      </c>
      <c r="AF52" s="390" t="e">
        <f>CEILING((AE52*AC52),$C$14/100)</f>
        <v>#DIV/0!</v>
      </c>
      <c r="AG52" s="6"/>
      <c r="AH52" s="27"/>
      <c r="AI52" s="57">
        <f t="shared" si="33"/>
        <v>0</v>
      </c>
      <c r="AJ52" s="62">
        <f t="shared" si="33"/>
        <v>0</v>
      </c>
      <c r="AK52" s="273">
        <f t="shared" si="34"/>
        <v>0</v>
      </c>
      <c r="AL52" s="58">
        <f t="shared" si="34"/>
        <v>0</v>
      </c>
      <c r="AM52" s="496" t="s">
        <v>186</v>
      </c>
      <c r="AN52" s="506">
        <v>50.000014999999998</v>
      </c>
      <c r="AO52" s="490">
        <f>(0.3/1000)</f>
        <v>2.9999999999999997E-4</v>
      </c>
      <c r="AP52" s="507">
        <f t="shared" si="25"/>
        <v>0</v>
      </c>
      <c r="AQ52" s="746"/>
      <c r="AR52" s="361">
        <f>0.476/1000</f>
        <v>4.7599999999999997E-4</v>
      </c>
      <c r="AU52"/>
      <c r="AV52"/>
      <c r="AW52"/>
      <c r="AX52"/>
    </row>
    <row r="53" spans="1:72" s="21" customFormat="1" ht="15" customHeight="1" thickBot="1">
      <c r="A53" s="883"/>
      <c r="B53" s="661"/>
      <c r="C53" s="665"/>
      <c r="D53" s="582"/>
      <c r="E53" s="244"/>
      <c r="F53" s="567"/>
      <c r="G53" s="623">
        <f>G52</f>
        <v>0</v>
      </c>
      <c r="H53" s="306" t="str">
        <f>IF(H51&lt;&gt;"-------",FIXED(IF($E$14&lt;&gt;0,MROUND(H51,$E$14),MROUND(H51,$C$14)),LEN(L53)-2,TRUE),"------")</f>
        <v>------</v>
      </c>
      <c r="I53" s="220" t="str">
        <f>IF(I51&lt;&gt;"-------",FIXED(ROUND(I51,$AI$15),LEN(L53)-2,TRUE),"------")</f>
        <v>------</v>
      </c>
      <c r="J53" s="620" t="str">
        <f>IF(G49="===","------",IF(J51&gt;500,"&gt; 500",J51))</f>
        <v>&gt; 500</v>
      </c>
      <c r="K53" s="624" t="e">
        <f>K51</f>
        <v>#DIV/0!</v>
      </c>
      <c r="L53" s="621" t="str">
        <f>IF(L51&lt;&gt;"-------",BF13,"------")</f>
        <v>------</v>
      </c>
      <c r="M53" s="312"/>
      <c r="O53" s="355">
        <f t="shared" si="35"/>
        <v>0</v>
      </c>
      <c r="P53" s="359">
        <f t="shared" si="35"/>
        <v>0</v>
      </c>
      <c r="Q53" s="261">
        <f t="shared" si="36"/>
        <v>0</v>
      </c>
      <c r="R53" s="262">
        <f t="shared" si="36"/>
        <v>0</v>
      </c>
      <c r="S53" s="668">
        <f t="shared" si="37"/>
        <v>0</v>
      </c>
      <c r="T53" s="159">
        <f t="shared" si="37"/>
        <v>0</v>
      </c>
      <c r="U53" s="297"/>
      <c r="V53" s="333">
        <f>IF($L$19="sim",SUM(O49:P53)/4,SUM(S49:T53))</f>
        <v>0</v>
      </c>
      <c r="W53" s="334">
        <f>IF(V53="","",V53^2/3)</f>
        <v>0</v>
      </c>
      <c r="X53" s="334">
        <f>IF($L$19="Sim",SQRT(W53),SUM(S49:T53))</f>
        <v>0</v>
      </c>
      <c r="Y53" s="334">
        <v>1</v>
      </c>
      <c r="Z53" s="334">
        <v>50</v>
      </c>
      <c r="AA53" s="335">
        <f>(X53*Y53)^2</f>
        <v>0</v>
      </c>
      <c r="AB53" s="79"/>
      <c r="AC53" s="17"/>
      <c r="AD53" s="22"/>
      <c r="AE53" s="23"/>
      <c r="AF53" s="80"/>
      <c r="AG53" s="6"/>
      <c r="AH53" s="19" t="s">
        <v>19</v>
      </c>
      <c r="AI53" s="53">
        <f t="shared" ref="AI53:AJ57" si="38">IF(ISERROR(VLOOKUP(B61,$AM$7:$AO$255,2,FALSE)),0,(VLOOKUP(B61,$AM$7:$AO$255,2,FALSE)*$AV$78))</f>
        <v>0</v>
      </c>
      <c r="AJ53" s="60">
        <f t="shared" si="38"/>
        <v>0</v>
      </c>
      <c r="AK53" s="271">
        <f t="shared" ref="AK53:AL57" si="39">IF(ISERROR(VLOOKUP(B61,$AM$7:$AO$255,3,FALSE)),0,(VLOOKUP(B61,$AM$7:$AO$255,3,FALSE)*$AV$78))</f>
        <v>0</v>
      </c>
      <c r="AL53" s="54">
        <f t="shared" si="39"/>
        <v>0</v>
      </c>
      <c r="AM53" s="498" t="s">
        <v>187</v>
      </c>
      <c r="AN53" s="506">
        <v>100.00033000000001</v>
      </c>
      <c r="AO53" s="490">
        <f>(0.5/1000)</f>
        <v>5.0000000000000001E-4</v>
      </c>
      <c r="AP53" s="507">
        <f t="shared" si="25"/>
        <v>0</v>
      </c>
      <c r="AQ53" s="746"/>
      <c r="AR53" s="362">
        <f>SQRT((9.38/1000)^2/3)</f>
        <v>5.4155455249986903E-3</v>
      </c>
      <c r="AS53" s="17"/>
      <c r="AT53" s="17"/>
      <c r="AU53"/>
      <c r="AV53"/>
      <c r="AW53"/>
      <c r="AX53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</row>
    <row r="54" spans="1:72" s="21" customFormat="1" ht="15" customHeight="1" thickBot="1">
      <c r="A54" s="884"/>
      <c r="B54" s="641"/>
      <c r="C54" s="642"/>
      <c r="D54" s="591"/>
      <c r="E54" s="643"/>
      <c r="F54" s="847"/>
      <c r="G54" s="854"/>
      <c r="H54" s="644"/>
      <c r="I54" s="645"/>
      <c r="J54" s="645"/>
      <c r="K54" s="646"/>
      <c r="L54" s="647"/>
      <c r="M54" s="648"/>
      <c r="O54" s="649"/>
      <c r="P54" s="650"/>
      <c r="Q54" s="649"/>
      <c r="R54" s="650"/>
      <c r="S54" s="651"/>
      <c r="T54" s="650"/>
      <c r="U54" s="640"/>
      <c r="V54" s="372">
        <f>SUM(Q49:R53)</f>
        <v>0</v>
      </c>
      <c r="W54" s="373">
        <f>IF(V54="","",V54^2/3)</f>
        <v>0</v>
      </c>
      <c r="X54" s="373">
        <f>SQRT(W54)</f>
        <v>0</v>
      </c>
      <c r="Y54" s="373">
        <v>1</v>
      </c>
      <c r="Z54" s="373">
        <v>50</v>
      </c>
      <c r="AA54" s="374">
        <f>IF(V54="","",(X54*Y54)^2)</f>
        <v>0</v>
      </c>
      <c r="AB54" s="322"/>
      <c r="AC54" s="24"/>
      <c r="AD54" s="25"/>
      <c r="AE54" s="26"/>
      <c r="AF54" s="323"/>
      <c r="AG54" s="6"/>
      <c r="AH54" s="19"/>
      <c r="AI54" s="55">
        <f t="shared" si="38"/>
        <v>0</v>
      </c>
      <c r="AJ54" s="61">
        <f t="shared" si="38"/>
        <v>0</v>
      </c>
      <c r="AK54" s="272">
        <f t="shared" si="39"/>
        <v>0</v>
      </c>
      <c r="AL54" s="56">
        <f t="shared" si="39"/>
        <v>0</v>
      </c>
      <c r="AM54" s="498" t="s">
        <v>188</v>
      </c>
      <c r="AN54" s="506">
        <v>200.00009</v>
      </c>
      <c r="AO54" s="490">
        <f>(1/1000)</f>
        <v>1E-3</v>
      </c>
      <c r="AP54" s="507">
        <f t="shared" si="25"/>
        <v>0</v>
      </c>
      <c r="AQ54" s="746"/>
      <c r="AR54" s="362">
        <f>SQRT((9.38/1000)^2/3)</f>
        <v>5.4155455249986903E-3</v>
      </c>
      <c r="AS54" s="17"/>
      <c r="AT54" s="17"/>
      <c r="AU54"/>
      <c r="AV54"/>
      <c r="AW54"/>
      <c r="AX54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</row>
    <row r="55" spans="1:72" s="21" customFormat="1" ht="15" customHeight="1">
      <c r="A55" s="882">
        <v>5</v>
      </c>
      <c r="B55" s="596"/>
      <c r="C55" s="336"/>
      <c r="D55" s="588">
        <f>IF(E57="",SUM(AI48:AI52,AJ48:AJ52),SUM(AI48:AI52,AJ48:AJ52)-I51)</f>
        <v>0</v>
      </c>
      <c r="E55" s="244"/>
      <c r="F55" s="567"/>
      <c r="G55" s="579"/>
      <c r="H55" s="207"/>
      <c r="I55" s="208"/>
      <c r="J55" s="208"/>
      <c r="K55" s="210"/>
      <c r="L55" s="209"/>
      <c r="M55" s="312"/>
      <c r="O55" s="355">
        <f t="shared" ref="O55:P59" si="40">AK48</f>
        <v>0</v>
      </c>
      <c r="P55" s="359">
        <f t="shared" si="40"/>
        <v>0</v>
      </c>
      <c r="Q55" s="261">
        <f t="shared" ref="Q55:R59" si="41">IF(ABS($L$13-$K$13)&gt;3,IF(ISERROR(VLOOKUP(B55,$AY$58:$BB$80,3,FALSE)),0,(VLOOKUP(B55,$AY$58:$BB$80,3,FALSE)*$AV$78)),IF(ISERROR(VLOOKUP(B55,$AY$58:$BB$80,4,FALSE)),0,(VLOOKUP(B55,$AY$58:$BB$80,4,FALSE)*$AV$78)))</f>
        <v>0</v>
      </c>
      <c r="R55" s="262">
        <f t="shared" si="41"/>
        <v>0</v>
      </c>
      <c r="S55" s="667">
        <f t="shared" ref="S55:T59" si="42">IF($L$19="Não",IF(ISERROR(VLOOKUP(B55,$AM$15:$AR$255,5,FALSE)),0,(VLOOKUP(B55,$AM$15:$AR$255,5,FALSE)*$AV$78)),0)</f>
        <v>0</v>
      </c>
      <c r="T55" s="158">
        <f t="shared" si="42"/>
        <v>0</v>
      </c>
      <c r="U55" s="612"/>
      <c r="V55" s="613" t="str">
        <f>IF($I$23&lt;&gt;"",ABS($L$26*(F57/(2*$I$23))),IF('2º MR-MI'!$I$23&lt;&gt;0,ABS('2º MR-MI'!$L$26*(F57/(2*'2º MR-MI'!$I$23))),IF('Registo Calibração'!$I$23&lt;&gt;0,ABS('Registo Calibração'!$L$26*(F57/(2*'Registo Calibração'!$I$23))),"")))</f>
        <v/>
      </c>
      <c r="W55" s="614">
        <f>IF(V55="",0,(V55)^2/3)</f>
        <v>0</v>
      </c>
      <c r="X55" s="614">
        <f>SQRT(W55)</f>
        <v>0</v>
      </c>
      <c r="Y55" s="614">
        <v>1</v>
      </c>
      <c r="Z55" s="614">
        <v>50</v>
      </c>
      <c r="AA55" s="615">
        <f>IF(V55="",0,(X55*Y55)^2)</f>
        <v>0</v>
      </c>
      <c r="AB55" s="608"/>
      <c r="AC55" s="27"/>
      <c r="AD55" s="609"/>
      <c r="AE55" s="610"/>
      <c r="AF55" s="611"/>
      <c r="AG55" s="6"/>
      <c r="AI55" s="55">
        <f t="shared" si="38"/>
        <v>0</v>
      </c>
      <c r="AJ55" s="61">
        <f t="shared" si="38"/>
        <v>0</v>
      </c>
      <c r="AK55" s="272">
        <f t="shared" si="39"/>
        <v>0</v>
      </c>
      <c r="AL55" s="56">
        <f t="shared" si="39"/>
        <v>0</v>
      </c>
      <c r="AM55" s="498" t="s">
        <v>189</v>
      </c>
      <c r="AN55" s="506">
        <v>200.00018</v>
      </c>
      <c r="AO55" s="490">
        <f>(1/1000)</f>
        <v>1E-3</v>
      </c>
      <c r="AP55" s="507">
        <f t="shared" si="25"/>
        <v>0</v>
      </c>
      <c r="AQ55" s="746"/>
      <c r="AR55" s="362">
        <f t="shared" ref="AR55:AR63" si="43">SQRT((9.38/1000)^2/3)</f>
        <v>5.4155455249986903E-3</v>
      </c>
      <c r="AS55" s="17"/>
      <c r="AT55" s="17"/>
      <c r="AU55" s="17"/>
      <c r="AV55" s="17"/>
      <c r="AW55" s="17"/>
      <c r="AX55" s="17"/>
      <c r="AY55" s="68" t="s">
        <v>151</v>
      </c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</row>
    <row r="56" spans="1:72" s="21" customFormat="1" ht="15" customHeight="1" thickBot="1">
      <c r="A56" s="883"/>
      <c r="B56" s="663"/>
      <c r="C56" s="664"/>
      <c r="D56" s="582"/>
      <c r="E56" s="244"/>
      <c r="F56" s="567"/>
      <c r="G56" s="580">
        <f>G55</f>
        <v>0</v>
      </c>
      <c r="H56" s="207"/>
      <c r="I56" s="208"/>
      <c r="J56" s="208"/>
      <c r="K56" s="210"/>
      <c r="L56" s="209"/>
      <c r="M56" s="312"/>
      <c r="O56" s="355">
        <f t="shared" si="40"/>
        <v>0</v>
      </c>
      <c r="P56" s="359">
        <f t="shared" si="40"/>
        <v>0</v>
      </c>
      <c r="Q56" s="261">
        <f t="shared" si="41"/>
        <v>0</v>
      </c>
      <c r="R56" s="262">
        <f t="shared" si="41"/>
        <v>0</v>
      </c>
      <c r="S56" s="668">
        <f t="shared" si="42"/>
        <v>0</v>
      </c>
      <c r="T56" s="159">
        <f t="shared" si="42"/>
        <v>0</v>
      </c>
      <c r="U56" s="297"/>
      <c r="V56" s="329">
        <f>IF(G56&lt;&gt;"",STDEV(G55:G59),$M$28)</f>
        <v>0</v>
      </c>
      <c r="W56" s="330">
        <f>IF(G56="",V56^2,V56^2/(Z56+1))</f>
        <v>0</v>
      </c>
      <c r="X56" s="330">
        <f>SQRT(W56)</f>
        <v>0</v>
      </c>
      <c r="Y56" s="330">
        <v>1</v>
      </c>
      <c r="Z56" s="330">
        <f>IF(G56="",2,COUNT(G55:G59)-1)</f>
        <v>3</v>
      </c>
      <c r="AA56" s="331">
        <f>(Y56*X56)^2</f>
        <v>0</v>
      </c>
      <c r="AB56" s="79"/>
      <c r="AC56" s="17"/>
      <c r="AD56" s="22"/>
      <c r="AE56" s="23"/>
      <c r="AF56" s="80"/>
      <c r="AG56" s="6">
        <f>IF(I63&gt;0,$C$14,-$C$14)</f>
        <v>0</v>
      </c>
      <c r="AH56" s="19"/>
      <c r="AI56" s="55">
        <f t="shared" si="38"/>
        <v>0</v>
      </c>
      <c r="AJ56" s="61">
        <f t="shared" si="38"/>
        <v>0</v>
      </c>
      <c r="AK56" s="272">
        <f t="shared" si="39"/>
        <v>0</v>
      </c>
      <c r="AL56" s="56">
        <f t="shared" si="39"/>
        <v>0</v>
      </c>
      <c r="AM56" s="498" t="s">
        <v>190</v>
      </c>
      <c r="AN56" s="506">
        <v>500.00130999999999</v>
      </c>
      <c r="AO56" s="490">
        <f>(2.5/1000)</f>
        <v>2.5000000000000001E-3</v>
      </c>
      <c r="AP56" s="536">
        <f t="shared" si="25"/>
        <v>0</v>
      </c>
      <c r="AQ56" s="747"/>
      <c r="AR56" s="362">
        <f t="shared" si="43"/>
        <v>5.4155455249986903E-3</v>
      </c>
      <c r="AS56" s="17"/>
      <c r="AT56" s="17"/>
      <c r="AU56" s="17"/>
      <c r="AV56" s="17"/>
      <c r="AW56" s="17"/>
      <c r="AX56" s="17"/>
      <c r="AY56" s="930" t="s">
        <v>345</v>
      </c>
      <c r="AZ56" s="930"/>
      <c r="BA56" s="930"/>
      <c r="BB56" s="930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</row>
    <row r="57" spans="1:72" s="21" customFormat="1" ht="15" customHeight="1" thickBot="1">
      <c r="A57" s="883"/>
      <c r="B57" s="597"/>
      <c r="C57" s="337"/>
      <c r="D57" s="592" t="str">
        <f>FIXED(MROUND(D55,IF($E$14&lt;&gt;0,$E$14/10,$C$14/10)),$AI$15+1,TRUE)</f>
        <v>0,0</v>
      </c>
      <c r="E57" s="599"/>
      <c r="F57" s="600" t="str">
        <f>FIXED(MROUND(D57,$C$14/10),$AI$15+1,TRUE)</f>
        <v>0,0</v>
      </c>
      <c r="G57" s="580">
        <f>G56</f>
        <v>0</v>
      </c>
      <c r="H57" s="223" t="str">
        <f>IF(OR(D55&lt;&gt;0,E57&lt;&gt;0),AVERAGE(G55:G59),"-------")</f>
        <v>-------</v>
      </c>
      <c r="I57" s="224" t="str">
        <f>IF(OR(D55&lt;&gt;0,E57&lt;&gt;0),(H59-F57),"-------")</f>
        <v>-------</v>
      </c>
      <c r="J57" s="224" t="str">
        <f>IF(OR(B55&lt;&gt;"",E57&lt;&gt;""),ROUNDDOWN(AD58,0),"-------")</f>
        <v>-------</v>
      </c>
      <c r="K57" s="225" t="e">
        <f>IF(G55="===","------",AE58)</f>
        <v>#DIV/0!</v>
      </c>
      <c r="L57" s="225" t="str">
        <f>IF(OR(B55&lt;&gt;"",E57&lt;&gt;""),AF58,"-------")</f>
        <v>-------</v>
      </c>
      <c r="M57" s="313" t="str">
        <f>IF($H$11&lt;&gt;"",FIXED(ROUND((D55*($H$11-$H$10)/$H$10),$AI$15),$AI$15),"")</f>
        <v/>
      </c>
      <c r="O57" s="355">
        <f t="shared" si="40"/>
        <v>0</v>
      </c>
      <c r="P57" s="359">
        <f t="shared" si="40"/>
        <v>0</v>
      </c>
      <c r="Q57" s="261">
        <f t="shared" si="41"/>
        <v>0</v>
      </c>
      <c r="R57" s="262">
        <f t="shared" si="41"/>
        <v>0</v>
      </c>
      <c r="S57" s="668">
        <f t="shared" si="42"/>
        <v>0</v>
      </c>
      <c r="T57" s="159">
        <f t="shared" si="42"/>
        <v>0</v>
      </c>
      <c r="U57" s="297"/>
      <c r="V57" s="366" t="str">
        <f>IF($H$11="","",IF($L$9="SIM",IF(L$11&lt;&gt;K$11,ABS(L$11-K$11)*($D55/J$11),0),ABS($M57)))</f>
        <v/>
      </c>
      <c r="W57" s="363">
        <f>IF(V57="",0,V57^2/3)</f>
        <v>0</v>
      </c>
      <c r="X57" s="363">
        <f>SQRT(W57)</f>
        <v>0</v>
      </c>
      <c r="Y57" s="364">
        <v>1</v>
      </c>
      <c r="Z57" s="365">
        <v>50</v>
      </c>
      <c r="AA57" s="367">
        <f>IF(V57="",0,(X57*Y57)^2)</f>
        <v>0</v>
      </c>
      <c r="AB57" s="79"/>
      <c r="AC57" s="17"/>
      <c r="AD57" s="22"/>
      <c r="AE57" s="23"/>
      <c r="AF57" s="80"/>
      <c r="AG57" s="6"/>
      <c r="AH57" s="27"/>
      <c r="AI57" s="57">
        <f t="shared" si="38"/>
        <v>0</v>
      </c>
      <c r="AJ57" s="62">
        <f t="shared" si="38"/>
        <v>0</v>
      </c>
      <c r="AK57" s="273">
        <f t="shared" si="39"/>
        <v>0</v>
      </c>
      <c r="AL57" s="58">
        <f t="shared" si="39"/>
        <v>0</v>
      </c>
      <c r="AM57" s="498" t="s">
        <v>191</v>
      </c>
      <c r="AN57" s="506">
        <v>1000.0025000000001</v>
      </c>
      <c r="AO57" s="743">
        <f>(5/1000)</f>
        <v>5.0000000000000001E-3</v>
      </c>
      <c r="AP57" s="537">
        <f t="shared" si="25"/>
        <v>0</v>
      </c>
      <c r="AQ57" s="748"/>
      <c r="AR57" s="362">
        <f t="shared" si="43"/>
        <v>5.4155455249986903E-3</v>
      </c>
      <c r="AY57" s="257" t="s">
        <v>252</v>
      </c>
      <c r="AZ57" s="258" t="s">
        <v>302</v>
      </c>
      <c r="BA57" s="253" t="s">
        <v>301</v>
      </c>
      <c r="BB57" s="254" t="s">
        <v>300</v>
      </c>
    </row>
    <row r="58" spans="1:72" s="21" customFormat="1" ht="15" customHeight="1">
      <c r="A58" s="883"/>
      <c r="B58" s="597"/>
      <c r="C58" s="337"/>
      <c r="D58" s="589"/>
      <c r="E58" s="244"/>
      <c r="F58" s="567"/>
      <c r="G58" s="580">
        <f>G57</f>
        <v>0</v>
      </c>
      <c r="H58" s="207"/>
      <c r="I58" s="315"/>
      <c r="J58" s="208"/>
      <c r="K58" s="210"/>
      <c r="L58" s="209"/>
      <c r="M58" s="312"/>
      <c r="O58" s="355">
        <f t="shared" si="40"/>
        <v>0</v>
      </c>
      <c r="P58" s="359">
        <f t="shared" si="40"/>
        <v>0</v>
      </c>
      <c r="Q58" s="261">
        <f t="shared" si="41"/>
        <v>0</v>
      </c>
      <c r="R58" s="262">
        <f t="shared" si="41"/>
        <v>0</v>
      </c>
      <c r="S58" s="668">
        <f t="shared" si="42"/>
        <v>0</v>
      </c>
      <c r="T58" s="159">
        <f t="shared" si="42"/>
        <v>0</v>
      </c>
      <c r="U58" s="297"/>
      <c r="V58" s="606">
        <f>(SUM(O55:O59,P55:P59))</f>
        <v>0</v>
      </c>
      <c r="W58" s="370">
        <f>V58^2/3</f>
        <v>0</v>
      </c>
      <c r="X58" s="370">
        <f>SQRT(W58)</f>
        <v>0</v>
      </c>
      <c r="Y58" s="370">
        <v>1</v>
      </c>
      <c r="Z58" s="370">
        <v>50</v>
      </c>
      <c r="AA58" s="371">
        <f>IF(V58="","",(X58*Y58)^2)</f>
        <v>0</v>
      </c>
      <c r="AB58" s="386">
        <f>SUM($AA$29:$AA$30,AA55:AA60,AA85,AA96)</f>
        <v>0</v>
      </c>
      <c r="AC58" s="17">
        <f>SQRT(AB58)</f>
        <v>0</v>
      </c>
      <c r="AD58" s="283" t="e">
        <f>(AC58^4)/(((($X$29*$Y$29)^4)/$Z$29)+((($X$30*$Y$30)^4)/$Z$30)+((($X$55*$Y$55)^4)/$Z$55)+(((X56*Y56)^4)/Z56)+(((X57*Y57)^4)/Z57)+(((X58*Y58)^4)/Z58)+(((X59*Y59)^4)/Z59)+(((X60*Y60)^4)/Z60)+(((X85*Y85)^4)/Z85)+(((X96*Y96)^4)/Z96))</f>
        <v>#DIV/0!</v>
      </c>
      <c r="AE58" s="23" t="e">
        <f>TINV(0.0455,AD58)</f>
        <v>#DIV/0!</v>
      </c>
      <c r="AF58" s="390" t="e">
        <f>CEILING((AE58*AC58),$C$14/100)</f>
        <v>#DIV/0!</v>
      </c>
      <c r="AG58" s="6"/>
      <c r="AH58" s="19" t="s">
        <v>21</v>
      </c>
      <c r="AI58" s="53">
        <f t="shared" ref="AI58:AJ62" si="44">IF(ISERROR(VLOOKUP(B67,$AM$7:$AO$255,2,FALSE)),0,(VLOOKUP(B67,$AM$7:$AO$255,2,FALSE)*$AV$78))</f>
        <v>0</v>
      </c>
      <c r="AJ58" s="60">
        <f t="shared" si="44"/>
        <v>0</v>
      </c>
      <c r="AK58" s="271">
        <f t="shared" ref="AK58:AL62" si="45">IF(ISERROR(VLOOKUP(B67,$AM$7:$AO$255,3,FALSE)),0,(VLOOKUP(B67,$AM$7:$AO$255,3,FALSE)*$AV$78))</f>
        <v>0</v>
      </c>
      <c r="AL58" s="54">
        <f t="shared" si="45"/>
        <v>0</v>
      </c>
      <c r="AM58" s="503" t="s">
        <v>192</v>
      </c>
      <c r="AN58" s="758">
        <v>2000.0038</v>
      </c>
      <c r="AO58" s="743">
        <f>0.01</f>
        <v>0.01</v>
      </c>
      <c r="AP58" s="507">
        <f t="shared" si="25"/>
        <v>0</v>
      </c>
      <c r="AQ58" s="746"/>
      <c r="AR58" s="362">
        <f t="shared" si="43"/>
        <v>5.4155455249986903E-3</v>
      </c>
      <c r="AS58" s="17">
        <f>SUM(AP128:AP133)</f>
        <v>0</v>
      </c>
      <c r="AT58" s="20" t="s">
        <v>18</v>
      </c>
      <c r="AU58" s="17"/>
      <c r="AV58" s="17"/>
      <c r="AW58" s="17"/>
      <c r="AX58" s="17"/>
      <c r="AY58" s="70">
        <v>10</v>
      </c>
      <c r="AZ58" s="246">
        <v>0.01</v>
      </c>
      <c r="BA58" s="250">
        <f>0.03/1000</f>
        <v>2.9999999999999997E-5</v>
      </c>
      <c r="BB58" s="351">
        <f>0.02/1000</f>
        <v>2.0000000000000002E-5</v>
      </c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</row>
    <row r="59" spans="1:72" s="21" customFormat="1" ht="15" customHeight="1" thickBot="1">
      <c r="A59" s="883"/>
      <c r="B59" s="661"/>
      <c r="C59" s="665"/>
      <c r="D59" s="582"/>
      <c r="E59" s="244"/>
      <c r="F59" s="567"/>
      <c r="G59" s="623">
        <f>G58</f>
        <v>0</v>
      </c>
      <c r="H59" s="306" t="str">
        <f>IF(H57&lt;&gt;"-------",FIXED(IF($E$14&lt;&gt;0,MROUND(H57,$E$14),MROUND(H57,$C$14)),LEN(L59)-2,TRUE),"------")</f>
        <v>------</v>
      </c>
      <c r="I59" s="220" t="str">
        <f>IF(I57&lt;&gt;"-------",FIXED(ROUND(I57,$AI$15),LEN(L59)-2,TRUE),"------")</f>
        <v>------</v>
      </c>
      <c r="J59" s="620" t="str">
        <f>IF(G55="===","------",IF(J57&gt;500,"&gt; 500",J57))</f>
        <v>&gt; 500</v>
      </c>
      <c r="K59" s="624" t="e">
        <f>K57</f>
        <v>#DIV/0!</v>
      </c>
      <c r="L59" s="621" t="str">
        <f>IF(L57&lt;&gt;"-------",BF14,"------")</f>
        <v>------</v>
      </c>
      <c r="M59" s="312"/>
      <c r="O59" s="355">
        <f t="shared" si="40"/>
        <v>0</v>
      </c>
      <c r="P59" s="359">
        <f t="shared" si="40"/>
        <v>0</v>
      </c>
      <c r="Q59" s="261">
        <f t="shared" si="41"/>
        <v>0</v>
      </c>
      <c r="R59" s="262">
        <f t="shared" si="41"/>
        <v>0</v>
      </c>
      <c r="S59" s="668">
        <f t="shared" si="42"/>
        <v>0</v>
      </c>
      <c r="T59" s="159">
        <f t="shared" si="42"/>
        <v>0</v>
      </c>
      <c r="U59" s="297"/>
      <c r="V59" s="333">
        <f>IF($L$19="sim",SUM(O55:P59)/4,SUM(S55:T59))</f>
        <v>0</v>
      </c>
      <c r="W59" s="334">
        <f>IF(V59="","",V59^2/3)</f>
        <v>0</v>
      </c>
      <c r="X59" s="334">
        <f>IF($L$19="Sim",SQRT(W59),SUM(S55:T59))</f>
        <v>0</v>
      </c>
      <c r="Y59" s="334">
        <v>1</v>
      </c>
      <c r="Z59" s="334">
        <v>50</v>
      </c>
      <c r="AA59" s="335">
        <f>(X59*Y59)^2</f>
        <v>0</v>
      </c>
      <c r="AB59" s="79"/>
      <c r="AC59" s="17"/>
      <c r="AD59" s="22"/>
      <c r="AE59" s="23"/>
      <c r="AF59" s="80"/>
      <c r="AG59" s="6"/>
      <c r="AH59" s="19"/>
      <c r="AI59" s="55">
        <f t="shared" si="44"/>
        <v>0</v>
      </c>
      <c r="AJ59" s="61">
        <f t="shared" si="44"/>
        <v>0</v>
      </c>
      <c r="AK59" s="272">
        <f t="shared" si="45"/>
        <v>0</v>
      </c>
      <c r="AL59" s="56">
        <f t="shared" si="45"/>
        <v>0</v>
      </c>
      <c r="AM59" s="499" t="s">
        <v>193</v>
      </c>
      <c r="AN59" s="758">
        <v>2000.0047</v>
      </c>
      <c r="AO59" s="743">
        <f>0.01</f>
        <v>0.01</v>
      </c>
      <c r="AP59" s="507">
        <f t="shared" si="25"/>
        <v>0</v>
      </c>
      <c r="AQ59" s="746"/>
      <c r="AR59" s="362">
        <f t="shared" si="43"/>
        <v>5.4155455249986903E-3</v>
      </c>
      <c r="AS59" s="17"/>
      <c r="AT59" s="339"/>
      <c r="AU59" s="979" t="s">
        <v>20</v>
      </c>
      <c r="AV59" s="980"/>
      <c r="AW59" s="435"/>
      <c r="AX59" s="17"/>
      <c r="AY59" s="66" t="s">
        <v>183</v>
      </c>
      <c r="AZ59" s="247">
        <v>0.01</v>
      </c>
      <c r="BA59" s="251">
        <f>0.03/1000</f>
        <v>2.9999999999999997E-5</v>
      </c>
      <c r="BB59" s="352">
        <f>0.02/1000</f>
        <v>2.0000000000000002E-5</v>
      </c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</row>
    <row r="60" spans="1:72" s="21" customFormat="1" ht="15" customHeight="1" thickBot="1">
      <c r="A60" s="884"/>
      <c r="B60" s="637"/>
      <c r="C60" s="626"/>
      <c r="D60" s="591"/>
      <c r="E60" s="627"/>
      <c r="F60" s="847"/>
      <c r="G60" s="628"/>
      <c r="H60" s="629"/>
      <c r="I60" s="630"/>
      <c r="J60" s="630"/>
      <c r="K60" s="631"/>
      <c r="L60" s="639"/>
      <c r="M60" s="633"/>
      <c r="O60" s="634"/>
      <c r="P60" s="635"/>
      <c r="Q60" s="634"/>
      <c r="R60" s="635"/>
      <c r="S60" s="636"/>
      <c r="T60" s="635"/>
      <c r="U60" s="640"/>
      <c r="V60" s="372">
        <f>SUM(Q55:R59)</f>
        <v>0</v>
      </c>
      <c r="W60" s="373">
        <f>IF(V60="","",V60^2/3)</f>
        <v>0</v>
      </c>
      <c r="X60" s="373">
        <f>SQRT(W60)</f>
        <v>0</v>
      </c>
      <c r="Y60" s="373">
        <v>1</v>
      </c>
      <c r="Z60" s="373">
        <v>50</v>
      </c>
      <c r="AA60" s="374">
        <f>IF(V60="","",(X60*Y60)^2)</f>
        <v>0</v>
      </c>
      <c r="AB60" s="322"/>
      <c r="AC60" s="24"/>
      <c r="AD60" s="25"/>
      <c r="AE60" s="26"/>
      <c r="AF60" s="323"/>
      <c r="AG60" s="6"/>
      <c r="AI60" s="55">
        <f t="shared" si="44"/>
        <v>0</v>
      </c>
      <c r="AJ60" s="61">
        <f t="shared" si="44"/>
        <v>0</v>
      </c>
      <c r="AK60" s="272">
        <f t="shared" si="45"/>
        <v>0</v>
      </c>
      <c r="AL60" s="56">
        <f t="shared" si="45"/>
        <v>0</v>
      </c>
      <c r="AM60" s="504" t="s">
        <v>194</v>
      </c>
      <c r="AN60" s="512">
        <v>5000.0036</v>
      </c>
      <c r="AO60" s="745">
        <f>0.025</f>
        <v>2.5000000000000001E-2</v>
      </c>
      <c r="AP60" s="538">
        <f t="shared" si="25"/>
        <v>0</v>
      </c>
      <c r="AQ60" s="747"/>
      <c r="AR60" s="362">
        <f t="shared" si="43"/>
        <v>5.4155455249986903E-3</v>
      </c>
      <c r="AS60" s="17"/>
      <c r="AT60" s="339"/>
      <c r="AU60" s="340" t="s">
        <v>341</v>
      </c>
      <c r="AV60" s="340">
        <v>9.8066499999999994</v>
      </c>
      <c r="AW60" s="435"/>
      <c r="AX60" s="17"/>
      <c r="AY60" s="66">
        <v>20</v>
      </c>
      <c r="AZ60" s="247">
        <v>0.02</v>
      </c>
      <c r="BA60" s="251">
        <f>0.05/1000</f>
        <v>5.0000000000000002E-5</v>
      </c>
      <c r="BB60" s="352">
        <f>0.03/1000</f>
        <v>2.9999999999999997E-5</v>
      </c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</row>
    <row r="61" spans="1:72" s="21" customFormat="1" ht="15" customHeight="1">
      <c r="A61" s="882">
        <v>6</v>
      </c>
      <c r="B61" s="596"/>
      <c r="C61" s="659"/>
      <c r="D61" s="588">
        <f>IF(E63="",SUM(AI53:AI57,AJ53:AJ57),SUM(AI53:AI57,AJ53:AJ57)-I57)</f>
        <v>0</v>
      </c>
      <c r="E61" s="244"/>
      <c r="F61" s="567"/>
      <c r="G61" s="579"/>
      <c r="H61" s="207"/>
      <c r="I61" s="208"/>
      <c r="J61" s="208"/>
      <c r="K61" s="210"/>
      <c r="L61" s="209"/>
      <c r="M61" s="312"/>
      <c r="O61" s="355">
        <f t="shared" ref="O61:P65" si="46">AK53</f>
        <v>0</v>
      </c>
      <c r="P61" s="359">
        <f t="shared" si="46"/>
        <v>0</v>
      </c>
      <c r="Q61" s="261">
        <f t="shared" ref="Q61:R65" si="47">IF(ABS($L$13-$K$13)&gt;3,IF(ISERROR(VLOOKUP(B61,$AY$58:$BB$80,3,FALSE)),0,(VLOOKUP(B61,$AY$58:$BB$80,3,FALSE)*$AV$78)),IF(ISERROR(VLOOKUP(B61,$AY$58:$BB$80,4,FALSE)),0,(VLOOKUP(B61,$AY$58:$BB$80,4,FALSE)*$AV$78)))</f>
        <v>0</v>
      </c>
      <c r="R61" s="262">
        <f t="shared" si="47"/>
        <v>0</v>
      </c>
      <c r="S61" s="667">
        <f t="shared" ref="S61:T65" si="48">IF($L$19="Não",IF(ISERROR(VLOOKUP(B61,$AM$15:$AR$255,5,FALSE)),0,(VLOOKUP(B61,$AM$15:$AR$255,5,FALSE)*$AV$78)),0)</f>
        <v>0</v>
      </c>
      <c r="T61" s="158">
        <f t="shared" si="48"/>
        <v>0</v>
      </c>
      <c r="U61" s="612"/>
      <c r="V61" s="613" t="str">
        <f>IF($I$23&lt;&gt;"",ABS($L$26*(F63/(2*$I$23))),IF('2º MR-MI'!$I$23&lt;&gt;0,ABS('2º MR-MI'!$L$26*(F63/(2*'2º MR-MI'!$I$23))),IF('Registo Calibração'!$I$23&lt;&gt;0,ABS('Registo Calibração'!$L$26*(F63/(2*'Registo Calibração'!$I$23))),"")))</f>
        <v/>
      </c>
      <c r="W61" s="614">
        <f>IF(V61="",0,(V61)^2/3)</f>
        <v>0</v>
      </c>
      <c r="X61" s="614">
        <f>SQRT(W61)</f>
        <v>0</v>
      </c>
      <c r="Y61" s="614">
        <v>1</v>
      </c>
      <c r="Z61" s="614">
        <v>50</v>
      </c>
      <c r="AA61" s="615">
        <f>IF(V61="",0,(X61*Y61)^2)</f>
        <v>0</v>
      </c>
      <c r="AB61" s="79"/>
      <c r="AC61" s="17"/>
      <c r="AD61" s="22"/>
      <c r="AE61" s="23"/>
      <c r="AF61" s="80"/>
      <c r="AG61" s="6">
        <f>IF(I69&gt;0,$C$14,-$C$14)</f>
        <v>0</v>
      </c>
      <c r="AH61" s="19"/>
      <c r="AI61" s="55">
        <f t="shared" si="44"/>
        <v>0</v>
      </c>
      <c r="AJ61" s="61">
        <f t="shared" si="44"/>
        <v>0</v>
      </c>
      <c r="AK61" s="272">
        <f t="shared" si="45"/>
        <v>0</v>
      </c>
      <c r="AL61" s="56">
        <f t="shared" si="45"/>
        <v>0</v>
      </c>
      <c r="AM61" s="543" t="s">
        <v>523</v>
      </c>
      <c r="AN61" s="532" t="s">
        <v>380</v>
      </c>
      <c r="AO61" s="539" t="str">
        <f>IF(AP61=0,"NÃO","SIM")</f>
        <v>NÃO</v>
      </c>
      <c r="AP61" s="540">
        <f>IF(ISERROR(AP62),AP62,AP62)</f>
        <v>0</v>
      </c>
      <c r="AQ61" s="540"/>
      <c r="AR61" s="442"/>
      <c r="AS61" s="17"/>
      <c r="AT61" s="341">
        <v>1</v>
      </c>
      <c r="AU61" s="162" t="s">
        <v>22</v>
      </c>
      <c r="AV61" s="342">
        <v>1E-3</v>
      </c>
      <c r="AW61" s="436"/>
      <c r="AX61" s="17"/>
      <c r="AY61" s="65" t="s">
        <v>47</v>
      </c>
      <c r="AZ61" s="247">
        <v>0.02</v>
      </c>
      <c r="BA61" s="251">
        <f>0.05/1000</f>
        <v>5.0000000000000002E-5</v>
      </c>
      <c r="BB61" s="352">
        <f>0.03/1000</f>
        <v>2.9999999999999997E-5</v>
      </c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17"/>
    </row>
    <row r="62" spans="1:72" s="21" customFormat="1" ht="15" customHeight="1" thickBot="1">
      <c r="A62" s="883"/>
      <c r="B62" s="597"/>
      <c r="C62" s="660"/>
      <c r="D62" s="587"/>
      <c r="E62" s="244"/>
      <c r="F62" s="567"/>
      <c r="G62" s="580">
        <f>G61</f>
        <v>0</v>
      </c>
      <c r="H62" s="207"/>
      <c r="I62" s="208"/>
      <c r="J62" s="208"/>
      <c r="K62" s="210"/>
      <c r="L62" s="209"/>
      <c r="M62" s="312"/>
      <c r="O62" s="355">
        <f t="shared" si="46"/>
        <v>0</v>
      </c>
      <c r="P62" s="359">
        <f t="shared" si="46"/>
        <v>0</v>
      </c>
      <c r="Q62" s="261">
        <f t="shared" si="47"/>
        <v>0</v>
      </c>
      <c r="R62" s="262">
        <f t="shared" si="47"/>
        <v>0</v>
      </c>
      <c r="S62" s="668">
        <f t="shared" si="48"/>
        <v>0</v>
      </c>
      <c r="T62" s="159">
        <f t="shared" si="48"/>
        <v>0</v>
      </c>
      <c r="U62" s="297"/>
      <c r="V62" s="329">
        <f>IF(G62&lt;&gt;"",STDEV(G61:G65),$M$28)</f>
        <v>0</v>
      </c>
      <c r="W62" s="330">
        <f>IF(G62="",V62^2,V62^2/(Z62+1))</f>
        <v>0</v>
      </c>
      <c r="X62" s="330">
        <f>SQRT(W62)</f>
        <v>0</v>
      </c>
      <c r="Y62" s="330">
        <v>1</v>
      </c>
      <c r="Z62" s="330">
        <f>IF(G62="",2,COUNT(G61:G65)-1)</f>
        <v>3</v>
      </c>
      <c r="AA62" s="331">
        <f>(Y62*X62)^2</f>
        <v>0</v>
      </c>
      <c r="AB62" s="79"/>
      <c r="AC62" s="17"/>
      <c r="AD62" s="22"/>
      <c r="AE62" s="23"/>
      <c r="AF62" s="80"/>
      <c r="AG62" s="6"/>
      <c r="AH62" s="27"/>
      <c r="AI62" s="57">
        <f t="shared" si="44"/>
        <v>0</v>
      </c>
      <c r="AJ62" s="62">
        <f t="shared" si="44"/>
        <v>0</v>
      </c>
      <c r="AK62" s="273">
        <f t="shared" si="45"/>
        <v>0</v>
      </c>
      <c r="AL62" s="58">
        <f t="shared" si="45"/>
        <v>0</v>
      </c>
      <c r="AM62" s="499" t="s">
        <v>195</v>
      </c>
      <c r="AN62" s="512">
        <v>9999.9950000000008</v>
      </c>
      <c r="AO62" s="745">
        <f>0.05</f>
        <v>0.05</v>
      </c>
      <c r="AP62" s="538">
        <f>IF(ISERROR(MATCH(AM62,$B$32:$B$77,0)),0,(MATCH(AM62,$B$32:$B$77,0)))+IF(ISERROR(MATCH(AM62,$C$32:$C$77,0)),0,(MATCH(AM62,$C$32:$C$77,0)))</f>
        <v>0</v>
      </c>
      <c r="AQ62" s="747"/>
      <c r="AR62" s="362">
        <f t="shared" si="43"/>
        <v>5.4155455249986903E-3</v>
      </c>
      <c r="AS62" s="17"/>
      <c r="AT62" s="341">
        <v>2</v>
      </c>
      <c r="AU62" s="162" t="s">
        <v>24</v>
      </c>
      <c r="AV62" s="342">
        <v>1</v>
      </c>
      <c r="AW62" s="436"/>
      <c r="AY62" s="65" t="s">
        <v>184</v>
      </c>
      <c r="AZ62" s="248">
        <v>0.02</v>
      </c>
      <c r="BA62" s="252">
        <f>0.05/1000</f>
        <v>5.0000000000000002E-5</v>
      </c>
      <c r="BB62" s="352">
        <f>0.03/1000</f>
        <v>2.9999999999999997E-5</v>
      </c>
    </row>
    <row r="63" spans="1:72" s="21" customFormat="1" ht="15" customHeight="1" thickBot="1">
      <c r="A63" s="883"/>
      <c r="B63" s="597"/>
      <c r="C63" s="660"/>
      <c r="D63" s="592" t="str">
        <f>FIXED(MROUND(D61,IF($E$14&lt;&gt;0,$E$14/10,$C$14/10)),$AI$15+1,TRUE)</f>
        <v>0,0</v>
      </c>
      <c r="E63" s="599"/>
      <c r="F63" s="600" t="str">
        <f>FIXED(MROUND(D63,$C$14/10),$AI$15+1,TRUE)</f>
        <v>0,0</v>
      </c>
      <c r="G63" s="580">
        <f>G62</f>
        <v>0</v>
      </c>
      <c r="H63" s="223" t="str">
        <f>IF(OR(D61&lt;&gt;0,E63&lt;&gt;0),AVERAGE(G61:G65),"-------")</f>
        <v>-------</v>
      </c>
      <c r="I63" s="224" t="str">
        <f>IF(OR(D61&lt;&gt;0,E63&lt;&gt;0),(H65-F63),"-------")</f>
        <v>-------</v>
      </c>
      <c r="J63" s="224" t="str">
        <f>IF(OR(B61&lt;&gt;"",E63&lt;&gt;""),ROUNDDOWN(AD64,0),"-------")</f>
        <v>-------</v>
      </c>
      <c r="K63" s="225" t="e">
        <f>IF(G61="===","------",AE64)</f>
        <v>#DIV/0!</v>
      </c>
      <c r="L63" s="225" t="str">
        <f>IF(OR(B61&lt;&gt;"",E63&lt;&gt;""),AF64,"-------")</f>
        <v>-------</v>
      </c>
      <c r="M63" s="313" t="str">
        <f>IF($H$11&lt;&gt;"",FIXED(ROUND((D61*($H$11-$H$10)/$H$10),$AI$15),$AI$15),"")</f>
        <v/>
      </c>
      <c r="O63" s="355">
        <f t="shared" si="46"/>
        <v>0</v>
      </c>
      <c r="P63" s="359">
        <f t="shared" si="46"/>
        <v>0</v>
      </c>
      <c r="Q63" s="261">
        <f t="shared" si="47"/>
        <v>0</v>
      </c>
      <c r="R63" s="262">
        <f t="shared" si="47"/>
        <v>0</v>
      </c>
      <c r="S63" s="668">
        <f t="shared" si="48"/>
        <v>0</v>
      </c>
      <c r="T63" s="159">
        <f t="shared" si="48"/>
        <v>0</v>
      </c>
      <c r="U63" s="297"/>
      <c r="V63" s="366" t="str">
        <f>IF($H$11="","",IF($L$9="SIM",IF(L$11&lt;&gt;K$11,ABS(L$11-K$11)*($D61/J$11),0),ABS($M63)))</f>
        <v/>
      </c>
      <c r="W63" s="363">
        <f>IF(V63="",0,V63^2/3)</f>
        <v>0</v>
      </c>
      <c r="X63" s="363">
        <f>SQRT(W63)</f>
        <v>0</v>
      </c>
      <c r="Y63" s="364">
        <v>1</v>
      </c>
      <c r="Z63" s="365">
        <v>50</v>
      </c>
      <c r="AA63" s="367">
        <f>IF(V63="",0,(X63*Y63)^2)</f>
        <v>0</v>
      </c>
      <c r="AB63" s="79"/>
      <c r="AC63" s="17"/>
      <c r="AD63" s="22"/>
      <c r="AE63" s="23"/>
      <c r="AF63" s="80"/>
      <c r="AG63" s="6"/>
      <c r="AH63" s="19" t="s">
        <v>28</v>
      </c>
      <c r="AI63" s="53">
        <f t="shared" ref="AI63:AJ67" si="49">IF(ISERROR(VLOOKUP(B73,$AM$7:$AO$255,2,FALSE)),0,(VLOOKUP(B73,$AM$7:$AO$255,2,FALSE)*$AV$78))</f>
        <v>0</v>
      </c>
      <c r="AJ63" s="60">
        <f t="shared" si="49"/>
        <v>0</v>
      </c>
      <c r="AK63" s="271">
        <f t="shared" ref="AK63:AL67" si="50">IF(ISERROR(VLOOKUP(B73,$AM$7:$AO$255,3,FALSE)),0,(VLOOKUP(B73,$AM$7:$AO$255,3,FALSE)*$AV$78))</f>
        <v>0</v>
      </c>
      <c r="AL63" s="54">
        <f t="shared" si="50"/>
        <v>0</v>
      </c>
      <c r="AM63" s="501" t="s">
        <v>196</v>
      </c>
      <c r="AN63" s="512">
        <v>20000.008000000002</v>
      </c>
      <c r="AO63" s="745">
        <f>0.1</f>
        <v>0.1</v>
      </c>
      <c r="AP63" s="511">
        <f>IF(ISERROR(MATCH(AM63,$B$32:$B$77,0)),0,(MATCH(AM63,$B$32:$B$77,0)))+IF(ISERROR(MATCH(AM63,$C$32:$C$77,0)),0,(MATCH(AM63,$C$32:$C$77,0)))</f>
        <v>0</v>
      </c>
      <c r="AQ63" s="534"/>
      <c r="AR63" s="362">
        <f t="shared" si="43"/>
        <v>5.4155455249986903E-3</v>
      </c>
      <c r="AT63" s="343">
        <v>3</v>
      </c>
      <c r="AU63" s="162" t="s">
        <v>0</v>
      </c>
      <c r="AV63" s="342">
        <v>1000</v>
      </c>
      <c r="AW63" s="436"/>
      <c r="AX63" s="17"/>
      <c r="AY63" s="65" t="s">
        <v>185</v>
      </c>
      <c r="AZ63" s="247">
        <v>0.02</v>
      </c>
      <c r="BA63" s="251">
        <f>0.05/1000</f>
        <v>5.0000000000000002E-5</v>
      </c>
      <c r="BB63" s="352">
        <f>0.03/1000</f>
        <v>2.9999999999999997E-5</v>
      </c>
      <c r="BC63" s="17"/>
      <c r="BD63" s="17"/>
      <c r="BE63" s="17"/>
      <c r="BF63" s="17"/>
      <c r="BG63" s="17"/>
      <c r="BH63" s="17"/>
      <c r="BI63" s="17"/>
      <c r="BJ63" s="17"/>
      <c r="BK63" s="17"/>
      <c r="BL63" s="17"/>
      <c r="BM63" s="17"/>
      <c r="BN63" s="17"/>
      <c r="BO63" s="17"/>
      <c r="BP63" s="17"/>
      <c r="BQ63" s="17"/>
      <c r="BR63" s="17"/>
      <c r="BS63" s="17"/>
      <c r="BT63" s="17"/>
    </row>
    <row r="64" spans="1:72" s="21" customFormat="1" ht="15" customHeight="1">
      <c r="A64" s="883"/>
      <c r="B64" s="597"/>
      <c r="C64" s="660"/>
      <c r="D64" s="587"/>
      <c r="E64" s="244"/>
      <c r="F64" s="567"/>
      <c r="G64" s="580">
        <f>G63</f>
        <v>0</v>
      </c>
      <c r="H64" s="207"/>
      <c r="I64" s="315"/>
      <c r="J64" s="208"/>
      <c r="K64" s="210"/>
      <c r="L64" s="209"/>
      <c r="M64" s="312"/>
      <c r="O64" s="355">
        <f t="shared" si="46"/>
        <v>0</v>
      </c>
      <c r="P64" s="359">
        <f t="shared" si="46"/>
        <v>0</v>
      </c>
      <c r="Q64" s="261">
        <f t="shared" si="47"/>
        <v>0</v>
      </c>
      <c r="R64" s="262">
        <f t="shared" si="47"/>
        <v>0</v>
      </c>
      <c r="S64" s="668">
        <f t="shared" si="48"/>
        <v>0</v>
      </c>
      <c r="T64" s="159">
        <f t="shared" si="48"/>
        <v>0</v>
      </c>
      <c r="U64" s="297"/>
      <c r="V64" s="606">
        <f>(SUM(O61:O65,P61:P65))</f>
        <v>0</v>
      </c>
      <c r="W64" s="370">
        <f>V64^2/3</f>
        <v>0</v>
      </c>
      <c r="X64" s="370">
        <f>SQRT(W64)</f>
        <v>0</v>
      </c>
      <c r="Y64" s="370">
        <v>1</v>
      </c>
      <c r="Z64" s="370">
        <v>50</v>
      </c>
      <c r="AA64" s="371">
        <f>IF(V64="","",(X64*Y64)^2)</f>
        <v>0</v>
      </c>
      <c r="AB64" s="386">
        <f>SUM($AA$29:$AA$30,AA61:AA66,AA86,AA97)</f>
        <v>0</v>
      </c>
      <c r="AC64" s="17">
        <f>SQRT(AB64)</f>
        <v>0</v>
      </c>
      <c r="AD64" s="283" t="e">
        <f>(AC64^4)/(((($X$29*$Y$29)^4)/$Z$29)+((($X$30*$Y$30)^4)/$Z$30)+((($X$61*$Y$61)^4)/$Z$61)+(((X61*Y61)^4)/Z61)+(((X63*Y63)^4)/Z63)+(((X64*Y64)^4)/Z64)+(((X65*Y65)^4)/Z65)+(((X66*Y66)^4)/Z66)+(((X86*Y86)^4)/Z86)+(((X97*Y97)^4)/Z97))</f>
        <v>#DIV/0!</v>
      </c>
      <c r="AE64" s="23" t="e">
        <f>TINV(0.0455,AD64)</f>
        <v>#DIV/0!</v>
      </c>
      <c r="AF64" s="390" t="e">
        <f>CEILING((AE64*AC64),$C$14/100)</f>
        <v>#DIV/0!</v>
      </c>
      <c r="AG64" s="6"/>
      <c r="AH64" s="19"/>
      <c r="AI64" s="55">
        <f t="shared" si="49"/>
        <v>0</v>
      </c>
      <c r="AJ64" s="61">
        <f t="shared" si="49"/>
        <v>0</v>
      </c>
      <c r="AK64" s="272">
        <f t="shared" si="50"/>
        <v>0</v>
      </c>
      <c r="AL64" s="56">
        <f t="shared" si="50"/>
        <v>0</v>
      </c>
      <c r="AM64" s="541" t="s">
        <v>563</v>
      </c>
      <c r="AN64" s="542" t="s">
        <v>381</v>
      </c>
      <c r="AO64" s="530" t="str">
        <f>IF(AP64=0,"NÃO","SIM")</f>
        <v>NÃO</v>
      </c>
      <c r="AP64" s="531">
        <f>IF(ISERROR(SUM(AP65:AP119)),SUM(AP65:AP119),SUM(AP65:AP119))</f>
        <v>0</v>
      </c>
      <c r="AQ64" s="746"/>
      <c r="AR64" s="93"/>
      <c r="AS64" s="17"/>
      <c r="AT64" s="341">
        <v>4</v>
      </c>
      <c r="AU64" s="162" t="s">
        <v>27</v>
      </c>
      <c r="AV64" s="342">
        <f>AV66*1000</f>
        <v>9.8066499999999994</v>
      </c>
      <c r="AW64" s="436"/>
      <c r="AX64" s="17"/>
      <c r="AY64" s="65">
        <v>50</v>
      </c>
      <c r="AZ64" s="247">
        <v>0.05</v>
      </c>
      <c r="BA64" s="251">
        <f>0.09/1000</f>
        <v>8.9999999999999992E-5</v>
      </c>
      <c r="BB64" s="352">
        <f>0.06/1000</f>
        <v>5.9999999999999995E-5</v>
      </c>
      <c r="BC64" s="17"/>
      <c r="BD64" s="17"/>
      <c r="BE64" s="17"/>
      <c r="BF64" s="17"/>
      <c r="BG64" s="17"/>
      <c r="BH64" s="17"/>
      <c r="BI64" s="17"/>
      <c r="BJ64" s="17"/>
      <c r="BK64" s="17"/>
      <c r="BL64" s="17"/>
      <c r="BM64" s="17"/>
      <c r="BN64" s="17"/>
      <c r="BO64" s="17"/>
      <c r="BP64" s="17"/>
      <c r="BQ64" s="17"/>
      <c r="BR64" s="17"/>
      <c r="BS64" s="17"/>
      <c r="BT64" s="17"/>
    </row>
    <row r="65" spans="1:75" s="21" customFormat="1" ht="15" customHeight="1" thickBot="1">
      <c r="A65" s="883"/>
      <c r="B65" s="661"/>
      <c r="C65" s="662"/>
      <c r="D65" s="582"/>
      <c r="E65" s="244"/>
      <c r="F65" s="567"/>
      <c r="G65" s="623">
        <f>G64</f>
        <v>0</v>
      </c>
      <c r="H65" s="306" t="str">
        <f>IF(H63&lt;&gt;"-------",FIXED(IF($E$14&lt;&gt;0,MROUND(H63,$E$14),MROUND(H63,$C$14)),LEN(L65)-2,TRUE),"------")</f>
        <v>------</v>
      </c>
      <c r="I65" s="220" t="str">
        <f>IF(I63&lt;&gt;"-------",FIXED(ROUND(I63,$AI$15),LEN(L65)-2,TRUE),"------")</f>
        <v>------</v>
      </c>
      <c r="J65" s="620" t="str">
        <f>IF(G61="===","------",IF(J63&gt;500,"&gt; 500",J63))</f>
        <v>&gt; 500</v>
      </c>
      <c r="K65" s="624" t="e">
        <f>K63</f>
        <v>#DIV/0!</v>
      </c>
      <c r="L65" s="621" t="str">
        <f>IF(L63&lt;&gt;"-------",BF15,"------")</f>
        <v>------</v>
      </c>
      <c r="M65" s="312"/>
      <c r="O65" s="355">
        <f t="shared" si="46"/>
        <v>0</v>
      </c>
      <c r="P65" s="359">
        <f t="shared" si="46"/>
        <v>0</v>
      </c>
      <c r="Q65" s="261">
        <f t="shared" si="47"/>
        <v>0</v>
      </c>
      <c r="R65" s="262">
        <f t="shared" si="47"/>
        <v>0</v>
      </c>
      <c r="S65" s="668">
        <f t="shared" si="48"/>
        <v>0</v>
      </c>
      <c r="T65" s="159">
        <f t="shared" si="48"/>
        <v>0</v>
      </c>
      <c r="U65" s="297"/>
      <c r="V65" s="333">
        <f>IF($L$19="sim",SUM(O61:P65)/4,SUM(S61:T65))</f>
        <v>0</v>
      </c>
      <c r="W65" s="334">
        <f>IF(V65="","",V65^2/3)</f>
        <v>0</v>
      </c>
      <c r="X65" s="334">
        <f>IF($L$19="Sim",SQRT(W65),SUM(S61:T65))</f>
        <v>0</v>
      </c>
      <c r="Y65" s="334">
        <v>1</v>
      </c>
      <c r="Z65" s="334">
        <v>50</v>
      </c>
      <c r="AA65" s="335">
        <f>(X65*Y65)^2</f>
        <v>0</v>
      </c>
      <c r="AB65" s="79"/>
      <c r="AC65" s="17"/>
      <c r="AD65" s="22"/>
      <c r="AE65" s="23"/>
      <c r="AF65" s="80"/>
      <c r="AG65" s="6"/>
      <c r="AI65" s="55">
        <f t="shared" si="49"/>
        <v>0</v>
      </c>
      <c r="AJ65" s="61">
        <f t="shared" si="49"/>
        <v>0</v>
      </c>
      <c r="AK65" s="272">
        <f t="shared" si="50"/>
        <v>0</v>
      </c>
      <c r="AL65" s="56">
        <f t="shared" si="50"/>
        <v>0</v>
      </c>
      <c r="AM65" s="505" t="s">
        <v>14</v>
      </c>
      <c r="AN65" s="506">
        <v>20000</v>
      </c>
      <c r="AO65" s="490">
        <f>1*1</f>
        <v>1</v>
      </c>
      <c r="AP65" s="507">
        <f t="shared" ref="AP65:AP119" si="51">IF(ISERROR(MATCH(AM65,$B$32:$B$77,0)),0,(MATCH(AM65,$B$32:$B$77,0)))+IF(ISERROR(MATCH(AM65,$C$32:$C$77,0)),0,(MATCH(AM65,$C$32:$C$77,0)))</f>
        <v>0</v>
      </c>
      <c r="AQ65" s="746"/>
      <c r="AR65" s="362">
        <f>SQRT((15.88/1000)^2/3)</f>
        <v>9.1683222747312582E-3</v>
      </c>
      <c r="AS65" s="17"/>
      <c r="AT65" s="341">
        <v>5</v>
      </c>
      <c r="AU65" s="162" t="s">
        <v>30</v>
      </c>
      <c r="AV65" s="342">
        <f>AV66*100</f>
        <v>0.98066500000000001</v>
      </c>
      <c r="AW65" s="436"/>
      <c r="AX65" s="17"/>
      <c r="AY65" s="65" t="s">
        <v>186</v>
      </c>
      <c r="AZ65" s="247">
        <v>0.05</v>
      </c>
      <c r="BA65" s="251">
        <f>0.09/1000</f>
        <v>8.9999999999999992E-5</v>
      </c>
      <c r="BB65" s="352">
        <f>0.06/1000</f>
        <v>5.9999999999999995E-5</v>
      </c>
      <c r="BC65" s="17"/>
      <c r="BD65" s="17"/>
      <c r="BE65" s="17"/>
      <c r="BF65" s="17"/>
      <c r="BG65" s="17"/>
      <c r="BH65" s="17"/>
      <c r="BI65" s="17"/>
      <c r="BJ65" s="17"/>
      <c r="BK65" s="17"/>
      <c r="BL65" s="17"/>
      <c r="BM65" s="17"/>
      <c r="BN65" s="17"/>
      <c r="BO65" s="17"/>
      <c r="BP65" s="17"/>
      <c r="BQ65" s="17"/>
      <c r="BR65" s="17"/>
      <c r="BS65" s="17"/>
      <c r="BT65" s="17"/>
    </row>
    <row r="66" spans="1:75" s="21" customFormat="1" ht="15" customHeight="1" thickBot="1">
      <c r="A66" s="884"/>
      <c r="B66" s="637"/>
      <c r="C66" s="626"/>
      <c r="D66" s="591"/>
      <c r="E66" s="627"/>
      <c r="F66" s="847"/>
      <c r="G66" s="628"/>
      <c r="H66" s="629"/>
      <c r="I66" s="630"/>
      <c r="J66" s="630"/>
      <c r="K66" s="631"/>
      <c r="L66" s="639"/>
      <c r="M66" s="633"/>
      <c r="O66" s="634"/>
      <c r="P66" s="635"/>
      <c r="Q66" s="634"/>
      <c r="R66" s="635"/>
      <c r="S66" s="636"/>
      <c r="T66" s="635"/>
      <c r="U66" s="640"/>
      <c r="V66" s="372">
        <f>SUM(Q61:R65)</f>
        <v>0</v>
      </c>
      <c r="W66" s="373">
        <f>IF(V66="","",V66^2/3)</f>
        <v>0</v>
      </c>
      <c r="X66" s="373">
        <f>SQRT(W66)</f>
        <v>0</v>
      </c>
      <c r="Y66" s="373">
        <v>1</v>
      </c>
      <c r="Z66" s="373">
        <v>50</v>
      </c>
      <c r="AA66" s="374">
        <f>IF(V66="","",(X66*Y66)^2)</f>
        <v>0</v>
      </c>
      <c r="AB66" s="322"/>
      <c r="AC66" s="24"/>
      <c r="AD66" s="25"/>
      <c r="AE66" s="26"/>
      <c r="AF66" s="323"/>
      <c r="AG66" s="6">
        <f>IF(I75&gt;0,$C$14,-$C$14)</f>
        <v>0</v>
      </c>
      <c r="AH66" s="19"/>
      <c r="AI66" s="55">
        <f t="shared" si="49"/>
        <v>0</v>
      </c>
      <c r="AJ66" s="61">
        <f t="shared" si="49"/>
        <v>0</v>
      </c>
      <c r="AK66" s="272">
        <f t="shared" si="50"/>
        <v>0</v>
      </c>
      <c r="AL66" s="56">
        <f t="shared" si="50"/>
        <v>0</v>
      </c>
      <c r="AM66" s="491" t="s">
        <v>23</v>
      </c>
      <c r="AN66" s="506">
        <v>40000</v>
      </c>
      <c r="AO66" s="490">
        <f>2*1</f>
        <v>2</v>
      </c>
      <c r="AP66" s="507">
        <f t="shared" si="51"/>
        <v>0</v>
      </c>
      <c r="AQ66" s="746"/>
      <c r="AR66" s="362">
        <f t="shared" ref="AR66:AR129" si="52">SQRT((15.88/1000)^2/3)</f>
        <v>9.1683222747312582E-3</v>
      </c>
      <c r="AS66" s="17"/>
      <c r="AT66" s="341">
        <v>6</v>
      </c>
      <c r="AU66" s="163" t="s">
        <v>32</v>
      </c>
      <c r="AV66" s="344">
        <f>AV61*AV60</f>
        <v>9.8066500000000001E-3</v>
      </c>
      <c r="AW66" s="437"/>
      <c r="AX66" s="17"/>
      <c r="AY66" s="65">
        <v>100</v>
      </c>
      <c r="AZ66" s="247">
        <v>0.1</v>
      </c>
      <c r="BA66" s="251">
        <f>0.17/1000</f>
        <v>1.7000000000000001E-4</v>
      </c>
      <c r="BB66" s="352">
        <f>0.11/1000</f>
        <v>1.1E-4</v>
      </c>
      <c r="BC66" s="17"/>
      <c r="BD66" s="17"/>
      <c r="BE66" s="17"/>
      <c r="BF66" s="17"/>
      <c r="BG66" s="17"/>
      <c r="BH66" s="17"/>
      <c r="BI66" s="17"/>
      <c r="BJ66" s="17"/>
      <c r="BK66" s="17"/>
      <c r="BL66" s="17"/>
      <c r="BM66" s="17"/>
      <c r="BN66" s="17"/>
      <c r="BO66" s="17"/>
      <c r="BP66" s="17"/>
      <c r="BQ66" s="17"/>
      <c r="BR66" s="17"/>
      <c r="BS66" s="17"/>
      <c r="BT66" s="17"/>
    </row>
    <row r="67" spans="1:75" s="21" customFormat="1" ht="15" customHeight="1" thickBot="1">
      <c r="A67" s="882">
        <v>7</v>
      </c>
      <c r="B67" s="596"/>
      <c r="C67" s="659"/>
      <c r="D67" s="588">
        <f>IF(E69="",SUM(AI58:AI62,AJ58:AJ62),SUM(AI58:AI62,AJ58:AJ62)-I63)</f>
        <v>0</v>
      </c>
      <c r="E67" s="244"/>
      <c r="F67" s="567"/>
      <c r="G67" s="579"/>
      <c r="H67" s="207"/>
      <c r="I67" s="208"/>
      <c r="J67" s="208"/>
      <c r="K67" s="210"/>
      <c r="L67" s="209"/>
      <c r="M67" s="312"/>
      <c r="O67" s="355">
        <f t="shared" ref="O67:P71" si="53">AK58</f>
        <v>0</v>
      </c>
      <c r="P67" s="359">
        <f t="shared" si="53"/>
        <v>0</v>
      </c>
      <c r="Q67" s="261">
        <f t="shared" ref="Q67:R71" si="54">IF(ABS($L$13-$K$13)&gt;3,IF(ISERROR(VLOOKUP(B67,$AY$58:$BB$80,3,FALSE)),0,(VLOOKUP(B67,$AY$58:$BB$80,3,FALSE)*$AV$78)),IF(ISERROR(VLOOKUP(B67,$AY$58:$BB$80,4,FALSE)),0,(VLOOKUP(B67,$AY$58:$BB$80,4,FALSE)*$AV$78)))</f>
        <v>0</v>
      </c>
      <c r="R67" s="262">
        <f t="shared" si="54"/>
        <v>0</v>
      </c>
      <c r="S67" s="667">
        <f t="shared" ref="S67:T71" si="55">IF($L$19="Não",IF(ISERROR(VLOOKUP(B67,$AM$15:$AR$255,5,FALSE)),0,(VLOOKUP(B67,$AM$15:$AR$255,5,FALSE)*$AV$78)),0)</f>
        <v>0</v>
      </c>
      <c r="T67" s="158">
        <f t="shared" si="55"/>
        <v>0</v>
      </c>
      <c r="U67" s="612"/>
      <c r="V67" s="613" t="str">
        <f>IF($I$23&lt;&gt;"",ABS($L$26*(F69/(2*$I$23))),IF('2º MR-MI'!$I$23&lt;&gt;0,ABS('2º MR-MI'!$L$26*(F69/(2*'2º MR-MI'!$I$23))),IF('Registo Calibração'!$I$23&lt;&gt;0,ABS('Registo Calibração'!$L$26*(F69/(2*'Registo Calibração'!$I$23))),"")))</f>
        <v/>
      </c>
      <c r="W67" s="614">
        <f>IF(V67="",0,(V67)^2/3)</f>
        <v>0</v>
      </c>
      <c r="X67" s="614">
        <f>SQRT(W67)</f>
        <v>0</v>
      </c>
      <c r="Y67" s="614">
        <v>1</v>
      </c>
      <c r="Z67" s="614">
        <v>50</v>
      </c>
      <c r="AA67" s="615">
        <f>IF(V67="",0,(X67*Y67)^2)</f>
        <v>0</v>
      </c>
      <c r="AB67" s="608"/>
      <c r="AC67" s="27"/>
      <c r="AD67" s="609"/>
      <c r="AE67" s="610"/>
      <c r="AF67" s="611"/>
      <c r="AG67" s="17"/>
      <c r="AH67" s="27"/>
      <c r="AI67" s="57">
        <f t="shared" si="49"/>
        <v>0</v>
      </c>
      <c r="AJ67" s="62">
        <f t="shared" si="49"/>
        <v>0</v>
      </c>
      <c r="AK67" s="273">
        <f t="shared" si="50"/>
        <v>0</v>
      </c>
      <c r="AL67" s="58">
        <f t="shared" si="50"/>
        <v>0</v>
      </c>
      <c r="AM67" s="491" t="s">
        <v>25</v>
      </c>
      <c r="AN67" s="506">
        <v>60000</v>
      </c>
      <c r="AO67" s="490">
        <f>3*1</f>
        <v>3</v>
      </c>
      <c r="AP67" s="507">
        <f t="shared" si="51"/>
        <v>0</v>
      </c>
      <c r="AQ67" s="746"/>
      <c r="AR67" s="362">
        <f t="shared" si="52"/>
        <v>9.1683222747312582E-3</v>
      </c>
      <c r="AS67" s="17"/>
      <c r="AT67" s="341">
        <v>7</v>
      </c>
      <c r="AU67" s="162" t="s">
        <v>34</v>
      </c>
      <c r="AV67" s="342">
        <f>AV66/10</f>
        <v>9.8066499999999992E-4</v>
      </c>
      <c r="AW67" s="436"/>
      <c r="AY67" s="65" t="s">
        <v>187</v>
      </c>
      <c r="AZ67" s="247">
        <v>0.1</v>
      </c>
      <c r="BA67" s="251">
        <f>0.17/1000</f>
        <v>1.7000000000000001E-4</v>
      </c>
      <c r="BB67" s="352">
        <f>0.11/1000</f>
        <v>1.1E-4</v>
      </c>
    </row>
    <row r="68" spans="1:75" s="21" customFormat="1" ht="15" customHeight="1" thickBot="1">
      <c r="A68" s="883"/>
      <c r="B68" s="597"/>
      <c r="C68" s="660"/>
      <c r="D68" s="587"/>
      <c r="E68" s="244"/>
      <c r="F68" s="567"/>
      <c r="G68" s="580">
        <f>G67</f>
        <v>0</v>
      </c>
      <c r="H68" s="207"/>
      <c r="I68" s="208"/>
      <c r="J68" s="208"/>
      <c r="K68" s="210"/>
      <c r="L68" s="209"/>
      <c r="M68" s="312"/>
      <c r="O68" s="355">
        <f t="shared" si="53"/>
        <v>0</v>
      </c>
      <c r="P68" s="359">
        <f t="shared" si="53"/>
        <v>0</v>
      </c>
      <c r="Q68" s="261">
        <f t="shared" si="54"/>
        <v>0</v>
      </c>
      <c r="R68" s="262">
        <f t="shared" si="54"/>
        <v>0</v>
      </c>
      <c r="S68" s="668">
        <f t="shared" si="55"/>
        <v>0</v>
      </c>
      <c r="T68" s="159">
        <f t="shared" si="55"/>
        <v>0</v>
      </c>
      <c r="U68" s="297"/>
      <c r="V68" s="329">
        <f>IF(G68&lt;&gt;"",STDEV(G67:G71),$M$28)</f>
        <v>0</v>
      </c>
      <c r="W68" s="330">
        <f>IF(G68="",V68^2,V68^2/(Z68+1))</f>
        <v>0</v>
      </c>
      <c r="X68" s="330">
        <f>SQRT(W68)</f>
        <v>0</v>
      </c>
      <c r="Y68" s="330">
        <v>1</v>
      </c>
      <c r="Z68" s="330">
        <f>IF(G68="",2,COUNT(G67:G71)-1)</f>
        <v>3</v>
      </c>
      <c r="AA68" s="331">
        <f>(Y68*X68)^2</f>
        <v>0</v>
      </c>
      <c r="AB68" s="79"/>
      <c r="AC68" s="17"/>
      <c r="AD68" s="22"/>
      <c r="AE68" s="23"/>
      <c r="AF68" s="80"/>
      <c r="AG68" s="27"/>
      <c r="AH68" s="29"/>
      <c r="AI68" s="265"/>
      <c r="AJ68" s="265"/>
      <c r="AK68" s="266"/>
      <c r="AL68" s="267"/>
      <c r="AM68" s="507" t="s">
        <v>26</v>
      </c>
      <c r="AN68" s="506">
        <v>80000</v>
      </c>
      <c r="AO68" s="490">
        <f>4*1</f>
        <v>4</v>
      </c>
      <c r="AP68" s="507">
        <f t="shared" si="51"/>
        <v>0</v>
      </c>
      <c r="AQ68" s="746"/>
      <c r="AR68" s="362">
        <f t="shared" si="52"/>
        <v>9.1683222747312582E-3</v>
      </c>
      <c r="AT68" s="343">
        <v>8</v>
      </c>
      <c r="AU68" s="162" t="s">
        <v>35</v>
      </c>
      <c r="AV68" s="342">
        <f>AV66/1000</f>
        <v>9.8066500000000004E-6</v>
      </c>
      <c r="AW68" s="436"/>
      <c r="AX68" s="29"/>
      <c r="AY68" s="65">
        <v>200</v>
      </c>
      <c r="AZ68" s="247">
        <v>0.2</v>
      </c>
      <c r="BA68" s="251">
        <f>0.29/1000</f>
        <v>2.9E-4</v>
      </c>
      <c r="BB68" s="352">
        <f>0.19/1000</f>
        <v>1.9000000000000001E-4</v>
      </c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32"/>
      <c r="BO68" s="32"/>
      <c r="BP68" s="32"/>
      <c r="BQ68"/>
      <c r="BR68"/>
      <c r="BS68"/>
      <c r="BT68"/>
      <c r="BU68"/>
      <c r="BV68"/>
      <c r="BW68"/>
    </row>
    <row r="69" spans="1:75" ht="15" customHeight="1" thickBot="1">
      <c r="A69" s="883"/>
      <c r="B69" s="597"/>
      <c r="C69" s="660"/>
      <c r="D69" s="592" t="str">
        <f>FIXED(MROUND(D67,IF($E$14&lt;&gt;0,$E$14/10,$C$14/10)),$AI$15+1,TRUE)</f>
        <v>0,0</v>
      </c>
      <c r="E69" s="599"/>
      <c r="F69" s="600" t="str">
        <f>FIXED(MROUND(D69,$C$14/10),$AI$15+1,TRUE)</f>
        <v>0,0</v>
      </c>
      <c r="G69" s="580">
        <f>G68</f>
        <v>0</v>
      </c>
      <c r="H69" s="223" t="str">
        <f>IF(OR(D67&lt;&gt;0,E69&lt;&gt;0),AVERAGE(G67:G71),"-------")</f>
        <v>-------</v>
      </c>
      <c r="I69" s="224" t="str">
        <f>IF(OR(D67&lt;&gt;0,E69&lt;&gt;0),(H71-F69),"-------")</f>
        <v>-------</v>
      </c>
      <c r="J69" s="224" t="str">
        <f>IF(OR(B67&lt;&gt;"",E69&lt;&gt;""),ROUNDDOWN(AD70,0),"-------")</f>
        <v>-------</v>
      </c>
      <c r="K69" s="225" t="e">
        <f>IF(G67="===","------",AE70)</f>
        <v>#DIV/0!</v>
      </c>
      <c r="L69" s="225" t="str">
        <f>IF(OR(B67&lt;&gt;"",E69&lt;&gt;""),AF70,"-------")</f>
        <v>-------</v>
      </c>
      <c r="M69" s="313" t="str">
        <f>IF($H$11&lt;&gt;"",FIXED(ROUND((D67*($H$11-$H$10)/$H$10),$AI$15),$AI$15),"")</f>
        <v/>
      </c>
      <c r="N69" s="21"/>
      <c r="O69" s="355">
        <f t="shared" si="53"/>
        <v>0</v>
      </c>
      <c r="P69" s="359">
        <f t="shared" si="53"/>
        <v>0</v>
      </c>
      <c r="Q69" s="261">
        <f t="shared" si="54"/>
        <v>0</v>
      </c>
      <c r="R69" s="262">
        <f t="shared" si="54"/>
        <v>0</v>
      </c>
      <c r="S69" s="668">
        <f t="shared" si="55"/>
        <v>0</v>
      </c>
      <c r="T69" s="159">
        <f t="shared" si="55"/>
        <v>0</v>
      </c>
      <c r="U69" s="297"/>
      <c r="V69" s="366" t="str">
        <f>IF($H$11="","",IF($L$9="SIM",IF(L$11&lt;&gt;K$11,ABS(L$11-K$11)*($D67/J$11),0),ABS($M69)))</f>
        <v/>
      </c>
      <c r="W69" s="363">
        <f>IF(V69="",0,V69^2/3)</f>
        <v>0</v>
      </c>
      <c r="X69" s="363">
        <f>SQRT(W69)</f>
        <v>0</v>
      </c>
      <c r="Y69" s="364">
        <v>1</v>
      </c>
      <c r="Z69" s="365">
        <v>50</v>
      </c>
      <c r="AA69" s="367">
        <f>IF(V69="",0,(X69*Y69)^2)</f>
        <v>0</v>
      </c>
      <c r="AB69" s="79"/>
      <c r="AC69" s="17"/>
      <c r="AD69" s="22"/>
      <c r="AE69" s="23"/>
      <c r="AF69" s="80"/>
      <c r="AH69" s="29"/>
      <c r="AI69" s="265"/>
      <c r="AJ69" s="265"/>
      <c r="AK69" s="266"/>
      <c r="AL69" s="268"/>
      <c r="AM69" s="508" t="s">
        <v>29</v>
      </c>
      <c r="AN69" s="506">
        <v>100000</v>
      </c>
      <c r="AO69" s="490">
        <f>5*1</f>
        <v>5</v>
      </c>
      <c r="AP69" s="507">
        <f t="shared" si="51"/>
        <v>0</v>
      </c>
      <c r="AQ69" s="746"/>
      <c r="AR69" s="362">
        <f t="shared" si="52"/>
        <v>9.1683222747312582E-3</v>
      </c>
      <c r="AT69" s="341">
        <v>9</v>
      </c>
      <c r="AU69" s="162" t="s">
        <v>37</v>
      </c>
      <c r="AV69" s="342">
        <f>AV61/0.45359235</f>
        <v>2.2046227190559982E-3</v>
      </c>
      <c r="AW69" s="436"/>
      <c r="AX69" s="29"/>
      <c r="AY69" s="65" t="s">
        <v>48</v>
      </c>
      <c r="AZ69" s="248">
        <v>0.2</v>
      </c>
      <c r="BA69" s="252">
        <f>0.29/1000</f>
        <v>2.9E-4</v>
      </c>
      <c r="BB69" s="352">
        <f>0.19/1000</f>
        <v>1.9000000000000001E-4</v>
      </c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32"/>
      <c r="BO69" s="32"/>
      <c r="BP69" s="32"/>
    </row>
    <row r="70" spans="1:75" ht="15" customHeight="1">
      <c r="A70" s="883"/>
      <c r="B70" s="597"/>
      <c r="C70" s="660"/>
      <c r="D70" s="587"/>
      <c r="E70" s="244"/>
      <c r="F70" s="567"/>
      <c r="G70" s="580">
        <f>G69</f>
        <v>0</v>
      </c>
      <c r="H70" s="207"/>
      <c r="I70" s="315"/>
      <c r="J70" s="208"/>
      <c r="K70" s="210"/>
      <c r="L70" s="209"/>
      <c r="M70" s="312"/>
      <c r="N70" s="21"/>
      <c r="O70" s="355">
        <f t="shared" si="53"/>
        <v>0</v>
      </c>
      <c r="P70" s="359">
        <f t="shared" si="53"/>
        <v>0</v>
      </c>
      <c r="Q70" s="261">
        <f t="shared" si="54"/>
        <v>0</v>
      </c>
      <c r="R70" s="262">
        <f t="shared" si="54"/>
        <v>0</v>
      </c>
      <c r="S70" s="668">
        <f t="shared" si="55"/>
        <v>0</v>
      </c>
      <c r="T70" s="159">
        <f t="shared" si="55"/>
        <v>0</v>
      </c>
      <c r="U70" s="297"/>
      <c r="V70" s="606">
        <f>(SUM(O67:O71,P67:P71))</f>
        <v>0</v>
      </c>
      <c r="W70" s="370">
        <f>V70^2/3</f>
        <v>0</v>
      </c>
      <c r="X70" s="370">
        <f>SQRT(W70)</f>
        <v>0</v>
      </c>
      <c r="Y70" s="370">
        <v>1</v>
      </c>
      <c r="Z70" s="370">
        <v>50</v>
      </c>
      <c r="AA70" s="371">
        <f>IF(V70="","",(X70*Y70)^2)</f>
        <v>0</v>
      </c>
      <c r="AB70" s="386">
        <f>SUM($AA$29:$AA$30,AA67:AA72,AA87,AA98)</f>
        <v>0</v>
      </c>
      <c r="AC70" s="17">
        <f>SQRT(AB70)</f>
        <v>0</v>
      </c>
      <c r="AD70" s="283" t="e">
        <f>(AC70^4)/(((($X$29*$Y$29)^4)/$Z$29)+((($X$30*$Y$30)^4)/$Z$30)+((($X$67*$Y$67)^4)/$Z$67)+(((X68*Y68)^4)/Z68)+(((X69*Y69)^4)/Z69)+(((X70*Y70)^4)/Z70)+(((X71*Y71)^4)/Z71)+(((X72*Y72)^4)/Z72)+(((X87*Y87)^4)/Z87)+(((X98*Y98)^4)/Z98))</f>
        <v>#DIV/0!</v>
      </c>
      <c r="AE70" s="23" t="e">
        <f>TINV(0.0455,AD70)</f>
        <v>#DIV/0!</v>
      </c>
      <c r="AF70" s="390" t="e">
        <f>CEILING((AE70*AC70),$C$14/100)</f>
        <v>#DIV/0!</v>
      </c>
      <c r="AH70" s="29"/>
      <c r="AI70" s="30"/>
      <c r="AJ70" s="30"/>
      <c r="AK70" s="31"/>
      <c r="AL70" s="441"/>
      <c r="AM70" s="508" t="s">
        <v>31</v>
      </c>
      <c r="AN70" s="506">
        <v>120000</v>
      </c>
      <c r="AO70" s="490">
        <f>6*1</f>
        <v>6</v>
      </c>
      <c r="AP70" s="507">
        <f t="shared" si="51"/>
        <v>0</v>
      </c>
      <c r="AQ70" s="746"/>
      <c r="AR70" s="362">
        <f t="shared" si="52"/>
        <v>9.1683222747312582E-3</v>
      </c>
      <c r="AT70" s="341">
        <v>10</v>
      </c>
      <c r="AU70" s="162" t="s">
        <v>39</v>
      </c>
      <c r="AV70" s="342">
        <f>AV69*16</f>
        <v>3.5273963504895971E-2</v>
      </c>
      <c r="AW70" s="436"/>
      <c r="AY70" s="65" t="s">
        <v>188</v>
      </c>
      <c r="AZ70" s="247">
        <v>0.2</v>
      </c>
      <c r="BA70" s="251">
        <f>0.29/1000</f>
        <v>2.9E-4</v>
      </c>
      <c r="BB70" s="352">
        <f>0.19/1000</f>
        <v>1.9000000000000001E-4</v>
      </c>
    </row>
    <row r="71" spans="1:75" ht="15" customHeight="1" thickBot="1">
      <c r="A71" s="883"/>
      <c r="B71" s="661"/>
      <c r="C71" s="662"/>
      <c r="D71" s="582"/>
      <c r="E71" s="244"/>
      <c r="F71" s="567"/>
      <c r="G71" s="623">
        <f>G70</f>
        <v>0</v>
      </c>
      <c r="H71" s="306" t="str">
        <f>IF(H69&lt;&gt;"-------",FIXED(IF($E$14&lt;&gt;0,MROUND(H69,$E$14),MROUND(H69,$C$14)),LEN(L71)-2,TRUE),"------")</f>
        <v>------</v>
      </c>
      <c r="I71" s="220" t="str">
        <f>IF(I69&lt;&gt;"-------",FIXED(ROUND(I69,$AI$15),LEN(L71)-2,TRUE),"------")</f>
        <v>------</v>
      </c>
      <c r="J71" s="620" t="str">
        <f>IF(G67="===","------",IF(J69&gt;500,"&gt; 500",J69))</f>
        <v>&gt; 500</v>
      </c>
      <c r="K71" s="624" t="e">
        <f>K69</f>
        <v>#DIV/0!</v>
      </c>
      <c r="L71" s="621" t="str">
        <f>IF(L69&lt;&gt;"-------",BF16,"-------")</f>
        <v>-------</v>
      </c>
      <c r="M71" s="312"/>
      <c r="N71" s="21"/>
      <c r="O71" s="355">
        <f t="shared" si="53"/>
        <v>0</v>
      </c>
      <c r="P71" s="359">
        <f t="shared" si="53"/>
        <v>0</v>
      </c>
      <c r="Q71" s="261">
        <f t="shared" si="54"/>
        <v>0</v>
      </c>
      <c r="R71" s="262">
        <f t="shared" si="54"/>
        <v>0</v>
      </c>
      <c r="S71" s="668">
        <f t="shared" si="55"/>
        <v>0</v>
      </c>
      <c r="T71" s="159">
        <f t="shared" si="55"/>
        <v>0</v>
      </c>
      <c r="U71" s="297"/>
      <c r="V71" s="333">
        <f>IF($L$19="sim",SUM(O67:P71)/4,SUM(S67:T71))</f>
        <v>0</v>
      </c>
      <c r="W71" s="334">
        <f>IF(V71="","",V71^2/3)</f>
        <v>0</v>
      </c>
      <c r="X71" s="334">
        <f>IF($L$19="Sim",SQRT(W71),SUM(S67:T71))</f>
        <v>0</v>
      </c>
      <c r="Y71" s="334">
        <v>1</v>
      </c>
      <c r="Z71" s="334">
        <v>50</v>
      </c>
      <c r="AA71" s="335">
        <f>(X71*Y71)^2</f>
        <v>0</v>
      </c>
      <c r="AB71" s="79"/>
      <c r="AC71" s="17"/>
      <c r="AD71" s="22"/>
      <c r="AE71" s="23"/>
      <c r="AF71" s="80"/>
      <c r="AG71" s="29"/>
      <c r="AH71" s="29"/>
      <c r="AI71" s="30"/>
      <c r="AJ71" s="30"/>
      <c r="AK71" s="31"/>
      <c r="AL71" s="441"/>
      <c r="AM71" s="507" t="s">
        <v>33</v>
      </c>
      <c r="AN71" s="506">
        <v>140000</v>
      </c>
      <c r="AO71" s="490">
        <f>7*1</f>
        <v>7</v>
      </c>
      <c r="AP71" s="507">
        <f t="shared" si="51"/>
        <v>0</v>
      </c>
      <c r="AQ71" s="746"/>
      <c r="AR71" s="362">
        <f t="shared" si="52"/>
        <v>9.1683222747312582E-3</v>
      </c>
      <c r="AT71" s="341">
        <v>11</v>
      </c>
      <c r="AU71" s="345"/>
      <c r="AV71" s="346"/>
      <c r="AW71" s="437"/>
      <c r="AY71" s="65" t="s">
        <v>189</v>
      </c>
      <c r="AZ71" s="247">
        <v>0.2</v>
      </c>
      <c r="BA71" s="251">
        <f>0.29/1000</f>
        <v>2.9E-4</v>
      </c>
      <c r="BB71" s="352">
        <f>0.19/1000</f>
        <v>1.9000000000000001E-4</v>
      </c>
    </row>
    <row r="72" spans="1:75" ht="15" customHeight="1" thickBot="1">
      <c r="A72" s="884"/>
      <c r="B72" s="637"/>
      <c r="C72" s="626"/>
      <c r="D72" s="591"/>
      <c r="E72" s="627"/>
      <c r="F72" s="847"/>
      <c r="G72" s="628"/>
      <c r="H72" s="629"/>
      <c r="I72" s="630"/>
      <c r="J72" s="630"/>
      <c r="K72" s="631"/>
      <c r="L72" s="639"/>
      <c r="M72" s="633"/>
      <c r="N72" s="21"/>
      <c r="O72" s="634"/>
      <c r="P72" s="635"/>
      <c r="Q72" s="634"/>
      <c r="R72" s="635"/>
      <c r="S72" s="636"/>
      <c r="T72" s="635"/>
      <c r="U72" s="640"/>
      <c r="V72" s="372">
        <f>SUM(Q67:R71)</f>
        <v>0</v>
      </c>
      <c r="W72" s="373">
        <f>IF(V72="","",V72^2/3)</f>
        <v>0</v>
      </c>
      <c r="X72" s="373">
        <f>SQRT(W72)</f>
        <v>0</v>
      </c>
      <c r="Y72" s="373">
        <v>1</v>
      </c>
      <c r="Z72" s="373">
        <v>50</v>
      </c>
      <c r="AA72" s="374">
        <f>IF(V72="","",(X72*Y72)^2)</f>
        <v>0</v>
      </c>
      <c r="AB72" s="322"/>
      <c r="AC72" s="24"/>
      <c r="AD72" s="25"/>
      <c r="AE72" s="26"/>
      <c r="AF72" s="323"/>
      <c r="AG72" s="29"/>
      <c r="AH72" s="29"/>
      <c r="AI72" s="30"/>
      <c r="AJ72" s="30"/>
      <c r="AK72" s="31"/>
      <c r="AL72" s="31"/>
      <c r="AM72" s="507" t="s">
        <v>15</v>
      </c>
      <c r="AN72" s="506">
        <v>160000</v>
      </c>
      <c r="AO72" s="490">
        <f>8*1</f>
        <v>8</v>
      </c>
      <c r="AP72" s="507">
        <f t="shared" si="51"/>
        <v>0</v>
      </c>
      <c r="AQ72" s="746"/>
      <c r="AR72" s="362">
        <f t="shared" si="52"/>
        <v>9.1683222747312582E-3</v>
      </c>
      <c r="AT72" s="341">
        <v>12</v>
      </c>
      <c r="AU72" s="345"/>
      <c r="AV72" s="346"/>
      <c r="AW72" s="437"/>
      <c r="AY72" s="65">
        <v>500</v>
      </c>
      <c r="AZ72" s="247">
        <v>0.5</v>
      </c>
      <c r="BA72" s="251">
        <f>0.61/1000</f>
        <v>6.0999999999999997E-4</v>
      </c>
      <c r="BB72" s="352">
        <f>0.4/1000</f>
        <v>4.0000000000000002E-4</v>
      </c>
    </row>
    <row r="73" spans="1:75" ht="15" customHeight="1">
      <c r="A73" s="882">
        <v>8</v>
      </c>
      <c r="B73" s="596"/>
      <c r="C73" s="659"/>
      <c r="D73" s="588">
        <f>IF(E75="",SUM(AI63:AI67,AJ63:AJ67),SUM(AI63:AI67,AJ63:AJ67)-I69)</f>
        <v>0</v>
      </c>
      <c r="E73" s="244"/>
      <c r="F73" s="567"/>
      <c r="G73" s="579"/>
      <c r="H73" s="207"/>
      <c r="I73" s="208"/>
      <c r="J73" s="208"/>
      <c r="K73" s="210"/>
      <c r="L73" s="209"/>
      <c r="M73" s="312"/>
      <c r="N73" s="21"/>
      <c r="O73" s="355">
        <f t="shared" ref="O73:P77" si="56">AK63</f>
        <v>0</v>
      </c>
      <c r="P73" s="359">
        <f t="shared" si="56"/>
        <v>0</v>
      </c>
      <c r="Q73" s="261">
        <f t="shared" ref="Q73:R77" si="57">IF(ABS($L$13-$K$13)&gt;3,IF(ISERROR(VLOOKUP(B73,$AY$58:$BB$80,3,FALSE)),0,(VLOOKUP(B73,$AY$58:$BB$80,3,FALSE)*$AV$78)),IF(ISERROR(VLOOKUP(B73,$AY$58:$BB$80,4,FALSE)),0,(VLOOKUP(B73,$AY$58:$BB$80,4,FALSE)*$AV$78)))</f>
        <v>0</v>
      </c>
      <c r="R73" s="262">
        <f t="shared" si="57"/>
        <v>0</v>
      </c>
      <c r="S73" s="667">
        <f t="shared" ref="S73:T77" si="58">IF($L$19="Não",IF(ISERROR(VLOOKUP(B73,$AM$15:$AR$255,5,FALSE)),0,(VLOOKUP(B73,$AM$15:$AR$255,5,FALSE)*$AV$78)),0)</f>
        <v>0</v>
      </c>
      <c r="T73" s="158">
        <f t="shared" si="58"/>
        <v>0</v>
      </c>
      <c r="U73" s="612"/>
      <c r="V73" s="613" t="str">
        <f>IF($I$23&lt;&gt;"",ABS($L$26*(F75/(2*$I$23))),IF('2º MR-MI'!$I$23&lt;&gt;0,ABS('2º MR-MI'!$L$26*(F75/(2*'2º MR-MI'!$I$23))),IF('Registo Calibração'!$I$23&lt;&gt;0,ABS('Registo Calibração'!$L$26*(F75/(2*'Registo Calibração'!$I$23))),"")))</f>
        <v/>
      </c>
      <c r="W73" s="614">
        <f>IF(V73="",0,(V73)^2/3)</f>
        <v>0</v>
      </c>
      <c r="X73" s="614">
        <f>SQRT(W73)</f>
        <v>0</v>
      </c>
      <c r="Y73" s="614">
        <v>1</v>
      </c>
      <c r="Z73" s="614">
        <v>50</v>
      </c>
      <c r="AA73" s="615">
        <f>IF(V73="",0,(X73*Y73)^2)</f>
        <v>0</v>
      </c>
      <c r="AB73" s="608"/>
      <c r="AC73" s="27"/>
      <c r="AD73" s="609"/>
      <c r="AE73" s="610"/>
      <c r="AF73" s="611"/>
      <c r="AG73" s="29"/>
      <c r="AH73" s="29"/>
      <c r="AI73" s="30"/>
      <c r="AJ73" s="30"/>
      <c r="AK73" s="31"/>
      <c r="AL73" s="31"/>
      <c r="AM73" s="507" t="s">
        <v>36</v>
      </c>
      <c r="AN73" s="506">
        <v>180000</v>
      </c>
      <c r="AO73" s="490">
        <f>9*1</f>
        <v>9</v>
      </c>
      <c r="AP73" s="507">
        <f t="shared" si="51"/>
        <v>0</v>
      </c>
      <c r="AQ73" s="746"/>
      <c r="AR73" s="362">
        <f t="shared" si="52"/>
        <v>9.1683222747312582E-3</v>
      </c>
      <c r="AT73" s="341">
        <v>13</v>
      </c>
      <c r="AU73" s="345"/>
      <c r="AV73" s="346"/>
      <c r="AW73" s="437"/>
      <c r="AY73" s="65" t="s">
        <v>190</v>
      </c>
      <c r="AZ73" s="247">
        <v>0.5</v>
      </c>
      <c r="BA73" s="251">
        <f>0.61/1000</f>
        <v>6.0999999999999997E-4</v>
      </c>
      <c r="BB73" s="352">
        <f>0.4/1000</f>
        <v>4.0000000000000002E-4</v>
      </c>
    </row>
    <row r="74" spans="1:75" ht="15" customHeight="1" thickBot="1">
      <c r="A74" s="883"/>
      <c r="B74" s="597"/>
      <c r="C74" s="660"/>
      <c r="D74" s="587"/>
      <c r="E74" s="244"/>
      <c r="F74" s="567"/>
      <c r="G74" s="580">
        <f>G73</f>
        <v>0</v>
      </c>
      <c r="H74" s="207"/>
      <c r="I74" s="208"/>
      <c r="J74" s="208"/>
      <c r="K74" s="210"/>
      <c r="L74" s="209"/>
      <c r="M74" s="312"/>
      <c r="N74" s="21"/>
      <c r="O74" s="355">
        <f t="shared" si="56"/>
        <v>0</v>
      </c>
      <c r="P74" s="359">
        <f t="shared" si="56"/>
        <v>0</v>
      </c>
      <c r="Q74" s="261">
        <f t="shared" si="57"/>
        <v>0</v>
      </c>
      <c r="R74" s="262">
        <f t="shared" si="57"/>
        <v>0</v>
      </c>
      <c r="S74" s="668">
        <f t="shared" si="58"/>
        <v>0</v>
      </c>
      <c r="T74" s="159">
        <f t="shared" si="58"/>
        <v>0</v>
      </c>
      <c r="U74" s="297"/>
      <c r="V74" s="329">
        <f>IF(G74&lt;&gt;"",STDEV(G73:G77),$M$28)</f>
        <v>0</v>
      </c>
      <c r="W74" s="330">
        <f>IF(G74="",V74^2,V74^2/(Z74+1))</f>
        <v>0</v>
      </c>
      <c r="X74" s="330">
        <f>SQRT(W74)</f>
        <v>0</v>
      </c>
      <c r="Y74" s="330">
        <v>1</v>
      </c>
      <c r="Z74" s="330">
        <f>IF(G74="",2,COUNT(G73:G77)-1)</f>
        <v>3</v>
      </c>
      <c r="AA74" s="331">
        <f>(Y74*X74)^2</f>
        <v>0</v>
      </c>
      <c r="AB74" s="79"/>
      <c r="AC74" s="17"/>
      <c r="AD74" s="22"/>
      <c r="AE74" s="23"/>
      <c r="AF74" s="80"/>
      <c r="AG74" s="29"/>
      <c r="AH74" s="29"/>
      <c r="AI74" s="30"/>
      <c r="AJ74" s="30"/>
      <c r="AK74" s="31"/>
      <c r="AL74" s="31"/>
      <c r="AM74" s="507" t="s">
        <v>38</v>
      </c>
      <c r="AN74" s="506">
        <v>200000</v>
      </c>
      <c r="AO74" s="490">
        <f>10*1</f>
        <v>10</v>
      </c>
      <c r="AP74" s="507">
        <f t="shared" si="51"/>
        <v>0</v>
      </c>
      <c r="AQ74" s="746"/>
      <c r="AR74" s="362">
        <f t="shared" si="52"/>
        <v>9.1683222747312582E-3</v>
      </c>
      <c r="AT74" s="341">
        <v>14</v>
      </c>
      <c r="AU74" s="345"/>
      <c r="AV74" s="346"/>
      <c r="AW74" s="437"/>
      <c r="AY74" s="65">
        <v>1000</v>
      </c>
      <c r="AZ74" s="248">
        <v>1</v>
      </c>
      <c r="BA74" s="252">
        <f>1.09/1000</f>
        <v>1.09E-3</v>
      </c>
      <c r="BB74" s="352">
        <f>0.72/1000</f>
        <v>7.1999999999999994E-4</v>
      </c>
    </row>
    <row r="75" spans="1:75" ht="15" customHeight="1" thickBot="1">
      <c r="A75" s="883"/>
      <c r="B75" s="597"/>
      <c r="C75" s="660"/>
      <c r="D75" s="592" t="str">
        <f>FIXED(MROUND(D73,IF($E$14&lt;&gt;0,$E$14/10,$C$14/10)),$AI$15+1,TRUE)</f>
        <v>0,0</v>
      </c>
      <c r="E75" s="599"/>
      <c r="F75" s="600" t="str">
        <f>FIXED(MROUND(D75,$C$14/10),$AI$15+1,TRUE)</f>
        <v>0,0</v>
      </c>
      <c r="G75" s="580">
        <f>G74</f>
        <v>0</v>
      </c>
      <c r="H75" s="223" t="str">
        <f>IF(OR(D73&lt;&gt;0,E75&lt;&gt;0),AVERAGE(G73:G77),"-------")</f>
        <v>-------</v>
      </c>
      <c r="I75" s="224" t="str">
        <f>IF(OR(D73&lt;&gt;0,E75&lt;&gt;0),(H77-F75),"-------")</f>
        <v>-------</v>
      </c>
      <c r="J75" s="224" t="str">
        <f>IF(OR(B73&lt;&gt;"",E75&lt;&gt;""),ROUNDDOWN(AD76,0),"-------")</f>
        <v>-------</v>
      </c>
      <c r="K75" s="225" t="e">
        <f>IF(G73="===","------",AE76)</f>
        <v>#DIV/0!</v>
      </c>
      <c r="L75" s="225" t="str">
        <f>IF(OR(B73&lt;&gt;"",E75&lt;&gt;""),AF76,"-------")</f>
        <v>-------</v>
      </c>
      <c r="M75" s="313" t="str">
        <f>IF($H$11&lt;&gt;"",FIXED(ROUND((D73*($H$11-$H$10)/$H$10),$AI$15),$AI$15),"")</f>
        <v/>
      </c>
      <c r="O75" s="355">
        <f t="shared" si="56"/>
        <v>0</v>
      </c>
      <c r="P75" s="359">
        <f t="shared" si="56"/>
        <v>0</v>
      </c>
      <c r="Q75" s="261">
        <f t="shared" si="57"/>
        <v>0</v>
      </c>
      <c r="R75" s="262">
        <f t="shared" si="57"/>
        <v>0</v>
      </c>
      <c r="S75" s="668">
        <f t="shared" si="58"/>
        <v>0</v>
      </c>
      <c r="T75" s="159">
        <f t="shared" si="58"/>
        <v>0</v>
      </c>
      <c r="U75" s="297"/>
      <c r="V75" s="366" t="str">
        <f>IF($H$11="","",IF($L$9="SIM",IF(L$11&lt;&gt;K$11,ABS(L$11-K$11)*($D73/J$11),0),ABS($M75)))</f>
        <v/>
      </c>
      <c r="W75" s="363">
        <f>IF(V75="",0,V75^2/3)</f>
        <v>0</v>
      </c>
      <c r="X75" s="363">
        <f>SQRT(W75)</f>
        <v>0</v>
      </c>
      <c r="Y75" s="364">
        <v>1</v>
      </c>
      <c r="Z75" s="365">
        <v>50</v>
      </c>
      <c r="AA75" s="367">
        <f>IF(V75="",0,(X75*Y75)^2)</f>
        <v>0</v>
      </c>
      <c r="AB75" s="79"/>
      <c r="AC75" s="17"/>
      <c r="AD75" s="22"/>
      <c r="AE75" s="23"/>
      <c r="AF75" s="80"/>
      <c r="AG75" s="29"/>
      <c r="AH75" s="29"/>
      <c r="AI75" s="30"/>
      <c r="AJ75" s="30"/>
      <c r="AK75" s="31"/>
      <c r="AL75" s="31"/>
      <c r="AM75" s="507" t="s">
        <v>40</v>
      </c>
      <c r="AN75" s="506">
        <v>220000</v>
      </c>
      <c r="AO75" s="490">
        <f>11*1</f>
        <v>11</v>
      </c>
      <c r="AP75" s="507">
        <f t="shared" si="51"/>
        <v>0</v>
      </c>
      <c r="AQ75" s="746"/>
      <c r="AR75" s="362">
        <f t="shared" si="52"/>
        <v>9.1683222747312582E-3</v>
      </c>
      <c r="AT75" s="341">
        <v>15</v>
      </c>
      <c r="AU75" s="347" t="s">
        <v>342</v>
      </c>
      <c r="AV75" s="346">
        <v>100</v>
      </c>
      <c r="AW75" s="437"/>
      <c r="AY75" s="65" t="s">
        <v>191</v>
      </c>
      <c r="AZ75" s="248">
        <v>1</v>
      </c>
      <c r="BA75" s="252">
        <f>1.09/1000</f>
        <v>1.09E-3</v>
      </c>
      <c r="BB75" s="352">
        <f>0.72/1000</f>
        <v>7.1999999999999994E-4</v>
      </c>
    </row>
    <row r="76" spans="1:75" ht="15" customHeight="1">
      <c r="A76" s="883"/>
      <c r="B76" s="597"/>
      <c r="C76" s="660"/>
      <c r="D76" s="587"/>
      <c r="E76" s="244"/>
      <c r="F76" s="567"/>
      <c r="G76" s="580">
        <f>G75</f>
        <v>0</v>
      </c>
      <c r="H76" s="207"/>
      <c r="I76" s="316"/>
      <c r="J76" s="208"/>
      <c r="K76" s="210"/>
      <c r="L76" s="209"/>
      <c r="M76" s="312"/>
      <c r="O76" s="355">
        <f t="shared" si="56"/>
        <v>0</v>
      </c>
      <c r="P76" s="359">
        <f t="shared" si="56"/>
        <v>0</v>
      </c>
      <c r="Q76" s="261">
        <f t="shared" si="57"/>
        <v>0</v>
      </c>
      <c r="R76" s="262">
        <f t="shared" si="57"/>
        <v>0</v>
      </c>
      <c r="S76" s="668">
        <f t="shared" si="58"/>
        <v>0</v>
      </c>
      <c r="T76" s="159">
        <f t="shared" si="58"/>
        <v>0</v>
      </c>
      <c r="U76" s="297"/>
      <c r="V76" s="606">
        <f>(SUM(O73:O77,P73:P77))</f>
        <v>0</v>
      </c>
      <c r="W76" s="370">
        <f>V76^2/3</f>
        <v>0</v>
      </c>
      <c r="X76" s="370">
        <f>SQRT(W76)</f>
        <v>0</v>
      </c>
      <c r="Y76" s="370">
        <v>1</v>
      </c>
      <c r="Z76" s="370">
        <v>50</v>
      </c>
      <c r="AA76" s="371">
        <f>IF(V76="","",(X76*Y76)^2)</f>
        <v>0</v>
      </c>
      <c r="AB76" s="386">
        <f>SUM($AA$29:$AA$30,AA73:AA78,AA88,AA99)</f>
        <v>0</v>
      </c>
      <c r="AC76" s="17">
        <f>SQRT(AB76)</f>
        <v>0</v>
      </c>
      <c r="AD76" s="283" t="e">
        <f>(AC76^4)/(((($X$29*$Y$29)^4)/$Z$29)+((($X$30*$Y$30)^4)/$Z$30)+((($X$73*$Y$73)^4)/$Z$73)+(((X74*Y74)^4)/Z74)+(((X75*Y75)^4)/Z75)+(((X76*Y76)^4)/Z76)+(((X77*Y77)^4)/Z77)+(((X78*Y78)^4)/Z78)+(((X88*Y88)^4)/Z88)+(((X99*Y99)^4)/Z99))</f>
        <v>#DIV/0!</v>
      </c>
      <c r="AE76" s="23" t="e">
        <f>TINV(0.0455,AD76)</f>
        <v>#DIV/0!</v>
      </c>
      <c r="AF76" s="390" t="e">
        <f>CEILING((AE76*AC76),$C$14/100)</f>
        <v>#DIV/0!</v>
      </c>
      <c r="AG76" s="29"/>
      <c r="AH76" s="29"/>
      <c r="AI76" s="30"/>
      <c r="AJ76" s="30"/>
      <c r="AK76" s="31"/>
      <c r="AL76" s="31"/>
      <c r="AM76" s="507" t="s">
        <v>41</v>
      </c>
      <c r="AN76" s="506">
        <v>240000</v>
      </c>
      <c r="AO76" s="490">
        <f>12*1</f>
        <v>12</v>
      </c>
      <c r="AP76" s="507">
        <f t="shared" si="51"/>
        <v>0</v>
      </c>
      <c r="AQ76" s="746"/>
      <c r="AR76" s="362">
        <f t="shared" si="52"/>
        <v>9.1683222747312582E-3</v>
      </c>
      <c r="AS76" s="17">
        <f>SUM(AP135:AP149)</f>
        <v>0</v>
      </c>
      <c r="AT76" s="341"/>
      <c r="AU76" s="350" t="s">
        <v>344</v>
      </c>
      <c r="AV76" s="349">
        <v>1</v>
      </c>
      <c r="AW76" s="438"/>
      <c r="AY76" s="65" t="s">
        <v>192</v>
      </c>
      <c r="AZ76" s="248">
        <v>2</v>
      </c>
      <c r="BA76" s="252">
        <f>1.96/1000</f>
        <v>1.9599999999999999E-3</v>
      </c>
      <c r="BB76" s="352">
        <f>1.27/1000</f>
        <v>1.2700000000000001E-3</v>
      </c>
    </row>
    <row r="77" spans="1:75" ht="15" customHeight="1" thickBot="1">
      <c r="A77" s="883"/>
      <c r="B77" s="661"/>
      <c r="C77" s="662"/>
      <c r="D77" s="652"/>
      <c r="E77" s="244"/>
      <c r="F77" s="567"/>
      <c r="G77" s="623">
        <f>G76</f>
        <v>0</v>
      </c>
      <c r="H77" s="306" t="str">
        <f>IF(H75&lt;&gt;"-------",FIXED(IF($E$14&lt;&gt;0,MROUND(H75,$E$14),MROUND(H75,$C$14)),LEN(L77)-2,TRUE),"------")</f>
        <v>------</v>
      </c>
      <c r="I77" s="220" t="str">
        <f>IF(I75&lt;&gt;"-------",FIXED(ROUND(I75,$AI$15),LEN(L77)-2,TRUE),"------")</f>
        <v>------</v>
      </c>
      <c r="J77" s="620" t="str">
        <f>IF(G73="===","------",IF(J75&gt;500,"&gt; 500",J75))</f>
        <v>&gt; 500</v>
      </c>
      <c r="K77" s="624" t="e">
        <f>K75</f>
        <v>#DIV/0!</v>
      </c>
      <c r="L77" s="621" t="str">
        <f>IF(L75&lt;&gt;"-------",BF17,"------")</f>
        <v>------</v>
      </c>
      <c r="M77" s="312"/>
      <c r="O77" s="355">
        <f t="shared" si="56"/>
        <v>0</v>
      </c>
      <c r="P77" s="359">
        <f t="shared" si="56"/>
        <v>0</v>
      </c>
      <c r="Q77" s="261">
        <f t="shared" si="57"/>
        <v>0</v>
      </c>
      <c r="R77" s="262">
        <f t="shared" si="57"/>
        <v>0</v>
      </c>
      <c r="S77" s="668">
        <f t="shared" si="58"/>
        <v>0</v>
      </c>
      <c r="T77" s="159">
        <f t="shared" si="58"/>
        <v>0</v>
      </c>
      <c r="U77" s="297"/>
      <c r="V77" s="333">
        <f>IF($L$19="sim",SUM(O73:P77)/4,SUM(S73:T77))</f>
        <v>0</v>
      </c>
      <c r="W77" s="334">
        <f>IF(V77="","",V77^2/3)</f>
        <v>0</v>
      </c>
      <c r="X77" s="334">
        <f>IF($L$19="Sim",SQRT(W77),SUM(S73:T77))</f>
        <v>0</v>
      </c>
      <c r="Y77" s="334">
        <v>1</v>
      </c>
      <c r="Z77" s="334">
        <v>50</v>
      </c>
      <c r="AA77" s="335">
        <f>(X77*Y77)^2</f>
        <v>0</v>
      </c>
      <c r="AB77" s="79"/>
      <c r="AC77" s="17"/>
      <c r="AD77" s="22"/>
      <c r="AE77" s="23"/>
      <c r="AF77" s="80"/>
      <c r="AG77" s="29"/>
      <c r="AH77" s="29"/>
      <c r="AI77" s="30"/>
      <c r="AJ77" s="30"/>
      <c r="AK77" s="31"/>
      <c r="AL77" s="31"/>
      <c r="AM77" s="507" t="s">
        <v>42</v>
      </c>
      <c r="AN77" s="506">
        <v>260000</v>
      </c>
      <c r="AO77" s="490">
        <f>13*1</f>
        <v>13</v>
      </c>
      <c r="AP77" s="507">
        <f t="shared" si="51"/>
        <v>0</v>
      </c>
      <c r="AQ77" s="746"/>
      <c r="AR77" s="362">
        <f t="shared" si="52"/>
        <v>9.1683222747312582E-3</v>
      </c>
      <c r="AT77" s="339"/>
      <c r="AU77" s="339" t="s">
        <v>343</v>
      </c>
      <c r="AV77" s="164" t="str">
        <f>IF(ISERROR(VLOOKUP($AV$76,AT61:AV75,1,FALSE)),"- UNIDADE INVÁLIDA",(VLOOKUP($AV$76,$AT$60:$AV$75,2,FALSE)))</f>
        <v>kg</v>
      </c>
      <c r="AW77" s="439"/>
      <c r="AY77" s="65" t="s">
        <v>193</v>
      </c>
      <c r="AZ77" s="248">
        <v>2</v>
      </c>
      <c r="BA77" s="252">
        <f>1.96/1000</f>
        <v>1.9599999999999999E-3</v>
      </c>
      <c r="BB77" s="352">
        <f>1.27/1000</f>
        <v>1.2700000000000001E-3</v>
      </c>
    </row>
    <row r="78" spans="1:75" ht="15" customHeight="1" thickBot="1">
      <c r="A78" s="884"/>
      <c r="B78" s="637"/>
      <c r="C78" s="626"/>
      <c r="D78" s="591"/>
      <c r="E78" s="627"/>
      <c r="F78" s="847"/>
      <c r="G78" s="628"/>
      <c r="H78" s="629"/>
      <c r="I78" s="630"/>
      <c r="J78" s="630"/>
      <c r="K78" s="631"/>
      <c r="L78" s="639"/>
      <c r="M78" s="633"/>
      <c r="N78" s="21"/>
      <c r="O78" s="634"/>
      <c r="P78" s="635"/>
      <c r="Q78" s="634"/>
      <c r="R78" s="635"/>
      <c r="S78" s="636"/>
      <c r="T78" s="635"/>
      <c r="U78" s="314"/>
      <c r="V78" s="372">
        <f>SUM(Q73:R77)</f>
        <v>0</v>
      </c>
      <c r="W78" s="373">
        <f>IF(V78="","",V78^2/3)</f>
        <v>0</v>
      </c>
      <c r="X78" s="373">
        <f>SQRT(W78)</f>
        <v>0</v>
      </c>
      <c r="Y78" s="373">
        <v>1</v>
      </c>
      <c r="Z78" s="373">
        <v>50</v>
      </c>
      <c r="AA78" s="374">
        <f>IF(V78="","",(X78*Y78)^2)</f>
        <v>0</v>
      </c>
      <c r="AB78" s="81"/>
      <c r="AC78" s="82"/>
      <c r="AD78" s="83"/>
      <c r="AE78" s="84"/>
      <c r="AF78" s="85"/>
      <c r="AG78" s="29"/>
      <c r="AH78" s="29"/>
      <c r="AI78" s="30"/>
      <c r="AJ78" s="30"/>
      <c r="AK78" s="31"/>
      <c r="AL78" s="31"/>
      <c r="AM78" s="507" t="s">
        <v>43</v>
      </c>
      <c r="AN78" s="506">
        <v>280000</v>
      </c>
      <c r="AO78" s="490">
        <f>14*1</f>
        <v>14</v>
      </c>
      <c r="AP78" s="507">
        <f t="shared" si="51"/>
        <v>0</v>
      </c>
      <c r="AQ78" s="746"/>
      <c r="AR78" s="362">
        <f t="shared" si="52"/>
        <v>9.1683222747312582E-3</v>
      </c>
      <c r="AT78" s="37"/>
      <c r="AU78" s="350" t="s">
        <v>45</v>
      </c>
      <c r="AV78" s="348">
        <f>VLOOKUP(AV77,$AU$61:$AV$75,2,FALSE)</f>
        <v>1E-3</v>
      </c>
      <c r="AW78" s="376"/>
      <c r="AY78" s="65" t="s">
        <v>194</v>
      </c>
      <c r="AZ78" s="247">
        <v>5</v>
      </c>
      <c r="BA78" s="251">
        <f>4.28/1000</f>
        <v>4.28E-3</v>
      </c>
      <c r="BB78" s="352">
        <f>2.76/1000</f>
        <v>2.7599999999999999E-3</v>
      </c>
    </row>
    <row r="79" spans="1:75" ht="15" customHeight="1">
      <c r="W79" s="29"/>
      <c r="X79" s="29"/>
      <c r="Y79" s="29"/>
      <c r="Z79" s="29"/>
      <c r="AA79" s="29"/>
      <c r="AB79" s="29"/>
      <c r="AC79" s="29"/>
      <c r="AD79" s="10"/>
      <c r="AE79" s="29"/>
      <c r="AG79" s="29"/>
      <c r="AH79" s="6"/>
      <c r="AI79" s="30"/>
      <c r="AJ79" s="30"/>
      <c r="AK79" s="31"/>
      <c r="AL79" s="31"/>
      <c r="AM79" s="507" t="s">
        <v>44</v>
      </c>
      <c r="AN79" s="506">
        <v>300000</v>
      </c>
      <c r="AO79" s="490">
        <f>15*1</f>
        <v>15</v>
      </c>
      <c r="AP79" s="507">
        <f t="shared" si="51"/>
        <v>0</v>
      </c>
      <c r="AQ79" s="746"/>
      <c r="AR79" s="362">
        <f t="shared" si="52"/>
        <v>9.1683222747312582E-3</v>
      </c>
      <c r="AY79" s="65" t="s">
        <v>195</v>
      </c>
      <c r="AZ79" s="247">
        <v>10</v>
      </c>
      <c r="BA79" s="251">
        <f>7.79/1000</f>
        <v>7.79E-3</v>
      </c>
      <c r="BB79" s="352">
        <f>5.01/1000</f>
        <v>5.0099999999999997E-3</v>
      </c>
    </row>
    <row r="80" spans="1:75" ht="15" customHeight="1" thickBot="1">
      <c r="AG80" s="29"/>
      <c r="AH80" s="6"/>
      <c r="AI80" s="30"/>
      <c r="AJ80" s="30"/>
      <c r="AK80" s="31"/>
      <c r="AL80" s="31"/>
      <c r="AM80" s="507" t="s">
        <v>81</v>
      </c>
      <c r="AN80" s="506">
        <v>320000</v>
      </c>
      <c r="AO80" s="490">
        <f>16*1</f>
        <v>16</v>
      </c>
      <c r="AP80" s="507">
        <f t="shared" si="51"/>
        <v>0</v>
      </c>
      <c r="AQ80" s="746"/>
      <c r="AR80" s="362">
        <f t="shared" si="52"/>
        <v>9.1683222747312582E-3</v>
      </c>
      <c r="AY80" s="67" t="s">
        <v>196</v>
      </c>
      <c r="AZ80" s="249">
        <v>20</v>
      </c>
      <c r="BA80" s="354">
        <f>14.3/1000</f>
        <v>1.43E-2</v>
      </c>
      <c r="BB80" s="353">
        <f>9.14/1000</f>
        <v>9.1400000000000006E-3</v>
      </c>
    </row>
    <row r="81" spans="22:66" ht="15" customHeight="1">
      <c r="V81" s="366" t="str">
        <f>IF($I$9="Sim",0.005%*D32*2,"")</f>
        <v/>
      </c>
      <c r="W81" s="363">
        <f t="shared" ref="W81:W88" si="59">IF(V81="",0,V81^2/3)</f>
        <v>0</v>
      </c>
      <c r="X81" s="363">
        <f t="shared" ref="X81:X88" si="60">SQRT(W81)</f>
        <v>0</v>
      </c>
      <c r="Y81" s="364">
        <v>1</v>
      </c>
      <c r="Z81" s="365">
        <v>50</v>
      </c>
      <c r="AA81" s="367">
        <f t="shared" ref="AA81:AA88" si="61">IF(V81="",0,(X81*Y81)^2)</f>
        <v>0</v>
      </c>
      <c r="AG81" s="29"/>
      <c r="AH81" s="6"/>
      <c r="AM81" s="507" t="s">
        <v>82</v>
      </c>
      <c r="AN81" s="506">
        <v>340000</v>
      </c>
      <c r="AO81" s="490">
        <f>17*1</f>
        <v>17</v>
      </c>
      <c r="AP81" s="507">
        <f t="shared" si="51"/>
        <v>0</v>
      </c>
      <c r="AQ81" s="746"/>
      <c r="AR81" s="362">
        <f t="shared" si="52"/>
        <v>9.1683222747312582E-3</v>
      </c>
      <c r="AY81" s="255"/>
      <c r="AZ81" s="255"/>
      <c r="BA81" s="256"/>
    </row>
    <row r="82" spans="22:66" ht="15" customHeight="1">
      <c r="V82" s="366" t="str">
        <f>IF($I$9="Sim",0.005%*D37*2,"")</f>
        <v/>
      </c>
      <c r="W82" s="363">
        <f t="shared" si="59"/>
        <v>0</v>
      </c>
      <c r="X82" s="363">
        <f t="shared" si="60"/>
        <v>0</v>
      </c>
      <c r="Y82" s="364">
        <v>1</v>
      </c>
      <c r="Z82" s="365">
        <v>50</v>
      </c>
      <c r="AA82" s="367">
        <f t="shared" si="61"/>
        <v>0</v>
      </c>
      <c r="AG82" s="29"/>
      <c r="AH82" s="6"/>
      <c r="AM82" s="509" t="s">
        <v>83</v>
      </c>
      <c r="AN82" s="506">
        <v>360000</v>
      </c>
      <c r="AO82" s="490">
        <f>18*1</f>
        <v>18</v>
      </c>
      <c r="AP82" s="507">
        <f t="shared" si="51"/>
        <v>0</v>
      </c>
      <c r="AQ82" s="746"/>
      <c r="AR82" s="362">
        <f t="shared" si="52"/>
        <v>9.1683222747312582E-3</v>
      </c>
      <c r="AY82" s="29"/>
      <c r="AZ82" s="29"/>
    </row>
    <row r="83" spans="22:66" ht="15" customHeight="1">
      <c r="V83" s="366" t="str">
        <f>IF($I$9="Sim",0.005%*D43*2,"")</f>
        <v/>
      </c>
      <c r="W83" s="363">
        <f t="shared" si="59"/>
        <v>0</v>
      </c>
      <c r="X83" s="363">
        <f t="shared" si="60"/>
        <v>0</v>
      </c>
      <c r="Y83" s="364">
        <v>1</v>
      </c>
      <c r="Z83" s="365">
        <v>50</v>
      </c>
      <c r="AA83" s="367">
        <f t="shared" si="61"/>
        <v>0</v>
      </c>
      <c r="AG83" s="29"/>
      <c r="AH83" s="6"/>
      <c r="AM83" s="509" t="s">
        <v>84</v>
      </c>
      <c r="AN83" s="506">
        <v>380000</v>
      </c>
      <c r="AO83" s="490">
        <f>19*1</f>
        <v>19</v>
      </c>
      <c r="AP83" s="507">
        <f t="shared" si="51"/>
        <v>0</v>
      </c>
      <c r="AQ83" s="746"/>
      <c r="AR83" s="362">
        <f t="shared" si="52"/>
        <v>9.1683222747312582E-3</v>
      </c>
    </row>
    <row r="84" spans="22:66" ht="15" customHeight="1">
      <c r="V84" s="366" t="str">
        <f>IF($I$9="Sim",0.005%*D49*2,"")</f>
        <v/>
      </c>
      <c r="W84" s="363">
        <f t="shared" si="59"/>
        <v>0</v>
      </c>
      <c r="X84" s="363">
        <f t="shared" si="60"/>
        <v>0</v>
      </c>
      <c r="Y84" s="364">
        <v>1</v>
      </c>
      <c r="Z84" s="365">
        <v>50</v>
      </c>
      <c r="AA84" s="367">
        <f t="shared" si="61"/>
        <v>0</v>
      </c>
      <c r="AG84" s="29"/>
      <c r="AH84" s="6"/>
      <c r="AM84" s="509" t="s">
        <v>85</v>
      </c>
      <c r="AN84" s="506">
        <v>400000</v>
      </c>
      <c r="AO84" s="490">
        <f>20*1</f>
        <v>20</v>
      </c>
      <c r="AP84" s="507">
        <f t="shared" si="51"/>
        <v>0</v>
      </c>
      <c r="AQ84" s="746"/>
      <c r="AR84" s="362">
        <f t="shared" si="52"/>
        <v>9.1683222747312582E-3</v>
      </c>
    </row>
    <row r="85" spans="22:66" ht="15" customHeight="1">
      <c r="V85" s="366" t="str">
        <f>IF($I$9="Sim",0.005%*D55*2,"")</f>
        <v/>
      </c>
      <c r="W85" s="363">
        <f t="shared" si="59"/>
        <v>0</v>
      </c>
      <c r="X85" s="363">
        <f t="shared" si="60"/>
        <v>0</v>
      </c>
      <c r="Y85" s="364">
        <v>1</v>
      </c>
      <c r="Z85" s="365">
        <v>50</v>
      </c>
      <c r="AA85" s="367">
        <f t="shared" si="61"/>
        <v>0</v>
      </c>
      <c r="AG85" s="29"/>
      <c r="AH85" s="6"/>
      <c r="AM85" s="507" t="s">
        <v>86</v>
      </c>
      <c r="AN85" s="506">
        <v>420000</v>
      </c>
      <c r="AO85" s="490">
        <f>21*1</f>
        <v>21</v>
      </c>
      <c r="AP85" s="507">
        <f t="shared" si="51"/>
        <v>0</v>
      </c>
      <c r="AQ85" s="746"/>
      <c r="AR85" s="362">
        <f t="shared" si="52"/>
        <v>9.1683222747312582E-3</v>
      </c>
    </row>
    <row r="86" spans="22:66" ht="15" customHeight="1">
      <c r="V86" s="366" t="str">
        <f>IF($I$9="Sim",0.005%*D61*2,"")</f>
        <v/>
      </c>
      <c r="W86" s="363">
        <f t="shared" si="59"/>
        <v>0</v>
      </c>
      <c r="X86" s="363">
        <f t="shared" si="60"/>
        <v>0</v>
      </c>
      <c r="Y86" s="364">
        <v>1</v>
      </c>
      <c r="Z86" s="365">
        <v>50</v>
      </c>
      <c r="AA86" s="367">
        <f t="shared" si="61"/>
        <v>0</v>
      </c>
      <c r="AG86" s="29"/>
      <c r="AH86" s="6"/>
      <c r="AM86" s="507" t="s">
        <v>87</v>
      </c>
      <c r="AN86" s="506">
        <v>440000</v>
      </c>
      <c r="AO86" s="490">
        <f>22*1</f>
        <v>22</v>
      </c>
      <c r="AP86" s="507">
        <f t="shared" si="51"/>
        <v>0</v>
      </c>
      <c r="AQ86" s="746"/>
      <c r="AR86" s="362">
        <f t="shared" si="52"/>
        <v>9.1683222747312582E-3</v>
      </c>
    </row>
    <row r="87" spans="22:66" ht="15" customHeight="1" thickBot="1">
      <c r="V87" s="366" t="str">
        <f>IF($I$9="Sim",0.005%*D67*2,"")</f>
        <v/>
      </c>
      <c r="W87" s="363">
        <f t="shared" si="59"/>
        <v>0</v>
      </c>
      <c r="X87" s="363">
        <f t="shared" si="60"/>
        <v>0</v>
      </c>
      <c r="Y87" s="364">
        <v>1</v>
      </c>
      <c r="Z87" s="365">
        <v>50</v>
      </c>
      <c r="AA87" s="367">
        <f t="shared" si="61"/>
        <v>0</v>
      </c>
      <c r="AG87" s="29"/>
      <c r="AH87" s="6"/>
      <c r="AM87" s="507" t="s">
        <v>88</v>
      </c>
      <c r="AN87" s="506">
        <v>460000</v>
      </c>
      <c r="AO87" s="490">
        <f>23*1</f>
        <v>23</v>
      </c>
      <c r="AP87" s="507">
        <f t="shared" si="51"/>
        <v>0</v>
      </c>
      <c r="AQ87" s="746"/>
      <c r="AR87" s="362">
        <f t="shared" si="52"/>
        <v>9.1683222747312582E-3</v>
      </c>
      <c r="AY87" s="95" t="s">
        <v>231</v>
      </c>
      <c r="AZ87" s="94"/>
      <c r="BA87" s="94"/>
      <c r="BB87" s="94"/>
      <c r="BC87" s="94"/>
      <c r="BD87" s="94"/>
      <c r="BE87" s="94"/>
      <c r="BF87" s="94"/>
      <c r="BG87" s="94"/>
      <c r="BH87" s="94"/>
      <c r="BI87" s="94"/>
      <c r="BJ87" s="94"/>
      <c r="BK87" s="94"/>
      <c r="BL87" s="94"/>
      <c r="BM87" s="94"/>
      <c r="BN87" s="94"/>
    </row>
    <row r="88" spans="22:66" ht="15" customHeight="1">
      <c r="V88" s="366" t="str">
        <f>IF($I$9="Sim",0.005%*D73*2,"")</f>
        <v/>
      </c>
      <c r="W88" s="363">
        <f t="shared" si="59"/>
        <v>0</v>
      </c>
      <c r="X88" s="363">
        <f t="shared" si="60"/>
        <v>0</v>
      </c>
      <c r="Y88" s="364">
        <v>1</v>
      </c>
      <c r="Z88" s="365">
        <v>50</v>
      </c>
      <c r="AA88" s="367">
        <f t="shared" si="61"/>
        <v>0</v>
      </c>
      <c r="AG88" s="29"/>
      <c r="AH88" s="6"/>
      <c r="AM88" s="507" t="s">
        <v>89</v>
      </c>
      <c r="AN88" s="506">
        <v>480000</v>
      </c>
      <c r="AO88" s="490">
        <f>24*1</f>
        <v>24</v>
      </c>
      <c r="AP88" s="507">
        <f t="shared" si="51"/>
        <v>0</v>
      </c>
      <c r="AQ88" s="746"/>
      <c r="AR88" s="362">
        <f t="shared" si="52"/>
        <v>9.1683222747312582E-3</v>
      </c>
      <c r="AY88" s="96" t="s">
        <v>232</v>
      </c>
      <c r="AZ88" s="97">
        <v>1.2</v>
      </c>
      <c r="BA88" s="98" t="s">
        <v>233</v>
      </c>
      <c r="BB88" s="99" t="s">
        <v>234</v>
      </c>
      <c r="BC88" s="99"/>
      <c r="BD88" s="99"/>
      <c r="BE88" s="99"/>
      <c r="BF88" s="948"/>
      <c r="BG88" s="948"/>
      <c r="BH88" s="948"/>
      <c r="BI88" s="94"/>
      <c r="BJ88" s="94"/>
      <c r="BK88" s="94"/>
      <c r="BL88" s="94"/>
      <c r="BM88" s="94" t="s">
        <v>235</v>
      </c>
    </row>
    <row r="89" spans="22:66" ht="15" customHeight="1" thickBot="1">
      <c r="AG89" s="29"/>
      <c r="AH89" s="6"/>
      <c r="AM89" s="507" t="s">
        <v>90</v>
      </c>
      <c r="AN89" s="506">
        <v>500000</v>
      </c>
      <c r="AO89" s="490">
        <f>25*1</f>
        <v>25</v>
      </c>
      <c r="AP89" s="507">
        <f t="shared" si="51"/>
        <v>0</v>
      </c>
      <c r="AQ89" s="746"/>
      <c r="AR89" s="362">
        <f t="shared" si="52"/>
        <v>9.1683222747312582E-3</v>
      </c>
      <c r="AY89" s="100" t="s">
        <v>236</v>
      </c>
      <c r="AZ89" s="101">
        <v>8000</v>
      </c>
      <c r="BA89" s="102" t="s">
        <v>233</v>
      </c>
      <c r="BB89" s="103" t="s">
        <v>237</v>
      </c>
      <c r="BC89" s="103"/>
      <c r="BD89" s="103"/>
      <c r="BE89" s="103"/>
      <c r="BF89" s="948"/>
      <c r="BG89" s="948"/>
      <c r="BH89" s="948"/>
      <c r="BI89" s="94"/>
      <c r="BJ89" s="94"/>
      <c r="BK89" s="94"/>
      <c r="BL89" s="94"/>
      <c r="BM89" s="94" t="s">
        <v>238</v>
      </c>
    </row>
    <row r="90" spans="22:66" ht="15" customHeight="1" thickBot="1">
      <c r="AG90" s="29"/>
      <c r="AH90" s="6"/>
      <c r="AM90" s="507" t="s">
        <v>91</v>
      </c>
      <c r="AN90" s="506">
        <v>520000</v>
      </c>
      <c r="AO90" s="490">
        <f>26*1</f>
        <v>26</v>
      </c>
      <c r="AP90" s="507">
        <f t="shared" si="51"/>
        <v>0</v>
      </c>
      <c r="AQ90" s="746"/>
      <c r="AR90" s="362">
        <f>SQRT((15.88/1000)^2/3)</f>
        <v>9.1683222747312582E-3</v>
      </c>
      <c r="AY90" s="95" t="s">
        <v>253</v>
      </c>
      <c r="AZ90" s="94"/>
      <c r="BA90" s="94"/>
      <c r="BB90" s="94"/>
      <c r="BC90" s="94"/>
      <c r="BD90" s="94"/>
      <c r="BE90" s="94"/>
      <c r="BF90" s="94"/>
      <c r="BG90" s="94"/>
      <c r="BH90" s="94"/>
      <c r="BI90" s="94"/>
      <c r="BJ90" s="94"/>
      <c r="BK90" s="94"/>
      <c r="BL90" s="94"/>
      <c r="BM90" s="94"/>
      <c r="BN90" s="94"/>
    </row>
    <row r="91" spans="22:66" ht="15" customHeight="1" thickBot="1">
      <c r="AG91" s="29"/>
      <c r="AH91" s="6"/>
      <c r="AM91" s="507" t="s">
        <v>92</v>
      </c>
      <c r="AN91" s="506">
        <v>540000</v>
      </c>
      <c r="AO91" s="490">
        <f>27*1</f>
        <v>27</v>
      </c>
      <c r="AP91" s="507">
        <f t="shared" si="51"/>
        <v>0</v>
      </c>
      <c r="AQ91" s="746"/>
      <c r="AR91" s="362">
        <f t="shared" si="52"/>
        <v>9.1683222747312582E-3</v>
      </c>
      <c r="AY91" s="139" t="s">
        <v>255</v>
      </c>
      <c r="AZ91" s="104"/>
      <c r="BA91" s="963" t="s">
        <v>239</v>
      </c>
      <c r="BB91" s="927"/>
      <c r="BC91" s="927"/>
    </row>
    <row r="92" spans="22:66" ht="22.5" customHeight="1" thickBot="1">
      <c r="V92" s="849">
        <f>IF(F36="",0,F36/C13)</f>
        <v>0</v>
      </c>
      <c r="W92" s="850">
        <f>IF(V92="",0,V92^2/3)</f>
        <v>0</v>
      </c>
      <c r="X92" s="850">
        <f t="shared" ref="X92:X99" si="62">SQRT(W92)</f>
        <v>0</v>
      </c>
      <c r="Y92" s="851">
        <v>1</v>
      </c>
      <c r="Z92" s="852">
        <v>50</v>
      </c>
      <c r="AA92" s="853">
        <f t="shared" ref="AA92:AA98" si="63">IF(V92="",0,(X92*Y92)^2)</f>
        <v>0</v>
      </c>
      <c r="AG92" s="6"/>
      <c r="AH92" s="6"/>
      <c r="AM92" s="507" t="s">
        <v>93</v>
      </c>
      <c r="AN92" s="506">
        <v>560000</v>
      </c>
      <c r="AO92" s="490">
        <f>28*1</f>
        <v>28</v>
      </c>
      <c r="AP92" s="507">
        <f t="shared" si="51"/>
        <v>0</v>
      </c>
      <c r="AQ92" s="746"/>
      <c r="AR92" s="362">
        <f t="shared" si="52"/>
        <v>9.1683222747312582E-3</v>
      </c>
      <c r="AY92" s="141" t="s">
        <v>254</v>
      </c>
      <c r="AZ92" s="138" t="s">
        <v>243</v>
      </c>
      <c r="BA92" s="105" t="s">
        <v>244</v>
      </c>
      <c r="BB92" s="106" t="s">
        <v>245</v>
      </c>
      <c r="BC92" s="118" t="s">
        <v>246</v>
      </c>
    </row>
    <row r="93" spans="22:66" ht="30" customHeight="1">
      <c r="V93" s="849">
        <f>IF(F42="",0,F42/C13)</f>
        <v>0</v>
      </c>
      <c r="W93" s="850">
        <f t="shared" ref="W93:W99" si="64">IF(V93="",0,V93^2/3)</f>
        <v>0</v>
      </c>
      <c r="X93" s="850">
        <f t="shared" si="62"/>
        <v>0</v>
      </c>
      <c r="Y93" s="851">
        <v>1</v>
      </c>
      <c r="Z93" s="852">
        <v>50</v>
      </c>
      <c r="AA93" s="853">
        <f t="shared" si="63"/>
        <v>0</v>
      </c>
      <c r="AG93" s="6"/>
      <c r="AH93" s="6"/>
      <c r="AM93" s="507" t="s">
        <v>94</v>
      </c>
      <c r="AN93" s="506">
        <v>580000</v>
      </c>
      <c r="AO93" s="490">
        <f>29*1</f>
        <v>29</v>
      </c>
      <c r="AP93" s="507">
        <f t="shared" si="51"/>
        <v>0</v>
      </c>
      <c r="AQ93" s="746"/>
      <c r="AR93" s="362">
        <f t="shared" si="52"/>
        <v>9.1683222747312582E-3</v>
      </c>
      <c r="AW93" s="87"/>
      <c r="AY93" s="195">
        <v>50</v>
      </c>
      <c r="AZ93" s="108">
        <v>50</v>
      </c>
      <c r="BA93" s="109">
        <v>0.1</v>
      </c>
      <c r="BB93" s="119">
        <f>BA93/(4*SQRT(3))</f>
        <v>1.4433756729740645E-2</v>
      </c>
      <c r="BC93" s="122">
        <f t="shared" ref="BC93:BC101" si="65">($AZ93*1000*0.1*$AZ$88/$AZ$89+BA93/4)/SQRT(3)</f>
        <v>0.44744645862196003</v>
      </c>
    </row>
    <row r="94" spans="22:66" ht="15" customHeight="1">
      <c r="V94" s="849">
        <f>IF(F48="",0,F48/C13)</f>
        <v>0</v>
      </c>
      <c r="W94" s="850">
        <f t="shared" si="64"/>
        <v>0</v>
      </c>
      <c r="X94" s="850">
        <f t="shared" si="62"/>
        <v>0</v>
      </c>
      <c r="Y94" s="851">
        <v>1</v>
      </c>
      <c r="Z94" s="852">
        <v>50</v>
      </c>
      <c r="AA94" s="853">
        <f t="shared" si="63"/>
        <v>0</v>
      </c>
      <c r="AG94" s="6"/>
      <c r="AH94" s="6"/>
      <c r="AM94" s="507" t="s">
        <v>95</v>
      </c>
      <c r="AN94" s="506">
        <v>600000</v>
      </c>
      <c r="AO94" s="490">
        <f>30*1</f>
        <v>30</v>
      </c>
      <c r="AP94" s="507">
        <f t="shared" si="51"/>
        <v>0</v>
      </c>
      <c r="AQ94" s="746"/>
      <c r="AR94" s="362">
        <f t="shared" si="52"/>
        <v>9.1683222747312582E-3</v>
      </c>
      <c r="AT94" s="944" t="s">
        <v>74</v>
      </c>
      <c r="AU94" s="932"/>
      <c r="AV94" s="933"/>
      <c r="AW94" s="286"/>
      <c r="AY94" s="195">
        <v>20</v>
      </c>
      <c r="AZ94" s="110">
        <v>20</v>
      </c>
      <c r="BA94" s="111">
        <v>0.08</v>
      </c>
      <c r="BB94" s="120">
        <f>BA94/(4*SQRT(3))</f>
        <v>1.1547005383792516E-2</v>
      </c>
      <c r="BC94" s="123">
        <f t="shared" si="65"/>
        <v>0.18475208614068026</v>
      </c>
    </row>
    <row r="95" spans="22:66" ht="15" customHeight="1">
      <c r="V95" s="849">
        <f>IF(F54="",0,F54/C13)</f>
        <v>0</v>
      </c>
      <c r="W95" s="850">
        <f t="shared" si="64"/>
        <v>0</v>
      </c>
      <c r="X95" s="850">
        <f t="shared" si="62"/>
        <v>0</v>
      </c>
      <c r="Y95" s="851">
        <v>1</v>
      </c>
      <c r="Z95" s="852">
        <v>50</v>
      </c>
      <c r="AA95" s="853">
        <f t="shared" si="63"/>
        <v>0</v>
      </c>
      <c r="AG95" s="6"/>
      <c r="AH95" s="6"/>
      <c r="AM95" s="510" t="s">
        <v>124</v>
      </c>
      <c r="AN95" s="506">
        <v>620000</v>
      </c>
      <c r="AO95" s="490">
        <f>31*1</f>
        <v>31</v>
      </c>
      <c r="AP95" s="507">
        <f t="shared" si="51"/>
        <v>0</v>
      </c>
      <c r="AQ95" s="746"/>
      <c r="AR95" s="362">
        <f t="shared" si="52"/>
        <v>9.1683222747312582E-3</v>
      </c>
      <c r="AT95" s="301">
        <v>1</v>
      </c>
      <c r="AU95" s="302" t="s">
        <v>76</v>
      </c>
      <c r="AV95" s="303"/>
      <c r="AW95" s="440"/>
      <c r="AY95" s="195">
        <v>10</v>
      </c>
      <c r="AZ95" s="110">
        <v>10</v>
      </c>
      <c r="BA95" s="111">
        <v>0.06</v>
      </c>
      <c r="BB95" s="120">
        <f t="shared" ref="BB95:BB101" si="66">BA95/(4*SQRT(3))</f>
        <v>8.6602540378443865E-3</v>
      </c>
      <c r="BC95" s="123">
        <f t="shared" si="65"/>
        <v>9.5262794416288252E-2</v>
      </c>
    </row>
    <row r="96" spans="22:66" ht="15" customHeight="1">
      <c r="V96" s="849">
        <f>IF(F60="",0,F60/C13)</f>
        <v>0</v>
      </c>
      <c r="W96" s="850">
        <f t="shared" si="64"/>
        <v>0</v>
      </c>
      <c r="X96" s="850">
        <f t="shared" si="62"/>
        <v>0</v>
      </c>
      <c r="Y96" s="851">
        <v>1</v>
      </c>
      <c r="Z96" s="852">
        <v>50</v>
      </c>
      <c r="AA96" s="853">
        <f t="shared" si="63"/>
        <v>0</v>
      </c>
      <c r="AG96" s="6"/>
      <c r="AH96" s="6"/>
      <c r="AM96" s="507" t="s">
        <v>125</v>
      </c>
      <c r="AN96" s="506">
        <v>640000</v>
      </c>
      <c r="AO96" s="490">
        <f>32*1</f>
        <v>32</v>
      </c>
      <c r="AP96" s="507">
        <f t="shared" si="51"/>
        <v>0</v>
      </c>
      <c r="AQ96" s="746"/>
      <c r="AR96" s="362">
        <f t="shared" si="52"/>
        <v>9.1683222747312582E-3</v>
      </c>
      <c r="AT96" s="301">
        <v>2</v>
      </c>
      <c r="AU96" s="302" t="s">
        <v>356</v>
      </c>
      <c r="AV96" s="303"/>
      <c r="AW96" s="440"/>
      <c r="AY96" s="195">
        <v>5</v>
      </c>
      <c r="AZ96" s="110">
        <v>5</v>
      </c>
      <c r="BA96" s="111">
        <v>0.05</v>
      </c>
      <c r="BB96" s="120">
        <f t="shared" si="66"/>
        <v>7.2168783648703227E-3</v>
      </c>
      <c r="BC96" s="123">
        <f t="shared" si="65"/>
        <v>5.0518148554092257E-2</v>
      </c>
    </row>
    <row r="97" spans="22:55" ht="15" customHeight="1">
      <c r="V97" s="849">
        <f>IF(F66="",0,F66/C13)</f>
        <v>0</v>
      </c>
      <c r="W97" s="850">
        <f t="shared" si="64"/>
        <v>0</v>
      </c>
      <c r="X97" s="850">
        <f t="shared" si="62"/>
        <v>0</v>
      </c>
      <c r="Y97" s="851">
        <v>1</v>
      </c>
      <c r="Z97" s="852">
        <v>50</v>
      </c>
      <c r="AA97" s="853">
        <f t="shared" si="63"/>
        <v>0</v>
      </c>
      <c r="AG97" s="6"/>
      <c r="AH97" s="6"/>
      <c r="AM97" s="507" t="s">
        <v>126</v>
      </c>
      <c r="AN97" s="506">
        <v>660000</v>
      </c>
      <c r="AO97" s="490">
        <f>33*1</f>
        <v>33</v>
      </c>
      <c r="AP97" s="507">
        <f t="shared" si="51"/>
        <v>0</v>
      </c>
      <c r="AQ97" s="746"/>
      <c r="AR97" s="362">
        <f t="shared" si="52"/>
        <v>9.1683222747312582E-3</v>
      </c>
      <c r="AT97" s="301">
        <v>3</v>
      </c>
      <c r="AU97" s="302" t="s">
        <v>75</v>
      </c>
      <c r="AV97" s="303"/>
      <c r="AW97" s="440"/>
      <c r="AY97" s="195">
        <v>2</v>
      </c>
      <c r="AZ97" s="110">
        <v>2</v>
      </c>
      <c r="BA97" s="111">
        <v>0.04</v>
      </c>
      <c r="BB97" s="120">
        <f t="shared" si="66"/>
        <v>5.773502691896258E-3</v>
      </c>
      <c r="BC97" s="123">
        <f t="shared" si="65"/>
        <v>2.3094010767585032E-2</v>
      </c>
    </row>
    <row r="98" spans="22:55" ht="15" customHeight="1" thickBot="1">
      <c r="V98" s="849">
        <f>IF(F72="",0,F72/C13)</f>
        <v>0</v>
      </c>
      <c r="W98" s="850">
        <f t="shared" si="64"/>
        <v>0</v>
      </c>
      <c r="X98" s="850">
        <f t="shared" si="62"/>
        <v>0</v>
      </c>
      <c r="Y98" s="851">
        <v>1</v>
      </c>
      <c r="Z98" s="852">
        <v>50</v>
      </c>
      <c r="AA98" s="853">
        <f t="shared" si="63"/>
        <v>0</v>
      </c>
      <c r="AG98" s="6"/>
      <c r="AH98" s="6"/>
      <c r="AM98" s="507" t="s">
        <v>127</v>
      </c>
      <c r="AN98" s="506">
        <v>680000</v>
      </c>
      <c r="AO98" s="490">
        <f>34*1</f>
        <v>34</v>
      </c>
      <c r="AP98" s="507">
        <f t="shared" si="51"/>
        <v>0</v>
      </c>
      <c r="AQ98" s="746"/>
      <c r="AR98" s="362">
        <f t="shared" si="52"/>
        <v>9.1683222747312582E-3</v>
      </c>
      <c r="AT98" s="945" t="s">
        <v>384</v>
      </c>
      <c r="AU98" s="946"/>
      <c r="AV98" s="304">
        <v>1</v>
      </c>
      <c r="AW98" s="438"/>
      <c r="AY98" s="195">
        <v>1</v>
      </c>
      <c r="AZ98" s="110">
        <v>1</v>
      </c>
      <c r="BA98" s="111">
        <v>0.03</v>
      </c>
      <c r="BB98" s="120">
        <f t="shared" si="66"/>
        <v>4.3301270189221933E-3</v>
      </c>
      <c r="BC98" s="123">
        <f t="shared" si="65"/>
        <v>1.299038105676658E-2</v>
      </c>
    </row>
    <row r="99" spans="22:55" ht="15" customHeight="1">
      <c r="V99" s="849">
        <f>IF(F78="",0,F78/C13)</f>
        <v>0</v>
      </c>
      <c r="W99" s="850">
        <f t="shared" si="64"/>
        <v>0</v>
      </c>
      <c r="X99" s="850">
        <f t="shared" si="62"/>
        <v>0</v>
      </c>
      <c r="Y99" s="851">
        <v>1</v>
      </c>
      <c r="Z99" s="852">
        <v>50</v>
      </c>
      <c r="AA99" s="853">
        <f>IF(V99="",0,(X99*Y99)^2)</f>
        <v>0</v>
      </c>
      <c r="AG99" s="6"/>
      <c r="AH99" s="6"/>
      <c r="AM99" s="507" t="s">
        <v>128</v>
      </c>
      <c r="AN99" s="506">
        <v>700000</v>
      </c>
      <c r="AO99" s="490">
        <f>35*1</f>
        <v>35</v>
      </c>
      <c r="AP99" s="507">
        <f t="shared" si="51"/>
        <v>0</v>
      </c>
      <c r="AQ99" s="746"/>
      <c r="AR99" s="362">
        <f t="shared" si="52"/>
        <v>9.1683222747312582E-3</v>
      </c>
      <c r="AT99" s="88"/>
      <c r="AU99" s="88"/>
      <c r="AV99" s="88"/>
      <c r="AW99" s="440"/>
      <c r="AY99" s="195" t="s">
        <v>60</v>
      </c>
      <c r="AZ99" s="110">
        <v>0.5</v>
      </c>
      <c r="BA99" s="111">
        <v>2.5000000000000001E-2</v>
      </c>
      <c r="BB99" s="120">
        <f t="shared" si="66"/>
        <v>3.6084391824351613E-3</v>
      </c>
      <c r="BC99" s="123">
        <f t="shared" si="65"/>
        <v>7.9385662013573555E-3</v>
      </c>
    </row>
    <row r="100" spans="22:55" ht="15" customHeight="1">
      <c r="AG100" s="6"/>
      <c r="AH100" s="6"/>
      <c r="AM100" s="507" t="s">
        <v>129</v>
      </c>
      <c r="AN100" s="506">
        <v>720000</v>
      </c>
      <c r="AO100" s="490">
        <f>36*1</f>
        <v>36</v>
      </c>
      <c r="AP100" s="507">
        <f t="shared" si="51"/>
        <v>0</v>
      </c>
      <c r="AQ100" s="746"/>
      <c r="AR100" s="362">
        <f t="shared" si="52"/>
        <v>9.1683222747312582E-3</v>
      </c>
      <c r="AT100" s="88"/>
      <c r="AU100" s="88"/>
      <c r="AV100" s="88"/>
      <c r="AW100" s="440"/>
      <c r="AY100" s="195" t="s">
        <v>58</v>
      </c>
      <c r="AZ100" s="110">
        <v>0.2</v>
      </c>
      <c r="BA100" s="111">
        <v>0.02</v>
      </c>
      <c r="BB100" s="120">
        <f t="shared" si="66"/>
        <v>2.886751345948129E-3</v>
      </c>
      <c r="BC100" s="123">
        <f t="shared" si="65"/>
        <v>4.6188021535170064E-3</v>
      </c>
    </row>
    <row r="101" spans="22:55" ht="15" customHeight="1" thickBot="1">
      <c r="AG101" s="6"/>
      <c r="AH101" s="6"/>
      <c r="AM101" s="507" t="s">
        <v>130</v>
      </c>
      <c r="AN101" s="506">
        <v>740000</v>
      </c>
      <c r="AO101" s="490">
        <f>37*1</f>
        <v>37</v>
      </c>
      <c r="AP101" s="507">
        <f t="shared" si="51"/>
        <v>0</v>
      </c>
      <c r="AQ101" s="746"/>
      <c r="AR101" s="362">
        <f t="shared" si="52"/>
        <v>9.1683222747312582E-3</v>
      </c>
      <c r="AT101" s="931" t="s">
        <v>97</v>
      </c>
      <c r="AU101" s="932"/>
      <c r="AV101" s="933"/>
      <c r="AW101" s="286"/>
      <c r="AY101" s="196" t="s">
        <v>57</v>
      </c>
      <c r="AZ101" s="112">
        <v>0.1</v>
      </c>
      <c r="BA101" s="113">
        <v>1.6E-2</v>
      </c>
      <c r="BB101" s="121">
        <f t="shared" si="66"/>
        <v>2.3094010767585032E-3</v>
      </c>
      <c r="BC101" s="124">
        <f t="shared" si="65"/>
        <v>3.1754264805429417E-3</v>
      </c>
    </row>
    <row r="102" spans="22:55" ht="15" customHeight="1" thickBot="1">
      <c r="AG102" s="6"/>
      <c r="AH102" s="6"/>
      <c r="AM102" s="507" t="s">
        <v>131</v>
      </c>
      <c r="AN102" s="506">
        <v>760000</v>
      </c>
      <c r="AO102" s="490">
        <f>38*1</f>
        <v>38</v>
      </c>
      <c r="AP102" s="507">
        <f t="shared" si="51"/>
        <v>0</v>
      </c>
      <c r="AQ102" s="746"/>
      <c r="AR102" s="362">
        <f t="shared" si="52"/>
        <v>9.1683222747312582E-3</v>
      </c>
      <c r="AT102" s="301">
        <v>1</v>
      </c>
      <c r="AU102" s="302" t="s">
        <v>290</v>
      </c>
      <c r="AV102" s="303"/>
      <c r="AW102" s="440"/>
      <c r="AY102" s="139" t="s">
        <v>179</v>
      </c>
      <c r="BA102" s="927" t="s">
        <v>240</v>
      </c>
      <c r="BB102" s="927"/>
      <c r="BC102" s="927"/>
    </row>
    <row r="103" spans="22:55" ht="15" customHeight="1" thickBot="1">
      <c r="AG103" s="6"/>
      <c r="AH103" s="6"/>
      <c r="AM103" s="507" t="s">
        <v>132</v>
      </c>
      <c r="AN103" s="506">
        <v>780000</v>
      </c>
      <c r="AO103" s="490">
        <f>39*1</f>
        <v>39</v>
      </c>
      <c r="AP103" s="507">
        <f t="shared" si="51"/>
        <v>0</v>
      </c>
      <c r="AQ103" s="746"/>
      <c r="AR103" s="362">
        <f t="shared" si="52"/>
        <v>9.1683222747312582E-3</v>
      </c>
      <c r="AT103" s="301">
        <v>2</v>
      </c>
      <c r="AU103" s="302" t="s">
        <v>554</v>
      </c>
      <c r="AV103" s="303"/>
      <c r="AW103" s="440"/>
      <c r="AY103" s="141" t="s">
        <v>254</v>
      </c>
      <c r="AZ103" s="138" t="s">
        <v>243</v>
      </c>
      <c r="BA103" s="105" t="s">
        <v>244</v>
      </c>
      <c r="BB103" s="106" t="s">
        <v>245</v>
      </c>
      <c r="BC103" s="118" t="s">
        <v>246</v>
      </c>
    </row>
    <row r="104" spans="22:55" ht="15" customHeight="1">
      <c r="AG104" s="6"/>
      <c r="AH104" s="6"/>
      <c r="AM104" s="507" t="s">
        <v>133</v>
      </c>
      <c r="AN104" s="506">
        <v>800000</v>
      </c>
      <c r="AO104" s="490">
        <f>40*1</f>
        <v>40</v>
      </c>
      <c r="AP104" s="507">
        <f t="shared" si="51"/>
        <v>0</v>
      </c>
      <c r="AQ104" s="746"/>
      <c r="AR104" s="362">
        <f t="shared" si="52"/>
        <v>9.1683222747312582E-3</v>
      </c>
      <c r="AT104" s="301">
        <v>3</v>
      </c>
      <c r="AU104" s="302" t="s">
        <v>555</v>
      </c>
      <c r="AV104" s="303"/>
      <c r="AW104" s="440"/>
      <c r="AY104" s="144" t="s">
        <v>186</v>
      </c>
      <c r="AZ104" s="108">
        <v>50</v>
      </c>
      <c r="BA104" s="115">
        <v>0.3</v>
      </c>
      <c r="BB104" s="119">
        <f>BA104/(4*SQRT(3))</f>
        <v>4.3301270189221933E-2</v>
      </c>
      <c r="BC104" s="122">
        <f t="shared" ref="BC104:BC112" si="67">($AZ93*1000*0.1*$AZ$88/$AZ$89+BA104/4)/SQRT(3)</f>
        <v>0.47631397208144127</v>
      </c>
    </row>
    <row r="105" spans="22:55" ht="15" customHeight="1">
      <c r="AG105" s="6"/>
      <c r="AH105" s="6"/>
      <c r="AM105" s="507" t="s">
        <v>134</v>
      </c>
      <c r="AN105" s="506">
        <v>820000</v>
      </c>
      <c r="AO105" s="490">
        <f>41*1</f>
        <v>41</v>
      </c>
      <c r="AP105" s="507">
        <f t="shared" si="51"/>
        <v>0</v>
      </c>
      <c r="AQ105" s="746"/>
      <c r="AR105" s="362">
        <f t="shared" si="52"/>
        <v>9.1683222747312582E-3</v>
      </c>
      <c r="AT105" s="301">
        <v>4</v>
      </c>
      <c r="AU105" s="302" t="s">
        <v>96</v>
      </c>
      <c r="AV105" s="303"/>
      <c r="AW105" s="440"/>
      <c r="AY105" s="145" t="s">
        <v>184</v>
      </c>
      <c r="AZ105" s="110">
        <v>20</v>
      </c>
      <c r="BA105" s="116">
        <v>0.25</v>
      </c>
      <c r="BB105" s="120">
        <f>BA105/(4*SQRT(3))</f>
        <v>3.6084391824351615E-2</v>
      </c>
      <c r="BC105" s="123">
        <f t="shared" si="67"/>
        <v>0.20928947258123934</v>
      </c>
    </row>
    <row r="106" spans="22:55" ht="12.75" customHeight="1">
      <c r="AG106" s="6"/>
      <c r="AH106" s="6"/>
      <c r="AM106" s="507" t="s">
        <v>135</v>
      </c>
      <c r="AN106" s="506">
        <v>840000</v>
      </c>
      <c r="AO106" s="490">
        <f>42*1</f>
        <v>42</v>
      </c>
      <c r="AP106" s="507">
        <f t="shared" si="51"/>
        <v>0</v>
      </c>
      <c r="AQ106" s="746"/>
      <c r="AR106" s="362">
        <f t="shared" si="52"/>
        <v>9.1683222747312582E-3</v>
      </c>
      <c r="AT106" s="305">
        <v>5</v>
      </c>
      <c r="AU106" s="302" t="s">
        <v>556</v>
      </c>
      <c r="AV106" s="303"/>
      <c r="AW106" s="440"/>
      <c r="AY106" s="145" t="s">
        <v>183</v>
      </c>
      <c r="AZ106" s="110">
        <v>10</v>
      </c>
      <c r="BA106" s="116">
        <v>0.2</v>
      </c>
      <c r="BB106" s="120">
        <f t="shared" ref="BB106:BB112" si="68">BA106/(4*SQRT(3))</f>
        <v>2.8867513459481291E-2</v>
      </c>
      <c r="BC106" s="123">
        <f t="shared" si="67"/>
        <v>0.11547005383792516</v>
      </c>
    </row>
    <row r="107" spans="22:55" ht="15" customHeight="1">
      <c r="AG107" s="6"/>
      <c r="AH107" s="6"/>
      <c r="AM107" s="507" t="s">
        <v>136</v>
      </c>
      <c r="AN107" s="506">
        <v>860000</v>
      </c>
      <c r="AO107" s="490">
        <f>43*1</f>
        <v>43</v>
      </c>
      <c r="AP107" s="507">
        <f t="shared" si="51"/>
        <v>0</v>
      </c>
      <c r="AQ107" s="746"/>
      <c r="AR107" s="362">
        <f t="shared" si="52"/>
        <v>9.1683222747312582E-3</v>
      </c>
      <c r="AT107" s="305">
        <v>6</v>
      </c>
      <c r="AU107" s="302" t="s">
        <v>668</v>
      </c>
      <c r="AV107" s="303"/>
      <c r="AW107" s="438"/>
      <c r="AY107" s="145" t="s">
        <v>182</v>
      </c>
      <c r="AZ107" s="110">
        <v>5</v>
      </c>
      <c r="BA107" s="116">
        <v>0.16</v>
      </c>
      <c r="BB107" s="120">
        <f t="shared" si="68"/>
        <v>2.3094010767585032E-2</v>
      </c>
      <c r="BC107" s="123">
        <f t="shared" si="67"/>
        <v>6.6395280956806968E-2</v>
      </c>
    </row>
    <row r="108" spans="22:55" ht="30" customHeight="1">
      <c r="AG108" s="6"/>
      <c r="AH108" s="6"/>
      <c r="AM108" s="507" t="s">
        <v>137</v>
      </c>
      <c r="AN108" s="506">
        <v>880000</v>
      </c>
      <c r="AO108" s="490">
        <f>44*1</f>
        <v>44</v>
      </c>
      <c r="AP108" s="507">
        <f t="shared" si="51"/>
        <v>0</v>
      </c>
      <c r="AQ108" s="746"/>
      <c r="AR108" s="362">
        <f t="shared" si="52"/>
        <v>9.1683222747312582E-3</v>
      </c>
      <c r="AT108" s="305">
        <v>7</v>
      </c>
      <c r="AU108" s="844" t="s">
        <v>669</v>
      </c>
      <c r="AV108" s="303"/>
      <c r="AW108" s="87"/>
      <c r="AY108" s="145" t="s">
        <v>180</v>
      </c>
      <c r="AZ108" s="110">
        <v>2</v>
      </c>
      <c r="BA108" s="116">
        <v>0.12</v>
      </c>
      <c r="BB108" s="120">
        <f t="shared" si="68"/>
        <v>1.7320508075688773E-2</v>
      </c>
      <c r="BC108" s="123">
        <f t="shared" si="67"/>
        <v>3.4641016151377546E-2</v>
      </c>
    </row>
    <row r="109" spans="22:55" ht="15" customHeight="1" thickBot="1">
      <c r="AG109" s="6"/>
      <c r="AH109" s="6"/>
      <c r="AM109" s="511" t="s">
        <v>138</v>
      </c>
      <c r="AN109" s="512">
        <v>900000</v>
      </c>
      <c r="AO109" s="502">
        <f>45*1</f>
        <v>45</v>
      </c>
      <c r="AP109" s="511">
        <f t="shared" si="51"/>
        <v>0</v>
      </c>
      <c r="AQ109" s="510"/>
      <c r="AR109" s="362">
        <f t="shared" si="52"/>
        <v>9.1683222747312582E-3</v>
      </c>
      <c r="AT109" s="305">
        <v>8</v>
      </c>
      <c r="AU109" s="844" t="s">
        <v>676</v>
      </c>
      <c r="AV109" s="303"/>
      <c r="AY109" s="145" t="s">
        <v>179</v>
      </c>
      <c r="AZ109" s="110">
        <v>1</v>
      </c>
      <c r="BA109" s="116">
        <v>0.1</v>
      </c>
      <c r="BB109" s="120">
        <f t="shared" si="68"/>
        <v>1.4433756729740645E-2</v>
      </c>
      <c r="BC109" s="123">
        <f t="shared" si="67"/>
        <v>2.3094010767585032E-2</v>
      </c>
    </row>
    <row r="110" spans="22:55" ht="15" customHeight="1">
      <c r="AG110" s="6"/>
      <c r="AH110" s="6"/>
      <c r="AM110" s="513" t="s">
        <v>139</v>
      </c>
      <c r="AN110" s="514">
        <v>920000</v>
      </c>
      <c r="AO110" s="515">
        <f>46*1</f>
        <v>46</v>
      </c>
      <c r="AP110" s="513">
        <f t="shared" si="51"/>
        <v>0</v>
      </c>
      <c r="AQ110" s="510"/>
      <c r="AR110" s="362">
        <f t="shared" si="52"/>
        <v>9.1683222747312582E-3</v>
      </c>
      <c r="AT110" s="305">
        <v>9</v>
      </c>
      <c r="AU110" s="844" t="s">
        <v>677</v>
      </c>
      <c r="AV110" s="303"/>
      <c r="AY110" s="145" t="s">
        <v>178</v>
      </c>
      <c r="AZ110" s="110">
        <v>0.5</v>
      </c>
      <c r="BA110" s="116">
        <v>0.08</v>
      </c>
      <c r="BB110" s="120">
        <f t="shared" si="68"/>
        <v>1.1547005383792516E-2</v>
      </c>
      <c r="BC110" s="123">
        <f t="shared" si="67"/>
        <v>1.5877132402714711E-2</v>
      </c>
    </row>
    <row r="111" spans="22:55" ht="15" customHeight="1">
      <c r="AG111" s="6"/>
      <c r="AH111" s="6"/>
      <c r="AM111" s="513" t="s">
        <v>140</v>
      </c>
      <c r="AN111" s="514">
        <v>940000</v>
      </c>
      <c r="AO111" s="515">
        <f>47*1</f>
        <v>47</v>
      </c>
      <c r="AP111" s="513">
        <f t="shared" si="51"/>
        <v>0</v>
      </c>
      <c r="AQ111" s="510"/>
      <c r="AR111" s="362">
        <f t="shared" si="52"/>
        <v>9.1683222747312582E-3</v>
      </c>
      <c r="AT111" s="305">
        <v>10</v>
      </c>
      <c r="AU111" s="844" t="s">
        <v>678</v>
      </c>
      <c r="AV111" s="303"/>
      <c r="AY111" s="145" t="s">
        <v>176</v>
      </c>
      <c r="AZ111" s="110">
        <v>0.2</v>
      </c>
      <c r="BA111" s="116">
        <v>0.06</v>
      </c>
      <c r="BB111" s="120">
        <f t="shared" si="68"/>
        <v>8.6602540378443865E-3</v>
      </c>
      <c r="BC111" s="123">
        <f t="shared" si="67"/>
        <v>1.0392304845413263E-2</v>
      </c>
    </row>
    <row r="112" spans="22:55" ht="15" customHeight="1" thickBot="1">
      <c r="AG112" s="6"/>
      <c r="AH112" s="6"/>
      <c r="AM112" s="513" t="s">
        <v>141</v>
      </c>
      <c r="AN112" s="514">
        <v>960000</v>
      </c>
      <c r="AO112" s="515">
        <f>48*1</f>
        <v>48</v>
      </c>
      <c r="AP112" s="513">
        <f t="shared" si="51"/>
        <v>0</v>
      </c>
      <c r="AQ112" s="510"/>
      <c r="AR112" s="362">
        <f t="shared" si="52"/>
        <v>9.1683222747312582E-3</v>
      </c>
      <c r="AT112" s="945" t="s">
        <v>98</v>
      </c>
      <c r="AU112" s="946"/>
      <c r="AV112" s="304">
        <v>8</v>
      </c>
      <c r="AY112" s="146" t="s">
        <v>175</v>
      </c>
      <c r="AZ112" s="112">
        <v>0.1</v>
      </c>
      <c r="BA112" s="117">
        <v>0.05</v>
      </c>
      <c r="BB112" s="121">
        <f t="shared" si="68"/>
        <v>7.2168783648703227E-3</v>
      </c>
      <c r="BC112" s="124">
        <f t="shared" si="67"/>
        <v>8.082903768654762E-3</v>
      </c>
    </row>
    <row r="113" spans="14:66" ht="15" customHeight="1" thickBot="1">
      <c r="AG113" s="6"/>
      <c r="AH113" s="6"/>
      <c r="AM113" s="513" t="s">
        <v>142</v>
      </c>
      <c r="AN113" s="514">
        <v>980000</v>
      </c>
      <c r="AO113" s="515">
        <f>49*1</f>
        <v>49</v>
      </c>
      <c r="AP113" s="513">
        <f t="shared" si="51"/>
        <v>0</v>
      </c>
      <c r="AQ113" s="510"/>
      <c r="AR113" s="362">
        <f t="shared" si="52"/>
        <v>9.1683222747312582E-3</v>
      </c>
      <c r="AY113" s="139" t="s">
        <v>180</v>
      </c>
      <c r="BA113" s="927" t="s">
        <v>241</v>
      </c>
      <c r="BB113" s="927"/>
      <c r="BC113" s="927"/>
    </row>
    <row r="114" spans="14:66" ht="15" customHeight="1" thickBot="1">
      <c r="AG114" s="6"/>
      <c r="AH114" s="6"/>
      <c r="AM114" s="513" t="s">
        <v>143</v>
      </c>
      <c r="AN114" s="514">
        <v>1000000</v>
      </c>
      <c r="AO114" s="515">
        <f>50*1</f>
        <v>50</v>
      </c>
      <c r="AP114" s="513">
        <f t="shared" si="51"/>
        <v>0</v>
      </c>
      <c r="AQ114" s="510"/>
      <c r="AR114" s="362">
        <f>SQRT((15.88/1000)^2/3)</f>
        <v>9.1683222747312582E-3</v>
      </c>
      <c r="AT114" s="944" t="s">
        <v>566</v>
      </c>
      <c r="AU114" s="932"/>
      <c r="AV114" s="933"/>
      <c r="AY114" s="141" t="s">
        <v>254</v>
      </c>
      <c r="AZ114" s="138" t="s">
        <v>243</v>
      </c>
      <c r="BA114" s="105" t="s">
        <v>244</v>
      </c>
      <c r="BB114" s="106" t="s">
        <v>245</v>
      </c>
      <c r="BC114" s="118" t="s">
        <v>246</v>
      </c>
      <c r="BN114" s="95"/>
    </row>
    <row r="115" spans="14:66" ht="15" customHeight="1">
      <c r="AG115" s="6"/>
      <c r="AH115" s="6"/>
      <c r="AM115" s="513" t="s">
        <v>144</v>
      </c>
      <c r="AN115" s="514">
        <v>1020000</v>
      </c>
      <c r="AO115" s="515">
        <f>51*1</f>
        <v>51</v>
      </c>
      <c r="AP115" s="513">
        <f t="shared" si="51"/>
        <v>0</v>
      </c>
      <c r="AQ115" s="510"/>
      <c r="AR115" s="362">
        <f t="shared" si="52"/>
        <v>9.1683222747312582E-3</v>
      </c>
      <c r="AT115" s="301">
        <v>1</v>
      </c>
      <c r="AU115" s="302" t="s">
        <v>567</v>
      </c>
      <c r="AV115" s="303"/>
      <c r="AY115" s="147"/>
      <c r="AZ115" s="108">
        <v>50</v>
      </c>
      <c r="BA115" s="115">
        <v>1</v>
      </c>
      <c r="BB115" s="125">
        <f>BA115/(4*SQRT(3))</f>
        <v>0.14433756729740646</v>
      </c>
      <c r="BC115" s="130">
        <f t="shared" ref="BC115:BC123" si="69">($AZ93*1000*0.1*$AZ$88/$AZ$89+BA115/4)/SQRT(3)</f>
        <v>0.57735026918962584</v>
      </c>
      <c r="BN115" s="95"/>
    </row>
    <row r="116" spans="14:66" ht="15" customHeight="1">
      <c r="AG116" s="6"/>
      <c r="AH116" s="6"/>
      <c r="AM116" s="513" t="s">
        <v>145</v>
      </c>
      <c r="AN116" s="514">
        <v>1040000</v>
      </c>
      <c r="AO116" s="515">
        <f>52*1</f>
        <v>52</v>
      </c>
      <c r="AP116" s="513">
        <f t="shared" si="51"/>
        <v>0</v>
      </c>
      <c r="AQ116" s="510"/>
      <c r="AR116" s="362">
        <f t="shared" si="52"/>
        <v>9.1683222747312582E-3</v>
      </c>
      <c r="AT116" s="301">
        <v>2</v>
      </c>
      <c r="AU116" s="302" t="s">
        <v>568</v>
      </c>
      <c r="AV116" s="303"/>
      <c r="AY116" s="148"/>
      <c r="AZ116" s="110">
        <v>20</v>
      </c>
      <c r="BA116" s="116">
        <v>0.8</v>
      </c>
      <c r="BB116" s="126">
        <f t="shared" ref="BB116:BB123" si="70">BA116/(4*SQRT(3))</f>
        <v>0.11547005383792516</v>
      </c>
      <c r="BC116" s="131">
        <f t="shared" si="69"/>
        <v>0.28867513459481292</v>
      </c>
      <c r="BN116" s="95"/>
    </row>
    <row r="117" spans="14:66" ht="15" customHeight="1">
      <c r="AG117" s="6"/>
      <c r="AH117" s="6"/>
      <c r="AM117" s="513" t="s">
        <v>146</v>
      </c>
      <c r="AN117" s="514">
        <v>1060000</v>
      </c>
      <c r="AO117" s="515">
        <f>53*1</f>
        <v>53</v>
      </c>
      <c r="AP117" s="513">
        <f t="shared" si="51"/>
        <v>0</v>
      </c>
      <c r="AQ117" s="510"/>
      <c r="AR117" s="362">
        <f t="shared" si="52"/>
        <v>9.1683222747312582E-3</v>
      </c>
      <c r="AT117" s="301">
        <v>3</v>
      </c>
      <c r="AU117" s="302" t="s">
        <v>569</v>
      </c>
      <c r="AV117" s="303"/>
      <c r="AY117" s="148"/>
      <c r="AZ117" s="110">
        <v>10</v>
      </c>
      <c r="BA117" s="116">
        <v>0.6</v>
      </c>
      <c r="BB117" s="126">
        <f t="shared" si="70"/>
        <v>8.6602540378443865E-2</v>
      </c>
      <c r="BC117" s="131">
        <f t="shared" si="69"/>
        <v>0.17320508075688773</v>
      </c>
      <c r="BN117" s="95"/>
    </row>
    <row r="118" spans="14:66" ht="15" customHeight="1" thickBot="1">
      <c r="AG118" s="6"/>
      <c r="AH118" s="6"/>
      <c r="AM118" s="513" t="s">
        <v>147</v>
      </c>
      <c r="AN118" s="514">
        <v>1080000</v>
      </c>
      <c r="AO118" s="515">
        <f>54*1</f>
        <v>54</v>
      </c>
      <c r="AP118" s="513">
        <f t="shared" si="51"/>
        <v>0</v>
      </c>
      <c r="AQ118" s="510"/>
      <c r="AR118" s="362">
        <f t="shared" si="52"/>
        <v>9.1683222747312582E-3</v>
      </c>
      <c r="AT118" s="945" t="s">
        <v>384</v>
      </c>
      <c r="AU118" s="946"/>
      <c r="AV118" s="304">
        <v>3</v>
      </c>
      <c r="AY118" s="148"/>
      <c r="AZ118" s="110">
        <v>5</v>
      </c>
      <c r="BA118" s="116">
        <v>0.5</v>
      </c>
      <c r="BB118" s="126">
        <f t="shared" si="70"/>
        <v>7.216878364870323E-2</v>
      </c>
      <c r="BC118" s="131">
        <f t="shared" si="69"/>
        <v>0.11547005383792516</v>
      </c>
      <c r="BH118" s="95"/>
      <c r="BN118" s="95"/>
    </row>
    <row r="119" spans="14:66" ht="15" customHeight="1" thickBot="1">
      <c r="AG119" s="6"/>
      <c r="AH119" s="6"/>
      <c r="AM119" s="513" t="s">
        <v>148</v>
      </c>
      <c r="AN119" s="514">
        <v>1100000</v>
      </c>
      <c r="AO119" s="515">
        <f>55*1</f>
        <v>55</v>
      </c>
      <c r="AP119" s="513">
        <f t="shared" si="51"/>
        <v>0</v>
      </c>
      <c r="AQ119" s="534"/>
      <c r="AR119" s="362">
        <f t="shared" si="52"/>
        <v>9.1683222747312582E-3</v>
      </c>
      <c r="AY119" s="148"/>
      <c r="AZ119" s="110">
        <v>2</v>
      </c>
      <c r="BA119" s="116">
        <v>0.4</v>
      </c>
      <c r="BB119" s="126">
        <f t="shared" si="70"/>
        <v>5.7735026918962581E-2</v>
      </c>
      <c r="BC119" s="131">
        <f t="shared" si="69"/>
        <v>7.5055534994651354E-2</v>
      </c>
    </row>
    <row r="120" spans="14:66" ht="15" customHeight="1">
      <c r="U120" s="69"/>
      <c r="AG120" s="6"/>
      <c r="AH120" s="6"/>
      <c r="AM120" s="543">
        <v>529</v>
      </c>
      <c r="AN120" s="542" t="s">
        <v>197</v>
      </c>
      <c r="AO120" s="530" t="str">
        <f>IF(AP120=0,"NÃO","SIM")</f>
        <v>NÃO</v>
      </c>
      <c r="AP120" s="531">
        <f>IF(ISERROR(SUM(AP121:AP140)),SUM(AP121:AP140),SUM(AP121:AP140))</f>
        <v>0</v>
      </c>
      <c r="AQ120" s="507"/>
      <c r="AR120" s="93"/>
      <c r="AY120" s="148"/>
      <c r="AZ120" s="110">
        <v>1</v>
      </c>
      <c r="BA120" s="116">
        <v>0.3</v>
      </c>
      <c r="BB120" s="126">
        <f t="shared" si="70"/>
        <v>4.3301270189221933E-2</v>
      </c>
      <c r="BC120" s="131">
        <f t="shared" si="69"/>
        <v>5.1961524227066319E-2</v>
      </c>
    </row>
    <row r="121" spans="14:66" ht="15" customHeight="1">
      <c r="U121" s="69"/>
      <c r="V121" s="6"/>
      <c r="W121" s="6"/>
      <c r="X121" s="6"/>
      <c r="AG121" s="6"/>
      <c r="AH121" s="6"/>
      <c r="AM121" s="491" t="s">
        <v>101</v>
      </c>
      <c r="AN121" s="506">
        <v>1000000</v>
      </c>
      <c r="AO121" s="490">
        <f>50</f>
        <v>50</v>
      </c>
      <c r="AP121" s="507">
        <f t="shared" ref="AP121:AP140" si="71">IF(ISERROR(MATCH(AM121,$B$32:$B$77,0)),0,(MATCH(AM121,$B$32:$B$77,0)))+IF(ISERROR(MATCH(AM121,$C$32:$C$77,0)),0,(MATCH(AM121,$C$32:$C$77,0)))</f>
        <v>0</v>
      </c>
      <c r="AQ121" s="507"/>
      <c r="AR121" s="362">
        <f t="shared" si="52"/>
        <v>9.1683222747312582E-3</v>
      </c>
      <c r="AY121" s="148"/>
      <c r="AZ121" s="110">
        <v>0.5</v>
      </c>
      <c r="BA121" s="116">
        <v>0.25</v>
      </c>
      <c r="BB121" s="126">
        <f t="shared" si="70"/>
        <v>3.6084391824351615E-2</v>
      </c>
      <c r="BC121" s="131">
        <f t="shared" si="69"/>
        <v>4.0414518843273808E-2</v>
      </c>
    </row>
    <row r="122" spans="14:66" ht="15" customHeight="1">
      <c r="U122" s="69"/>
      <c r="V122" s="6"/>
      <c r="W122" s="6"/>
      <c r="X122" s="6"/>
      <c r="AG122" s="6"/>
      <c r="AH122" s="6"/>
      <c r="AM122" s="491" t="s">
        <v>102</v>
      </c>
      <c r="AN122" s="506">
        <v>2000000</v>
      </c>
      <c r="AO122" s="490">
        <f>2*50</f>
        <v>100</v>
      </c>
      <c r="AP122" s="507">
        <f t="shared" si="71"/>
        <v>0</v>
      </c>
      <c r="AQ122" s="507"/>
      <c r="AR122" s="362">
        <f t="shared" si="52"/>
        <v>9.1683222747312582E-3</v>
      </c>
      <c r="AY122" s="148"/>
      <c r="AZ122" s="110">
        <v>0.2</v>
      </c>
      <c r="BA122" s="116">
        <v>0.2</v>
      </c>
      <c r="BB122" s="126">
        <f t="shared" si="70"/>
        <v>2.8867513459481291E-2</v>
      </c>
      <c r="BC122" s="131">
        <f t="shared" si="69"/>
        <v>3.0599564267050169E-2</v>
      </c>
    </row>
    <row r="123" spans="14:66" ht="15" customHeight="1" thickBot="1">
      <c r="U123" s="69"/>
      <c r="V123" s="6"/>
      <c r="W123" s="6"/>
      <c r="X123" s="6"/>
      <c r="AG123" s="6"/>
      <c r="AH123" s="6"/>
      <c r="AM123" s="491" t="s">
        <v>103</v>
      </c>
      <c r="AN123" s="506">
        <v>3000000</v>
      </c>
      <c r="AO123" s="490">
        <f>3*50</f>
        <v>150</v>
      </c>
      <c r="AP123" s="507">
        <f t="shared" si="71"/>
        <v>0</v>
      </c>
      <c r="AQ123" s="507"/>
      <c r="AR123" s="362">
        <f t="shared" si="52"/>
        <v>9.1683222747312582E-3</v>
      </c>
      <c r="AY123" s="149"/>
      <c r="AZ123" s="112">
        <v>0.1</v>
      </c>
      <c r="BA123" s="117">
        <v>0.16</v>
      </c>
      <c r="BB123" s="127">
        <f t="shared" si="70"/>
        <v>2.3094010767585032E-2</v>
      </c>
      <c r="BC123" s="132">
        <f t="shared" si="69"/>
        <v>2.3960036171369471E-2</v>
      </c>
    </row>
    <row r="124" spans="14:66" ht="15" customHeight="1" thickBot="1">
      <c r="U124" s="69"/>
      <c r="V124" s="6"/>
      <c r="W124" s="6"/>
      <c r="X124" s="6"/>
      <c r="AG124" s="6"/>
      <c r="AH124" s="6"/>
      <c r="AM124" s="505" t="s">
        <v>104</v>
      </c>
      <c r="AN124" s="506">
        <v>4000000</v>
      </c>
      <c r="AO124" s="490">
        <f>4*50</f>
        <v>200</v>
      </c>
      <c r="AP124" s="507">
        <f t="shared" si="71"/>
        <v>0</v>
      </c>
      <c r="AQ124" s="507"/>
      <c r="AR124" s="362">
        <f t="shared" si="52"/>
        <v>9.1683222747312582E-3</v>
      </c>
      <c r="AY124" s="139" t="s">
        <v>256</v>
      </c>
      <c r="BA124" s="927" t="s">
        <v>242</v>
      </c>
      <c r="BB124" s="927"/>
      <c r="BC124" s="958"/>
    </row>
    <row r="125" spans="14:66" ht="15" customHeight="1" thickBot="1">
      <c r="U125" s="69"/>
      <c r="V125" s="6"/>
      <c r="W125" s="6"/>
      <c r="X125" s="6"/>
      <c r="AG125" s="6"/>
      <c r="AH125" s="6"/>
      <c r="AM125" s="505" t="s">
        <v>105</v>
      </c>
      <c r="AN125" s="506">
        <v>5000000</v>
      </c>
      <c r="AO125" s="490">
        <f>5*50</f>
        <v>250</v>
      </c>
      <c r="AP125" s="507">
        <f t="shared" si="71"/>
        <v>0</v>
      </c>
      <c r="AQ125" s="507"/>
      <c r="AR125" s="362">
        <f t="shared" si="52"/>
        <v>9.1683222747312582E-3</v>
      </c>
      <c r="AY125" s="141" t="s">
        <v>254</v>
      </c>
      <c r="AZ125" s="138" t="s">
        <v>243</v>
      </c>
      <c r="BA125" s="105" t="s">
        <v>244</v>
      </c>
      <c r="BB125" s="106" t="s">
        <v>245</v>
      </c>
      <c r="BC125" s="118" t="s">
        <v>246</v>
      </c>
    </row>
    <row r="126" spans="14:66" ht="15" customHeight="1">
      <c r="U126" s="69"/>
      <c r="V126" s="6"/>
      <c r="W126" s="6"/>
      <c r="X126" s="6"/>
      <c r="AG126" s="6"/>
      <c r="AH126" s="6"/>
      <c r="AM126" s="505" t="s">
        <v>106</v>
      </c>
      <c r="AN126" s="506">
        <v>6000000</v>
      </c>
      <c r="AO126" s="490">
        <f>6*50</f>
        <v>300</v>
      </c>
      <c r="AP126" s="507">
        <f t="shared" si="71"/>
        <v>0</v>
      </c>
      <c r="AQ126" s="507"/>
      <c r="AR126" s="362">
        <f t="shared" si="52"/>
        <v>9.1683222747312582E-3</v>
      </c>
      <c r="AY126" s="150"/>
      <c r="AZ126" s="108">
        <v>50</v>
      </c>
      <c r="BA126" s="128">
        <f t="shared" ref="BA126:BA134" si="72">BA104*10</f>
        <v>3</v>
      </c>
      <c r="BB126" s="125">
        <f>BA126/(4*SQRT(3))</f>
        <v>0.43301270189221935</v>
      </c>
      <c r="BC126" s="130">
        <f t="shared" ref="BC126:BC134" si="73">($AZ93*1000*0.1*$AZ$88/$AZ$89+BA126/4)/SQRT(3)</f>
        <v>0.86602540378443871</v>
      </c>
    </row>
    <row r="127" spans="14:66">
      <c r="N127" s="17"/>
      <c r="U127" s="69"/>
      <c r="V127" s="6"/>
      <c r="W127" s="6"/>
      <c r="X127" s="6"/>
      <c r="AG127" s="6"/>
      <c r="AH127" s="6"/>
      <c r="AM127" s="505" t="s">
        <v>107</v>
      </c>
      <c r="AN127" s="506">
        <v>7000000</v>
      </c>
      <c r="AO127" s="490">
        <f>7*50</f>
        <v>350</v>
      </c>
      <c r="AP127" s="507">
        <f t="shared" si="71"/>
        <v>0</v>
      </c>
      <c r="AQ127" s="507"/>
      <c r="AR127" s="362">
        <f t="shared" si="52"/>
        <v>9.1683222747312582E-3</v>
      </c>
      <c r="AY127" s="151"/>
      <c r="AZ127" s="110">
        <v>20</v>
      </c>
      <c r="BA127" s="129">
        <f t="shared" si="72"/>
        <v>2.5</v>
      </c>
      <c r="BB127" s="126">
        <f t="shared" ref="BB127:BB134" si="74">BA127/(4*SQRT(3))</f>
        <v>0.36084391824351614</v>
      </c>
      <c r="BC127" s="131">
        <f t="shared" si="73"/>
        <v>0.53404899900040392</v>
      </c>
    </row>
    <row r="128" spans="14:66" ht="15" customHeight="1">
      <c r="N128" s="17"/>
      <c r="U128" s="69"/>
      <c r="V128" s="6"/>
      <c r="W128" s="6"/>
      <c r="X128" s="6"/>
      <c r="AG128" s="6"/>
      <c r="AH128" s="6"/>
      <c r="AM128" s="505" t="s">
        <v>108</v>
      </c>
      <c r="AN128" s="506">
        <v>8000000</v>
      </c>
      <c r="AO128" s="490">
        <f>8*50</f>
        <v>400</v>
      </c>
      <c r="AP128" s="507">
        <f t="shared" si="71"/>
        <v>0</v>
      </c>
      <c r="AQ128" s="507"/>
      <c r="AR128" s="362">
        <f t="shared" si="52"/>
        <v>9.1683222747312582E-3</v>
      </c>
      <c r="AY128" s="151"/>
      <c r="AZ128" s="110">
        <v>10</v>
      </c>
      <c r="BA128" s="129">
        <f t="shared" si="72"/>
        <v>2</v>
      </c>
      <c r="BB128" s="126">
        <f t="shared" si="74"/>
        <v>0.28867513459481292</v>
      </c>
      <c r="BC128" s="131">
        <f t="shared" si="73"/>
        <v>0.37527767497325676</v>
      </c>
    </row>
    <row r="129" spans="4:84" ht="15" customHeight="1">
      <c r="N129" s="17"/>
      <c r="O129" s="17"/>
      <c r="P129" s="17"/>
      <c r="Q129" s="17"/>
      <c r="R129" s="69"/>
      <c r="S129" s="69"/>
      <c r="T129" s="69"/>
      <c r="U129" s="69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M129" s="505" t="s">
        <v>109</v>
      </c>
      <c r="AN129" s="506">
        <v>9000000</v>
      </c>
      <c r="AO129" s="490">
        <f>9*50</f>
        <v>450</v>
      </c>
      <c r="AP129" s="507">
        <f t="shared" si="71"/>
        <v>0</v>
      </c>
      <c r="AQ129" s="507"/>
      <c r="AR129" s="362">
        <f t="shared" si="52"/>
        <v>9.1683222747312582E-3</v>
      </c>
      <c r="AY129" s="151"/>
      <c r="AZ129" s="110">
        <v>5</v>
      </c>
      <c r="BA129" s="129">
        <f t="shared" si="72"/>
        <v>1.6</v>
      </c>
      <c r="BB129" s="126">
        <f t="shared" si="74"/>
        <v>0.23094010767585033</v>
      </c>
      <c r="BC129" s="131">
        <f t="shared" si="73"/>
        <v>0.2742413778650723</v>
      </c>
    </row>
    <row r="130" spans="4:84" ht="15" customHeight="1">
      <c r="N130" s="17"/>
      <c r="O130" s="17"/>
      <c r="P130" s="17"/>
      <c r="Q130" s="17"/>
      <c r="R130" s="69"/>
      <c r="S130" s="69"/>
      <c r="T130" s="69"/>
      <c r="U130" s="69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M130" s="505" t="s">
        <v>110</v>
      </c>
      <c r="AN130" s="506">
        <v>10000000</v>
      </c>
      <c r="AO130" s="490">
        <f>10*50</f>
        <v>500</v>
      </c>
      <c r="AP130" s="507">
        <f t="shared" si="71"/>
        <v>0</v>
      </c>
      <c r="AQ130" s="507"/>
      <c r="AR130" s="362">
        <f t="shared" ref="AR130:AR140" si="75">SQRT((15.88/1000)^2/3)</f>
        <v>9.1683222747312582E-3</v>
      </c>
      <c r="AY130" s="151"/>
      <c r="AZ130" s="110">
        <v>2</v>
      </c>
      <c r="BA130" s="129">
        <f t="shared" si="72"/>
        <v>1.2</v>
      </c>
      <c r="BB130" s="126">
        <f t="shared" si="74"/>
        <v>0.17320508075688773</v>
      </c>
      <c r="BC130" s="131">
        <f t="shared" si="73"/>
        <v>0.1905255888325765</v>
      </c>
    </row>
    <row r="131" spans="4:84" ht="15" customHeight="1">
      <c r="N131" s="17"/>
      <c r="O131" s="17"/>
      <c r="P131" s="17"/>
      <c r="Q131" s="17"/>
      <c r="R131" s="69"/>
      <c r="S131" s="69"/>
      <c r="T131" s="69"/>
      <c r="U131" s="69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M131" s="505" t="s">
        <v>111</v>
      </c>
      <c r="AN131" s="506">
        <v>11000000</v>
      </c>
      <c r="AO131" s="490">
        <f>11*50</f>
        <v>550</v>
      </c>
      <c r="AP131" s="507">
        <f t="shared" si="71"/>
        <v>0</v>
      </c>
      <c r="AQ131" s="507"/>
      <c r="AR131" s="362">
        <f t="shared" si="75"/>
        <v>9.1683222747312582E-3</v>
      </c>
      <c r="AY131" s="151"/>
      <c r="AZ131" s="110">
        <v>1</v>
      </c>
      <c r="BA131" s="129">
        <f t="shared" si="72"/>
        <v>1</v>
      </c>
      <c r="BB131" s="126">
        <f t="shared" si="74"/>
        <v>0.14433756729740646</v>
      </c>
      <c r="BC131" s="131">
        <f t="shared" si="73"/>
        <v>0.15299782133525083</v>
      </c>
    </row>
    <row r="132" spans="4:84" ht="15" customHeight="1">
      <c r="N132" s="17"/>
      <c r="O132" s="17"/>
      <c r="P132" s="17"/>
      <c r="Q132" s="17"/>
      <c r="R132" s="69"/>
      <c r="S132" s="69"/>
      <c r="T132" s="69"/>
      <c r="U132" s="69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M132" s="505" t="s">
        <v>112</v>
      </c>
      <c r="AN132" s="506">
        <v>12000000</v>
      </c>
      <c r="AO132" s="490">
        <f>12*50</f>
        <v>600</v>
      </c>
      <c r="AP132" s="507">
        <f t="shared" si="71"/>
        <v>0</v>
      </c>
      <c r="AQ132" s="507"/>
      <c r="AR132" s="362">
        <f t="shared" si="75"/>
        <v>9.1683222747312582E-3</v>
      </c>
      <c r="AY132" s="151"/>
      <c r="AZ132" s="110">
        <v>0.5</v>
      </c>
      <c r="BA132" s="129">
        <f t="shared" si="72"/>
        <v>0.8</v>
      </c>
      <c r="BB132" s="126">
        <f t="shared" si="74"/>
        <v>0.11547005383792516</v>
      </c>
      <c r="BC132" s="131">
        <f t="shared" si="73"/>
        <v>0.11980018085684736</v>
      </c>
    </row>
    <row r="133" spans="4:84" ht="15" customHeight="1">
      <c r="N133" s="17"/>
      <c r="O133" s="17"/>
      <c r="P133" s="17"/>
      <c r="Q133" s="17"/>
      <c r="R133" s="69"/>
      <c r="S133" s="69"/>
      <c r="T133" s="69"/>
      <c r="U133" s="69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M133" s="491" t="s">
        <v>113</v>
      </c>
      <c r="AN133" s="506">
        <v>13000000</v>
      </c>
      <c r="AO133" s="490">
        <f>13*50</f>
        <v>650</v>
      </c>
      <c r="AP133" s="507">
        <f t="shared" si="71"/>
        <v>0</v>
      </c>
      <c r="AQ133" s="507"/>
      <c r="AR133" s="362">
        <f t="shared" si="75"/>
        <v>9.1683222747312582E-3</v>
      </c>
      <c r="AY133" s="151"/>
      <c r="AZ133" s="110">
        <v>0.2</v>
      </c>
      <c r="BA133" s="129">
        <f t="shared" si="72"/>
        <v>0.6</v>
      </c>
      <c r="BB133" s="126">
        <f t="shared" si="74"/>
        <v>8.6602540378443865E-2</v>
      </c>
      <c r="BC133" s="131">
        <f t="shared" si="73"/>
        <v>8.8334591186012751E-2</v>
      </c>
    </row>
    <row r="134" spans="4:84" ht="15" customHeight="1">
      <c r="D134"/>
      <c r="L134"/>
      <c r="M134" s="87"/>
      <c r="N134" s="17"/>
      <c r="O134" s="17"/>
      <c r="P134" s="17"/>
      <c r="Q134" s="17"/>
      <c r="R134" s="69"/>
      <c r="S134" s="69"/>
      <c r="T134" s="69"/>
      <c r="U134" s="69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M134" s="491" t="s">
        <v>114</v>
      </c>
      <c r="AN134" s="506">
        <v>14000000</v>
      </c>
      <c r="AO134" s="490">
        <f>14*50</f>
        <v>700</v>
      </c>
      <c r="AP134" s="507">
        <f t="shared" si="71"/>
        <v>0</v>
      </c>
      <c r="AQ134" s="507"/>
      <c r="AR134" s="362">
        <f t="shared" si="75"/>
        <v>9.1683222747312582E-3</v>
      </c>
      <c r="AY134" s="186"/>
      <c r="AZ134" s="187">
        <v>0.1</v>
      </c>
      <c r="BA134" s="188">
        <f t="shared" si="72"/>
        <v>0.5</v>
      </c>
      <c r="BB134" s="189">
        <f t="shared" si="74"/>
        <v>7.216878364870323E-2</v>
      </c>
      <c r="BC134" s="190">
        <f t="shared" si="73"/>
        <v>7.3034809052487659E-2</v>
      </c>
      <c r="BN134" s="827" t="s">
        <v>618</v>
      </c>
    </row>
    <row r="135" spans="4:84" ht="15" customHeight="1" thickBot="1">
      <c r="D135"/>
      <c r="L135"/>
      <c r="M135" s="87"/>
      <c r="N135" s="17"/>
      <c r="O135" s="17"/>
      <c r="P135" s="17"/>
      <c r="Q135" s="17"/>
      <c r="R135" s="69"/>
      <c r="S135" s="69"/>
      <c r="T135" s="69"/>
      <c r="U135" s="69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M135" s="491" t="s">
        <v>115</v>
      </c>
      <c r="AN135" s="506">
        <v>15000000</v>
      </c>
      <c r="AO135" s="490">
        <f>15*50</f>
        <v>750</v>
      </c>
      <c r="AP135" s="507">
        <f t="shared" si="71"/>
        <v>0</v>
      </c>
      <c r="AQ135" s="507"/>
      <c r="AR135" s="362">
        <f t="shared" si="75"/>
        <v>9.1683222747312582E-3</v>
      </c>
      <c r="AY135" s="968" t="s">
        <v>247</v>
      </c>
      <c r="AZ135" s="968"/>
      <c r="BA135" s="968"/>
      <c r="BB135" s="968"/>
      <c r="BC135" s="968"/>
      <c r="BD135" s="968"/>
      <c r="BE135" s="968"/>
      <c r="BF135" s="968"/>
      <c r="BG135" s="968"/>
      <c r="BH135" s="968"/>
      <c r="BI135" s="968"/>
      <c r="BJ135" s="968"/>
      <c r="BK135" s="820"/>
      <c r="BL135" s="820"/>
      <c r="BM135" s="872" t="s">
        <v>611</v>
      </c>
      <c r="BN135" s="872"/>
      <c r="BO135" s="872"/>
      <c r="BP135" s="872"/>
      <c r="BQ135" s="873" t="s">
        <v>610</v>
      </c>
      <c r="BR135" s="873"/>
      <c r="BS135" s="873"/>
      <c r="BT135" s="873"/>
      <c r="BU135" s="873"/>
      <c r="BV135" s="873"/>
      <c r="BW135" s="873"/>
      <c r="BX135" s="873"/>
      <c r="BY135" s="874" t="s">
        <v>606</v>
      </c>
      <c r="BZ135" s="875"/>
      <c r="CA135" s="875"/>
      <c r="CB135" s="875"/>
      <c r="CC135" s="875"/>
      <c r="CD135" s="875"/>
      <c r="CE135" s="875"/>
      <c r="CF135" s="875"/>
    </row>
    <row r="136" spans="4:84" ht="15" customHeight="1" thickBot="1">
      <c r="D136"/>
      <c r="L136"/>
      <c r="M136" s="87"/>
      <c r="N136" s="17"/>
      <c r="O136" s="17"/>
      <c r="P136" s="17"/>
      <c r="Q136" s="17"/>
      <c r="R136" s="69"/>
      <c r="S136" s="69"/>
      <c r="T136" s="69"/>
      <c r="U136" s="69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M136" s="491" t="s">
        <v>116</v>
      </c>
      <c r="AN136" s="506">
        <v>16000000</v>
      </c>
      <c r="AO136" s="490">
        <f>16*50</f>
        <v>800</v>
      </c>
      <c r="AP136" s="507">
        <f t="shared" si="71"/>
        <v>0</v>
      </c>
      <c r="AQ136" s="507"/>
      <c r="AR136" s="362">
        <f t="shared" si="75"/>
        <v>9.1683222747312582E-3</v>
      </c>
      <c r="AY136" s="139" t="s">
        <v>255</v>
      </c>
      <c r="AZ136" s="192" t="s">
        <v>280</v>
      </c>
      <c r="BA136" s="963" t="s">
        <v>239</v>
      </c>
      <c r="BB136" s="927"/>
      <c r="BC136" s="927"/>
      <c r="BL136" s="785" t="s">
        <v>606</v>
      </c>
      <c r="BM136" s="787" t="s">
        <v>608</v>
      </c>
      <c r="BN136" s="783" t="s">
        <v>280</v>
      </c>
      <c r="BO136" s="783" t="s">
        <v>609</v>
      </c>
      <c r="BP136" s="798" t="s">
        <v>280</v>
      </c>
      <c r="BQ136" s="799">
        <v>1</v>
      </c>
      <c r="BR136" s="800">
        <v>2</v>
      </c>
      <c r="BS136" s="800">
        <v>3</v>
      </c>
      <c r="BT136" s="800">
        <v>4</v>
      </c>
      <c r="BU136" s="800">
        <v>5</v>
      </c>
      <c r="BV136" s="800">
        <v>6</v>
      </c>
      <c r="BW136" s="800">
        <v>7</v>
      </c>
      <c r="BX136" s="801">
        <v>8</v>
      </c>
      <c r="BY136" s="799">
        <v>1</v>
      </c>
      <c r="BZ136" s="800">
        <v>2</v>
      </c>
      <c r="CA136" s="800">
        <v>3</v>
      </c>
      <c r="CB136" s="800">
        <v>4</v>
      </c>
      <c r="CC136" s="800">
        <v>5</v>
      </c>
      <c r="CD136" s="800">
        <v>6</v>
      </c>
      <c r="CE136" s="800">
        <v>7</v>
      </c>
      <c r="CF136" s="810">
        <v>8</v>
      </c>
    </row>
    <row r="137" spans="4:84" ht="15" customHeight="1" thickBot="1">
      <c r="D137"/>
      <c r="L137"/>
      <c r="M137" s="87"/>
      <c r="N137" s="17"/>
      <c r="O137" s="17"/>
      <c r="P137" s="17"/>
      <c r="Q137" s="17"/>
      <c r="R137" s="69"/>
      <c r="S137" s="69"/>
      <c r="T137" s="69"/>
      <c r="U137" s="69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M137" s="491" t="s">
        <v>117</v>
      </c>
      <c r="AN137" s="506">
        <v>17000000</v>
      </c>
      <c r="AO137" s="490">
        <f>17*50</f>
        <v>850</v>
      </c>
      <c r="AP137" s="507">
        <f t="shared" si="71"/>
        <v>0</v>
      </c>
      <c r="AQ137" s="507"/>
      <c r="AR137" s="362">
        <f t="shared" si="75"/>
        <v>9.1683222747312582E-3</v>
      </c>
      <c r="AY137" s="142" t="s">
        <v>254</v>
      </c>
      <c r="AZ137" s="133" t="s">
        <v>251</v>
      </c>
      <c r="BA137" s="114" t="s">
        <v>248</v>
      </c>
      <c r="BB137" s="106" t="s">
        <v>249</v>
      </c>
      <c r="BC137" s="107" t="s">
        <v>250</v>
      </c>
      <c r="BL137" s="786" t="s">
        <v>641</v>
      </c>
      <c r="BM137" s="782">
        <v>1</v>
      </c>
      <c r="BN137" s="782">
        <v>1E-3</v>
      </c>
      <c r="BO137" s="788" t="s">
        <v>571</v>
      </c>
      <c r="BP137" s="790">
        <f>0.005</f>
        <v>5.0000000000000001E-3</v>
      </c>
      <c r="BQ137" s="793" t="str">
        <f t="shared" ref="BQ137:BQ154" si="76">IF(AND($AV$77="g",$D$32&lt;=BN138,$D$32&gt;BN137),$D$32,IF(AND($AV$77="kg",$D$32*1000&lt;=BN138,$D$32*1000&gt;BN137),$D$32*1000,IF(AND($AV$77="mg",$D$32*0.001&lt;=BN138,$D$32*0.001&gt;BN137),$D$32*0.001,"")))</f>
        <v/>
      </c>
      <c r="BR137" s="794" t="str">
        <f t="shared" ref="BR137:BR154" si="77">IF(AND($AV$77="g",$D$37&lt;=BN138,$D$32&gt;BN137),$D$37,IF(AND($AV$77="kg",$D$37*1000&lt;=BN138,$D$37*1000&gt;BN137),$D$37*1000,IF(AND($AV$77="mg",$D$37*0.001&lt;=BN138,$D$37*0.001&gt;BN137),$D$37*0.001,"")))</f>
        <v/>
      </c>
      <c r="BS137" s="794" t="str">
        <f t="shared" ref="BS137:BS154" si="78">IF(AND($AV$77="g",$D$43&lt;=BN138,$D$43&gt;BN137),$D$43,IF(AND($AV$77="kg",$D$43*1000&lt;=BN138,$D$43*1000&gt;BN137),$D$43*1000,IF(AND($AV$77="mg",$D$43*0.001&lt;=BN138,$D$43*0.001&gt;BN137),$D$43*0.001,"")))</f>
        <v/>
      </c>
      <c r="BT137" s="794" t="str">
        <f t="shared" ref="BT137:BT154" si="79">IF(AND($AV$77="g",$D$49&lt;=BN138,$D$49&gt;BN137),$D$49,IF(AND($AV$77="kg",$D$49*1000&lt;=BN138,$D$49*1000&gt;BN137),$D$49*1000,IF(AND($AV$77="mg",$D$49*0.001&lt;=BN138,$D$49*0.001&gt;BN137),$D$49*0.001,"")))</f>
        <v/>
      </c>
      <c r="BU137" s="794" t="str">
        <f t="shared" ref="BU137:BU154" si="80">IF(AND($AV$77="g",$D$55&lt;=BN138,$D$55&gt;BN137),$D$55,IF(AND($AV$77="kg",$D$55*1000&lt;=BN138,$D$55*1000&gt;BN137),$D$55*1000,IF(AND($AV$77="mg",$D$55*0.001&lt;=BN138,$D$55*0.001&gt;BN137),$D$55*0.001,"")))</f>
        <v/>
      </c>
      <c r="BV137" s="794" t="str">
        <f t="shared" ref="BV137:BV154" si="81">IF(AND($AV$77="g",$D$61&lt;=BN138,$D$61&gt;BN137),$D$61,IF(AND($AV$77="kg",$D$61*1000&lt;=BN138,$D$61*1000&gt;BN137),$D$61*1000,IF(AND($AV$77="mg",$D$61*0.001&lt;=BN138,$D$61*0.001&gt;BN137),$D$61*0.001,"")))</f>
        <v/>
      </c>
      <c r="BW137" s="794" t="str">
        <f t="shared" ref="BW137:BW154" si="82">IF(AND($AV$77="g",$D$67&lt;=BN138,$D$67&gt;BN137),$D$67,IF(AND($AV$77="kg",$D$67*1000&lt;=BN138,$D$67*1000&gt;BN137),$D$67*1000,IF(AND($AV$77="mg",$D$67*0.001&lt;=BN138,$D$67*0.001&gt;BN137),$D$67*0.001,"")))</f>
        <v/>
      </c>
      <c r="BX137" s="401" t="str">
        <f t="shared" ref="BX137:BX154" si="83">IF(AND($AV$77="g",$D$73&lt;=BN138,$D$73&gt;BN137),$D$73,IF(AND($AV$77="kg",$D$73*1000&lt;=BN138,$D$73*1000&gt;BN137),$D$73*1000,IF(AND($AV$77="mg",$D$73*0.001&lt;=BN138,$D$73*0.001&gt;BN137),$D$73*0.001,"")))</f>
        <v/>
      </c>
      <c r="BY137" s="802" t="str">
        <f>IF(BQ137="","",0.005*0.001)</f>
        <v/>
      </c>
      <c r="BZ137" s="803" t="str">
        <f>IF(BR137="","",0.005*0.001)</f>
        <v/>
      </c>
      <c r="CA137" s="803" t="str">
        <f t="shared" ref="CA137:CF137" si="84">IF(BS137="","",0.005*0.001)</f>
        <v/>
      </c>
      <c r="CB137" s="803" t="str">
        <f t="shared" si="84"/>
        <v/>
      </c>
      <c r="CC137" s="803" t="str">
        <f t="shared" si="84"/>
        <v/>
      </c>
      <c r="CD137" s="803" t="str">
        <f t="shared" si="84"/>
        <v/>
      </c>
      <c r="CE137" s="803" t="str">
        <f t="shared" si="84"/>
        <v/>
      </c>
      <c r="CF137" s="804" t="str">
        <f t="shared" si="84"/>
        <v/>
      </c>
    </row>
    <row r="138" spans="4:84" ht="15" customHeight="1" thickBot="1">
      <c r="D138"/>
      <c r="L138"/>
      <c r="M138" s="87"/>
      <c r="N138" s="17"/>
      <c r="O138" s="17"/>
      <c r="P138" s="17"/>
      <c r="Q138" s="17"/>
      <c r="R138" s="69"/>
      <c r="S138" s="69"/>
      <c r="T138" s="69"/>
      <c r="U138" s="69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M138" s="491" t="s">
        <v>118</v>
      </c>
      <c r="AN138" s="506">
        <v>18000000</v>
      </c>
      <c r="AO138" s="490">
        <f>18*50</f>
        <v>900</v>
      </c>
      <c r="AP138" s="507">
        <f t="shared" si="71"/>
        <v>0</v>
      </c>
      <c r="AQ138" s="507"/>
      <c r="AR138" s="362">
        <f t="shared" si="75"/>
        <v>9.1683222747312582E-3</v>
      </c>
      <c r="AY138" s="139">
        <v>100</v>
      </c>
      <c r="AZ138" s="6">
        <v>100</v>
      </c>
      <c r="BA138" s="134">
        <f>0.16/0.1</f>
        <v>1.5999999999999999</v>
      </c>
      <c r="BB138" s="135">
        <f>BA138/(4*SQRT(3))</f>
        <v>0.2309401076758503</v>
      </c>
      <c r="BC138" s="191">
        <f>(0.1*(1*1000000)*$AZ$88/$AZ$89+BA138/4)/(1*SQRT(3))</f>
        <v>8.8911941455202381</v>
      </c>
      <c r="BL138" s="782" t="s">
        <v>573</v>
      </c>
      <c r="BM138" s="782">
        <v>2</v>
      </c>
      <c r="BN138" s="789">
        <f>0.006</f>
        <v>6.0000000000000001E-3</v>
      </c>
      <c r="BO138" s="782" t="s">
        <v>572</v>
      </c>
      <c r="BP138" s="790">
        <v>0.02</v>
      </c>
      <c r="BQ138" s="793" t="str">
        <f t="shared" si="76"/>
        <v/>
      </c>
      <c r="BR138" s="794" t="str">
        <f t="shared" si="77"/>
        <v/>
      </c>
      <c r="BS138" s="794" t="str">
        <f t="shared" si="78"/>
        <v/>
      </c>
      <c r="BT138" s="794" t="str">
        <f t="shared" si="79"/>
        <v/>
      </c>
      <c r="BU138" s="794" t="str">
        <f t="shared" si="80"/>
        <v/>
      </c>
      <c r="BV138" s="794" t="str">
        <f t="shared" si="81"/>
        <v/>
      </c>
      <c r="BW138" s="794" t="str">
        <f t="shared" si="82"/>
        <v/>
      </c>
      <c r="BX138" s="401" t="str">
        <f t="shared" si="83"/>
        <v/>
      </c>
      <c r="BY138" s="805" t="str">
        <f>IF(BQ138="","",(0.02%*BQ138+0.0047)*0.001)</f>
        <v/>
      </c>
      <c r="BZ138" s="792" t="str">
        <f t="shared" ref="BZ138:CF138" si="85">IF(BR138="","",(0.02%*BR138+0.0047)*0.001)</f>
        <v/>
      </c>
      <c r="CA138" s="792" t="str">
        <f t="shared" si="85"/>
        <v/>
      </c>
      <c r="CB138" s="792" t="str">
        <f t="shared" si="85"/>
        <v/>
      </c>
      <c r="CC138" s="792" t="str">
        <f t="shared" si="85"/>
        <v/>
      </c>
      <c r="CD138" s="792" t="str">
        <f t="shared" si="85"/>
        <v/>
      </c>
      <c r="CE138" s="792" t="str">
        <f t="shared" si="85"/>
        <v/>
      </c>
      <c r="CF138" s="806" t="str">
        <f t="shared" si="85"/>
        <v/>
      </c>
    </row>
    <row r="139" spans="4:84" ht="15" customHeight="1" thickBot="1">
      <c r="D139"/>
      <c r="L139"/>
      <c r="M139" s="87"/>
      <c r="N139" s="17"/>
      <c r="O139" s="17"/>
      <c r="P139" s="17"/>
      <c r="Q139" s="17"/>
      <c r="R139" s="69"/>
      <c r="S139" s="69"/>
      <c r="T139" s="69"/>
      <c r="U139" s="69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M139" s="491" t="s">
        <v>119</v>
      </c>
      <c r="AN139" s="506">
        <v>19000000</v>
      </c>
      <c r="AO139" s="490">
        <f>19*50</f>
        <v>950</v>
      </c>
      <c r="AP139" s="507">
        <f t="shared" si="71"/>
        <v>0</v>
      </c>
      <c r="AQ139" s="507"/>
      <c r="AR139" s="362">
        <f t="shared" si="75"/>
        <v>9.1683222747312582E-3</v>
      </c>
      <c r="AY139" s="154">
        <v>200</v>
      </c>
      <c r="AZ139" s="6">
        <v>200</v>
      </c>
      <c r="BL139" s="782" t="s">
        <v>575</v>
      </c>
      <c r="BM139" s="782">
        <v>3</v>
      </c>
      <c r="BN139" s="782">
        <v>2.1000000000000001E-2</v>
      </c>
      <c r="BO139" s="782" t="s">
        <v>574</v>
      </c>
      <c r="BP139" s="790">
        <v>1</v>
      </c>
      <c r="BQ139" s="793" t="str">
        <f t="shared" si="76"/>
        <v/>
      </c>
      <c r="BR139" s="794" t="str">
        <f t="shared" si="77"/>
        <v/>
      </c>
      <c r="BS139" s="794" t="str">
        <f t="shared" si="78"/>
        <v/>
      </c>
      <c r="BT139" s="794" t="str">
        <f t="shared" si="79"/>
        <v/>
      </c>
      <c r="BU139" s="794" t="str">
        <f t="shared" si="80"/>
        <v/>
      </c>
      <c r="BV139" s="794" t="str">
        <f t="shared" si="81"/>
        <v/>
      </c>
      <c r="BW139" s="794" t="str">
        <f t="shared" si="82"/>
        <v/>
      </c>
      <c r="BX139" s="401" t="str">
        <f t="shared" si="83"/>
        <v/>
      </c>
      <c r="BY139" s="805" t="str">
        <f>IF(BQ139="","",(12*10^-6*BQ139+0.015)*0.001)</f>
        <v/>
      </c>
      <c r="BZ139" s="792" t="str">
        <f t="shared" ref="BZ139:CF139" si="86">IF(BR139="","",(12*10^-6*BR139+0.015)*0.001)</f>
        <v/>
      </c>
      <c r="CA139" s="792" t="str">
        <f t="shared" si="86"/>
        <v/>
      </c>
      <c r="CB139" s="792" t="str">
        <f t="shared" si="86"/>
        <v/>
      </c>
      <c r="CC139" s="792" t="str">
        <f t="shared" si="86"/>
        <v/>
      </c>
      <c r="CD139" s="792" t="str">
        <f t="shared" si="86"/>
        <v/>
      </c>
      <c r="CE139" s="792" t="str">
        <f t="shared" si="86"/>
        <v/>
      </c>
      <c r="CF139" s="806" t="str">
        <f t="shared" si="86"/>
        <v/>
      </c>
    </row>
    <row r="140" spans="4:84" ht="15" customHeight="1" thickBot="1">
      <c r="D140"/>
      <c r="L140"/>
      <c r="M140" s="87"/>
      <c r="N140" s="17"/>
      <c r="O140" s="17"/>
      <c r="P140" s="17"/>
      <c r="Q140" s="17"/>
      <c r="R140" s="69"/>
      <c r="S140" s="69"/>
      <c r="T140" s="69"/>
      <c r="U140" s="69"/>
      <c r="W140" s="6"/>
      <c r="Y140" s="6"/>
      <c r="Z140" s="6"/>
      <c r="AA140" s="6"/>
      <c r="AB140" s="6"/>
      <c r="AC140" s="6"/>
      <c r="AD140" s="6"/>
      <c r="AE140" s="6"/>
      <c r="AF140" s="6"/>
      <c r="AG140" s="6"/>
      <c r="AM140" s="491" t="s">
        <v>120</v>
      </c>
      <c r="AN140" s="506">
        <v>20000000</v>
      </c>
      <c r="AO140" s="490">
        <f>20*50</f>
        <v>1000</v>
      </c>
      <c r="AP140" s="507">
        <f t="shared" si="71"/>
        <v>0</v>
      </c>
      <c r="AQ140" s="531"/>
      <c r="AR140" s="362">
        <f t="shared" si="75"/>
        <v>9.1683222747312582E-3</v>
      </c>
      <c r="AY140" s="154">
        <v>500</v>
      </c>
      <c r="AZ140" s="6">
        <v>500</v>
      </c>
      <c r="BL140" s="782" t="s">
        <v>577</v>
      </c>
      <c r="BM140" s="782">
        <v>4</v>
      </c>
      <c r="BN140" s="782">
        <v>1.0009999999999999</v>
      </c>
      <c r="BO140" s="782" t="s">
        <v>576</v>
      </c>
      <c r="BP140" s="790">
        <v>20</v>
      </c>
      <c r="BQ140" s="793" t="str">
        <f t="shared" si="76"/>
        <v/>
      </c>
      <c r="BR140" s="794" t="str">
        <f t="shared" si="77"/>
        <v/>
      </c>
      <c r="BS140" s="794" t="str">
        <f t="shared" si="78"/>
        <v/>
      </c>
      <c r="BT140" s="794" t="str">
        <f t="shared" si="79"/>
        <v/>
      </c>
      <c r="BU140" s="794" t="str">
        <f t="shared" si="80"/>
        <v/>
      </c>
      <c r="BV140" s="794" t="str">
        <f t="shared" si="81"/>
        <v/>
      </c>
      <c r="BW140" s="794" t="str">
        <f t="shared" si="82"/>
        <v/>
      </c>
      <c r="BX140" s="401" t="str">
        <f t="shared" si="83"/>
        <v/>
      </c>
      <c r="BY140" s="805" t="str">
        <f>IF(BQ140="","",(3*10^-6*BQ140+0.03)*0.001)</f>
        <v/>
      </c>
      <c r="BZ140" s="792" t="str">
        <f t="shared" ref="BZ140:CF140" si="87">IF(BR140="","",(3*10^-6*BR140+0.03)*0.001)</f>
        <v/>
      </c>
      <c r="CA140" s="792" t="str">
        <f t="shared" si="87"/>
        <v/>
      </c>
      <c r="CB140" s="792" t="str">
        <f t="shared" si="87"/>
        <v/>
      </c>
      <c r="CC140" s="792" t="str">
        <f t="shared" si="87"/>
        <v/>
      </c>
      <c r="CD140" s="792" t="str">
        <f t="shared" si="87"/>
        <v/>
      </c>
      <c r="CE140" s="792" t="str">
        <f t="shared" si="87"/>
        <v/>
      </c>
      <c r="CF140" s="806" t="str">
        <f t="shared" si="87"/>
        <v/>
      </c>
    </row>
    <row r="141" spans="4:84" ht="15" customHeight="1" thickBot="1">
      <c r="D141"/>
      <c r="L141"/>
      <c r="M141" s="87"/>
      <c r="N141" s="17"/>
      <c r="O141" s="17"/>
      <c r="P141" s="17"/>
      <c r="Q141" s="17"/>
      <c r="R141" s="69"/>
      <c r="S141" s="69"/>
      <c r="T141" s="69"/>
      <c r="U141" s="69"/>
      <c r="W141" s="6"/>
      <c r="Y141" s="6"/>
      <c r="Z141" s="6"/>
      <c r="AA141" s="6"/>
      <c r="AB141" s="6"/>
      <c r="AC141" s="6"/>
      <c r="AD141" s="6"/>
      <c r="AE141" s="6"/>
      <c r="AF141" s="6"/>
      <c r="AM141" s="544">
        <v>530</v>
      </c>
      <c r="AN141" s="529" t="s">
        <v>198</v>
      </c>
      <c r="AO141" s="545" t="str">
        <f>IF(AP141=0,"NÃO","SIM")</f>
        <v>NÃO</v>
      </c>
      <c r="AP141" s="531">
        <f>IF(ISERROR(SUM(AP142:AP151)),SUM(AP142:AP151),SUM(AP142:AP151))</f>
        <v>0</v>
      </c>
      <c r="AQ141" s="507"/>
      <c r="AR141" s="49"/>
      <c r="AY141" s="155">
        <v>1000</v>
      </c>
      <c r="AZ141" s="137">
        <v>1000</v>
      </c>
      <c r="BA141" s="95"/>
      <c r="BB141" s="95"/>
      <c r="BC141" s="95"/>
      <c r="BL141" s="782" t="s">
        <v>579</v>
      </c>
      <c r="BM141" s="782">
        <v>5</v>
      </c>
      <c r="BN141" s="782">
        <v>20.001000000000001</v>
      </c>
      <c r="BO141" s="782" t="s">
        <v>578</v>
      </c>
      <c r="BP141" s="791">
        <v>1000</v>
      </c>
      <c r="BQ141" s="793" t="str">
        <f t="shared" si="76"/>
        <v/>
      </c>
      <c r="BR141" s="794" t="str">
        <f t="shared" si="77"/>
        <v/>
      </c>
      <c r="BS141" s="794" t="str">
        <f t="shared" si="78"/>
        <v/>
      </c>
      <c r="BT141" s="794" t="str">
        <f t="shared" si="79"/>
        <v/>
      </c>
      <c r="BU141" s="794" t="str">
        <f t="shared" si="80"/>
        <v/>
      </c>
      <c r="BV141" s="794" t="str">
        <f t="shared" si="81"/>
        <v/>
      </c>
      <c r="BW141" s="794" t="str">
        <f t="shared" si="82"/>
        <v/>
      </c>
      <c r="BX141" s="401" t="str">
        <f t="shared" si="83"/>
        <v/>
      </c>
      <c r="BY141" s="805" t="str">
        <f>IF(BQ141="","",0.00032%*BQ141)</f>
        <v/>
      </c>
      <c r="BZ141" s="792" t="str">
        <f t="shared" ref="BZ141:CF141" si="88">IF(BR141="","",0.00032%*BR141)</f>
        <v/>
      </c>
      <c r="CA141" s="792" t="str">
        <f t="shared" si="88"/>
        <v/>
      </c>
      <c r="CB141" s="792" t="str">
        <f t="shared" si="88"/>
        <v/>
      </c>
      <c r="CC141" s="792" t="str">
        <f t="shared" si="88"/>
        <v/>
      </c>
      <c r="CD141" s="792" t="str">
        <f t="shared" si="88"/>
        <v/>
      </c>
      <c r="CE141" s="792" t="str">
        <f t="shared" si="88"/>
        <v/>
      </c>
      <c r="CF141" s="806" t="str">
        <f t="shared" si="88"/>
        <v/>
      </c>
    </row>
    <row r="142" spans="4:84" ht="15" customHeight="1" thickBot="1">
      <c r="D142"/>
      <c r="L142"/>
      <c r="M142" s="87"/>
      <c r="N142" s="17"/>
      <c r="O142" s="17"/>
      <c r="P142" s="17"/>
      <c r="Q142" s="17"/>
      <c r="R142" s="69"/>
      <c r="S142" s="69"/>
      <c r="T142" s="69"/>
      <c r="U142" s="69"/>
      <c r="W142" s="6"/>
      <c r="Y142" s="6"/>
      <c r="Z142" s="6"/>
      <c r="AA142" s="6"/>
      <c r="AB142" s="6"/>
      <c r="AC142" s="6"/>
      <c r="AD142" s="6"/>
      <c r="AE142" s="6"/>
      <c r="AF142" s="6"/>
      <c r="AM142" s="517" t="s">
        <v>199</v>
      </c>
      <c r="AN142" s="506">
        <f>1000</f>
        <v>1000</v>
      </c>
      <c r="AO142" s="506">
        <f>0.05</f>
        <v>0.05</v>
      </c>
      <c r="AP142" s="507">
        <f t="shared" ref="AP142:AP151" si="89">IF(ISERROR(MATCH(AM142,$B$32:$B$77,0)),0,(MATCH(AM142,$B$32:$B$77,0)))+IF(ISERROR(MATCH(AM142,$C$32:$C$77,0)),0,(MATCH(AM142,$C$32:$C$77,0)))</f>
        <v>0</v>
      </c>
      <c r="AQ142" s="507"/>
      <c r="AR142" s="362">
        <f t="shared" ref="AR142:AR151" si="90">SQRT((15.88/1000)^2/3)</f>
        <v>9.1683222747312582E-3</v>
      </c>
      <c r="AY142" s="139" t="s">
        <v>179</v>
      </c>
      <c r="AZ142" s="192" t="s">
        <v>280</v>
      </c>
      <c r="BA142" s="927" t="s">
        <v>240</v>
      </c>
      <c r="BB142" s="927"/>
      <c r="BC142" s="927"/>
      <c r="BL142" s="782" t="s">
        <v>581</v>
      </c>
      <c r="BM142" s="782">
        <v>6</v>
      </c>
      <c r="BN142" s="782">
        <v>1000.05</v>
      </c>
      <c r="BO142" s="782" t="s">
        <v>580</v>
      </c>
      <c r="BP142" s="791">
        <v>40000</v>
      </c>
      <c r="BQ142" s="793" t="str">
        <f t="shared" si="76"/>
        <v/>
      </c>
      <c r="BR142" s="794" t="str">
        <f t="shared" si="77"/>
        <v/>
      </c>
      <c r="BS142" s="794" t="str">
        <f t="shared" si="78"/>
        <v/>
      </c>
      <c r="BT142" s="794" t="str">
        <f t="shared" si="79"/>
        <v/>
      </c>
      <c r="BU142" s="794" t="str">
        <f t="shared" si="80"/>
        <v/>
      </c>
      <c r="BV142" s="794" t="str">
        <f t="shared" si="81"/>
        <v/>
      </c>
      <c r="BW142" s="794" t="str">
        <f t="shared" si="82"/>
        <v/>
      </c>
      <c r="BX142" s="401" t="str">
        <f t="shared" si="83"/>
        <v/>
      </c>
      <c r="BY142" s="805" t="str">
        <f>IF(BQ142="","",0.0005%*BQ142)</f>
        <v/>
      </c>
      <c r="BZ142" s="792" t="str">
        <f t="shared" ref="BZ142:CF142" si="91">IF(BR142="","",0.0005%*BR142)</f>
        <v/>
      </c>
      <c r="CA142" s="792" t="str">
        <f t="shared" si="91"/>
        <v/>
      </c>
      <c r="CB142" s="792" t="str">
        <f t="shared" si="91"/>
        <v/>
      </c>
      <c r="CC142" s="792" t="str">
        <f t="shared" si="91"/>
        <v/>
      </c>
      <c r="CD142" s="792" t="str">
        <f t="shared" si="91"/>
        <v/>
      </c>
      <c r="CE142" s="792" t="str">
        <f t="shared" si="91"/>
        <v/>
      </c>
      <c r="CF142" s="806" t="str">
        <f t="shared" si="91"/>
        <v/>
      </c>
    </row>
    <row r="143" spans="4:84" ht="15" customHeight="1" thickBot="1">
      <c r="D143"/>
      <c r="L143"/>
      <c r="M143" s="87"/>
      <c r="N143" s="17"/>
      <c r="O143" s="17"/>
      <c r="P143" s="17"/>
      <c r="Q143" s="17"/>
      <c r="R143" s="69"/>
      <c r="S143" s="69"/>
      <c r="T143" s="69"/>
      <c r="U143" s="69"/>
      <c r="W143" s="6"/>
      <c r="Y143" s="6"/>
      <c r="Z143" s="6"/>
      <c r="AA143" s="6"/>
      <c r="AB143" s="6"/>
      <c r="AC143" s="6"/>
      <c r="AD143" s="6"/>
      <c r="AE143" s="6"/>
      <c r="AF143" s="6"/>
      <c r="AM143" s="517" t="s">
        <v>99</v>
      </c>
      <c r="AN143" s="506">
        <f>2000</f>
        <v>2000</v>
      </c>
      <c r="AO143" s="490">
        <f>2*0.05</f>
        <v>0.1</v>
      </c>
      <c r="AP143" s="507">
        <f t="shared" si="89"/>
        <v>0</v>
      </c>
      <c r="AQ143" s="507"/>
      <c r="AR143" s="362">
        <f t="shared" si="90"/>
        <v>9.1683222747312582E-3</v>
      </c>
      <c r="AY143" s="140" t="s">
        <v>254</v>
      </c>
      <c r="AZ143" s="133" t="s">
        <v>251</v>
      </c>
      <c r="BA143" s="105" t="s">
        <v>248</v>
      </c>
      <c r="BB143" s="106" t="s">
        <v>249</v>
      </c>
      <c r="BC143" s="107" t="s">
        <v>250</v>
      </c>
      <c r="BL143" s="782" t="s">
        <v>583</v>
      </c>
      <c r="BM143" s="782">
        <v>7</v>
      </c>
      <c r="BN143" s="782">
        <v>40000.1</v>
      </c>
      <c r="BO143" s="782" t="s">
        <v>582</v>
      </c>
      <c r="BP143" s="791">
        <v>900000</v>
      </c>
      <c r="BQ143" s="793" t="str">
        <f t="shared" si="76"/>
        <v/>
      </c>
      <c r="BR143" s="794" t="str">
        <f t="shared" si="77"/>
        <v/>
      </c>
      <c r="BS143" s="794" t="str">
        <f t="shared" si="78"/>
        <v/>
      </c>
      <c r="BT143" s="794" t="str">
        <f t="shared" si="79"/>
        <v/>
      </c>
      <c r="BU143" s="794" t="str">
        <f t="shared" si="80"/>
        <v/>
      </c>
      <c r="BV143" s="794" t="str">
        <f t="shared" si="81"/>
        <v/>
      </c>
      <c r="BW143" s="794" t="str">
        <f t="shared" si="82"/>
        <v/>
      </c>
      <c r="BX143" s="401" t="str">
        <f t="shared" si="83"/>
        <v/>
      </c>
      <c r="BY143" s="805" t="str">
        <f>IF(BQ143="","",0.0042%*BQ143)</f>
        <v/>
      </c>
      <c r="BZ143" s="792" t="str">
        <f t="shared" ref="BZ143:CF143" si="92">IF(BR143="","",0.0042%*BR143)</f>
        <v/>
      </c>
      <c r="CA143" s="792" t="str">
        <f t="shared" si="92"/>
        <v/>
      </c>
      <c r="CB143" s="792" t="str">
        <f t="shared" si="92"/>
        <v/>
      </c>
      <c r="CC143" s="792" t="str">
        <f t="shared" si="92"/>
        <v/>
      </c>
      <c r="CD143" s="792" t="str">
        <f t="shared" si="92"/>
        <v/>
      </c>
      <c r="CE143" s="792" t="str">
        <f t="shared" si="92"/>
        <v/>
      </c>
      <c r="CF143" s="806" t="str">
        <f t="shared" si="92"/>
        <v/>
      </c>
    </row>
    <row r="144" spans="4:84" ht="15" customHeight="1" thickBot="1">
      <c r="N144" s="17"/>
      <c r="O144" s="17"/>
      <c r="P144" s="17"/>
      <c r="Q144" s="17"/>
      <c r="R144" s="69"/>
      <c r="S144" s="69"/>
      <c r="T144" s="69"/>
      <c r="U144" s="69"/>
      <c r="W144" s="6"/>
      <c r="Y144" s="6"/>
      <c r="Z144" s="6"/>
      <c r="AA144" s="6"/>
      <c r="AB144" s="6"/>
      <c r="AC144" s="6"/>
      <c r="AD144" s="6"/>
      <c r="AE144" s="6"/>
      <c r="AF144" s="6"/>
      <c r="AM144" s="517" t="s">
        <v>200</v>
      </c>
      <c r="AN144" s="506">
        <f>3000</f>
        <v>3000</v>
      </c>
      <c r="AO144" s="490">
        <f>3*0.05</f>
        <v>0.15000000000000002</v>
      </c>
      <c r="AP144" s="507">
        <f t="shared" si="89"/>
        <v>0</v>
      </c>
      <c r="AQ144" s="507"/>
      <c r="AR144" s="362">
        <f t="shared" si="90"/>
        <v>9.1683222747312582E-3</v>
      </c>
      <c r="AY144" s="152" t="s">
        <v>187</v>
      </c>
      <c r="AZ144" s="6">
        <v>100</v>
      </c>
      <c r="BA144" s="193">
        <f>0.5/0.1</f>
        <v>5</v>
      </c>
      <c r="BB144" s="135">
        <f>BA144/(4*SQRT(3))</f>
        <v>0.72168783648703227</v>
      </c>
      <c r="BC144" s="194">
        <f>(0.1*(1*1000000)*$AZ$88/$AZ$89+BA144/4)/(1*SQRT(3))</f>
        <v>9.3819418743314191</v>
      </c>
      <c r="BL144" s="782" t="s">
        <v>585</v>
      </c>
      <c r="BM144" s="782">
        <v>8</v>
      </c>
      <c r="BN144" s="782">
        <v>900001</v>
      </c>
      <c r="BO144" s="782" t="s">
        <v>584</v>
      </c>
      <c r="BP144" s="791">
        <v>1000000</v>
      </c>
      <c r="BQ144" s="793" t="str">
        <f t="shared" si="76"/>
        <v/>
      </c>
      <c r="BR144" s="794" t="str">
        <f t="shared" si="77"/>
        <v/>
      </c>
      <c r="BS144" s="794" t="str">
        <f t="shared" si="78"/>
        <v/>
      </c>
      <c r="BT144" s="794" t="str">
        <f t="shared" si="79"/>
        <v/>
      </c>
      <c r="BU144" s="794" t="str">
        <f t="shared" si="80"/>
        <v/>
      </c>
      <c r="BV144" s="794" t="str">
        <f t="shared" si="81"/>
        <v/>
      </c>
      <c r="BW144" s="794" t="str">
        <f t="shared" si="82"/>
        <v/>
      </c>
      <c r="BX144" s="401" t="str">
        <f t="shared" si="83"/>
        <v/>
      </c>
      <c r="BY144" s="805" t="str">
        <f>IF(BQ144="","",0.053)</f>
        <v/>
      </c>
      <c r="BZ144" s="785" t="str">
        <f t="shared" ref="BZ144:CF144" si="93">IF(BR144="","",0.053)</f>
        <v/>
      </c>
      <c r="CA144" s="785" t="str">
        <f t="shared" si="93"/>
        <v/>
      </c>
      <c r="CB144" s="785" t="str">
        <f t="shared" si="93"/>
        <v/>
      </c>
      <c r="CC144" s="785" t="str">
        <f t="shared" si="93"/>
        <v/>
      </c>
      <c r="CD144" s="785" t="str">
        <f t="shared" si="93"/>
        <v/>
      </c>
      <c r="CE144" s="785" t="str">
        <f t="shared" si="93"/>
        <v/>
      </c>
      <c r="CF144" s="836" t="str">
        <f t="shared" si="93"/>
        <v/>
      </c>
    </row>
    <row r="145" spans="14:84" ht="15" customHeight="1" thickBot="1">
      <c r="N145" s="17"/>
      <c r="O145" s="17"/>
      <c r="P145" s="17"/>
      <c r="Q145" s="17"/>
      <c r="R145" s="69"/>
      <c r="S145" s="69"/>
      <c r="T145" s="69"/>
      <c r="U145" s="69"/>
      <c r="W145" s="6"/>
      <c r="Y145" s="6"/>
      <c r="Z145" s="6"/>
      <c r="AA145" s="6"/>
      <c r="AB145" s="6"/>
      <c r="AC145" s="6"/>
      <c r="AD145" s="6"/>
      <c r="AE145" s="6"/>
      <c r="AF145" s="6"/>
      <c r="AM145" s="518" t="s">
        <v>201</v>
      </c>
      <c r="AN145" s="506">
        <f>4000</f>
        <v>4000</v>
      </c>
      <c r="AO145" s="490">
        <f>4*0.05</f>
        <v>0.2</v>
      </c>
      <c r="AP145" s="507">
        <f t="shared" si="89"/>
        <v>0</v>
      </c>
      <c r="AQ145" s="507"/>
      <c r="AR145" s="362">
        <f t="shared" si="90"/>
        <v>9.1683222747312582E-3</v>
      </c>
      <c r="AY145" s="153" t="s">
        <v>188</v>
      </c>
      <c r="AZ145" s="6">
        <v>200</v>
      </c>
      <c r="BL145" s="782" t="s">
        <v>587</v>
      </c>
      <c r="BM145" s="782">
        <v>9</v>
      </c>
      <c r="BN145" s="782">
        <v>1000050</v>
      </c>
      <c r="BO145" s="782" t="s">
        <v>586</v>
      </c>
      <c r="BP145" s="791">
        <v>4000000</v>
      </c>
      <c r="BQ145" s="793" t="str">
        <f t="shared" si="76"/>
        <v/>
      </c>
      <c r="BR145" s="794" t="str">
        <f t="shared" si="77"/>
        <v/>
      </c>
      <c r="BS145" s="794" t="str">
        <f t="shared" si="78"/>
        <v/>
      </c>
      <c r="BT145" s="794" t="str">
        <f t="shared" si="79"/>
        <v/>
      </c>
      <c r="BU145" s="794" t="str">
        <f t="shared" si="80"/>
        <v/>
      </c>
      <c r="BV145" s="794" t="str">
        <f t="shared" si="81"/>
        <v/>
      </c>
      <c r="BW145" s="794" t="str">
        <f t="shared" si="82"/>
        <v/>
      </c>
      <c r="BX145" s="401" t="str">
        <f t="shared" si="83"/>
        <v/>
      </c>
      <c r="BY145" s="805" t="str">
        <f>IF(BQ145="","",0.0045%*BQ145)</f>
        <v/>
      </c>
      <c r="BZ145" s="792" t="str">
        <f t="shared" ref="BZ145:CF145" si="94">IF(BR145="","",0.0045%*BR145)</f>
        <v/>
      </c>
      <c r="CA145" s="792" t="str">
        <f t="shared" si="94"/>
        <v/>
      </c>
      <c r="CB145" s="792" t="str">
        <f t="shared" si="94"/>
        <v/>
      </c>
      <c r="CC145" s="792" t="str">
        <f t="shared" si="94"/>
        <v/>
      </c>
      <c r="CD145" s="792" t="str">
        <f t="shared" si="94"/>
        <v/>
      </c>
      <c r="CE145" s="792" t="str">
        <f t="shared" si="94"/>
        <v/>
      </c>
      <c r="CF145" s="806" t="str">
        <f t="shared" si="94"/>
        <v/>
      </c>
    </row>
    <row r="146" spans="14:84" ht="15" customHeight="1" thickBot="1">
      <c r="N146" s="17"/>
      <c r="O146" s="17"/>
      <c r="P146" s="17"/>
      <c r="Q146" s="17"/>
      <c r="R146" s="69"/>
      <c r="S146" s="69"/>
      <c r="T146" s="69"/>
      <c r="U146" s="69"/>
      <c r="W146" s="6"/>
      <c r="Y146" s="6"/>
      <c r="Z146" s="6"/>
      <c r="AA146" s="6"/>
      <c r="AB146" s="6"/>
      <c r="AC146" s="6"/>
      <c r="AD146" s="6"/>
      <c r="AE146" s="6"/>
      <c r="AF146" s="6"/>
      <c r="AM146" s="518" t="s">
        <v>100</v>
      </c>
      <c r="AN146" s="506">
        <f>5000</f>
        <v>5000</v>
      </c>
      <c r="AO146" s="490">
        <f>5*0.05</f>
        <v>0.25</v>
      </c>
      <c r="AP146" s="507">
        <f t="shared" si="89"/>
        <v>0</v>
      </c>
      <c r="AQ146" s="507"/>
      <c r="AR146" s="362">
        <f t="shared" si="90"/>
        <v>9.1683222747312582E-3</v>
      </c>
      <c r="AY146" s="153" t="s">
        <v>189</v>
      </c>
      <c r="AZ146" s="6">
        <v>200</v>
      </c>
      <c r="BL146" s="782" t="s">
        <v>589</v>
      </c>
      <c r="BM146" s="782">
        <v>10</v>
      </c>
      <c r="BN146" s="789">
        <v>4000050</v>
      </c>
      <c r="BO146" s="782" t="s">
        <v>588</v>
      </c>
      <c r="BP146" s="790">
        <v>20000000</v>
      </c>
      <c r="BQ146" s="793" t="str">
        <f t="shared" si="76"/>
        <v/>
      </c>
      <c r="BR146" s="794" t="str">
        <f t="shared" si="77"/>
        <v/>
      </c>
      <c r="BS146" s="794" t="str">
        <f t="shared" si="78"/>
        <v/>
      </c>
      <c r="BT146" s="794" t="str">
        <f t="shared" si="79"/>
        <v/>
      </c>
      <c r="BU146" s="794" t="str">
        <f t="shared" si="80"/>
        <v/>
      </c>
      <c r="BV146" s="794" t="str">
        <f t="shared" si="81"/>
        <v/>
      </c>
      <c r="BW146" s="794" t="str">
        <f t="shared" si="82"/>
        <v/>
      </c>
      <c r="BX146" s="401" t="str">
        <f t="shared" si="83"/>
        <v/>
      </c>
      <c r="BY146" s="805" t="str">
        <f>IF(BQ146="","",0.0042%*BQ146)</f>
        <v/>
      </c>
      <c r="BZ146" s="792" t="str">
        <f t="shared" ref="BZ146:CF146" si="95">IF(BR146="","",0.0042%*BR146)</f>
        <v/>
      </c>
      <c r="CA146" s="792" t="str">
        <f t="shared" si="95"/>
        <v/>
      </c>
      <c r="CB146" s="792" t="str">
        <f t="shared" si="95"/>
        <v/>
      </c>
      <c r="CC146" s="792" t="str">
        <f t="shared" si="95"/>
        <v/>
      </c>
      <c r="CD146" s="792" t="str">
        <f t="shared" si="95"/>
        <v/>
      </c>
      <c r="CE146" s="792" t="str">
        <f t="shared" si="95"/>
        <v/>
      </c>
      <c r="CF146" s="806" t="str">
        <f t="shared" si="95"/>
        <v/>
      </c>
    </row>
    <row r="147" spans="14:84" ht="15" customHeight="1" thickBot="1">
      <c r="N147" s="17"/>
      <c r="O147" s="17"/>
      <c r="P147" s="17"/>
      <c r="Q147" s="17"/>
      <c r="R147" s="69"/>
      <c r="S147" s="69"/>
      <c r="T147" s="69"/>
      <c r="U147" s="69"/>
      <c r="W147" s="6"/>
      <c r="Y147" s="6"/>
      <c r="Z147" s="6"/>
      <c r="AA147" s="6"/>
      <c r="AB147" s="6"/>
      <c r="AC147" s="6"/>
      <c r="AD147" s="6"/>
      <c r="AE147" s="6"/>
      <c r="AF147" s="6"/>
      <c r="AM147" s="518" t="s">
        <v>202</v>
      </c>
      <c r="AN147" s="506">
        <f>6000</f>
        <v>6000</v>
      </c>
      <c r="AO147" s="490">
        <f>6*0.05</f>
        <v>0.30000000000000004</v>
      </c>
      <c r="AP147" s="507">
        <f t="shared" si="89"/>
        <v>0</v>
      </c>
      <c r="AQ147" s="507"/>
      <c r="AR147" s="362">
        <f t="shared" si="90"/>
        <v>9.1683222747312582E-3</v>
      </c>
      <c r="AY147" s="153" t="s">
        <v>190</v>
      </c>
      <c r="AZ147" s="6">
        <v>500</v>
      </c>
      <c r="BL147" s="782" t="s">
        <v>591</v>
      </c>
      <c r="BM147" s="782">
        <v>11</v>
      </c>
      <c r="BN147" s="789">
        <v>20000100</v>
      </c>
      <c r="BO147" s="782" t="s">
        <v>590</v>
      </c>
      <c r="BP147" s="790">
        <v>22000000</v>
      </c>
      <c r="BQ147" s="793" t="str">
        <f t="shared" si="76"/>
        <v/>
      </c>
      <c r="BR147" s="794" t="str">
        <f t="shared" si="77"/>
        <v/>
      </c>
      <c r="BS147" s="794" t="str">
        <f t="shared" si="78"/>
        <v/>
      </c>
      <c r="BT147" s="794" t="str">
        <f t="shared" si="79"/>
        <v/>
      </c>
      <c r="BU147" s="794" t="str">
        <f t="shared" si="80"/>
        <v/>
      </c>
      <c r="BV147" s="794" t="str">
        <f t="shared" si="81"/>
        <v/>
      </c>
      <c r="BW147" s="794" t="str">
        <f t="shared" si="82"/>
        <v/>
      </c>
      <c r="BX147" s="401" t="str">
        <f t="shared" si="83"/>
        <v/>
      </c>
      <c r="BY147" s="805" t="str">
        <f>IF(BQ147="","",1100)</f>
        <v/>
      </c>
      <c r="BZ147" s="792" t="str">
        <f t="shared" ref="BZ147:CF147" si="96">IF(BR147="","",1100)</f>
        <v/>
      </c>
      <c r="CA147" s="792" t="str">
        <f t="shared" si="96"/>
        <v/>
      </c>
      <c r="CB147" s="792" t="str">
        <f t="shared" si="96"/>
        <v/>
      </c>
      <c r="CC147" s="792" t="str">
        <f t="shared" si="96"/>
        <v/>
      </c>
      <c r="CD147" s="792" t="str">
        <f t="shared" si="96"/>
        <v/>
      </c>
      <c r="CE147" s="792" t="str">
        <f t="shared" si="96"/>
        <v/>
      </c>
      <c r="CF147" s="806" t="str">
        <f t="shared" si="96"/>
        <v/>
      </c>
    </row>
    <row r="148" spans="14:84" ht="15" customHeight="1" thickBot="1">
      <c r="N148" s="17"/>
      <c r="O148" s="17"/>
      <c r="P148" s="17"/>
      <c r="Q148" s="17"/>
      <c r="R148" s="69"/>
      <c r="S148" s="69"/>
      <c r="T148" s="69"/>
      <c r="U148" s="69"/>
      <c r="W148" s="6"/>
      <c r="Z148" s="6"/>
      <c r="AM148" s="518" t="s">
        <v>203</v>
      </c>
      <c r="AN148" s="506">
        <f>7000</f>
        <v>7000</v>
      </c>
      <c r="AO148" s="490">
        <f>7*0.05</f>
        <v>0.35000000000000003</v>
      </c>
      <c r="AP148" s="507">
        <f t="shared" si="89"/>
        <v>0</v>
      </c>
      <c r="AQ148" s="507"/>
      <c r="AR148" s="362">
        <f t="shared" si="90"/>
        <v>9.1683222747312582E-3</v>
      </c>
      <c r="AY148" s="153" t="s">
        <v>257</v>
      </c>
      <c r="AZ148" s="137">
        <v>1000</v>
      </c>
      <c r="BA148" s="95"/>
      <c r="BB148" s="95"/>
      <c r="BC148" s="95"/>
      <c r="BL148" s="782" t="s">
        <v>593</v>
      </c>
      <c r="BM148" s="782">
        <v>12</v>
      </c>
      <c r="BN148" s="789">
        <v>22000500</v>
      </c>
      <c r="BO148" s="782" t="s">
        <v>592</v>
      </c>
      <c r="BP148" s="790">
        <v>32000000</v>
      </c>
      <c r="BQ148" s="793" t="str">
        <f t="shared" si="76"/>
        <v/>
      </c>
      <c r="BR148" s="794" t="str">
        <f t="shared" si="77"/>
        <v/>
      </c>
      <c r="BS148" s="794" t="str">
        <f t="shared" si="78"/>
        <v/>
      </c>
      <c r="BT148" s="794" t="str">
        <f t="shared" si="79"/>
        <v/>
      </c>
      <c r="BU148" s="794" t="str">
        <f t="shared" si="80"/>
        <v/>
      </c>
      <c r="BV148" s="794" t="str">
        <f t="shared" si="81"/>
        <v/>
      </c>
      <c r="BW148" s="794" t="str">
        <f t="shared" si="82"/>
        <v/>
      </c>
      <c r="BX148" s="401" t="str">
        <f t="shared" si="83"/>
        <v/>
      </c>
      <c r="BY148" s="805" t="str">
        <f>IF(BQ148="","",1200)</f>
        <v/>
      </c>
      <c r="BZ148" s="792" t="str">
        <f t="shared" ref="BZ148:CF148" si="97">IF(BR148="","",1200)</f>
        <v/>
      </c>
      <c r="CA148" s="792" t="str">
        <f t="shared" si="97"/>
        <v/>
      </c>
      <c r="CB148" s="792" t="str">
        <f t="shared" si="97"/>
        <v/>
      </c>
      <c r="CC148" s="792" t="str">
        <f t="shared" si="97"/>
        <v/>
      </c>
      <c r="CD148" s="792" t="str">
        <f t="shared" si="97"/>
        <v/>
      </c>
      <c r="CE148" s="792" t="str">
        <f t="shared" si="97"/>
        <v/>
      </c>
      <c r="CF148" s="806" t="str">
        <f t="shared" si="97"/>
        <v/>
      </c>
    </row>
    <row r="149" spans="14:84" ht="15" customHeight="1" thickBot="1">
      <c r="N149" s="17"/>
      <c r="O149" s="17"/>
      <c r="P149" s="17"/>
      <c r="Q149" s="17"/>
      <c r="R149" s="69"/>
      <c r="S149" s="69"/>
      <c r="T149" s="69"/>
      <c r="U149" s="69"/>
      <c r="W149" s="6"/>
      <c r="Z149" s="6"/>
      <c r="AM149" s="518" t="s">
        <v>204</v>
      </c>
      <c r="AN149" s="506">
        <f>8000</f>
        <v>8000</v>
      </c>
      <c r="AO149" s="490">
        <f>8*0.05</f>
        <v>0.4</v>
      </c>
      <c r="AP149" s="507">
        <f t="shared" si="89"/>
        <v>0</v>
      </c>
      <c r="AQ149" s="507"/>
      <c r="AR149" s="362">
        <f t="shared" si="90"/>
        <v>9.1683222747312582E-3</v>
      </c>
      <c r="AY149" s="142" t="s">
        <v>258</v>
      </c>
      <c r="AZ149" s="6">
        <v>2000</v>
      </c>
      <c r="BA149" s="95"/>
      <c r="BB149" s="95"/>
      <c r="BC149" s="95"/>
      <c r="BL149" s="782" t="s">
        <v>595</v>
      </c>
      <c r="BM149" s="782">
        <v>13</v>
      </c>
      <c r="BN149" s="789">
        <v>32000500</v>
      </c>
      <c r="BO149" s="782" t="s">
        <v>594</v>
      </c>
      <c r="BP149" s="790">
        <v>37000000</v>
      </c>
      <c r="BQ149" s="793" t="str">
        <f t="shared" si="76"/>
        <v/>
      </c>
      <c r="BR149" s="794" t="str">
        <f t="shared" si="77"/>
        <v/>
      </c>
      <c r="BS149" s="794" t="str">
        <f t="shared" si="78"/>
        <v/>
      </c>
      <c r="BT149" s="794" t="str">
        <f t="shared" si="79"/>
        <v/>
      </c>
      <c r="BU149" s="794" t="str">
        <f t="shared" si="80"/>
        <v/>
      </c>
      <c r="BV149" s="794" t="str">
        <f t="shared" si="81"/>
        <v/>
      </c>
      <c r="BW149" s="794" t="str">
        <f t="shared" si="82"/>
        <v/>
      </c>
      <c r="BX149" s="401" t="str">
        <f t="shared" si="83"/>
        <v/>
      </c>
      <c r="BY149" s="805" t="str">
        <f>IF(BQ149="","",1300)</f>
        <v/>
      </c>
      <c r="BZ149" s="792" t="str">
        <f t="shared" ref="BZ149:CF149" si="98">IF(BR149="","",1300)</f>
        <v/>
      </c>
      <c r="CA149" s="792" t="str">
        <f t="shared" si="98"/>
        <v/>
      </c>
      <c r="CB149" s="792" t="str">
        <f t="shared" si="98"/>
        <v/>
      </c>
      <c r="CC149" s="792" t="str">
        <f t="shared" si="98"/>
        <v/>
      </c>
      <c r="CD149" s="792" t="str">
        <f t="shared" si="98"/>
        <v/>
      </c>
      <c r="CE149" s="792" t="str">
        <f t="shared" si="98"/>
        <v/>
      </c>
      <c r="CF149" s="806" t="str">
        <f t="shared" si="98"/>
        <v/>
      </c>
    </row>
    <row r="150" spans="14:84" ht="15" customHeight="1" thickBot="1">
      <c r="N150" s="17"/>
      <c r="O150" s="17"/>
      <c r="P150" s="17"/>
      <c r="Q150" s="17"/>
      <c r="R150" s="69"/>
      <c r="S150" s="69"/>
      <c r="T150" s="69"/>
      <c r="U150" s="69"/>
      <c r="W150" s="6"/>
      <c r="Z150" s="6"/>
      <c r="AM150" s="517" t="s">
        <v>205</v>
      </c>
      <c r="AN150" s="506">
        <f>9000</f>
        <v>9000</v>
      </c>
      <c r="AO150" s="490">
        <f>9*0.05</f>
        <v>0.45</v>
      </c>
      <c r="AP150" s="507">
        <f t="shared" si="89"/>
        <v>0</v>
      </c>
      <c r="AQ150" s="511"/>
      <c r="AR150" s="362">
        <f t="shared" si="90"/>
        <v>9.1683222747312582E-3</v>
      </c>
      <c r="AY150" s="142" t="s">
        <v>259</v>
      </c>
      <c r="AZ150" s="6">
        <v>2000</v>
      </c>
      <c r="BA150" s="95"/>
      <c r="BB150" s="95"/>
      <c r="BC150" s="95"/>
      <c r="BL150" s="782" t="s">
        <v>597</v>
      </c>
      <c r="BM150" s="782">
        <v>14</v>
      </c>
      <c r="BN150" s="789">
        <v>37000500</v>
      </c>
      <c r="BO150" s="782" t="s">
        <v>596</v>
      </c>
      <c r="BP150" s="790">
        <v>40000000</v>
      </c>
      <c r="BQ150" s="793" t="str">
        <f t="shared" si="76"/>
        <v/>
      </c>
      <c r="BR150" s="794" t="str">
        <f t="shared" si="77"/>
        <v/>
      </c>
      <c r="BS150" s="794" t="str">
        <f t="shared" si="78"/>
        <v/>
      </c>
      <c r="BT150" s="794" t="str">
        <f t="shared" si="79"/>
        <v/>
      </c>
      <c r="BU150" s="794" t="str">
        <f t="shared" si="80"/>
        <v/>
      </c>
      <c r="BV150" s="794" t="str">
        <f t="shared" si="81"/>
        <v/>
      </c>
      <c r="BW150" s="794" t="str">
        <f t="shared" si="82"/>
        <v/>
      </c>
      <c r="BX150" s="401" t="str">
        <f t="shared" si="83"/>
        <v/>
      </c>
      <c r="BY150" s="805" t="str">
        <f>IF(BQ150="","",1400)</f>
        <v/>
      </c>
      <c r="BZ150" s="792" t="str">
        <f t="shared" ref="BZ150:CF150" si="99">IF(BR150="","",1400)</f>
        <v/>
      </c>
      <c r="CA150" s="792" t="str">
        <f t="shared" si="99"/>
        <v/>
      </c>
      <c r="CB150" s="792" t="str">
        <f t="shared" si="99"/>
        <v/>
      </c>
      <c r="CC150" s="792" t="str">
        <f t="shared" si="99"/>
        <v/>
      </c>
      <c r="CD150" s="792" t="str">
        <f t="shared" si="99"/>
        <v/>
      </c>
      <c r="CE150" s="792" t="str">
        <f t="shared" si="99"/>
        <v/>
      </c>
      <c r="CF150" s="806" t="str">
        <f t="shared" si="99"/>
        <v/>
      </c>
    </row>
    <row r="151" spans="14:84" ht="15" customHeight="1" thickBot="1">
      <c r="N151" s="17"/>
      <c r="O151" s="17"/>
      <c r="P151" s="17"/>
      <c r="Q151" s="17"/>
      <c r="R151" s="69"/>
      <c r="S151" s="69"/>
      <c r="T151" s="69"/>
      <c r="U151" s="69"/>
      <c r="W151" s="6"/>
      <c r="Z151" s="6"/>
      <c r="AM151" s="677" t="s">
        <v>206</v>
      </c>
      <c r="AN151" s="512">
        <f>10000</f>
        <v>10000</v>
      </c>
      <c r="AO151" s="502">
        <f>10*0.05</f>
        <v>0.5</v>
      </c>
      <c r="AP151" s="511">
        <f t="shared" si="89"/>
        <v>0</v>
      </c>
      <c r="AQ151" s="534"/>
      <c r="AR151" s="605">
        <f t="shared" si="90"/>
        <v>9.1683222747312582E-3</v>
      </c>
      <c r="AY151" s="142" t="s">
        <v>260</v>
      </c>
      <c r="AZ151" s="6">
        <v>5000</v>
      </c>
      <c r="BA151" s="95"/>
      <c r="BB151" s="95"/>
      <c r="BC151" s="95"/>
      <c r="BL151" s="782" t="s">
        <v>599</v>
      </c>
      <c r="BM151" s="782">
        <v>15</v>
      </c>
      <c r="BN151" s="789">
        <v>40001000</v>
      </c>
      <c r="BO151" s="782" t="s">
        <v>598</v>
      </c>
      <c r="BP151" s="790">
        <v>54000000</v>
      </c>
      <c r="BQ151" s="793" t="str">
        <f t="shared" si="76"/>
        <v/>
      </c>
      <c r="BR151" s="794" t="str">
        <f t="shared" si="77"/>
        <v/>
      </c>
      <c r="BS151" s="794" t="str">
        <f t="shared" si="78"/>
        <v/>
      </c>
      <c r="BT151" s="794" t="str">
        <f t="shared" si="79"/>
        <v/>
      </c>
      <c r="BU151" s="794" t="str">
        <f t="shared" si="80"/>
        <v/>
      </c>
      <c r="BV151" s="794" t="str">
        <f t="shared" si="81"/>
        <v/>
      </c>
      <c r="BW151" s="794" t="str">
        <f t="shared" si="82"/>
        <v/>
      </c>
      <c r="BX151" s="401" t="str">
        <f t="shared" si="83"/>
        <v/>
      </c>
      <c r="BY151" s="805" t="str">
        <f>IF(BQ151="","",1800)</f>
        <v/>
      </c>
      <c r="BZ151" s="792" t="str">
        <f t="shared" ref="BZ151:CF151" si="100">IF(BR151="","",1800)</f>
        <v/>
      </c>
      <c r="CA151" s="792" t="str">
        <f t="shared" si="100"/>
        <v/>
      </c>
      <c r="CB151" s="792" t="str">
        <f t="shared" si="100"/>
        <v/>
      </c>
      <c r="CC151" s="792" t="str">
        <f t="shared" si="100"/>
        <v/>
      </c>
      <c r="CD151" s="792" t="str">
        <f t="shared" si="100"/>
        <v/>
      </c>
      <c r="CE151" s="792" t="str">
        <f t="shared" si="100"/>
        <v/>
      </c>
      <c r="CF151" s="806" t="str">
        <f t="shared" si="100"/>
        <v/>
      </c>
    </row>
    <row r="152" spans="14:84" ht="15" customHeight="1" thickBot="1">
      <c r="N152" s="17"/>
      <c r="O152" s="17"/>
      <c r="P152" s="17"/>
      <c r="Q152" s="17"/>
      <c r="R152" s="69"/>
      <c r="S152" s="69"/>
      <c r="T152" s="69"/>
      <c r="U152" s="69"/>
      <c r="W152" s="6"/>
      <c r="Z152" s="6"/>
      <c r="AM152" s="676">
        <v>531</v>
      </c>
      <c r="AN152" s="532" t="s">
        <v>207</v>
      </c>
      <c r="AO152" s="533" t="str">
        <f>IF(AP152=0,"NÃO","SIM")</f>
        <v>NÃO</v>
      </c>
      <c r="AP152" s="534">
        <f>IF(ISERROR(SUM(AP153:AP162)),SUM(AP153:AP162),SUM(AP153:AP162))</f>
        <v>0</v>
      </c>
      <c r="AQ152" s="507"/>
      <c r="AR152" s="39"/>
      <c r="AY152" s="142" t="s">
        <v>261</v>
      </c>
      <c r="AZ152" s="6">
        <v>10000</v>
      </c>
      <c r="BA152" s="95"/>
      <c r="BB152" s="95"/>
      <c r="BC152" s="95"/>
      <c r="BL152" s="782" t="s">
        <v>601</v>
      </c>
      <c r="BM152" s="782">
        <v>16</v>
      </c>
      <c r="BN152" s="789">
        <v>54000000</v>
      </c>
      <c r="BO152" s="782" t="s">
        <v>600</v>
      </c>
      <c r="BP152" s="790">
        <v>60000000</v>
      </c>
      <c r="BQ152" s="793" t="str">
        <f t="shared" si="76"/>
        <v/>
      </c>
      <c r="BR152" s="794" t="str">
        <f t="shared" si="77"/>
        <v/>
      </c>
      <c r="BS152" s="794" t="str">
        <f t="shared" si="78"/>
        <v/>
      </c>
      <c r="BT152" s="794" t="str">
        <f t="shared" si="79"/>
        <v/>
      </c>
      <c r="BU152" s="794" t="str">
        <f t="shared" si="80"/>
        <v/>
      </c>
      <c r="BV152" s="794" t="str">
        <f t="shared" si="81"/>
        <v/>
      </c>
      <c r="BW152" s="794" t="str">
        <f t="shared" si="82"/>
        <v/>
      </c>
      <c r="BX152" s="401" t="str">
        <f t="shared" si="83"/>
        <v/>
      </c>
      <c r="BY152" s="805" t="str">
        <f>IF(BQ152="","",1900)</f>
        <v/>
      </c>
      <c r="BZ152" s="792" t="str">
        <f t="shared" ref="BZ152:CF152" si="101">IF(BR152="","",1900)</f>
        <v/>
      </c>
      <c r="CA152" s="792" t="str">
        <f t="shared" si="101"/>
        <v/>
      </c>
      <c r="CB152" s="792" t="str">
        <f t="shared" si="101"/>
        <v/>
      </c>
      <c r="CC152" s="792" t="str">
        <f t="shared" si="101"/>
        <v/>
      </c>
      <c r="CD152" s="792" t="str">
        <f t="shared" si="101"/>
        <v/>
      </c>
      <c r="CE152" s="792" t="str">
        <f t="shared" si="101"/>
        <v/>
      </c>
      <c r="CF152" s="806" t="str">
        <f t="shared" si="101"/>
        <v/>
      </c>
    </row>
    <row r="153" spans="14:84" ht="15" customHeight="1" thickBot="1">
      <c r="N153" s="17"/>
      <c r="O153" s="17"/>
      <c r="P153" s="17"/>
      <c r="Q153" s="17"/>
      <c r="R153" s="69"/>
      <c r="S153" s="69"/>
      <c r="T153" s="69"/>
      <c r="U153" s="69"/>
      <c r="Z153" s="6"/>
      <c r="AM153" s="491" t="s">
        <v>164</v>
      </c>
      <c r="AN153" s="506">
        <f>2000</f>
        <v>2000</v>
      </c>
      <c r="AO153" s="506">
        <f>0.1</f>
        <v>0.1</v>
      </c>
      <c r="AP153" s="507">
        <f t="shared" ref="AP153:AP162" si="102">IF(ISERROR(MATCH(AM153,$B$32:$B$77,0)),0,(MATCH(AM153,$B$32:$B$77,0)))+IF(ISERROR(MATCH(AM153,$C$32:$C$77,0)),0,(MATCH(AM153,$C$32:$C$77,0)))</f>
        <v>0</v>
      </c>
      <c r="AQ153" s="507"/>
      <c r="AR153" s="362">
        <f t="shared" ref="AR153:AR162" si="103">SQRT((15.88/1000)^2/3)</f>
        <v>9.1683222747312582E-3</v>
      </c>
      <c r="AY153" s="143" t="s">
        <v>262</v>
      </c>
      <c r="AZ153" s="6">
        <v>20000</v>
      </c>
      <c r="BA153" s="95"/>
      <c r="BB153" s="95"/>
      <c r="BC153" s="95"/>
      <c r="BL153" s="782" t="s">
        <v>603</v>
      </c>
      <c r="BM153" s="782">
        <v>17</v>
      </c>
      <c r="BN153" s="789">
        <v>60002000</v>
      </c>
      <c r="BO153" s="782" t="s">
        <v>602</v>
      </c>
      <c r="BP153" s="790">
        <v>69000000</v>
      </c>
      <c r="BQ153" s="793" t="str">
        <f t="shared" si="76"/>
        <v/>
      </c>
      <c r="BR153" s="794" t="str">
        <f t="shared" si="77"/>
        <v/>
      </c>
      <c r="BS153" s="794" t="str">
        <f t="shared" si="78"/>
        <v/>
      </c>
      <c r="BT153" s="794" t="str">
        <f t="shared" si="79"/>
        <v/>
      </c>
      <c r="BU153" s="794" t="str">
        <f t="shared" si="80"/>
        <v/>
      </c>
      <c r="BV153" s="794" t="str">
        <f t="shared" si="81"/>
        <v/>
      </c>
      <c r="BW153" s="794" t="str">
        <f t="shared" si="82"/>
        <v/>
      </c>
      <c r="BX153" s="401" t="str">
        <f t="shared" si="83"/>
        <v/>
      </c>
      <c r="BY153" s="805" t="str">
        <f>IF(BQ153="","",2500)</f>
        <v/>
      </c>
      <c r="BZ153" s="792" t="str">
        <f t="shared" ref="BZ153:CF153" si="104">IF(BR153="","",2500)</f>
        <v/>
      </c>
      <c r="CA153" s="792" t="str">
        <f t="shared" si="104"/>
        <v/>
      </c>
      <c r="CB153" s="792" t="str">
        <f t="shared" si="104"/>
        <v/>
      </c>
      <c r="CC153" s="792" t="str">
        <f t="shared" si="104"/>
        <v/>
      </c>
      <c r="CD153" s="792" t="str">
        <f t="shared" si="104"/>
        <v/>
      </c>
      <c r="CE153" s="792" t="str">
        <f t="shared" si="104"/>
        <v/>
      </c>
      <c r="CF153" s="806" t="str">
        <f t="shared" si="104"/>
        <v/>
      </c>
    </row>
    <row r="154" spans="14:84" ht="15" customHeight="1" thickBot="1">
      <c r="N154" s="17"/>
      <c r="O154" s="17"/>
      <c r="P154" s="17"/>
      <c r="Q154" s="17"/>
      <c r="R154" s="69"/>
      <c r="S154" s="69"/>
      <c r="T154" s="69"/>
      <c r="U154" s="69"/>
      <c r="Z154" s="6"/>
      <c r="AM154" s="491" t="s">
        <v>208</v>
      </c>
      <c r="AN154" s="506">
        <f>4000</f>
        <v>4000</v>
      </c>
      <c r="AO154" s="490">
        <f>2*0.1</f>
        <v>0.2</v>
      </c>
      <c r="AP154" s="507">
        <f t="shared" si="102"/>
        <v>0</v>
      </c>
      <c r="AQ154" s="507"/>
      <c r="AR154" s="362">
        <f t="shared" si="103"/>
        <v>9.1683222747312582E-3</v>
      </c>
      <c r="AY154" s="139" t="s">
        <v>180</v>
      </c>
      <c r="AZ154" s="192" t="s">
        <v>280</v>
      </c>
      <c r="BA154" s="927" t="s">
        <v>241</v>
      </c>
      <c r="BB154" s="927"/>
      <c r="BC154" s="927"/>
      <c r="BL154" s="782" t="s">
        <v>605</v>
      </c>
      <c r="BM154" s="782">
        <v>18</v>
      </c>
      <c r="BN154" s="789">
        <v>69002000</v>
      </c>
      <c r="BO154" s="782" t="s">
        <v>604</v>
      </c>
      <c r="BP154" s="790">
        <v>80000000</v>
      </c>
      <c r="BQ154" s="795" t="str">
        <f t="shared" si="76"/>
        <v/>
      </c>
      <c r="BR154" s="796" t="str">
        <f t="shared" si="77"/>
        <v/>
      </c>
      <c r="BS154" s="796" t="str">
        <f t="shared" si="78"/>
        <v/>
      </c>
      <c r="BT154" s="796" t="str">
        <f t="shared" si="79"/>
        <v/>
      </c>
      <c r="BU154" s="796" t="str">
        <f t="shared" si="80"/>
        <v/>
      </c>
      <c r="BV154" s="796" t="str">
        <f t="shared" si="81"/>
        <v/>
      </c>
      <c r="BW154" s="796" t="str">
        <f t="shared" si="82"/>
        <v/>
      </c>
      <c r="BX154" s="797" t="str">
        <f t="shared" si="83"/>
        <v/>
      </c>
      <c r="BY154" s="807" t="str">
        <f>IF(BQ154="","",2600)</f>
        <v/>
      </c>
      <c r="BZ154" s="808" t="str">
        <f t="shared" ref="BZ154:CF154" si="105">IF(BR154="","",2600)</f>
        <v/>
      </c>
      <c r="CA154" s="808" t="str">
        <f t="shared" si="105"/>
        <v/>
      </c>
      <c r="CB154" s="808" t="str">
        <f t="shared" si="105"/>
        <v/>
      </c>
      <c r="CC154" s="808" t="str">
        <f t="shared" si="105"/>
        <v/>
      </c>
      <c r="CD154" s="808" t="str">
        <f t="shared" si="105"/>
        <v/>
      </c>
      <c r="CE154" s="808" t="str">
        <f t="shared" si="105"/>
        <v/>
      </c>
      <c r="CF154" s="809" t="str">
        <f t="shared" si="105"/>
        <v/>
      </c>
    </row>
    <row r="155" spans="14:84" ht="15" customHeight="1" thickBot="1">
      <c r="N155" s="17"/>
      <c r="O155" s="17"/>
      <c r="P155" s="17"/>
      <c r="Q155" s="17"/>
      <c r="R155" s="69"/>
      <c r="S155" s="69"/>
      <c r="T155" s="69"/>
      <c r="U155" s="69"/>
      <c r="Z155" s="6"/>
      <c r="AM155" s="491" t="s">
        <v>209</v>
      </c>
      <c r="AN155" s="506">
        <f>6000</f>
        <v>6000</v>
      </c>
      <c r="AO155" s="490">
        <f>3*0.1</f>
        <v>0.30000000000000004</v>
      </c>
      <c r="AP155" s="507">
        <f t="shared" si="102"/>
        <v>0</v>
      </c>
      <c r="AQ155" s="507"/>
      <c r="AR155" s="362">
        <f t="shared" si="103"/>
        <v>9.1683222747312582E-3</v>
      </c>
      <c r="AY155" s="140" t="s">
        <v>254</v>
      </c>
      <c r="AZ155" s="133" t="s">
        <v>251</v>
      </c>
      <c r="BA155" s="105" t="s">
        <v>248</v>
      </c>
      <c r="BB155" s="106" t="s">
        <v>249</v>
      </c>
      <c r="BC155" s="107" t="s">
        <v>250</v>
      </c>
      <c r="BM155" s="6"/>
      <c r="BN155" s="6"/>
      <c r="BO155" s="6"/>
      <c r="BP155" s="6"/>
      <c r="BQ155" s="6"/>
      <c r="BR155" s="6"/>
      <c r="BX155" s="811" t="s">
        <v>612</v>
      </c>
      <c r="BY155">
        <f>SUM(BY137:BY154)</f>
        <v>0</v>
      </c>
      <c r="BZ155">
        <f t="shared" ref="BZ155:CF155" si="106">SUM(BZ137:BZ154)</f>
        <v>0</v>
      </c>
      <c r="CA155">
        <f t="shared" si="106"/>
        <v>0</v>
      </c>
      <c r="CB155">
        <f t="shared" si="106"/>
        <v>0</v>
      </c>
      <c r="CC155">
        <f t="shared" si="106"/>
        <v>0</v>
      </c>
      <c r="CD155">
        <f t="shared" si="106"/>
        <v>0</v>
      </c>
      <c r="CE155">
        <f t="shared" si="106"/>
        <v>0</v>
      </c>
      <c r="CF155">
        <f t="shared" si="106"/>
        <v>0</v>
      </c>
    </row>
    <row r="156" spans="14:84" ht="15" customHeight="1" thickBot="1">
      <c r="N156" s="17"/>
      <c r="O156" s="17"/>
      <c r="P156" s="17"/>
      <c r="Q156" s="17"/>
      <c r="R156" s="69"/>
      <c r="S156" s="69"/>
      <c r="T156" s="69"/>
      <c r="U156" s="69"/>
      <c r="Z156" s="6"/>
      <c r="AM156" s="505" t="s">
        <v>210</v>
      </c>
      <c r="AN156" s="506">
        <f>8000</f>
        <v>8000</v>
      </c>
      <c r="AO156" s="490">
        <f>4*0.1</f>
        <v>0.4</v>
      </c>
      <c r="AP156" s="507">
        <f t="shared" si="102"/>
        <v>0</v>
      </c>
      <c r="AQ156" s="507"/>
      <c r="AR156" s="362">
        <f t="shared" si="103"/>
        <v>9.1683222747312582E-3</v>
      </c>
      <c r="AY156" s="156"/>
      <c r="BA156" s="136">
        <f>1.6/0.1</f>
        <v>16</v>
      </c>
      <c r="BB156" s="135">
        <f>BA156/(4*SQRT(3))</f>
        <v>2.3094010767585034</v>
      </c>
      <c r="BC156" s="194">
        <f>(0.1*(1*1000000)*$AZ$88/$AZ$89+BA156/4)/(1*SQRT(3))</f>
        <v>10.96965511460289</v>
      </c>
      <c r="BM156" s="6"/>
      <c r="BN156" s="6"/>
      <c r="BO156" s="6"/>
      <c r="BP156" s="6"/>
      <c r="BQ156" s="6"/>
      <c r="BR156" s="6"/>
      <c r="BX156" s="811" t="s">
        <v>614</v>
      </c>
      <c r="BY156" t="e">
        <f>IF($AV$77="g",$L$34,IF($AV$77="kg",$L$34*1000,IF($AV$77="mg",$L$34*0.001,$L$34)))</f>
        <v>#VALUE!</v>
      </c>
      <c r="BZ156" t="e">
        <f>IF($AV$77="g",$L$39,IF($AV$77="kg",$L$39*1000,IF($AV$77="mg",$L$39*0.001,$L$39)))</f>
        <v>#VALUE!</v>
      </c>
      <c r="CA156" t="e">
        <f>IF($AV$77="g",$L$45,IF($AV$77="kg",$L$45*1000,IF($AV$77="mg",$L$45*0.001,$L$45)))</f>
        <v>#VALUE!</v>
      </c>
      <c r="CB156" t="e">
        <f>IF($AV$77="g",$L$51,IF($AV$77="kg",$L$51*1000,IF($AV$77="mg",$L$51*0.001,$L$51)))</f>
        <v>#VALUE!</v>
      </c>
      <c r="CC156" t="e">
        <f>IF($AV$77="g",$L$57,IF($AV$77="kg",$L$57*1000,IF($AV$77="mg",$L$57*0.001,$L$57)))</f>
        <v>#VALUE!</v>
      </c>
      <c r="CD156" t="e">
        <f>IF($AV$77="g",$L$63,IF($AV$77="kg",$L$63*1000,IF($AV$77="mg",$L$63*0.001,$L$63)))</f>
        <v>#VALUE!</v>
      </c>
      <c r="CE156" t="e">
        <f>IF($AV$77="g",$L$69,IF($AV$77="kg",$L$69*1000,IF($AV$77="mg",$L$69*0.001,$L$69)))</f>
        <v>#VALUE!</v>
      </c>
      <c r="CF156" t="e">
        <f>IF($AV$77="g",$L$75,IF($AV$77="kg",$L$75*1000,IF($AV$77="mg",$L$75*0.001,$L$75)))</f>
        <v>#VALUE!</v>
      </c>
    </row>
    <row r="157" spans="14:84" ht="15" customHeight="1" thickBot="1">
      <c r="N157" s="17"/>
      <c r="O157" s="17"/>
      <c r="P157" s="17"/>
      <c r="Q157" s="17"/>
      <c r="R157" s="69"/>
      <c r="S157" s="69"/>
      <c r="T157" s="69"/>
      <c r="U157" s="69"/>
      <c r="Z157" s="6"/>
      <c r="AM157" s="505" t="s">
        <v>211</v>
      </c>
      <c r="AN157" s="506">
        <f>10000</f>
        <v>10000</v>
      </c>
      <c r="AO157" s="490">
        <f>5*0.1</f>
        <v>0.5</v>
      </c>
      <c r="AP157" s="507">
        <f t="shared" si="102"/>
        <v>0</v>
      </c>
      <c r="AQ157" s="507"/>
      <c r="AR157" s="362">
        <f t="shared" si="103"/>
        <v>9.1683222747312582E-3</v>
      </c>
      <c r="AY157" s="139" t="s">
        <v>256</v>
      </c>
      <c r="AZ157" s="192" t="s">
        <v>280</v>
      </c>
      <c r="BA157" s="927" t="s">
        <v>242</v>
      </c>
      <c r="BB157" s="927"/>
      <c r="BC157" s="958"/>
      <c r="BG157" s="95"/>
      <c r="BH157" s="95"/>
      <c r="BI157" s="95"/>
      <c r="BJ157" s="95"/>
      <c r="BK157" s="95"/>
      <c r="BL157" s="95"/>
      <c r="BM157" s="6"/>
      <c r="BN157" s="6"/>
      <c r="BO157" s="6"/>
      <c r="BP157" s="6"/>
      <c r="BQ157" s="6"/>
      <c r="BR157" s="6"/>
      <c r="BW157" s="870" t="s">
        <v>613</v>
      </c>
      <c r="BX157" s="870"/>
      <c r="BY157" s="784" t="e">
        <f>IF(BY156&lt;BY155,BY155,BY156)</f>
        <v>#VALUE!</v>
      </c>
      <c r="BZ157" s="784" t="e">
        <f t="shared" ref="BZ157:CF157" si="107">IF(BZ156&lt;BZ155,BZ155,BZ156)</f>
        <v>#VALUE!</v>
      </c>
      <c r="CA157" s="784" t="e">
        <f t="shared" si="107"/>
        <v>#VALUE!</v>
      </c>
      <c r="CB157" s="784" t="e">
        <f t="shared" si="107"/>
        <v>#VALUE!</v>
      </c>
      <c r="CC157" s="784" t="e">
        <f t="shared" si="107"/>
        <v>#VALUE!</v>
      </c>
      <c r="CD157" s="784" t="e">
        <f t="shared" si="107"/>
        <v>#VALUE!</v>
      </c>
      <c r="CE157" s="784" t="e">
        <f t="shared" si="107"/>
        <v>#VALUE!</v>
      </c>
      <c r="CF157" s="785" t="e">
        <f t="shared" si="107"/>
        <v>#VALUE!</v>
      </c>
    </row>
    <row r="158" spans="14:84" ht="15" customHeight="1" thickBot="1">
      <c r="N158" s="17"/>
      <c r="O158" s="17"/>
      <c r="P158" s="17"/>
      <c r="Q158" s="17"/>
      <c r="R158" s="69"/>
      <c r="S158" s="69"/>
      <c r="T158" s="69"/>
      <c r="U158" s="69"/>
      <c r="Z158" s="6"/>
      <c r="AM158" s="505" t="s">
        <v>213</v>
      </c>
      <c r="AN158" s="506">
        <f>12000</f>
        <v>12000</v>
      </c>
      <c r="AO158" s="490">
        <f>6*0.1</f>
        <v>0.60000000000000009</v>
      </c>
      <c r="AP158" s="507">
        <f t="shared" si="102"/>
        <v>0</v>
      </c>
      <c r="AQ158" s="507"/>
      <c r="AR158" s="362">
        <f t="shared" si="103"/>
        <v>9.1683222747312582E-3</v>
      </c>
      <c r="AY158" s="140" t="s">
        <v>254</v>
      </c>
      <c r="AZ158" s="133" t="s">
        <v>251</v>
      </c>
      <c r="BA158" s="105" t="s">
        <v>248</v>
      </c>
      <c r="BB158" s="106" t="s">
        <v>249</v>
      </c>
      <c r="BC158" s="107" t="s">
        <v>250</v>
      </c>
      <c r="BG158" s="95"/>
      <c r="BH158" s="95"/>
      <c r="BI158" s="95"/>
      <c r="BJ158" s="95"/>
      <c r="BK158" s="95"/>
      <c r="BL158" s="95"/>
      <c r="BM158" s="6"/>
      <c r="BN158" s="6"/>
      <c r="BO158" s="6"/>
      <c r="BP158" s="6"/>
      <c r="BQ158" s="6"/>
      <c r="BR158" s="6"/>
    </row>
    <row r="159" spans="14:84" ht="15" customHeight="1" thickBot="1">
      <c r="N159" s="17"/>
      <c r="O159" s="17"/>
      <c r="P159" s="17"/>
      <c r="Q159" s="17"/>
      <c r="R159" s="69"/>
      <c r="S159" s="69"/>
      <c r="T159" s="69"/>
      <c r="U159" s="69"/>
      <c r="Z159" s="6"/>
      <c r="AM159" s="505" t="s">
        <v>214</v>
      </c>
      <c r="AN159" s="506">
        <f>14000</f>
        <v>14000</v>
      </c>
      <c r="AO159" s="490">
        <f>7*0.1</f>
        <v>0.70000000000000007</v>
      </c>
      <c r="AP159" s="507">
        <f t="shared" si="102"/>
        <v>0</v>
      </c>
      <c r="AQ159" s="507"/>
      <c r="AR159" s="362">
        <f t="shared" si="103"/>
        <v>9.1683222747312582E-3</v>
      </c>
      <c r="AY159" s="157"/>
      <c r="AZ159" s="95"/>
      <c r="BA159" s="136">
        <f>5/0.1</f>
        <v>50</v>
      </c>
      <c r="BB159" s="135">
        <f>BA159/(4*SQRT(3))</f>
        <v>7.2168783648703227</v>
      </c>
      <c r="BC159" s="194">
        <f>(0.1*(1*1000000)*$AZ$88/$AZ$89+BA159/4)/(1*SQRT(3))</f>
        <v>15.877132402714709</v>
      </c>
      <c r="BG159" s="95"/>
      <c r="BH159" s="95"/>
      <c r="BI159" s="95"/>
      <c r="BJ159" s="95"/>
      <c r="BK159" s="95"/>
      <c r="BL159" s="95"/>
      <c r="BM159" s="6"/>
      <c r="BN159" s="827" t="s">
        <v>617</v>
      </c>
      <c r="BO159" s="6"/>
      <c r="BP159" s="6"/>
      <c r="BQ159" s="6"/>
      <c r="BR159" s="6"/>
      <c r="BY159" s="812"/>
    </row>
    <row r="160" spans="14:84" ht="15" customHeight="1" thickBot="1">
      <c r="N160" s="17"/>
      <c r="O160" s="17"/>
      <c r="P160" s="17"/>
      <c r="Q160" s="17"/>
      <c r="R160" s="69"/>
      <c r="S160" s="69"/>
      <c r="T160" s="69"/>
      <c r="U160" s="69"/>
      <c r="Z160" s="6"/>
      <c r="AM160" s="505" t="s">
        <v>215</v>
      </c>
      <c r="AN160" s="506">
        <f>16000</f>
        <v>16000</v>
      </c>
      <c r="AO160" s="490">
        <f>8*0.1</f>
        <v>0.8</v>
      </c>
      <c r="AP160" s="507">
        <f t="shared" si="102"/>
        <v>0</v>
      </c>
      <c r="AQ160" s="507"/>
      <c r="AR160" s="362">
        <f t="shared" si="103"/>
        <v>9.1683222747312582E-3</v>
      </c>
      <c r="BM160" s="872" t="s">
        <v>611</v>
      </c>
      <c r="BN160" s="872"/>
      <c r="BO160" s="872"/>
      <c r="BP160" s="872"/>
      <c r="BQ160" s="873" t="s">
        <v>610</v>
      </c>
      <c r="BR160" s="873"/>
      <c r="BS160" s="873"/>
      <c r="BT160" s="873"/>
      <c r="BU160" s="873"/>
      <c r="BV160" s="873"/>
      <c r="BW160" s="873"/>
      <c r="BX160" s="873"/>
      <c r="BY160" s="874" t="s">
        <v>606</v>
      </c>
      <c r="BZ160" s="875"/>
      <c r="CA160" s="875"/>
      <c r="CB160" s="875"/>
      <c r="CC160" s="875"/>
      <c r="CD160" s="875"/>
      <c r="CE160" s="875"/>
      <c r="CF160" s="875"/>
    </row>
    <row r="161" spans="14:84" ht="15" customHeight="1" thickBot="1">
      <c r="N161" s="17"/>
      <c r="O161" s="17"/>
      <c r="P161" s="17"/>
      <c r="Q161" s="17"/>
      <c r="R161" s="69"/>
      <c r="S161" s="69"/>
      <c r="T161" s="69"/>
      <c r="U161" s="69"/>
      <c r="Z161" s="6"/>
      <c r="AM161" s="505" t="s">
        <v>216</v>
      </c>
      <c r="AN161" s="506">
        <f>18000</f>
        <v>18000</v>
      </c>
      <c r="AO161" s="490">
        <f>9*0.1</f>
        <v>0.9</v>
      </c>
      <c r="AP161" s="507">
        <f t="shared" si="102"/>
        <v>0</v>
      </c>
      <c r="AQ161" s="507"/>
      <c r="AR161" s="362">
        <f t="shared" si="103"/>
        <v>9.1683222747312582E-3</v>
      </c>
      <c r="BL161" s="785" t="s">
        <v>606</v>
      </c>
      <c r="BM161" s="787" t="s">
        <v>608</v>
      </c>
      <c r="BN161" s="783" t="s">
        <v>280</v>
      </c>
      <c r="BO161" s="783" t="s">
        <v>609</v>
      </c>
      <c r="BP161" s="798" t="s">
        <v>280</v>
      </c>
      <c r="BQ161" s="799">
        <v>1</v>
      </c>
      <c r="BR161" s="800">
        <v>2</v>
      </c>
      <c r="BS161" s="800">
        <v>3</v>
      </c>
      <c r="BT161" s="800">
        <v>4</v>
      </c>
      <c r="BU161" s="800">
        <v>5</v>
      </c>
      <c r="BV161" s="800">
        <v>6</v>
      </c>
      <c r="BW161" s="800">
        <v>7</v>
      </c>
      <c r="BX161" s="801">
        <v>8</v>
      </c>
      <c r="BY161" s="833">
        <v>1</v>
      </c>
      <c r="BZ161" s="834">
        <v>2</v>
      </c>
      <c r="CA161" s="834">
        <v>3</v>
      </c>
      <c r="CB161" s="834">
        <v>4</v>
      </c>
      <c r="CC161" s="834">
        <v>5</v>
      </c>
      <c r="CD161" s="834">
        <v>6</v>
      </c>
      <c r="CE161" s="834">
        <v>7</v>
      </c>
      <c r="CF161" s="835">
        <v>8</v>
      </c>
    </row>
    <row r="162" spans="14:84" ht="15" customHeight="1" thickBot="1">
      <c r="N162" s="17"/>
      <c r="O162" s="17"/>
      <c r="P162" s="17"/>
      <c r="Q162" s="17"/>
      <c r="R162" s="69"/>
      <c r="S162" s="69"/>
      <c r="T162" s="69"/>
      <c r="U162" s="69"/>
      <c r="Z162" s="6"/>
      <c r="AM162" s="505" t="s">
        <v>212</v>
      </c>
      <c r="AN162" s="506">
        <f>20000</f>
        <v>20000</v>
      </c>
      <c r="AO162" s="490">
        <f>10*0.1</f>
        <v>1</v>
      </c>
      <c r="AP162" s="507">
        <f t="shared" si="102"/>
        <v>0</v>
      </c>
      <c r="AQ162" s="534"/>
      <c r="AR162" s="362">
        <f t="shared" si="103"/>
        <v>9.1683222747312582E-3</v>
      </c>
      <c r="BL162" s="786" t="s">
        <v>644</v>
      </c>
      <c r="BM162" s="782">
        <v>1</v>
      </c>
      <c r="BN162" s="782">
        <v>1E-3</v>
      </c>
      <c r="BO162" s="788" t="s">
        <v>571</v>
      </c>
      <c r="BP162" s="790">
        <f>0.005</f>
        <v>5.0000000000000001E-3</v>
      </c>
      <c r="BQ162" s="793" t="str">
        <f t="shared" ref="BQ162:BQ174" si="108">IF(AND($AV$77="g",$D$32&lt;=BN163,$D$32&gt;BN162),$D$32,IF(AND($AV$77="kg",$D$32*1000&lt;=BN163,$D$32*1000&gt;BN162),$D$32*1000,IF(AND($AV$77="mg",$D$32*0.001&lt;=BN163,$D$32*0.001&gt;BN162),$D$32*0.001,"")))</f>
        <v/>
      </c>
      <c r="BR162" s="794" t="str">
        <f t="shared" ref="BR162:BR174" si="109">IF(AND($AV$77="g",$D$37&lt;=BN163,$D$37&gt;BN162),$D$37,IF(AND($AV$77="kg",$D$37*1000&lt;=BN163,$D$37*1000&gt;BN162),$D$37*1000,IF(AND($AV$77="mg",$D$37*0.001&lt;=BN163,$D$37*0.001&gt;BN162),$D$37*0.001,"")))</f>
        <v/>
      </c>
      <c r="BS162" s="794" t="str">
        <f t="shared" ref="BS162:BS174" si="110">IF(AND($AV$77="g",$D$43&lt;=BN163,$D$43&gt;BN162),$D$43,IF(AND($AV$77="kg",$D$43*1000&lt;=BN163,$D$43*1000&gt;BN162),$D$43*1000,IF(AND($AV$77="mg",$D$43*0.001&lt;=BN163,$D$43*0.001&gt;BN162),$D$43*0.001,"")))</f>
        <v/>
      </c>
      <c r="BT162" s="794" t="str">
        <f t="shared" ref="BT162:BT174" si="111">IF(AND($AV$77="g",$D$49&lt;=BN163,$D$49&gt;BN162),$D$49,IF(AND($AV$77="kg",$D$49*1000&lt;=BN163,$D$49*1000&gt;BN162),$D$49*1000,IF(AND($AV$77="mg",$D$49*0.001&lt;=BN163,$D$49*0.001&gt;BN162),$D$49*0.001,"")))</f>
        <v/>
      </c>
      <c r="BU162" s="794" t="str">
        <f t="shared" ref="BU162:BU174" si="112">IF(AND($AV$77="g",$D$55&lt;=BN163,$D$55&gt;BN162),$D$55,IF(AND($AV$77="kg",$D$55*1000&lt;=BN163,$D$55*1000&gt;BN162),$D$55*1000,IF(AND($AV$77="mg",$D$55*0.001&lt;=BN163,$D$55*0.001&gt;BN162),$D$55*0.001,"")))</f>
        <v/>
      </c>
      <c r="BV162" s="794" t="str">
        <f t="shared" ref="BV162:BV174" si="113">IF(AND($AV$77="g",$D$61&lt;=BN163,$D$61&gt;BN162),$D$61,IF(AND($AV$77="kg",$D$61*1000&lt;=BN163,$D$61*1000&gt;BN162),$D$61*1000,IF(AND($AV$77="mg",$D$61*0.001&lt;=BN163,$D$61*0.001&gt;BN162),$D$61*0.001,"")))</f>
        <v/>
      </c>
      <c r="BW162" s="794" t="str">
        <f t="shared" ref="BW162:BW174" si="114">IF(AND($AV$77="g",$D$67&lt;=BN163,$D$67&gt;BN162),$D$67,IF(AND($AV$77="kg",$D$67*1000&lt;=BN163,$D$67*1000&gt;BN162),$D$67*1000,IF(AND($AV$77="mg",$D$67*0.001&lt;=BN163,$D$67*0.001&gt;BN162),$D$67*0.001,"")))</f>
        <v/>
      </c>
      <c r="BX162" s="794" t="str">
        <f t="shared" ref="BX162:BX174" si="115">IF(AND($AV$77="g",$D$73&lt;=BN163,$D$73&gt;BN162),$D$73,IF(AND($AV$77="kg",$D$73*1000&lt;=BN163,$D$73*1000&gt;BN162),$D$73*1000,IF(AND($AV$77="mg",$D$73*0.001&lt;=BN163,$D$73*0.001&gt;BN162),$D$73*0.001,"")))</f>
        <v/>
      </c>
      <c r="BY162" s="802" t="str">
        <f t="shared" ref="BY162:CF162" si="116">IF(BQ162="","",0.0051*0.001)</f>
        <v/>
      </c>
      <c r="BZ162" s="837" t="str">
        <f t="shared" si="116"/>
        <v/>
      </c>
      <c r="CA162" s="837" t="str">
        <f t="shared" si="116"/>
        <v/>
      </c>
      <c r="CB162" s="837" t="str">
        <f t="shared" si="116"/>
        <v/>
      </c>
      <c r="CC162" s="837" t="str">
        <f t="shared" si="116"/>
        <v/>
      </c>
      <c r="CD162" s="837" t="str">
        <f t="shared" si="116"/>
        <v/>
      </c>
      <c r="CE162" s="837" t="str">
        <f t="shared" si="116"/>
        <v/>
      </c>
      <c r="CF162" s="838" t="str">
        <f t="shared" si="116"/>
        <v/>
      </c>
    </row>
    <row r="163" spans="14:84" ht="15" customHeight="1" thickBot="1">
      <c r="N163" s="17"/>
      <c r="O163" s="17"/>
      <c r="P163" s="17"/>
      <c r="Q163" s="17"/>
      <c r="R163" s="69"/>
      <c r="S163" s="69"/>
      <c r="T163" s="69"/>
      <c r="U163" s="69"/>
      <c r="Z163" s="6"/>
      <c r="AM163" s="541" t="s">
        <v>383</v>
      </c>
      <c r="AN163" s="542" t="s">
        <v>217</v>
      </c>
      <c r="AO163" s="530" t="str">
        <f>IF(AP163=0,"NÃO","SIM")</f>
        <v>NÃO</v>
      </c>
      <c r="AP163" s="531">
        <f>IF(ISERROR(SUM(AP164:AP165)),SUM(AP164:AP165),SUM(AP164:AP165))</f>
        <v>0</v>
      </c>
      <c r="AQ163" s="507"/>
      <c r="AR163" s="39"/>
      <c r="BL163" s="782" t="s">
        <v>645</v>
      </c>
      <c r="BM163" s="782">
        <v>2</v>
      </c>
      <c r="BN163" s="789">
        <f>0.006</f>
        <v>6.0000000000000001E-3</v>
      </c>
      <c r="BO163" s="782" t="s">
        <v>572</v>
      </c>
      <c r="BP163" s="790">
        <v>0.02</v>
      </c>
      <c r="BQ163" s="793" t="str">
        <f t="shared" si="108"/>
        <v/>
      </c>
      <c r="BR163" s="794" t="str">
        <f t="shared" si="109"/>
        <v/>
      </c>
      <c r="BS163" s="794" t="str">
        <f t="shared" si="110"/>
        <v/>
      </c>
      <c r="BT163" s="794" t="str">
        <f t="shared" si="111"/>
        <v/>
      </c>
      <c r="BU163" s="794" t="str">
        <f t="shared" si="112"/>
        <v/>
      </c>
      <c r="BV163" s="794" t="str">
        <f t="shared" si="113"/>
        <v/>
      </c>
      <c r="BW163" s="794" t="str">
        <f t="shared" si="114"/>
        <v/>
      </c>
      <c r="BX163" s="794" t="str">
        <f t="shared" si="115"/>
        <v/>
      </c>
      <c r="BY163" s="805" t="str">
        <f>IF(BQ163="","",(0.02%*BQ163+0.0048)*0.001)</f>
        <v/>
      </c>
      <c r="BZ163" s="785" t="str">
        <f t="shared" ref="BZ163:CF163" si="117">IF(BR163="","",(0.02%*BR163+0.0048)*0.001)</f>
        <v/>
      </c>
      <c r="CA163" s="785" t="str">
        <f t="shared" si="117"/>
        <v/>
      </c>
      <c r="CB163" s="785" t="str">
        <f t="shared" si="117"/>
        <v/>
      </c>
      <c r="CC163" s="785" t="str">
        <f t="shared" si="117"/>
        <v/>
      </c>
      <c r="CD163" s="785" t="str">
        <f t="shared" si="117"/>
        <v/>
      </c>
      <c r="CE163" s="785" t="str">
        <f t="shared" si="117"/>
        <v/>
      </c>
      <c r="CF163" s="836" t="str">
        <f t="shared" si="117"/>
        <v/>
      </c>
    </row>
    <row r="164" spans="14:84" ht="15" customHeight="1" thickBot="1">
      <c r="N164" s="17"/>
      <c r="O164" s="17"/>
      <c r="P164" s="17"/>
      <c r="Q164" s="17"/>
      <c r="R164" s="69"/>
      <c r="S164" s="69"/>
      <c r="T164" s="69"/>
      <c r="U164" s="69"/>
      <c r="Z164" s="6"/>
      <c r="AM164" s="491" t="s">
        <v>218</v>
      </c>
      <c r="AN164" s="506">
        <v>5000</v>
      </c>
      <c r="AO164" s="490">
        <f>0.25</f>
        <v>0.25</v>
      </c>
      <c r="AP164" s="507">
        <f>IF(ISERROR(MATCH(AM164,$B$32:$B$77,0)),0,(MATCH(AM164,$B$32:$B$77,0)))+IF(ISERROR(MATCH(AM164,$C$32:$C$77,0)),0,(MATCH(AM164,$C$32:$C$77,0)))</f>
        <v>0</v>
      </c>
      <c r="AQ164" s="507"/>
      <c r="AR164" s="362">
        <f>SQRT((15.88/1000)^2/3)</f>
        <v>9.1683222747312582E-3</v>
      </c>
      <c r="AZ164" s="95"/>
      <c r="BA164" s="95"/>
      <c r="BH164" s="95"/>
      <c r="BI164" s="95"/>
      <c r="BJ164" s="95"/>
      <c r="BK164" s="95"/>
      <c r="BL164" s="782" t="s">
        <v>646</v>
      </c>
      <c r="BM164" s="782">
        <v>3</v>
      </c>
      <c r="BN164" s="782">
        <v>2.1000000000000001E-2</v>
      </c>
      <c r="BO164" s="782" t="s">
        <v>642</v>
      </c>
      <c r="BP164" s="790">
        <v>0.5</v>
      </c>
      <c r="BQ164" s="793" t="str">
        <f t="shared" si="108"/>
        <v/>
      </c>
      <c r="BR164" s="794" t="str">
        <f t="shared" si="109"/>
        <v/>
      </c>
      <c r="BS164" s="794" t="str">
        <f t="shared" si="110"/>
        <v/>
      </c>
      <c r="BT164" s="794" t="str">
        <f t="shared" si="111"/>
        <v/>
      </c>
      <c r="BU164" s="794" t="str">
        <f t="shared" si="112"/>
        <v/>
      </c>
      <c r="BV164" s="794" t="str">
        <f t="shared" si="113"/>
        <v/>
      </c>
      <c r="BW164" s="794" t="str">
        <f t="shared" si="114"/>
        <v/>
      </c>
      <c r="BX164" s="794" t="str">
        <f t="shared" si="115"/>
        <v/>
      </c>
      <c r="BY164" s="805" t="str">
        <f>IF(BQ164="","",(0.011%*BQ164+0.0068)*0.001)</f>
        <v/>
      </c>
      <c r="BZ164" s="785" t="str">
        <f t="shared" ref="BZ164:CF164" si="118">IF(BR164="","",(0.011%*BR164+0.0068)*0.001)</f>
        <v/>
      </c>
      <c r="CA164" s="785" t="str">
        <f t="shared" si="118"/>
        <v/>
      </c>
      <c r="CB164" s="785" t="str">
        <f t="shared" si="118"/>
        <v/>
      </c>
      <c r="CC164" s="785" t="str">
        <f t="shared" si="118"/>
        <v/>
      </c>
      <c r="CD164" s="785" t="str">
        <f t="shared" si="118"/>
        <v/>
      </c>
      <c r="CE164" s="785" t="str">
        <f t="shared" si="118"/>
        <v/>
      </c>
      <c r="CF164" s="836" t="str">
        <f t="shared" si="118"/>
        <v/>
      </c>
    </row>
    <row r="165" spans="14:84" ht="15" customHeight="1" thickBot="1">
      <c r="N165" s="17"/>
      <c r="O165" s="17"/>
      <c r="P165" s="17"/>
      <c r="Q165" s="17"/>
      <c r="R165" s="69"/>
      <c r="S165" s="69"/>
      <c r="T165" s="69"/>
      <c r="U165" s="69"/>
      <c r="Z165" s="6"/>
      <c r="AM165" s="491" t="s">
        <v>219</v>
      </c>
      <c r="AN165" s="506">
        <v>10000</v>
      </c>
      <c r="AO165" s="490">
        <f>2*0.25</f>
        <v>0.5</v>
      </c>
      <c r="AP165" s="507">
        <f>IF(ISERROR(MATCH(AM165,$B$32:$B$77,0)),0,(MATCH(AM165,$B$32:$B$77,0)))+IF(ISERROR(MATCH(AM165,$C$32:$C$77,0)),0,(MATCH(AM165,$C$32:$C$77,0)))</f>
        <v>0</v>
      </c>
      <c r="AQ165" s="534"/>
      <c r="AR165" s="362">
        <f>SQRT((15.88/1000)^2/3)</f>
        <v>9.1683222747312582E-3</v>
      </c>
      <c r="AZ165" s="95"/>
      <c r="BA165" s="95"/>
      <c r="BH165" s="95"/>
      <c r="BI165" s="95"/>
      <c r="BJ165" s="95"/>
      <c r="BK165" s="95"/>
      <c r="BL165" s="782" t="s">
        <v>647</v>
      </c>
      <c r="BM165" s="782">
        <v>4</v>
      </c>
      <c r="BN165" s="782">
        <v>0.501</v>
      </c>
      <c r="BO165" s="782" t="s">
        <v>643</v>
      </c>
      <c r="BP165" s="790">
        <v>20</v>
      </c>
      <c r="BQ165" s="793" t="str">
        <f t="shared" si="108"/>
        <v/>
      </c>
      <c r="BR165" s="794" t="str">
        <f t="shared" si="109"/>
        <v/>
      </c>
      <c r="BS165" s="794" t="str">
        <f t="shared" si="110"/>
        <v/>
      </c>
      <c r="BT165" s="794" t="str">
        <f t="shared" si="111"/>
        <v/>
      </c>
      <c r="BU165" s="794" t="str">
        <f t="shared" si="112"/>
        <v/>
      </c>
      <c r="BV165" s="794" t="str">
        <f t="shared" si="113"/>
        <v/>
      </c>
      <c r="BW165" s="794" t="str">
        <f t="shared" si="114"/>
        <v/>
      </c>
      <c r="BX165" s="794" t="str">
        <f t="shared" si="115"/>
        <v/>
      </c>
      <c r="BY165" s="805" t="str">
        <f>IF(BQ165="","",(0.012%*BQ165)*0.001)</f>
        <v/>
      </c>
      <c r="BZ165" s="785" t="str">
        <f t="shared" ref="BZ165:CF165" si="119">IF(BR165="","",(0.012%*BR165)*0.001)</f>
        <v/>
      </c>
      <c r="CA165" s="785" t="str">
        <f t="shared" si="119"/>
        <v/>
      </c>
      <c r="CB165" s="785" t="str">
        <f t="shared" si="119"/>
        <v/>
      </c>
      <c r="CC165" s="785" t="str">
        <f t="shared" si="119"/>
        <v/>
      </c>
      <c r="CD165" s="785" t="str">
        <f t="shared" si="119"/>
        <v/>
      </c>
      <c r="CE165" s="785" t="str">
        <f t="shared" si="119"/>
        <v/>
      </c>
      <c r="CF165" s="836" t="str">
        <f t="shared" si="119"/>
        <v/>
      </c>
    </row>
    <row r="166" spans="14:84" ht="15" customHeight="1" thickBot="1">
      <c r="N166" s="17"/>
      <c r="O166" s="17"/>
      <c r="P166" s="17"/>
      <c r="Q166" s="17"/>
      <c r="R166" s="69"/>
      <c r="S166" s="69"/>
      <c r="T166" s="69"/>
      <c r="U166" s="69"/>
      <c r="Z166" s="6"/>
      <c r="AM166" s="541">
        <v>533</v>
      </c>
      <c r="AN166" s="542" t="s">
        <v>217</v>
      </c>
      <c r="AO166" s="530" t="str">
        <f>IF(AP166=0,"NÃO","SIM")</f>
        <v>NÃO</v>
      </c>
      <c r="AP166" s="531">
        <f>IF(ISERROR(SUM(AP167:AP168)),SUM(AP167:AP168),SUM(AP167:AP168))</f>
        <v>0</v>
      </c>
      <c r="AQ166" s="507"/>
      <c r="AR166" s="39"/>
      <c r="AZ166" s="95"/>
      <c r="BA166" s="95"/>
      <c r="BH166" s="95"/>
      <c r="BI166" s="95"/>
      <c r="BJ166" s="95"/>
      <c r="BK166" s="95"/>
      <c r="BL166" s="782" t="s">
        <v>648</v>
      </c>
      <c r="BM166" s="782">
        <v>5</v>
      </c>
      <c r="BN166" s="782">
        <v>20.001000000000001</v>
      </c>
      <c r="BO166" s="782" t="s">
        <v>578</v>
      </c>
      <c r="BP166" s="790">
        <v>1000</v>
      </c>
      <c r="BQ166" s="793" t="str">
        <f t="shared" si="108"/>
        <v/>
      </c>
      <c r="BR166" s="794" t="str">
        <f t="shared" si="109"/>
        <v/>
      </c>
      <c r="BS166" s="794" t="str">
        <f t="shared" si="110"/>
        <v/>
      </c>
      <c r="BT166" s="794" t="str">
        <f t="shared" si="111"/>
        <v/>
      </c>
      <c r="BU166" s="794" t="str">
        <f t="shared" si="112"/>
        <v/>
      </c>
      <c r="BV166" s="794" t="str">
        <f t="shared" si="113"/>
        <v/>
      </c>
      <c r="BW166" s="794" t="str">
        <f t="shared" si="114"/>
        <v/>
      </c>
      <c r="BX166" s="794" t="str">
        <f t="shared" si="115"/>
        <v/>
      </c>
      <c r="BY166" s="805" t="str">
        <f>IF(BQ166="","",0.012%*BQ166)</f>
        <v/>
      </c>
      <c r="BZ166" s="785" t="str">
        <f t="shared" ref="BZ166:CF167" si="120">IF(BR166="","",0.012%*BR166)</f>
        <v/>
      </c>
      <c r="CA166" s="785" t="str">
        <f t="shared" si="120"/>
        <v/>
      </c>
      <c r="CB166" s="785" t="str">
        <f t="shared" si="120"/>
        <v/>
      </c>
      <c r="CC166" s="785" t="str">
        <f t="shared" si="120"/>
        <v/>
      </c>
      <c r="CD166" s="785" t="str">
        <f t="shared" si="120"/>
        <v/>
      </c>
      <c r="CE166" s="785" t="str">
        <f t="shared" si="120"/>
        <v/>
      </c>
      <c r="CF166" s="836" t="str">
        <f t="shared" si="120"/>
        <v/>
      </c>
    </row>
    <row r="167" spans="14:84" ht="15" customHeight="1" thickBot="1">
      <c r="N167" s="17"/>
      <c r="O167" s="17"/>
      <c r="P167" s="17"/>
      <c r="Q167" s="17"/>
      <c r="R167" s="69"/>
      <c r="S167" s="69"/>
      <c r="T167" s="69"/>
      <c r="U167" s="69"/>
      <c r="Z167" s="6"/>
      <c r="AM167" s="491" t="s">
        <v>220</v>
      </c>
      <c r="AN167" s="506">
        <v>10000</v>
      </c>
      <c r="AO167" s="490">
        <f>0.5</f>
        <v>0.5</v>
      </c>
      <c r="AP167" s="507">
        <f>IF(ISERROR(MATCH(AM167,$B$32:$B$77,0)),0,(MATCH(AM167,$B$32:$B$77,0)))+IF(ISERROR(MATCH(AM167,$C$32:$C$77,0)),0,(MATCH(AM167,$C$32:$C$77,0)))</f>
        <v>0</v>
      </c>
      <c r="AQ167" s="507"/>
      <c r="AR167" s="362">
        <f>SQRT((15.88/1000)^2/3)</f>
        <v>9.1683222747312582E-3</v>
      </c>
      <c r="AZ167" s="95"/>
      <c r="BA167" s="95"/>
      <c r="BL167" s="782" t="s">
        <v>648</v>
      </c>
      <c r="BM167" s="782">
        <v>6</v>
      </c>
      <c r="BN167" s="782">
        <v>1000.05</v>
      </c>
      <c r="BO167" s="782" t="s">
        <v>580</v>
      </c>
      <c r="BP167" s="790">
        <v>40000</v>
      </c>
      <c r="BQ167" s="793" t="str">
        <f t="shared" si="108"/>
        <v/>
      </c>
      <c r="BR167" s="794" t="str">
        <f t="shared" si="109"/>
        <v/>
      </c>
      <c r="BS167" s="794" t="str">
        <f t="shared" si="110"/>
        <v/>
      </c>
      <c r="BT167" s="794" t="str">
        <f t="shared" si="111"/>
        <v/>
      </c>
      <c r="BU167" s="794" t="str">
        <f t="shared" si="112"/>
        <v/>
      </c>
      <c r="BV167" s="794" t="str">
        <f t="shared" si="113"/>
        <v/>
      </c>
      <c r="BW167" s="794" t="str">
        <f t="shared" si="114"/>
        <v/>
      </c>
      <c r="BX167" s="794" t="str">
        <f t="shared" si="115"/>
        <v/>
      </c>
      <c r="BY167" s="805" t="str">
        <f>IF(BQ167="","",0.012%*BQ167)</f>
        <v/>
      </c>
      <c r="BZ167" s="785" t="str">
        <f t="shared" si="120"/>
        <v/>
      </c>
      <c r="CA167" s="785" t="str">
        <f t="shared" si="120"/>
        <v/>
      </c>
      <c r="CB167" s="785" t="str">
        <f t="shared" si="120"/>
        <v/>
      </c>
      <c r="CC167" s="785" t="str">
        <f t="shared" si="120"/>
        <v/>
      </c>
      <c r="CD167" s="785" t="str">
        <f t="shared" si="120"/>
        <v/>
      </c>
      <c r="CE167" s="785" t="str">
        <f t="shared" si="120"/>
        <v/>
      </c>
      <c r="CF167" s="836" t="str">
        <f t="shared" si="120"/>
        <v/>
      </c>
    </row>
    <row r="168" spans="14:84" ht="15" customHeight="1" thickBot="1">
      <c r="N168" s="17"/>
      <c r="O168" s="17"/>
      <c r="P168" s="17"/>
      <c r="Q168" s="17"/>
      <c r="R168" s="69"/>
      <c r="S168" s="69"/>
      <c r="T168" s="69"/>
      <c r="U168" s="69"/>
      <c r="Z168" s="6"/>
      <c r="AM168" s="516" t="s">
        <v>221</v>
      </c>
      <c r="AN168" s="512">
        <v>20000</v>
      </c>
      <c r="AO168" s="502">
        <f>2*0.5</f>
        <v>1</v>
      </c>
      <c r="AP168" s="511">
        <f>IF(ISERROR(MATCH(AM168,$B$32:$B$77,0)),0,(MATCH(AM168,$B$32:$B$77,0)))+IF(ISERROR(MATCH(AM168,$C$32:$C$77,0)),0,(MATCH(AM168,$C$32:$C$77,0)))</f>
        <v>0</v>
      </c>
      <c r="AQ168" s="534"/>
      <c r="AR168" s="362">
        <f>SQRT((15.88/1000)^2/3)</f>
        <v>9.1683222747312582E-3</v>
      </c>
      <c r="BL168" s="782" t="s">
        <v>650</v>
      </c>
      <c r="BM168" s="782">
        <v>7</v>
      </c>
      <c r="BN168" s="782">
        <v>40000.1</v>
      </c>
      <c r="BO168" s="782" t="s">
        <v>649</v>
      </c>
      <c r="BP168" s="790">
        <v>1000000</v>
      </c>
      <c r="BQ168" s="793" t="str">
        <f t="shared" si="108"/>
        <v/>
      </c>
      <c r="BR168" s="794" t="str">
        <f t="shared" si="109"/>
        <v/>
      </c>
      <c r="BS168" s="794" t="str">
        <f t="shared" si="110"/>
        <v/>
      </c>
      <c r="BT168" s="794" t="str">
        <f t="shared" si="111"/>
        <v/>
      </c>
      <c r="BU168" s="794" t="str">
        <f t="shared" si="112"/>
        <v/>
      </c>
      <c r="BV168" s="794" t="str">
        <f t="shared" si="113"/>
        <v/>
      </c>
      <c r="BW168" s="794" t="str">
        <f t="shared" si="114"/>
        <v/>
      </c>
      <c r="BX168" s="794" t="str">
        <f t="shared" si="115"/>
        <v/>
      </c>
      <c r="BY168" s="805" t="str">
        <f>IF(BQ168="","",0.013%*BQ168)</f>
        <v/>
      </c>
      <c r="BZ168" s="785" t="str">
        <f t="shared" ref="BZ168:CF169" si="121">IF(BR168="","",0.013%*BR168)</f>
        <v/>
      </c>
      <c r="CA168" s="785" t="str">
        <f t="shared" si="121"/>
        <v/>
      </c>
      <c r="CB168" s="785" t="str">
        <f t="shared" si="121"/>
        <v/>
      </c>
      <c r="CC168" s="785" t="str">
        <f t="shared" si="121"/>
        <v/>
      </c>
      <c r="CD168" s="785" t="str">
        <f t="shared" si="121"/>
        <v/>
      </c>
      <c r="CE168" s="785" t="str">
        <f t="shared" si="121"/>
        <v/>
      </c>
      <c r="CF168" s="836" t="str">
        <f t="shared" si="121"/>
        <v/>
      </c>
    </row>
    <row r="169" spans="14:84" ht="15" customHeight="1" thickBot="1">
      <c r="N169" s="17"/>
      <c r="O169" s="17"/>
      <c r="P169" s="17"/>
      <c r="Q169" s="17"/>
      <c r="R169" s="69"/>
      <c r="S169" s="69"/>
      <c r="T169" s="69"/>
      <c r="U169" s="69"/>
      <c r="Z169" s="6"/>
      <c r="AM169" s="543" t="s">
        <v>377</v>
      </c>
      <c r="AN169" s="542" t="s">
        <v>425</v>
      </c>
      <c r="AO169" s="530" t="str">
        <f>IF(AP169=0,"NÃO","SIM")</f>
        <v>NÃO</v>
      </c>
      <c r="AP169" s="534">
        <f>IF(ISERROR(SUM(AP170:AP178)),SUM(AP170:AP178),SUM(AP170:AP178))</f>
        <v>0</v>
      </c>
      <c r="AQ169" s="507"/>
      <c r="AR169" s="39"/>
      <c r="BL169" s="782" t="s">
        <v>650</v>
      </c>
      <c r="BM169" s="782">
        <v>8</v>
      </c>
      <c r="BN169" s="782">
        <v>1000050</v>
      </c>
      <c r="BO169" s="782" t="s">
        <v>651</v>
      </c>
      <c r="BP169" s="790">
        <v>20000000</v>
      </c>
      <c r="BQ169" s="793" t="str">
        <f t="shared" si="108"/>
        <v/>
      </c>
      <c r="BR169" s="794" t="str">
        <f t="shared" si="109"/>
        <v/>
      </c>
      <c r="BS169" s="794" t="str">
        <f t="shared" si="110"/>
        <v/>
      </c>
      <c r="BT169" s="794" t="str">
        <f t="shared" si="111"/>
        <v/>
      </c>
      <c r="BU169" s="794" t="str">
        <f t="shared" si="112"/>
        <v/>
      </c>
      <c r="BV169" s="794" t="str">
        <f t="shared" si="113"/>
        <v/>
      </c>
      <c r="BW169" s="794" t="str">
        <f t="shared" si="114"/>
        <v/>
      </c>
      <c r="BX169" s="794" t="str">
        <f t="shared" si="115"/>
        <v/>
      </c>
      <c r="BY169" s="805" t="str">
        <f>IF(BQ169="","",0.013%*BQ169)</f>
        <v/>
      </c>
      <c r="BZ169" s="785" t="str">
        <f t="shared" si="121"/>
        <v/>
      </c>
      <c r="CA169" s="785" t="str">
        <f t="shared" si="121"/>
        <v/>
      </c>
      <c r="CB169" s="785" t="str">
        <f t="shared" si="121"/>
        <v/>
      </c>
      <c r="CC169" s="785" t="str">
        <f t="shared" si="121"/>
        <v/>
      </c>
      <c r="CD169" s="785" t="str">
        <f t="shared" si="121"/>
        <v/>
      </c>
      <c r="CE169" s="785" t="str">
        <f t="shared" si="121"/>
        <v/>
      </c>
      <c r="CF169" s="836" t="str">
        <f t="shared" si="121"/>
        <v/>
      </c>
    </row>
    <row r="170" spans="14:84" ht="15" customHeight="1" thickBot="1">
      <c r="N170" s="17"/>
      <c r="O170" s="17"/>
      <c r="P170" s="17"/>
      <c r="Q170" s="17"/>
      <c r="R170" s="69"/>
      <c r="S170" s="69"/>
      <c r="T170" s="69"/>
      <c r="U170" s="69"/>
      <c r="AM170" s="519" t="s">
        <v>222</v>
      </c>
      <c r="AN170" s="520">
        <v>100000</v>
      </c>
      <c r="AO170" s="506">
        <f>10</f>
        <v>10</v>
      </c>
      <c r="AP170" s="507">
        <f t="shared" ref="AP170:AP178" si="122">IF(ISERROR(MATCH(AM170,$B$32:$B$77,0)),0,(MATCH(AM170,$B$32:$B$77,0)))+IF(ISERROR(MATCH(AM170,$C$32:$C$77,0)),0,(MATCH(AM170,$C$32:$C$77,0)))</f>
        <v>0</v>
      </c>
      <c r="AQ170" s="507"/>
      <c r="AR170" s="362">
        <f t="shared" ref="AR170:AR178" si="123">SQRT((15.88/1000)^2/3)</f>
        <v>9.1683222747312582E-3</v>
      </c>
      <c r="BL170" s="782" t="s">
        <v>653</v>
      </c>
      <c r="BM170" s="782">
        <v>9</v>
      </c>
      <c r="BN170" s="789">
        <v>20000100</v>
      </c>
      <c r="BO170" s="782" t="s">
        <v>652</v>
      </c>
      <c r="BP170" s="790">
        <v>23000000</v>
      </c>
      <c r="BQ170" s="793" t="str">
        <f t="shared" si="108"/>
        <v/>
      </c>
      <c r="BR170" s="794" t="str">
        <f t="shared" si="109"/>
        <v/>
      </c>
      <c r="BS170" s="794" t="str">
        <f t="shared" si="110"/>
        <v/>
      </c>
      <c r="BT170" s="794" t="str">
        <f t="shared" si="111"/>
        <v/>
      </c>
      <c r="BU170" s="794" t="str">
        <f t="shared" si="112"/>
        <v/>
      </c>
      <c r="BV170" s="794" t="str">
        <f t="shared" si="113"/>
        <v/>
      </c>
      <c r="BW170" s="794" t="str">
        <f t="shared" si="114"/>
        <v/>
      </c>
      <c r="BX170" s="794" t="str">
        <f t="shared" si="115"/>
        <v/>
      </c>
      <c r="BY170" s="805" t="str">
        <f>IF(BQ170="","",3000)</f>
        <v/>
      </c>
      <c r="BZ170" s="785" t="str">
        <f t="shared" ref="BZ170:CF170" si="124">IF(BR170="","",3000)</f>
        <v/>
      </c>
      <c r="CA170" s="785" t="str">
        <f t="shared" si="124"/>
        <v/>
      </c>
      <c r="CB170" s="785" t="str">
        <f t="shared" si="124"/>
        <v/>
      </c>
      <c r="CC170" s="785" t="str">
        <f t="shared" si="124"/>
        <v/>
      </c>
      <c r="CD170" s="785" t="str">
        <f t="shared" si="124"/>
        <v/>
      </c>
      <c r="CE170" s="785" t="str">
        <f t="shared" si="124"/>
        <v/>
      </c>
      <c r="CF170" s="836" t="str">
        <f t="shared" si="124"/>
        <v/>
      </c>
    </row>
    <row r="171" spans="14:84" ht="15" customHeight="1" thickBot="1">
      <c r="N171" s="17"/>
      <c r="O171" s="17"/>
      <c r="P171" s="17"/>
      <c r="Q171" s="17"/>
      <c r="R171" s="69"/>
      <c r="S171" s="69"/>
      <c r="T171" s="69"/>
      <c r="U171" s="69"/>
      <c r="AM171" s="519" t="s">
        <v>226</v>
      </c>
      <c r="AN171" s="520">
        <v>200000</v>
      </c>
      <c r="AO171" s="506">
        <f>2*10</f>
        <v>20</v>
      </c>
      <c r="AP171" s="507">
        <f t="shared" si="122"/>
        <v>0</v>
      </c>
      <c r="AQ171" s="507"/>
      <c r="AR171" s="362">
        <f t="shared" si="123"/>
        <v>9.1683222747312582E-3</v>
      </c>
      <c r="BL171" s="782" t="s">
        <v>654</v>
      </c>
      <c r="BM171" s="782">
        <v>10</v>
      </c>
      <c r="BN171" s="789">
        <v>23000100</v>
      </c>
      <c r="BO171" s="782" t="s">
        <v>657</v>
      </c>
      <c r="BP171" s="790">
        <v>27000000</v>
      </c>
      <c r="BQ171" s="793" t="str">
        <f t="shared" si="108"/>
        <v/>
      </c>
      <c r="BR171" s="794" t="str">
        <f t="shared" si="109"/>
        <v/>
      </c>
      <c r="BS171" s="794" t="str">
        <f t="shared" si="110"/>
        <v/>
      </c>
      <c r="BT171" s="794" t="str">
        <f t="shared" si="111"/>
        <v/>
      </c>
      <c r="BU171" s="794" t="str">
        <f t="shared" si="112"/>
        <v/>
      </c>
      <c r="BV171" s="794" t="str">
        <f t="shared" si="113"/>
        <v/>
      </c>
      <c r="BW171" s="794" t="str">
        <f t="shared" si="114"/>
        <v/>
      </c>
      <c r="BX171" s="794" t="str">
        <f t="shared" si="115"/>
        <v/>
      </c>
      <c r="BY171" s="805" t="str">
        <f>IF(BQ171="","",3100)</f>
        <v/>
      </c>
      <c r="BZ171" s="785" t="str">
        <f t="shared" ref="BZ171:CF171" si="125">IF(BR171="","",3100)</f>
        <v/>
      </c>
      <c r="CA171" s="785" t="str">
        <f t="shared" si="125"/>
        <v/>
      </c>
      <c r="CB171" s="785" t="str">
        <f t="shared" si="125"/>
        <v/>
      </c>
      <c r="CC171" s="785" t="str">
        <f t="shared" si="125"/>
        <v/>
      </c>
      <c r="CD171" s="785" t="str">
        <f t="shared" si="125"/>
        <v/>
      </c>
      <c r="CE171" s="785" t="str">
        <f t="shared" si="125"/>
        <v/>
      </c>
      <c r="CF171" s="836" t="str">
        <f t="shared" si="125"/>
        <v/>
      </c>
    </row>
    <row r="172" spans="14:84" ht="15" customHeight="1" thickBot="1">
      <c r="N172" s="17"/>
      <c r="O172" s="17"/>
      <c r="P172" s="17"/>
      <c r="Q172" s="17"/>
      <c r="R172" s="69"/>
      <c r="S172" s="69"/>
      <c r="T172" s="69"/>
      <c r="U172" s="69"/>
      <c r="AM172" s="521" t="s">
        <v>227</v>
      </c>
      <c r="AN172" s="520">
        <v>300000</v>
      </c>
      <c r="AO172" s="506">
        <f>3*10</f>
        <v>30</v>
      </c>
      <c r="AP172" s="507">
        <f t="shared" si="122"/>
        <v>0</v>
      </c>
      <c r="AQ172" s="507"/>
      <c r="AR172" s="362">
        <f t="shared" si="123"/>
        <v>9.1683222747312582E-3</v>
      </c>
      <c r="BL172" s="782" t="s">
        <v>655</v>
      </c>
      <c r="BM172" s="782">
        <v>11</v>
      </c>
      <c r="BN172" s="789">
        <v>27000500</v>
      </c>
      <c r="BO172" s="782" t="s">
        <v>658</v>
      </c>
      <c r="BP172" s="790">
        <v>31000000</v>
      </c>
      <c r="BQ172" s="793" t="str">
        <f t="shared" si="108"/>
        <v/>
      </c>
      <c r="BR172" s="794" t="str">
        <f t="shared" si="109"/>
        <v/>
      </c>
      <c r="BS172" s="794" t="str">
        <f t="shared" si="110"/>
        <v/>
      </c>
      <c r="BT172" s="794" t="str">
        <f t="shared" si="111"/>
        <v/>
      </c>
      <c r="BU172" s="794" t="str">
        <f t="shared" si="112"/>
        <v/>
      </c>
      <c r="BV172" s="794" t="str">
        <f t="shared" si="113"/>
        <v/>
      </c>
      <c r="BW172" s="794" t="str">
        <f t="shared" si="114"/>
        <v/>
      </c>
      <c r="BX172" s="794" t="str">
        <f t="shared" si="115"/>
        <v/>
      </c>
      <c r="BY172" s="805" t="str">
        <f>IF(BQ172="","",0.011%*BQ172+0.1)</f>
        <v/>
      </c>
      <c r="BZ172" s="785" t="str">
        <f t="shared" ref="BZ172:CF172" si="126">IF(BR172="","",0.011%*BR172+0.1)</f>
        <v/>
      </c>
      <c r="CA172" s="785" t="str">
        <f t="shared" si="126"/>
        <v/>
      </c>
      <c r="CB172" s="785" t="str">
        <f t="shared" si="126"/>
        <v/>
      </c>
      <c r="CC172" s="785" t="str">
        <f t="shared" si="126"/>
        <v/>
      </c>
      <c r="CD172" s="785" t="str">
        <f t="shared" si="126"/>
        <v/>
      </c>
      <c r="CE172" s="785" t="str">
        <f t="shared" si="126"/>
        <v/>
      </c>
      <c r="CF172" s="836" t="str">
        <f t="shared" si="126"/>
        <v/>
      </c>
    </row>
    <row r="173" spans="14:84" ht="15" customHeight="1" thickBot="1">
      <c r="N173" s="17"/>
      <c r="O173" s="17"/>
      <c r="P173" s="17"/>
      <c r="Q173" s="17"/>
      <c r="R173" s="69"/>
      <c r="S173" s="69"/>
      <c r="T173" s="69"/>
      <c r="U173" s="69"/>
      <c r="AM173" s="521" t="s">
        <v>228</v>
      </c>
      <c r="AN173" s="520">
        <v>400000</v>
      </c>
      <c r="AO173" s="506">
        <f>4*10</f>
        <v>40</v>
      </c>
      <c r="AP173" s="507">
        <f t="shared" si="122"/>
        <v>0</v>
      </c>
      <c r="AQ173" s="507"/>
      <c r="AR173" s="362">
        <f t="shared" si="123"/>
        <v>9.1683222747312582E-3</v>
      </c>
      <c r="BL173" s="782" t="s">
        <v>656</v>
      </c>
      <c r="BM173" s="782">
        <v>12</v>
      </c>
      <c r="BN173" s="789">
        <v>31000500</v>
      </c>
      <c r="BO173" s="782" t="s">
        <v>659</v>
      </c>
      <c r="BP173" s="790">
        <v>36000000</v>
      </c>
      <c r="BQ173" s="793" t="str">
        <f t="shared" si="108"/>
        <v/>
      </c>
      <c r="BR173" s="794" t="str">
        <f t="shared" si="109"/>
        <v/>
      </c>
      <c r="BS173" s="794" t="str">
        <f t="shared" si="110"/>
        <v/>
      </c>
      <c r="BT173" s="794" t="str">
        <f t="shared" si="111"/>
        <v/>
      </c>
      <c r="BU173" s="794" t="str">
        <f t="shared" si="112"/>
        <v/>
      </c>
      <c r="BV173" s="794" t="str">
        <f t="shared" si="113"/>
        <v/>
      </c>
      <c r="BW173" s="794" t="str">
        <f t="shared" si="114"/>
        <v/>
      </c>
      <c r="BX173" s="794" t="str">
        <f t="shared" si="115"/>
        <v/>
      </c>
      <c r="BY173" s="805" t="str">
        <f>IF(BQ173="","",0.01%*BQ173+100)</f>
        <v/>
      </c>
      <c r="BZ173" s="785" t="str">
        <f t="shared" ref="BZ173:CF173" si="127">IF(BR173="","",0.01%*BR173+100)</f>
        <v/>
      </c>
      <c r="CA173" s="785" t="str">
        <f t="shared" si="127"/>
        <v/>
      </c>
      <c r="CB173" s="785" t="str">
        <f t="shared" si="127"/>
        <v/>
      </c>
      <c r="CC173" s="785" t="str">
        <f t="shared" si="127"/>
        <v/>
      </c>
      <c r="CD173" s="785" t="str">
        <f t="shared" si="127"/>
        <v/>
      </c>
      <c r="CE173" s="785" t="str">
        <f t="shared" si="127"/>
        <v/>
      </c>
      <c r="CF173" s="836" t="str">
        <f t="shared" si="127"/>
        <v/>
      </c>
    </row>
    <row r="174" spans="14:84" ht="15" customHeight="1" thickBot="1">
      <c r="N174" s="17"/>
      <c r="O174" s="17"/>
      <c r="P174" s="17"/>
      <c r="Q174" s="17"/>
      <c r="R174" s="69"/>
      <c r="S174" s="69"/>
      <c r="T174" s="69"/>
      <c r="U174" s="69"/>
      <c r="AM174" s="521" t="s">
        <v>229</v>
      </c>
      <c r="AN174" s="506">
        <v>500000</v>
      </c>
      <c r="AO174" s="506">
        <f>5*10</f>
        <v>50</v>
      </c>
      <c r="AP174" s="507">
        <f t="shared" si="122"/>
        <v>0</v>
      </c>
      <c r="AQ174" s="507"/>
      <c r="AR174" s="362">
        <f t="shared" si="123"/>
        <v>9.1683222747312582E-3</v>
      </c>
      <c r="BL174" s="782" t="s">
        <v>661</v>
      </c>
      <c r="BM174" s="782">
        <v>13</v>
      </c>
      <c r="BN174" s="789">
        <v>36000500</v>
      </c>
      <c r="BO174" s="782" t="s">
        <v>660</v>
      </c>
      <c r="BP174" s="790">
        <v>40000000</v>
      </c>
      <c r="BQ174" s="795" t="str">
        <f t="shared" si="108"/>
        <v/>
      </c>
      <c r="BR174" s="796" t="str">
        <f t="shared" si="109"/>
        <v/>
      </c>
      <c r="BS174" s="796" t="str">
        <f t="shared" si="110"/>
        <v/>
      </c>
      <c r="BT174" s="796" t="str">
        <f t="shared" si="111"/>
        <v/>
      </c>
      <c r="BU174" s="796" t="str">
        <f t="shared" si="112"/>
        <v/>
      </c>
      <c r="BV174" s="796" t="str">
        <f t="shared" si="113"/>
        <v/>
      </c>
      <c r="BW174" s="796" t="str">
        <f t="shared" si="114"/>
        <v/>
      </c>
      <c r="BX174" s="797" t="str">
        <f t="shared" si="115"/>
        <v/>
      </c>
      <c r="BY174" s="807" t="str">
        <f>IF(BQ174="","",0.0098%*BQ174)</f>
        <v/>
      </c>
      <c r="BZ174" s="839" t="str">
        <f t="shared" ref="BZ174:CF174" si="128">IF(BR174="","",0.0098%*BR174)</f>
        <v/>
      </c>
      <c r="CA174" s="839" t="str">
        <f t="shared" si="128"/>
        <v/>
      </c>
      <c r="CB174" s="839" t="str">
        <f t="shared" si="128"/>
        <v/>
      </c>
      <c r="CC174" s="839" t="str">
        <f t="shared" si="128"/>
        <v/>
      </c>
      <c r="CD174" s="839" t="str">
        <f t="shared" si="128"/>
        <v/>
      </c>
      <c r="CE174" s="839" t="str">
        <f t="shared" si="128"/>
        <v/>
      </c>
      <c r="CF174" s="840" t="str">
        <f t="shared" si="128"/>
        <v/>
      </c>
    </row>
    <row r="175" spans="14:84" ht="15" customHeight="1">
      <c r="N175" s="17"/>
      <c r="O175" s="17"/>
      <c r="P175" s="17"/>
      <c r="Q175" s="17"/>
      <c r="R175" s="69"/>
      <c r="S175" s="69"/>
      <c r="T175" s="69"/>
      <c r="U175" s="69"/>
      <c r="AM175" s="521" t="s">
        <v>230</v>
      </c>
      <c r="AN175" s="506">
        <v>600000</v>
      </c>
      <c r="AO175" s="506">
        <f>6*10</f>
        <v>60</v>
      </c>
      <c r="AP175" s="507">
        <f t="shared" si="122"/>
        <v>0</v>
      </c>
      <c r="AQ175" s="507"/>
      <c r="AR175" s="362">
        <f t="shared" si="123"/>
        <v>9.1683222747312582E-3</v>
      </c>
      <c r="BX175" s="811" t="s">
        <v>670</v>
      </c>
      <c r="BY175">
        <f>SUM(BY162:BY174)</f>
        <v>0</v>
      </c>
      <c r="BZ175">
        <f t="shared" ref="BZ175:CF175" si="129">SUM(BZ162:BZ174)</f>
        <v>0</v>
      </c>
      <c r="CA175">
        <f t="shared" si="129"/>
        <v>0</v>
      </c>
      <c r="CB175">
        <f t="shared" si="129"/>
        <v>0</v>
      </c>
      <c r="CC175">
        <f t="shared" si="129"/>
        <v>0</v>
      </c>
      <c r="CD175">
        <f t="shared" si="129"/>
        <v>0</v>
      </c>
      <c r="CE175">
        <f t="shared" si="129"/>
        <v>0</v>
      </c>
      <c r="CF175">
        <f t="shared" si="129"/>
        <v>0</v>
      </c>
    </row>
    <row r="176" spans="14:84" ht="15" customHeight="1">
      <c r="N176" s="17"/>
      <c r="O176" s="17"/>
      <c r="P176" s="17"/>
      <c r="Q176" s="17"/>
      <c r="R176" s="69"/>
      <c r="S176" s="69"/>
      <c r="T176" s="69"/>
      <c r="U176" s="69"/>
      <c r="AM176" s="491" t="s">
        <v>223</v>
      </c>
      <c r="AN176" s="506">
        <v>200000</v>
      </c>
      <c r="AO176" s="506">
        <f>10</f>
        <v>10</v>
      </c>
      <c r="AP176" s="507">
        <f t="shared" si="122"/>
        <v>0</v>
      </c>
      <c r="AQ176" s="507"/>
      <c r="AR176" s="362">
        <f t="shared" si="123"/>
        <v>9.1683222747312582E-3</v>
      </c>
      <c r="BX176" s="811" t="s">
        <v>671</v>
      </c>
      <c r="BY176" t="e">
        <f>IF($AV$77="g",$L$34,IF($AV$77="kg",$L$34*1000,IF($AV$77="mg",$L$34*0.001,$L$34)))</f>
        <v>#VALUE!</v>
      </c>
      <c r="BZ176" t="e">
        <f>IF($AV$77="g",$L$39,IF($AV$77="kg",$L$39*1000,IF($AV$77="mg",$L$39*0.001,$L$39)))</f>
        <v>#VALUE!</v>
      </c>
      <c r="CA176" t="e">
        <f>IF($AV$77="g",$L$45,IF($AV$77="kg",$L$45*1000,IF($AV$77="mg",$L$45*0.001,$L$45)))</f>
        <v>#VALUE!</v>
      </c>
      <c r="CB176" t="e">
        <f>IF($AV$77="g",$L$51,IF($AV$77="kg",$L$51*1000,IF($AV$77="mg",$L$51*0.001,$L$51)))</f>
        <v>#VALUE!</v>
      </c>
      <c r="CC176" t="e">
        <f>IF($AV$77="g",$L$57,IF($AV$77="kg",$L$57*1000,IF($AV$77="mg",$L$57*0.001,$L$57)))</f>
        <v>#VALUE!</v>
      </c>
      <c r="CD176" t="e">
        <f>IF($AV$77="g",$L$63,IF($AV$77="kg",$L$63*1000,IF($AV$77="mg",$L$63*0.001,$L$63)))</f>
        <v>#VALUE!</v>
      </c>
      <c r="CE176" t="e">
        <f>IF($AV$77="g",$L$69,IF($AV$77="kg",$L$69*1000,IF($AV$77="mg",$L$69*0.001,$L$69)))</f>
        <v>#VALUE!</v>
      </c>
      <c r="CF176" t="e">
        <f>IF($AV$77="g",$L$75,IF($AV$77="kg",$L$75*1000,IF($AV$77="mg",$L$75*0.001,$L$75)))</f>
        <v>#VALUE!</v>
      </c>
    </row>
    <row r="177" spans="14:84" ht="15" customHeight="1" thickBot="1">
      <c r="N177" s="17"/>
      <c r="O177" s="17"/>
      <c r="P177" s="17"/>
      <c r="Q177" s="17"/>
      <c r="R177" s="69"/>
      <c r="S177" s="69"/>
      <c r="T177" s="69"/>
      <c r="U177" s="69"/>
      <c r="AM177" s="491" t="s">
        <v>224</v>
      </c>
      <c r="AN177" s="506">
        <v>400000</v>
      </c>
      <c r="AO177" s="506">
        <f>2*10</f>
        <v>20</v>
      </c>
      <c r="AP177" s="507">
        <f t="shared" si="122"/>
        <v>0</v>
      </c>
      <c r="AQ177" s="507"/>
      <c r="AR177" s="362">
        <f t="shared" si="123"/>
        <v>9.1683222747312582E-3</v>
      </c>
      <c r="BL177" s="418"/>
      <c r="BM177" s="418"/>
      <c r="BN177" s="832" t="s">
        <v>619</v>
      </c>
      <c r="BO177" s="832"/>
      <c r="BP177" s="832"/>
      <c r="BQ177" s="832"/>
      <c r="BR177" s="832"/>
      <c r="BS177" s="832"/>
      <c r="BT177" s="832"/>
      <c r="BU177" s="832"/>
      <c r="BV177" s="832"/>
      <c r="BW177" s="870" t="s">
        <v>613</v>
      </c>
      <c r="BX177" s="870"/>
      <c r="BY177" s="784" t="e">
        <f>IF(BY176&lt;BY175,BY175,BY176)</f>
        <v>#VALUE!</v>
      </c>
      <c r="BZ177" s="784" t="e">
        <f t="shared" ref="BZ177:CF177" si="130">IF(BZ176&lt;BZ175,BZ175,BZ176)</f>
        <v>#VALUE!</v>
      </c>
      <c r="CA177" s="784" t="e">
        <f t="shared" si="130"/>
        <v>#VALUE!</v>
      </c>
      <c r="CB177" s="784" t="e">
        <f t="shared" si="130"/>
        <v>#VALUE!</v>
      </c>
      <c r="CC177" s="784" t="e">
        <f t="shared" si="130"/>
        <v>#VALUE!</v>
      </c>
      <c r="CD177" s="784" t="e">
        <f t="shared" si="130"/>
        <v>#VALUE!</v>
      </c>
      <c r="CE177" s="784" t="e">
        <f t="shared" si="130"/>
        <v>#VALUE!</v>
      </c>
      <c r="CF177" s="785" t="e">
        <f t="shared" si="130"/>
        <v>#VALUE!</v>
      </c>
    </row>
    <row r="178" spans="14:84" ht="15" customHeight="1" thickBot="1">
      <c r="N178" s="17"/>
      <c r="O178" s="17"/>
      <c r="P178" s="17"/>
      <c r="Q178" s="17"/>
      <c r="R178" s="69"/>
      <c r="S178" s="69"/>
      <c r="T178" s="69"/>
      <c r="U178" s="69"/>
      <c r="AM178" s="516" t="s">
        <v>225</v>
      </c>
      <c r="AN178" s="512">
        <v>500000</v>
      </c>
      <c r="AO178" s="502">
        <f>25</f>
        <v>25</v>
      </c>
      <c r="AP178" s="511">
        <f t="shared" si="122"/>
        <v>0</v>
      </c>
      <c r="AQ178" s="534"/>
      <c r="AR178" s="362">
        <f t="shared" si="123"/>
        <v>9.1683222747312582E-3</v>
      </c>
      <c r="BL178" s="418"/>
      <c r="BM178" s="418"/>
      <c r="BN178" s="418"/>
      <c r="BO178" s="418"/>
      <c r="BP178" s="418"/>
      <c r="BQ178" s="418"/>
      <c r="BR178" s="418"/>
      <c r="BS178" s="418"/>
      <c r="BT178" s="418"/>
      <c r="BU178" s="418"/>
      <c r="BV178" s="418"/>
      <c r="BW178" s="418"/>
      <c r="BX178" s="418"/>
      <c r="BY178" s="418"/>
    </row>
    <row r="179" spans="14:84" ht="15" customHeight="1" thickBot="1">
      <c r="N179" s="17"/>
      <c r="O179" s="17"/>
      <c r="P179" s="17"/>
      <c r="Q179" s="17"/>
      <c r="R179" s="69"/>
      <c r="S179" s="69"/>
      <c r="T179" s="69"/>
      <c r="U179" s="69"/>
      <c r="AM179" s="543" t="s">
        <v>378</v>
      </c>
      <c r="AN179" s="542" t="s">
        <v>425</v>
      </c>
      <c r="AO179" s="530" t="str">
        <f>IF(AP179=0,"NÃO","SIM")</f>
        <v>NÃO</v>
      </c>
      <c r="AP179" s="534">
        <f>IF(ISERROR(SUM(AP180:AP188)),SUM(AP180:AP188),SUM(AP180:AP188))</f>
        <v>0</v>
      </c>
      <c r="AQ179" s="507"/>
      <c r="AR179" s="39"/>
      <c r="BL179" s="828"/>
      <c r="BM179" s="828"/>
      <c r="BN179" s="876" t="s">
        <v>609</v>
      </c>
      <c r="BO179" s="876"/>
      <c r="BP179" s="876"/>
      <c r="BQ179" s="876"/>
      <c r="BR179" s="876"/>
      <c r="BS179" s="88"/>
      <c r="BT179" s="876" t="s">
        <v>620</v>
      </c>
      <c r="BU179" s="876"/>
      <c r="BV179" s="88"/>
      <c r="BW179" s="876" t="s">
        <v>621</v>
      </c>
      <c r="BX179" s="876"/>
      <c r="BY179" s="876"/>
    </row>
    <row r="180" spans="14:84" ht="15" customHeight="1">
      <c r="N180" s="17"/>
      <c r="O180" s="17"/>
      <c r="P180" s="17"/>
      <c r="Q180" s="17"/>
      <c r="R180" s="69"/>
      <c r="S180" s="69"/>
      <c r="T180" s="69"/>
      <c r="U180" s="69"/>
      <c r="AM180" s="491" t="s">
        <v>303</v>
      </c>
      <c r="AN180" s="506">
        <f>25000</f>
        <v>25000</v>
      </c>
      <c r="AO180" s="490">
        <f>(1+0.25)</f>
        <v>1.25</v>
      </c>
      <c r="AP180" s="507">
        <f t="shared" ref="AP180:AP188" si="131">IF(ISERROR(MATCH(AM180,$B$32:$B$77,0)),0,(MATCH(AM180,$B$32:$B$77,0)))+IF(ISERROR(MATCH(AM180,$C$32:$C$77,0)),0,(MATCH(AM180,$C$32:$C$77,0)))</f>
        <v>0</v>
      </c>
      <c r="AQ180" s="507"/>
      <c r="AR180" s="362">
        <f t="shared" ref="AR180:AR188" si="132">SQRT((15.88/1000)^2/3)</f>
        <v>9.1683222747312582E-3</v>
      </c>
      <c r="BL180" s="828">
        <v>1</v>
      </c>
      <c r="BM180" s="828" t="s">
        <v>255</v>
      </c>
      <c r="BN180" s="164">
        <v>1</v>
      </c>
      <c r="BO180" s="417" t="s">
        <v>0</v>
      </c>
      <c r="BP180" s="829" t="s">
        <v>622</v>
      </c>
      <c r="BQ180" s="164">
        <v>5</v>
      </c>
      <c r="BR180" s="90" t="s">
        <v>0</v>
      </c>
      <c r="BS180" s="88"/>
      <c r="BT180" s="871" t="s">
        <v>623</v>
      </c>
      <c r="BU180" s="867"/>
      <c r="BV180" s="88"/>
      <c r="BW180" s="877" t="s">
        <v>624</v>
      </c>
      <c r="BX180" s="869"/>
      <c r="BY180" s="869"/>
    </row>
    <row r="181" spans="14:84" ht="15" customHeight="1">
      <c r="N181" s="17"/>
      <c r="O181" s="17"/>
      <c r="P181" s="17"/>
      <c r="Q181" s="17"/>
      <c r="R181" s="69"/>
      <c r="S181" s="69"/>
      <c r="T181" s="69"/>
      <c r="U181" s="69"/>
      <c r="AM181" s="491" t="s">
        <v>305</v>
      </c>
      <c r="AN181" s="506">
        <v>50000</v>
      </c>
      <c r="AO181" s="490">
        <f>(1+0.25)*2</f>
        <v>2.5</v>
      </c>
      <c r="AP181" s="507">
        <f t="shared" si="131"/>
        <v>0</v>
      </c>
      <c r="AQ181" s="507"/>
      <c r="AR181" s="362">
        <f t="shared" si="132"/>
        <v>9.1683222747312582E-3</v>
      </c>
      <c r="BL181" s="828">
        <v>2</v>
      </c>
      <c r="BM181" s="828" t="s">
        <v>255</v>
      </c>
      <c r="BN181" s="164">
        <v>5</v>
      </c>
      <c r="BO181" s="417" t="s">
        <v>0</v>
      </c>
      <c r="BP181" s="829" t="s">
        <v>625</v>
      </c>
      <c r="BQ181" s="164">
        <v>20</v>
      </c>
      <c r="BR181" s="90" t="s">
        <v>0</v>
      </c>
      <c r="BS181" s="88"/>
      <c r="BT181" s="871" t="s">
        <v>623</v>
      </c>
      <c r="BU181" s="867"/>
      <c r="BV181" s="88"/>
      <c r="BW181" s="868" t="s">
        <v>626</v>
      </c>
      <c r="BX181" s="869"/>
      <c r="BY181" s="869"/>
    </row>
    <row r="182" spans="14:84" ht="15" customHeight="1">
      <c r="N182" s="17"/>
      <c r="O182" s="17"/>
      <c r="P182" s="17"/>
      <c r="Q182" s="17"/>
      <c r="R182" s="69"/>
      <c r="S182" s="69"/>
      <c r="T182" s="69"/>
      <c r="U182" s="69"/>
      <c r="AM182" s="491" t="s">
        <v>304</v>
      </c>
      <c r="AN182" s="506">
        <v>50000</v>
      </c>
      <c r="AO182" s="490">
        <v>2.5</v>
      </c>
      <c r="AP182" s="507">
        <f t="shared" si="131"/>
        <v>0</v>
      </c>
      <c r="AQ182" s="507"/>
      <c r="AR182" s="362">
        <f t="shared" si="132"/>
        <v>9.1683222747312582E-3</v>
      </c>
      <c r="BL182" s="828">
        <v>3</v>
      </c>
      <c r="BM182" s="828" t="s">
        <v>255</v>
      </c>
      <c r="BN182" s="164">
        <v>20</v>
      </c>
      <c r="BO182" s="417" t="s">
        <v>0</v>
      </c>
      <c r="BP182" s="829" t="s">
        <v>627</v>
      </c>
      <c r="BQ182" s="164">
        <v>500</v>
      </c>
      <c r="BR182" s="90" t="s">
        <v>0</v>
      </c>
      <c r="BS182" s="88"/>
      <c r="BT182" s="871" t="s">
        <v>623</v>
      </c>
      <c r="BU182" s="867"/>
      <c r="BV182" s="88"/>
      <c r="BW182" s="868" t="s">
        <v>628</v>
      </c>
      <c r="BX182" s="869"/>
      <c r="BY182" s="869"/>
    </row>
    <row r="183" spans="14:84" ht="15" customHeight="1">
      <c r="N183" s="17"/>
      <c r="O183" s="17"/>
      <c r="P183" s="17"/>
      <c r="Q183" s="17"/>
      <c r="R183" s="69"/>
      <c r="S183" s="69"/>
      <c r="T183" s="69"/>
      <c r="U183" s="69"/>
      <c r="AM183" s="491" t="s">
        <v>306</v>
      </c>
      <c r="AN183" s="506">
        <v>100000</v>
      </c>
      <c r="AO183" s="490">
        <f>2.5*2</f>
        <v>5</v>
      </c>
      <c r="AP183" s="507">
        <f t="shared" si="131"/>
        <v>0</v>
      </c>
      <c r="AQ183" s="507"/>
      <c r="AR183" s="362">
        <f t="shared" si="132"/>
        <v>9.1683222747312582E-3</v>
      </c>
      <c r="BL183" s="828">
        <v>4</v>
      </c>
      <c r="BM183" s="828" t="s">
        <v>255</v>
      </c>
      <c r="BN183" s="164">
        <v>500</v>
      </c>
      <c r="BO183" s="417" t="s">
        <v>0</v>
      </c>
      <c r="BP183" s="829" t="s">
        <v>625</v>
      </c>
      <c r="BQ183" s="164">
        <v>20000</v>
      </c>
      <c r="BR183" s="90" t="s">
        <v>0</v>
      </c>
      <c r="BS183" s="88"/>
      <c r="BT183" s="871" t="s">
        <v>623</v>
      </c>
      <c r="BU183" s="867"/>
      <c r="BV183" s="88"/>
      <c r="BW183" s="868" t="s">
        <v>629</v>
      </c>
      <c r="BX183" s="869"/>
      <c r="BY183" s="869"/>
    </row>
    <row r="184" spans="14:84" ht="15" customHeight="1">
      <c r="N184" s="17"/>
      <c r="O184" s="17"/>
      <c r="P184" s="17"/>
      <c r="Q184" s="17"/>
      <c r="R184" s="69"/>
      <c r="S184" s="69"/>
      <c r="T184" s="69"/>
      <c r="U184" s="69"/>
      <c r="AM184" s="491" t="s">
        <v>307</v>
      </c>
      <c r="AN184" s="506">
        <v>150000</v>
      </c>
      <c r="AO184" s="490">
        <f>2.5*3</f>
        <v>7.5</v>
      </c>
      <c r="AP184" s="507">
        <f t="shared" si="131"/>
        <v>0</v>
      </c>
      <c r="AQ184" s="507"/>
      <c r="AR184" s="362">
        <f t="shared" si="132"/>
        <v>9.1683222747312582E-3</v>
      </c>
      <c r="BL184" s="828">
        <v>5</v>
      </c>
      <c r="BM184" s="828" t="s">
        <v>255</v>
      </c>
      <c r="BN184" s="164">
        <v>20</v>
      </c>
      <c r="BO184" s="417" t="s">
        <v>24</v>
      </c>
      <c r="BP184" s="829" t="s">
        <v>625</v>
      </c>
      <c r="BQ184" s="164">
        <v>1000</v>
      </c>
      <c r="BR184" s="90" t="s">
        <v>24</v>
      </c>
      <c r="BS184" s="88"/>
      <c r="BT184" s="871" t="s">
        <v>623</v>
      </c>
      <c r="BU184" s="867"/>
      <c r="BV184" s="88"/>
      <c r="BW184" s="868" t="s">
        <v>630</v>
      </c>
      <c r="BX184" s="869"/>
      <c r="BY184" s="869"/>
    </row>
    <row r="185" spans="14:84" ht="15" customHeight="1">
      <c r="N185" s="17"/>
      <c r="O185" s="17"/>
      <c r="P185" s="17"/>
      <c r="Q185" s="17"/>
      <c r="R185" s="69"/>
      <c r="S185" s="69"/>
      <c r="T185" s="69"/>
      <c r="U185" s="69"/>
      <c r="AM185" s="522" t="s">
        <v>308</v>
      </c>
      <c r="AN185" s="506">
        <v>100000</v>
      </c>
      <c r="AO185" s="490">
        <v>10</v>
      </c>
      <c r="AP185" s="507">
        <f t="shared" si="131"/>
        <v>0</v>
      </c>
      <c r="AQ185" s="507"/>
      <c r="AR185" s="362">
        <f t="shared" si="132"/>
        <v>9.1683222747312582E-3</v>
      </c>
      <c r="BL185" s="828">
        <v>6</v>
      </c>
      <c r="BM185" s="828" t="s">
        <v>179</v>
      </c>
      <c r="BN185" s="164">
        <v>1000</v>
      </c>
      <c r="BO185" s="417" t="s">
        <v>24</v>
      </c>
      <c r="BP185" s="829" t="s">
        <v>625</v>
      </c>
      <c r="BQ185" s="164">
        <v>40000</v>
      </c>
      <c r="BR185" s="90" t="s">
        <v>24</v>
      </c>
      <c r="BS185" s="88"/>
      <c r="BT185" s="867" t="s">
        <v>631</v>
      </c>
      <c r="BU185" s="867"/>
      <c r="BV185" s="88"/>
      <c r="BW185" s="868" t="s">
        <v>630</v>
      </c>
      <c r="BX185" s="869"/>
      <c r="BY185" s="869"/>
    </row>
    <row r="186" spans="14:84" ht="15" customHeight="1">
      <c r="N186" s="17"/>
      <c r="O186" s="17"/>
      <c r="P186" s="17"/>
      <c r="Q186" s="17"/>
      <c r="R186" s="69"/>
      <c r="S186" s="69"/>
      <c r="T186" s="69"/>
      <c r="U186" s="69"/>
      <c r="AM186" s="522" t="s">
        <v>309</v>
      </c>
      <c r="AN186" s="506">
        <v>200000</v>
      </c>
      <c r="AO186" s="490">
        <f>10*2</f>
        <v>20</v>
      </c>
      <c r="AP186" s="507">
        <f t="shared" si="131"/>
        <v>0</v>
      </c>
      <c r="AQ186" s="507"/>
      <c r="AR186" s="362">
        <f t="shared" si="132"/>
        <v>9.1683222747312582E-3</v>
      </c>
      <c r="BL186" s="828">
        <v>7</v>
      </c>
      <c r="BM186" s="828" t="s">
        <v>256</v>
      </c>
      <c r="BN186" s="164">
        <v>40</v>
      </c>
      <c r="BO186" s="417" t="s">
        <v>22</v>
      </c>
      <c r="BP186" s="829" t="s">
        <v>625</v>
      </c>
      <c r="BQ186" s="164">
        <v>1000</v>
      </c>
      <c r="BR186" s="90" t="s">
        <v>22</v>
      </c>
      <c r="BS186" s="88"/>
      <c r="BT186" s="867" t="s">
        <v>632</v>
      </c>
      <c r="BU186" s="867"/>
      <c r="BV186" s="88"/>
      <c r="BW186" s="868" t="s">
        <v>633</v>
      </c>
      <c r="BX186" s="869"/>
      <c r="BY186" s="869"/>
    </row>
    <row r="187" spans="14:84" ht="15" customHeight="1">
      <c r="N187" s="17"/>
      <c r="O187" s="17"/>
      <c r="P187" s="17"/>
      <c r="Q187" s="17"/>
      <c r="R187" s="69"/>
      <c r="S187" s="69"/>
      <c r="T187" s="69"/>
      <c r="U187" s="69"/>
      <c r="AM187" s="522" t="s">
        <v>310</v>
      </c>
      <c r="AN187" s="506">
        <v>300000</v>
      </c>
      <c r="AO187" s="490">
        <f>10*3</f>
        <v>30</v>
      </c>
      <c r="AP187" s="507">
        <f t="shared" si="131"/>
        <v>0</v>
      </c>
      <c r="AQ187" s="507"/>
      <c r="AR187" s="362">
        <f t="shared" si="132"/>
        <v>9.1683222747312582E-3</v>
      </c>
      <c r="BL187" s="828">
        <v>8</v>
      </c>
      <c r="BM187" s="828" t="s">
        <v>256</v>
      </c>
      <c r="BN187" s="164">
        <v>1000</v>
      </c>
      <c r="BO187" s="417" t="s">
        <v>22</v>
      </c>
      <c r="BP187" s="829" t="s">
        <v>625</v>
      </c>
      <c r="BQ187" s="164">
        <v>20000</v>
      </c>
      <c r="BR187" s="90" t="s">
        <v>22</v>
      </c>
      <c r="BS187" s="88"/>
      <c r="BT187" s="867" t="s">
        <v>634</v>
      </c>
      <c r="BU187" s="867"/>
      <c r="BV187" s="88"/>
      <c r="BW187" s="868" t="s">
        <v>633</v>
      </c>
      <c r="BX187" s="869"/>
      <c r="BY187" s="869"/>
    </row>
    <row r="188" spans="14:84" ht="15" customHeight="1" thickBot="1">
      <c r="N188" s="17"/>
      <c r="O188" s="17"/>
      <c r="P188" s="17"/>
      <c r="Q188" s="17"/>
      <c r="R188" s="69"/>
      <c r="S188" s="69"/>
      <c r="T188" s="69"/>
      <c r="U188" s="69"/>
      <c r="AM188" s="523" t="s">
        <v>311</v>
      </c>
      <c r="AN188" s="512">
        <v>400000</v>
      </c>
      <c r="AO188" s="502">
        <f>10*4</f>
        <v>40</v>
      </c>
      <c r="AP188" s="511">
        <f t="shared" si="131"/>
        <v>0</v>
      </c>
      <c r="AQ188" s="534"/>
      <c r="AR188" s="362">
        <f t="shared" si="132"/>
        <v>9.1683222747312582E-3</v>
      </c>
      <c r="BL188" s="828">
        <v>9</v>
      </c>
      <c r="BM188" s="828" t="s">
        <v>256</v>
      </c>
      <c r="BN188" s="164">
        <v>20000</v>
      </c>
      <c r="BO188" s="417" t="s">
        <v>22</v>
      </c>
      <c r="BP188" s="829" t="s">
        <v>625</v>
      </c>
      <c r="BQ188" s="164">
        <v>23000</v>
      </c>
      <c r="BR188" s="90" t="s">
        <v>22</v>
      </c>
      <c r="BS188" s="88"/>
      <c r="BT188" s="867" t="s">
        <v>635</v>
      </c>
      <c r="BU188" s="867"/>
      <c r="BV188" s="88"/>
      <c r="BW188" s="868" t="s">
        <v>636</v>
      </c>
      <c r="BX188" s="868"/>
      <c r="BY188" s="868"/>
    </row>
    <row r="189" spans="14:84" ht="15" customHeight="1">
      <c r="N189" s="17"/>
      <c r="O189" s="17"/>
      <c r="P189" s="17"/>
      <c r="Q189" s="17"/>
      <c r="R189" s="69"/>
      <c r="S189" s="69"/>
      <c r="T189" s="69"/>
      <c r="U189" s="69"/>
      <c r="AM189" s="543" t="s">
        <v>520</v>
      </c>
      <c r="AN189" s="532" t="s">
        <v>497</v>
      </c>
      <c r="AO189" s="533" t="str">
        <f>IF(AP189=0,"NÃO","SIM")</f>
        <v>NÃO</v>
      </c>
      <c r="AP189" s="534">
        <f>IF(ISERROR(SUM(AP190:AP217)),SUM(AP190:AP217),SUM(AP190:AP217))</f>
        <v>0</v>
      </c>
      <c r="AQ189" s="507"/>
      <c r="AR189" s="93"/>
      <c r="BL189" s="828">
        <v>10</v>
      </c>
      <c r="BM189" s="828" t="s">
        <v>256</v>
      </c>
      <c r="BN189" s="164">
        <v>23000</v>
      </c>
      <c r="BO189" s="417" t="s">
        <v>22</v>
      </c>
      <c r="BP189" s="829" t="s">
        <v>625</v>
      </c>
      <c r="BQ189" s="164">
        <v>27000</v>
      </c>
      <c r="BR189" s="90" t="s">
        <v>22</v>
      </c>
      <c r="BS189" s="88"/>
      <c r="BT189" s="867" t="s">
        <v>635</v>
      </c>
      <c r="BU189" s="867"/>
      <c r="BV189" s="88"/>
      <c r="BW189" s="868" t="s">
        <v>637</v>
      </c>
      <c r="BX189" s="868"/>
      <c r="BY189" s="868"/>
    </row>
    <row r="190" spans="14:84" ht="15" customHeight="1">
      <c r="N190" s="17"/>
      <c r="O190" s="17"/>
      <c r="P190" s="17"/>
      <c r="Q190" s="17"/>
      <c r="R190" s="69"/>
      <c r="S190" s="69"/>
      <c r="T190" s="69"/>
      <c r="U190" s="69"/>
      <c r="AM190" s="489" t="s">
        <v>498</v>
      </c>
      <c r="AN190" s="520">
        <f>0.0010174</f>
        <v>1.0173999999999999E-3</v>
      </c>
      <c r="AO190" s="490">
        <f>(0.2/1000)</f>
        <v>2.0000000000000001E-4</v>
      </c>
      <c r="AP190" s="507">
        <f t="shared" ref="AP190:AP217" si="133">IF(ISERROR(MATCH(AM190,$B$32:$B$77,0)),0,(MATCH(AM190,$B$32:$B$77,0)))+IF(ISERROR(MATCH(AM190,$C$32:$C$77,0)),0,(MATCH(AM190,$C$32:$C$77,0)))</f>
        <v>0</v>
      </c>
      <c r="AQ190" s="507"/>
      <c r="AR190" s="92"/>
      <c r="BL190" s="828">
        <v>11</v>
      </c>
      <c r="BM190" s="828" t="s">
        <v>256</v>
      </c>
      <c r="BN190" s="164">
        <v>27000</v>
      </c>
      <c r="BO190" s="417" t="s">
        <v>22</v>
      </c>
      <c r="BP190" s="830" t="s">
        <v>625</v>
      </c>
      <c r="BQ190" s="164">
        <v>31000</v>
      </c>
      <c r="BR190" s="90" t="s">
        <v>22</v>
      </c>
      <c r="BS190" s="90"/>
      <c r="BT190" s="867" t="s">
        <v>635</v>
      </c>
      <c r="BU190" s="867"/>
      <c r="BV190" s="831"/>
      <c r="BW190" s="868" t="s">
        <v>638</v>
      </c>
      <c r="BX190" s="868"/>
      <c r="BY190" s="868"/>
    </row>
    <row r="191" spans="14:84" ht="15" customHeight="1">
      <c r="N191" s="17"/>
      <c r="O191" s="17"/>
      <c r="P191" s="17"/>
      <c r="Q191" s="17"/>
      <c r="R191" s="69"/>
      <c r="S191" s="69"/>
      <c r="T191" s="69"/>
      <c r="U191" s="69"/>
      <c r="AM191" s="489" t="s">
        <v>499</v>
      </c>
      <c r="AN191" s="520">
        <f>0.0020581</f>
        <v>2.0581000000000002E-3</v>
      </c>
      <c r="AO191" s="490">
        <f>(0.2/1000)</f>
        <v>2.0000000000000001E-4</v>
      </c>
      <c r="AP191" s="507">
        <f t="shared" si="133"/>
        <v>0</v>
      </c>
      <c r="AQ191" s="507"/>
      <c r="AR191" s="92"/>
      <c r="BL191" s="828">
        <v>12</v>
      </c>
      <c r="BM191" s="828" t="s">
        <v>256</v>
      </c>
      <c r="BN191" s="164">
        <v>31000</v>
      </c>
      <c r="BO191" s="417" t="s">
        <v>22</v>
      </c>
      <c r="BP191" s="829" t="s">
        <v>625</v>
      </c>
      <c r="BQ191" s="164">
        <v>36000</v>
      </c>
      <c r="BR191" s="90" t="s">
        <v>22</v>
      </c>
      <c r="BS191" s="90"/>
      <c r="BT191" s="867" t="s">
        <v>635</v>
      </c>
      <c r="BU191" s="867"/>
      <c r="BV191" s="831"/>
      <c r="BW191" s="868" t="s">
        <v>639</v>
      </c>
      <c r="BX191" s="869"/>
      <c r="BY191" s="869"/>
    </row>
    <row r="192" spans="14:84" ht="15" customHeight="1">
      <c r="N192" s="17"/>
      <c r="O192" s="17"/>
      <c r="P192" s="17"/>
      <c r="Q192" s="17"/>
      <c r="R192" s="69"/>
      <c r="S192" s="69"/>
      <c r="T192" s="69"/>
      <c r="U192" s="69"/>
      <c r="AM192" s="491" t="s">
        <v>500</v>
      </c>
      <c r="AN192" s="520">
        <f>0.0019306</f>
        <v>1.9306E-3</v>
      </c>
      <c r="AO192" s="490">
        <f>(0.2/1000)</f>
        <v>2.0000000000000001E-4</v>
      </c>
      <c r="AP192" s="507">
        <f t="shared" si="133"/>
        <v>0</v>
      </c>
      <c r="AQ192" s="507"/>
      <c r="AR192" s="92"/>
      <c r="AS192" s="21"/>
      <c r="BL192" s="828">
        <v>13</v>
      </c>
      <c r="BM192" s="828" t="s">
        <v>256</v>
      </c>
      <c r="BN192" s="164">
        <v>36000</v>
      </c>
      <c r="BO192" s="417" t="s">
        <v>22</v>
      </c>
      <c r="BP192" s="829" t="s">
        <v>625</v>
      </c>
      <c r="BQ192" s="164">
        <v>40000</v>
      </c>
      <c r="BR192" s="90" t="s">
        <v>22</v>
      </c>
      <c r="BS192" s="90"/>
      <c r="BT192" s="867" t="s">
        <v>635</v>
      </c>
      <c r="BU192" s="867"/>
      <c r="BV192" s="831"/>
      <c r="BW192" s="868" t="s">
        <v>640</v>
      </c>
      <c r="BX192" s="869"/>
      <c r="BY192" s="869"/>
    </row>
    <row r="193" spans="14:45" ht="15" customHeight="1">
      <c r="N193" s="17"/>
      <c r="O193" s="17"/>
      <c r="P193" s="17"/>
      <c r="Q193" s="17"/>
      <c r="R193" s="69"/>
      <c r="S193" s="69"/>
      <c r="T193" s="69"/>
      <c r="U193" s="69"/>
      <c r="AM193" s="491" t="s">
        <v>501</v>
      </c>
      <c r="AN193" s="520">
        <f>0.0049552</f>
        <v>4.9551999999999999E-3</v>
      </c>
      <c r="AO193" s="490">
        <f>(0.2/1000)</f>
        <v>2.0000000000000001E-4</v>
      </c>
      <c r="AP193" s="507">
        <f t="shared" si="133"/>
        <v>0</v>
      </c>
      <c r="AQ193" s="507"/>
      <c r="AR193" s="92"/>
    </row>
    <row r="194" spans="14:45" ht="15" customHeight="1">
      <c r="N194" s="17"/>
      <c r="O194" s="17"/>
      <c r="P194" s="17"/>
      <c r="Q194" s="17"/>
      <c r="R194" s="69"/>
      <c r="S194" s="69"/>
      <c r="T194" s="69"/>
      <c r="U194" s="69"/>
      <c r="AM194" s="491" t="s">
        <v>502</v>
      </c>
      <c r="AN194" s="506">
        <f>0.0101426</f>
        <v>1.01426E-2</v>
      </c>
      <c r="AO194" s="490">
        <f>(0.25/1000)</f>
        <v>2.5000000000000001E-4</v>
      </c>
      <c r="AP194" s="507">
        <f t="shared" si="133"/>
        <v>0</v>
      </c>
      <c r="AQ194" s="507"/>
      <c r="AR194" s="92"/>
      <c r="AS194" s="5"/>
    </row>
    <row r="195" spans="14:45" ht="15" customHeight="1">
      <c r="N195" s="17"/>
      <c r="O195" s="17"/>
      <c r="P195" s="17"/>
      <c r="Q195" s="17"/>
      <c r="R195" s="69"/>
      <c r="S195" s="69"/>
      <c r="T195" s="69"/>
      <c r="U195" s="69"/>
      <c r="AM195" s="491" t="s">
        <v>503</v>
      </c>
      <c r="AN195" s="506">
        <f>0.0199365</f>
        <v>1.9936499999999999E-2</v>
      </c>
      <c r="AO195" s="490">
        <f>(0.3/1000)</f>
        <v>2.9999999999999997E-4</v>
      </c>
      <c r="AP195" s="507">
        <f t="shared" si="133"/>
        <v>0</v>
      </c>
      <c r="AQ195" s="507"/>
      <c r="AR195" s="92"/>
      <c r="AS195" s="17"/>
    </row>
    <row r="196" spans="14:45" ht="15" customHeight="1">
      <c r="N196" s="17"/>
      <c r="O196" s="17"/>
      <c r="P196" s="17"/>
      <c r="Q196" s="17"/>
      <c r="R196" s="69"/>
      <c r="S196" s="69"/>
      <c r="T196" s="69"/>
      <c r="U196" s="69"/>
      <c r="AM196" s="491" t="s">
        <v>504</v>
      </c>
      <c r="AN196" s="506">
        <f>0.019937</f>
        <v>1.9937E-2</v>
      </c>
      <c r="AO196" s="490">
        <f>(0.3/1000)</f>
        <v>2.9999999999999997E-4</v>
      </c>
      <c r="AP196" s="507">
        <f t="shared" si="133"/>
        <v>0</v>
      </c>
      <c r="AQ196" s="507"/>
      <c r="AR196" s="92"/>
      <c r="AS196" s="17"/>
    </row>
    <row r="197" spans="14:45" ht="15" customHeight="1">
      <c r="N197" s="17"/>
      <c r="O197" s="17"/>
      <c r="P197" s="17"/>
      <c r="Q197" s="17"/>
      <c r="R197" s="69"/>
      <c r="S197" s="69"/>
      <c r="T197" s="69"/>
      <c r="U197" s="69"/>
      <c r="AM197" s="491" t="s">
        <v>505</v>
      </c>
      <c r="AN197" s="506">
        <f>0.0498004</f>
        <v>4.9800400000000002E-2</v>
      </c>
      <c r="AO197" s="490">
        <f>(0.4/1000)</f>
        <v>4.0000000000000002E-4</v>
      </c>
      <c r="AP197" s="507">
        <f t="shared" si="133"/>
        <v>0</v>
      </c>
      <c r="AQ197" s="507"/>
      <c r="AR197" s="92"/>
      <c r="AS197" s="17"/>
    </row>
    <row r="198" spans="14:45" ht="15" customHeight="1">
      <c r="N198" s="17"/>
      <c r="O198" s="17"/>
      <c r="P198" s="17"/>
      <c r="Q198" s="17"/>
      <c r="R198" s="69"/>
      <c r="S198" s="69"/>
      <c r="T198" s="69"/>
      <c r="U198" s="69"/>
      <c r="AM198" s="494" t="s">
        <v>487</v>
      </c>
      <c r="AN198" s="506">
        <f>0.099907</f>
        <v>9.9906999999999996E-2</v>
      </c>
      <c r="AO198" s="490">
        <f>(0.5/1000)</f>
        <v>5.0000000000000001E-4</v>
      </c>
      <c r="AP198" s="507">
        <f t="shared" si="133"/>
        <v>0</v>
      </c>
      <c r="AQ198" s="507"/>
      <c r="AR198" s="361">
        <f>0.07/1000</f>
        <v>7.0000000000000007E-5</v>
      </c>
      <c r="AS198" s="17"/>
    </row>
    <row r="199" spans="14:45" ht="15" customHeight="1">
      <c r="N199" s="17"/>
      <c r="O199" s="17"/>
      <c r="P199" s="17"/>
      <c r="Q199" s="17"/>
      <c r="R199" s="69"/>
      <c r="S199" s="69"/>
      <c r="T199" s="69"/>
      <c r="U199" s="69"/>
      <c r="AM199" s="494" t="s">
        <v>486</v>
      </c>
      <c r="AN199" s="506">
        <f>0.20016</f>
        <v>0.20016</v>
      </c>
      <c r="AO199" s="490">
        <f>(0.6/1000)</f>
        <v>5.9999999999999995E-4</v>
      </c>
      <c r="AP199" s="507">
        <f t="shared" si="133"/>
        <v>0</v>
      </c>
      <c r="AQ199" s="507"/>
      <c r="AR199" s="361">
        <f>0.09/1000</f>
        <v>8.9999999999999992E-5</v>
      </c>
      <c r="AS199" s="21"/>
    </row>
    <row r="200" spans="14:45" ht="15" customHeight="1">
      <c r="N200" s="17"/>
      <c r="O200" s="17"/>
      <c r="P200" s="17"/>
      <c r="Q200" s="17"/>
      <c r="R200" s="69"/>
      <c r="S200" s="69"/>
      <c r="T200" s="69"/>
      <c r="U200" s="69"/>
      <c r="AM200" s="494" t="s">
        <v>506</v>
      </c>
      <c r="AN200" s="506">
        <f>0.200219</f>
        <v>0.20021900000000001</v>
      </c>
      <c r="AO200" s="490">
        <f>(0.6/1000)</f>
        <v>5.9999999999999995E-4</v>
      </c>
      <c r="AP200" s="507">
        <f t="shared" si="133"/>
        <v>0</v>
      </c>
      <c r="AQ200" s="507"/>
      <c r="AR200" s="361">
        <f>0.09/1000</f>
        <v>8.9999999999999992E-5</v>
      </c>
      <c r="AS200" s="17"/>
    </row>
    <row r="201" spans="14:45" ht="15" customHeight="1">
      <c r="N201" s="17"/>
      <c r="O201" s="17"/>
      <c r="P201" s="17"/>
      <c r="Q201" s="17"/>
      <c r="R201" s="69"/>
      <c r="S201" s="69"/>
      <c r="T201" s="69"/>
      <c r="U201" s="69"/>
      <c r="AM201" s="495" t="s">
        <v>485</v>
      </c>
      <c r="AN201" s="757">
        <f>0.499883</f>
        <v>0.49988300000000002</v>
      </c>
      <c r="AO201" s="493">
        <f>(0.8/1000)</f>
        <v>8.0000000000000004E-4</v>
      </c>
      <c r="AP201" s="535">
        <f t="shared" si="133"/>
        <v>0</v>
      </c>
      <c r="AQ201" s="507"/>
      <c r="AR201" s="361">
        <f>0.12/1000</f>
        <v>1.1999999999999999E-4</v>
      </c>
      <c r="AS201" s="17"/>
    </row>
    <row r="202" spans="14:45" ht="15" customHeight="1">
      <c r="N202" s="17"/>
      <c r="O202" s="17"/>
      <c r="P202" s="17"/>
      <c r="Q202" s="17"/>
      <c r="R202" s="69"/>
      <c r="S202" s="69"/>
      <c r="T202" s="69"/>
      <c r="U202" s="69"/>
      <c r="AM202" s="496" t="s">
        <v>256</v>
      </c>
      <c r="AN202" s="506">
        <f>1.000336</f>
        <v>1.0003359999999999</v>
      </c>
      <c r="AO202" s="490">
        <f>(1/1000)</f>
        <v>1E-3</v>
      </c>
      <c r="AP202" s="507">
        <f t="shared" si="133"/>
        <v>0</v>
      </c>
      <c r="AQ202" s="507"/>
      <c r="AR202" s="361">
        <f>0.15/1000</f>
        <v>1.4999999999999999E-4</v>
      </c>
      <c r="AS202" s="17"/>
    </row>
    <row r="203" spans="14:45" ht="23.25" customHeight="1">
      <c r="N203" s="17"/>
      <c r="O203" s="17"/>
      <c r="P203" s="17"/>
      <c r="Q203" s="17"/>
      <c r="R203" s="69"/>
      <c r="S203" s="69"/>
      <c r="T203" s="69"/>
      <c r="U203" s="69"/>
      <c r="AM203" s="496" t="s">
        <v>484</v>
      </c>
      <c r="AN203" s="506">
        <f>2.000185</f>
        <v>2.0001850000000001</v>
      </c>
      <c r="AO203" s="490">
        <f>(1.2/1000)</f>
        <v>1.1999999999999999E-3</v>
      </c>
      <c r="AP203" s="507">
        <f t="shared" si="133"/>
        <v>0</v>
      </c>
      <c r="AQ203" s="507"/>
      <c r="AR203" s="361">
        <f>0.19/1000</f>
        <v>1.9000000000000001E-4</v>
      </c>
      <c r="AS203" s="17"/>
    </row>
    <row r="204" spans="14:45" ht="22.5" customHeight="1">
      <c r="N204" s="17"/>
      <c r="O204" s="17"/>
      <c r="P204" s="17"/>
      <c r="Q204" s="17"/>
      <c r="R204" s="69"/>
      <c r="S204" s="69"/>
      <c r="T204" s="69"/>
      <c r="U204" s="69"/>
      <c r="AM204" s="494" t="s">
        <v>507</v>
      </c>
      <c r="AN204" s="506">
        <f>2.000474</f>
        <v>2.0004740000000001</v>
      </c>
      <c r="AO204" s="490">
        <f>(1.2/1000)</f>
        <v>1.1999999999999999E-3</v>
      </c>
      <c r="AP204" s="507">
        <f t="shared" si="133"/>
        <v>0</v>
      </c>
      <c r="AQ204" s="507"/>
      <c r="AR204" s="361">
        <f>0.19/1000</f>
        <v>1.9000000000000001E-4</v>
      </c>
      <c r="AS204" s="21"/>
    </row>
    <row r="205" spans="14:45" ht="22.5" customHeight="1">
      <c r="N205" s="17"/>
      <c r="O205" s="17"/>
      <c r="P205" s="17"/>
      <c r="Q205" s="17"/>
      <c r="R205" s="69"/>
      <c r="S205" s="69"/>
      <c r="T205" s="69"/>
      <c r="U205" s="69"/>
      <c r="AM205" s="496" t="s">
        <v>483</v>
      </c>
      <c r="AN205" s="506">
        <f>5.000711</f>
        <v>5.0007109999999999</v>
      </c>
      <c r="AO205" s="490">
        <f>(1.6/1000)</f>
        <v>1.6000000000000001E-3</v>
      </c>
      <c r="AP205" s="507">
        <f t="shared" si="133"/>
        <v>0</v>
      </c>
      <c r="AQ205" s="507"/>
      <c r="AR205" s="361">
        <f>0.27/1000</f>
        <v>2.7E-4</v>
      </c>
      <c r="AS205" s="17"/>
    </row>
    <row r="206" spans="14:45" ht="25.5" customHeight="1">
      <c r="N206" s="17"/>
      <c r="O206" s="17"/>
      <c r="P206" s="17"/>
      <c r="Q206" s="17"/>
      <c r="R206" s="69"/>
      <c r="S206" s="69"/>
      <c r="T206" s="69"/>
      <c r="U206" s="69"/>
      <c r="AM206" s="496" t="s">
        <v>482</v>
      </c>
      <c r="AN206" s="506">
        <f>10.000483</f>
        <v>10.000482999999999</v>
      </c>
      <c r="AO206" s="490">
        <f>(2/1000)</f>
        <v>2E-3</v>
      </c>
      <c r="AP206" s="507">
        <f t="shared" si="133"/>
        <v>0</v>
      </c>
      <c r="AQ206" s="507"/>
      <c r="AR206" s="361">
        <f>0.38/1000</f>
        <v>3.8000000000000002E-4</v>
      </c>
      <c r="AS206" s="17"/>
    </row>
    <row r="207" spans="14:45" ht="21.75" customHeight="1">
      <c r="N207" s="17"/>
      <c r="O207" s="17"/>
      <c r="P207" s="17"/>
      <c r="Q207" s="17"/>
      <c r="R207" s="69"/>
      <c r="S207" s="69"/>
      <c r="T207" s="69"/>
      <c r="U207" s="69"/>
      <c r="AM207" s="496" t="s">
        <v>481</v>
      </c>
      <c r="AN207" s="506">
        <f>20.000994</f>
        <v>20.000993999999999</v>
      </c>
      <c r="AO207" s="490">
        <f>(2.5/1000)</f>
        <v>2.5000000000000001E-3</v>
      </c>
      <c r="AP207" s="507">
        <f t="shared" si="133"/>
        <v>0</v>
      </c>
      <c r="AQ207" s="507"/>
      <c r="AR207" s="361">
        <f>0.53/1000</f>
        <v>5.2999999999999998E-4</v>
      </c>
      <c r="AS207" s="17">
        <f>SUM(AP164:AP188)</f>
        <v>0</v>
      </c>
    </row>
    <row r="208" spans="14:45" ht="19.5" customHeight="1">
      <c r="N208" s="17"/>
      <c r="O208" s="17"/>
      <c r="P208" s="17"/>
      <c r="Q208" s="17"/>
      <c r="R208" s="69"/>
      <c r="S208" s="69"/>
      <c r="T208" s="69"/>
      <c r="U208" s="69"/>
      <c r="AM208" s="494" t="s">
        <v>508</v>
      </c>
      <c r="AN208" s="506">
        <f>20.000158</f>
        <v>20.000157999999999</v>
      </c>
      <c r="AO208" s="490">
        <f>(2.5/1000)</f>
        <v>2.5000000000000001E-3</v>
      </c>
      <c r="AP208" s="507">
        <f t="shared" si="133"/>
        <v>0</v>
      </c>
      <c r="AQ208" s="507"/>
      <c r="AR208" s="361">
        <f>0.53/1000</f>
        <v>5.2999999999999998E-4</v>
      </c>
      <c r="AS208" s="17"/>
    </row>
    <row r="209" spans="14:45" ht="15" customHeight="1">
      <c r="N209" s="17"/>
      <c r="O209" s="17"/>
      <c r="P209" s="17"/>
      <c r="Q209" s="17"/>
      <c r="R209" s="69"/>
      <c r="S209" s="69"/>
      <c r="T209" s="69"/>
      <c r="U209" s="69"/>
      <c r="AM209" s="496" t="s">
        <v>480</v>
      </c>
      <c r="AN209" s="506">
        <f>50.000753</f>
        <v>50.000753000000003</v>
      </c>
      <c r="AO209" s="490">
        <f>(3/1000)</f>
        <v>3.0000000000000001E-3</v>
      </c>
      <c r="AP209" s="507">
        <f t="shared" si="133"/>
        <v>0</v>
      </c>
      <c r="AQ209" s="507"/>
      <c r="AR209" s="361">
        <f>0.87/1000</f>
        <v>8.7000000000000001E-4</v>
      </c>
      <c r="AS209" s="21"/>
    </row>
    <row r="210" spans="14:45" ht="15" customHeight="1">
      <c r="N210" s="17"/>
      <c r="O210" s="17"/>
      <c r="P210" s="17"/>
      <c r="Q210" s="17"/>
      <c r="R210" s="69"/>
      <c r="S210" s="69"/>
      <c r="T210" s="69"/>
      <c r="U210" s="69"/>
      <c r="AM210" s="498" t="s">
        <v>509</v>
      </c>
      <c r="AN210" s="506">
        <f>100.00147</f>
        <v>100.00147</v>
      </c>
      <c r="AO210" s="490">
        <f>(5/1000)</f>
        <v>5.0000000000000001E-3</v>
      </c>
      <c r="AP210" s="507">
        <f t="shared" si="133"/>
        <v>0</v>
      </c>
      <c r="AQ210" s="507"/>
      <c r="AR210" s="362">
        <f>SQRT((15.88/1000)^2/3)</f>
        <v>9.1683222747312582E-3</v>
      </c>
      <c r="AS210" s="17"/>
    </row>
    <row r="211" spans="14:45" ht="15" customHeight="1">
      <c r="N211" s="17"/>
      <c r="O211" s="17"/>
      <c r="P211" s="17"/>
      <c r="Q211" s="17"/>
      <c r="R211" s="69"/>
      <c r="S211" s="69"/>
      <c r="T211" s="69"/>
      <c r="U211" s="69"/>
      <c r="AM211" s="498" t="s">
        <v>510</v>
      </c>
      <c r="AN211" s="506">
        <f>200.00201</f>
        <v>200.00201000000001</v>
      </c>
      <c r="AO211" s="490">
        <f>(10/1000)</f>
        <v>0.01</v>
      </c>
      <c r="AP211" s="507">
        <f t="shared" si="133"/>
        <v>0</v>
      </c>
      <c r="AQ211" s="507"/>
      <c r="AR211" s="362">
        <f t="shared" ref="AR211:AR216" si="134">SQRT((15.88/1000)^2/3)</f>
        <v>9.1683222747312582E-3</v>
      </c>
      <c r="AS211" s="17"/>
    </row>
    <row r="212" spans="14:45" ht="15" customHeight="1">
      <c r="N212" s="17"/>
      <c r="O212" s="17"/>
      <c r="P212" s="17"/>
      <c r="Q212" s="17"/>
      <c r="R212" s="69"/>
      <c r="S212" s="69"/>
      <c r="T212" s="69"/>
      <c r="U212" s="69"/>
      <c r="AM212" s="498" t="s">
        <v>511</v>
      </c>
      <c r="AN212" s="506">
        <f>200.00273</f>
        <v>200.00273000000001</v>
      </c>
      <c r="AO212" s="490">
        <f>(10/1000)</f>
        <v>0.01</v>
      </c>
      <c r="AP212" s="507">
        <f t="shared" si="133"/>
        <v>0</v>
      </c>
      <c r="AQ212" s="536"/>
      <c r="AR212" s="362">
        <f t="shared" si="134"/>
        <v>9.1683222747312582E-3</v>
      </c>
      <c r="AS212" s="17"/>
    </row>
    <row r="213" spans="14:45" ht="15" customHeight="1">
      <c r="N213" s="17"/>
      <c r="O213" s="17"/>
      <c r="P213" s="17"/>
      <c r="Q213" s="17"/>
      <c r="R213" s="69"/>
      <c r="S213" s="69"/>
      <c r="T213" s="69"/>
      <c r="U213" s="69"/>
      <c r="AM213" s="498" t="s">
        <v>512</v>
      </c>
      <c r="AN213" s="506">
        <f>500.00176</f>
        <v>500.00175999999999</v>
      </c>
      <c r="AO213" s="490">
        <f>(25/1000)</f>
        <v>2.5000000000000001E-2</v>
      </c>
      <c r="AP213" s="536">
        <f t="shared" si="133"/>
        <v>0</v>
      </c>
      <c r="AQ213" s="537"/>
      <c r="AR213" s="362">
        <f t="shared" si="134"/>
        <v>9.1683222747312582E-3</v>
      </c>
      <c r="AS213" s="17"/>
    </row>
    <row r="214" spans="14:45" ht="15" customHeight="1">
      <c r="N214" s="17"/>
      <c r="O214" s="17"/>
      <c r="P214" s="17"/>
      <c r="Q214" s="17"/>
      <c r="R214" s="69"/>
      <c r="S214" s="69"/>
      <c r="T214" s="69"/>
      <c r="U214" s="69"/>
      <c r="AM214" s="498" t="s">
        <v>513</v>
      </c>
      <c r="AN214" s="506">
        <f>1000.0162</f>
        <v>1000.0162</v>
      </c>
      <c r="AO214" s="490">
        <f>(50/1000)</f>
        <v>0.05</v>
      </c>
      <c r="AP214" s="537">
        <f t="shared" si="133"/>
        <v>0</v>
      </c>
      <c r="AQ214" s="507"/>
      <c r="AR214" s="362">
        <f t="shared" si="134"/>
        <v>9.1683222747312582E-3</v>
      </c>
      <c r="AS214" s="21"/>
    </row>
    <row r="215" spans="14:45" ht="15" customHeight="1">
      <c r="N215" s="17"/>
      <c r="O215" s="17"/>
      <c r="P215" s="17"/>
      <c r="Q215" s="17"/>
      <c r="R215" s="69"/>
      <c r="S215" s="69"/>
      <c r="T215" s="69"/>
      <c r="U215" s="69"/>
      <c r="AM215" s="739" t="s">
        <v>514</v>
      </c>
      <c r="AN215" s="506">
        <f>2000.0253</f>
        <v>2000.0253</v>
      </c>
      <c r="AO215" s="490">
        <f>0.1</f>
        <v>0.1</v>
      </c>
      <c r="AP215" s="507">
        <f t="shared" si="133"/>
        <v>0</v>
      </c>
      <c r="AQ215" s="507"/>
      <c r="AR215" s="362">
        <f t="shared" si="134"/>
        <v>9.1683222747312582E-3</v>
      </c>
      <c r="AS215" s="17">
        <f>SUM(AP315:AP320)</f>
        <v>0</v>
      </c>
    </row>
    <row r="216" spans="14:45" ht="15" customHeight="1">
      <c r="N216" s="17"/>
      <c r="O216" s="17"/>
      <c r="P216" s="17"/>
      <c r="Q216" s="17"/>
      <c r="R216" s="69"/>
      <c r="S216" s="69"/>
      <c r="T216" s="69"/>
      <c r="U216" s="69"/>
      <c r="AM216" s="498" t="s">
        <v>515</v>
      </c>
      <c r="AN216" s="506">
        <f>2000.0238</f>
        <v>2000.0237999999999</v>
      </c>
      <c r="AO216" s="490">
        <f>0.1</f>
        <v>0.1</v>
      </c>
      <c r="AP216" s="507">
        <f t="shared" si="133"/>
        <v>0</v>
      </c>
      <c r="AQ216" s="536"/>
      <c r="AR216" s="362">
        <f t="shared" si="134"/>
        <v>9.1683222747312582E-3</v>
      </c>
      <c r="AS216" s="17"/>
    </row>
    <row r="217" spans="14:45" ht="15" customHeight="1" thickBot="1">
      <c r="N217" s="17"/>
      <c r="O217" s="17"/>
      <c r="P217" s="17"/>
      <c r="Q217" s="17"/>
      <c r="R217" s="69"/>
      <c r="S217" s="69"/>
      <c r="T217" s="69"/>
      <c r="U217" s="69"/>
      <c r="AM217" s="504" t="s">
        <v>516</v>
      </c>
      <c r="AN217" s="512">
        <f>5000.0462</f>
        <v>5000.0461999999998</v>
      </c>
      <c r="AO217" s="502">
        <f>0.25</f>
        <v>0.25</v>
      </c>
      <c r="AP217" s="538">
        <f t="shared" si="133"/>
        <v>0</v>
      </c>
      <c r="AQ217" s="534"/>
      <c r="AR217" s="362">
        <f>SQRT((15.88/1000)^2/3)</f>
        <v>9.1683222747312582E-3</v>
      </c>
      <c r="AS217" s="17"/>
    </row>
    <row r="218" spans="14:45" ht="15" customHeight="1">
      <c r="N218" s="17"/>
      <c r="O218" s="17"/>
      <c r="P218" s="17"/>
      <c r="Q218" s="17"/>
      <c r="R218" s="69"/>
      <c r="S218" s="69"/>
      <c r="T218" s="69"/>
      <c r="U218" s="69"/>
      <c r="AM218" s="543" t="s">
        <v>521</v>
      </c>
      <c r="AN218" s="532" t="s">
        <v>497</v>
      </c>
      <c r="AO218" s="533" t="str">
        <f>IF(AP218=0,"NÃO","SIM")</f>
        <v>NÃO</v>
      </c>
      <c r="AP218" s="534">
        <f>IF(ISERROR(SUM(AP219:AP246)),SUM(AP219:AP246),SUM(AP219:AP246))</f>
        <v>0</v>
      </c>
      <c r="AQ218" s="507"/>
      <c r="AR218" s="362"/>
      <c r="AS218" s="17"/>
    </row>
    <row r="219" spans="14:45" ht="15" customHeight="1">
      <c r="N219" s="17"/>
      <c r="O219" s="17"/>
      <c r="P219" s="17"/>
      <c r="Q219" s="17"/>
      <c r="R219" s="69"/>
      <c r="S219" s="69"/>
      <c r="T219" s="69"/>
      <c r="U219" s="69"/>
      <c r="AM219" s="489" t="s">
        <v>526</v>
      </c>
      <c r="AN219" s="520">
        <v>1.0013999999999999E-3</v>
      </c>
      <c r="AO219" s="490">
        <f>(0.2/1000)</f>
        <v>2.0000000000000001E-4</v>
      </c>
      <c r="AP219" s="507">
        <f t="shared" ref="AP219:AP246" si="135">IF(ISERROR(MATCH(AM219,$B$32:$B$77,0)),0,(MATCH(AM219,$B$32:$B$77,0)))+IF(ISERROR(MATCH(AM219,$C$32:$C$77,0)),0,(MATCH(AM219,$C$32:$C$77,0)))</f>
        <v>0</v>
      </c>
      <c r="AQ219" s="507"/>
      <c r="AR219" s="362"/>
      <c r="AS219" s="17"/>
    </row>
    <row r="220" spans="14:45" ht="15" customHeight="1">
      <c r="N220" s="17"/>
      <c r="O220" s="17"/>
      <c r="P220" s="17"/>
      <c r="Q220" s="17"/>
      <c r="R220" s="69"/>
      <c r="S220" s="69"/>
      <c r="T220" s="69"/>
      <c r="U220" s="69"/>
      <c r="AM220" s="489" t="s">
        <v>527</v>
      </c>
      <c r="AN220" s="520">
        <v>2.0395999999999999E-3</v>
      </c>
      <c r="AO220" s="490">
        <f>(0.2/1000)</f>
        <v>2.0000000000000001E-4</v>
      </c>
      <c r="AP220" s="507">
        <f t="shared" si="135"/>
        <v>0</v>
      </c>
      <c r="AQ220" s="507"/>
      <c r="AR220" s="362"/>
      <c r="AS220" s="17"/>
    </row>
    <row r="221" spans="14:45" ht="15" customHeight="1">
      <c r="N221" s="17"/>
      <c r="O221" s="17"/>
      <c r="P221" s="17"/>
      <c r="Q221" s="17"/>
      <c r="R221" s="69"/>
      <c r="S221" s="69"/>
      <c r="T221" s="69"/>
      <c r="U221" s="69"/>
      <c r="AM221" s="491" t="s">
        <v>528</v>
      </c>
      <c r="AN221" s="520">
        <v>2.0176E-3</v>
      </c>
      <c r="AO221" s="490">
        <f>(0.2/1000)</f>
        <v>2.0000000000000001E-4</v>
      </c>
      <c r="AP221" s="507">
        <f t="shared" si="135"/>
        <v>0</v>
      </c>
      <c r="AQ221" s="507"/>
      <c r="AR221" s="362"/>
      <c r="AS221" s="17"/>
    </row>
    <row r="222" spans="14:45" ht="15" customHeight="1">
      <c r="N222" s="17"/>
      <c r="O222" s="17"/>
      <c r="P222" s="17"/>
      <c r="Q222" s="17"/>
      <c r="R222" s="69"/>
      <c r="S222" s="69"/>
      <c r="T222" s="69"/>
      <c r="U222" s="69"/>
      <c r="AM222" s="491" t="s">
        <v>529</v>
      </c>
      <c r="AN222" s="520">
        <v>4.9881999999999999E-3</v>
      </c>
      <c r="AO222" s="490">
        <f>(0.2/1000)</f>
        <v>2.0000000000000001E-4</v>
      </c>
      <c r="AP222" s="507">
        <f t="shared" si="135"/>
        <v>0</v>
      </c>
      <c r="AQ222" s="507"/>
      <c r="AR222" s="362"/>
      <c r="AS222" s="17"/>
    </row>
    <row r="223" spans="14:45" ht="15" customHeight="1">
      <c r="N223" s="17"/>
      <c r="O223" s="17"/>
      <c r="P223" s="17"/>
      <c r="Q223" s="17"/>
      <c r="R223" s="69"/>
      <c r="S223" s="69"/>
      <c r="T223" s="69"/>
      <c r="U223" s="69"/>
      <c r="AM223" s="491" t="s">
        <v>530</v>
      </c>
      <c r="AN223" s="506">
        <v>1.00366E-2</v>
      </c>
      <c r="AO223" s="490">
        <f>(0.25/1000)</f>
        <v>2.5000000000000001E-4</v>
      </c>
      <c r="AP223" s="507">
        <f t="shared" si="135"/>
        <v>0</v>
      </c>
      <c r="AQ223" s="507"/>
      <c r="AR223" s="362"/>
      <c r="AS223" s="17"/>
    </row>
    <row r="224" spans="14:45" ht="15" customHeight="1">
      <c r="N224" s="17"/>
      <c r="O224" s="17"/>
      <c r="P224" s="17"/>
      <c r="Q224" s="17"/>
      <c r="R224" s="69"/>
      <c r="S224" s="69"/>
      <c r="T224" s="69"/>
      <c r="U224" s="69"/>
      <c r="AM224" s="491" t="s">
        <v>531</v>
      </c>
      <c r="AN224" s="506">
        <v>2.0005499999999999E-2</v>
      </c>
      <c r="AO224" s="490">
        <f>(0.3/1000)</f>
        <v>2.9999999999999997E-4</v>
      </c>
      <c r="AP224" s="507">
        <f t="shared" si="135"/>
        <v>0</v>
      </c>
      <c r="AQ224" s="507"/>
      <c r="AR224" s="362"/>
      <c r="AS224" s="17"/>
    </row>
    <row r="225" spans="14:45" ht="15" customHeight="1">
      <c r="N225" s="17"/>
      <c r="O225" s="17"/>
      <c r="P225" s="17"/>
      <c r="Q225" s="17"/>
      <c r="R225" s="69"/>
      <c r="S225" s="69"/>
      <c r="T225" s="69"/>
      <c r="U225" s="69"/>
      <c r="AM225" s="491" t="s">
        <v>532</v>
      </c>
      <c r="AN225" s="506">
        <v>1.9958500000000001E-2</v>
      </c>
      <c r="AO225" s="490">
        <f>(0.3/1000)</f>
        <v>2.9999999999999997E-4</v>
      </c>
      <c r="AP225" s="507">
        <f t="shared" si="135"/>
        <v>0</v>
      </c>
      <c r="AQ225" s="507"/>
      <c r="AR225" s="362"/>
      <c r="AS225" s="17"/>
    </row>
    <row r="226" spans="14:45" ht="15" customHeight="1">
      <c r="N226" s="17"/>
      <c r="O226" s="17"/>
      <c r="P226" s="17"/>
      <c r="Q226" s="17"/>
      <c r="R226" s="69"/>
      <c r="S226" s="69"/>
      <c r="T226" s="69"/>
      <c r="U226" s="69"/>
      <c r="AM226" s="491" t="s">
        <v>533</v>
      </c>
      <c r="AN226" s="506">
        <v>5.01179E-2</v>
      </c>
      <c r="AO226" s="490">
        <f>(0.4/1000)</f>
        <v>4.0000000000000002E-4</v>
      </c>
      <c r="AP226" s="507">
        <f t="shared" si="135"/>
        <v>0</v>
      </c>
      <c r="AQ226" s="507"/>
      <c r="AR226" s="362"/>
      <c r="AS226" s="17"/>
    </row>
    <row r="227" spans="14:45" ht="15" customHeight="1">
      <c r="N227" s="17"/>
      <c r="O227" s="17"/>
      <c r="P227" s="17"/>
      <c r="Q227" s="17"/>
      <c r="R227" s="69"/>
      <c r="S227" s="69"/>
      <c r="T227" s="69"/>
      <c r="U227" s="69"/>
      <c r="AM227" s="494" t="s">
        <v>534</v>
      </c>
      <c r="AN227" s="506">
        <v>0.100188</v>
      </c>
      <c r="AO227" s="490">
        <f>(0.5/1000)</f>
        <v>5.0000000000000001E-4</v>
      </c>
      <c r="AP227" s="507">
        <f t="shared" si="135"/>
        <v>0</v>
      </c>
      <c r="AQ227" s="507"/>
      <c r="AR227" s="362"/>
      <c r="AS227" s="17"/>
    </row>
    <row r="228" spans="14:45" ht="15" customHeight="1">
      <c r="N228" s="17"/>
      <c r="O228" s="17"/>
      <c r="P228" s="17"/>
      <c r="Q228" s="17"/>
      <c r="R228" s="69"/>
      <c r="S228" s="69"/>
      <c r="T228" s="69"/>
      <c r="U228" s="69"/>
      <c r="AM228" s="494" t="s">
        <v>535</v>
      </c>
      <c r="AN228" s="506">
        <v>0.200068</v>
      </c>
      <c r="AO228" s="490">
        <f>(0.6/1000)</f>
        <v>5.9999999999999995E-4</v>
      </c>
      <c r="AP228" s="507">
        <f t="shared" si="135"/>
        <v>0</v>
      </c>
      <c r="AQ228" s="507"/>
      <c r="AR228" s="362"/>
      <c r="AS228" s="17"/>
    </row>
    <row r="229" spans="14:45" ht="15" customHeight="1">
      <c r="N229" s="17"/>
      <c r="O229" s="17"/>
      <c r="P229" s="17"/>
      <c r="Q229" s="17"/>
      <c r="R229" s="69"/>
      <c r="S229" s="69"/>
      <c r="T229" s="69"/>
      <c r="U229" s="69"/>
      <c r="AM229" s="494" t="s">
        <v>536</v>
      </c>
      <c r="AN229" s="506">
        <v>0.20014999999999999</v>
      </c>
      <c r="AO229" s="490">
        <f>(0.6/1000)</f>
        <v>5.9999999999999995E-4</v>
      </c>
      <c r="AP229" s="507">
        <f t="shared" si="135"/>
        <v>0</v>
      </c>
      <c r="AQ229" s="507"/>
      <c r="AR229" s="362"/>
      <c r="AS229" s="17"/>
    </row>
    <row r="230" spans="14:45" ht="15" customHeight="1">
      <c r="N230" s="17"/>
      <c r="O230" s="17"/>
      <c r="P230" s="17"/>
      <c r="Q230" s="17"/>
      <c r="R230" s="69"/>
      <c r="S230" s="69"/>
      <c r="T230" s="69"/>
      <c r="U230" s="69"/>
      <c r="AM230" s="495" t="s">
        <v>537</v>
      </c>
      <c r="AN230" s="757">
        <v>0.49984800000000001</v>
      </c>
      <c r="AO230" s="493">
        <f>(0.8/1000)</f>
        <v>8.0000000000000004E-4</v>
      </c>
      <c r="AP230" s="535">
        <f t="shared" si="135"/>
        <v>0</v>
      </c>
      <c r="AQ230" s="507"/>
      <c r="AR230" s="362"/>
      <c r="AS230" s="17"/>
    </row>
    <row r="231" spans="14:45" ht="15" customHeight="1">
      <c r="N231" s="17"/>
      <c r="O231" s="17"/>
      <c r="P231" s="17"/>
      <c r="Q231" s="17"/>
      <c r="R231" s="69"/>
      <c r="S231" s="69"/>
      <c r="T231" s="69"/>
      <c r="U231" s="69"/>
      <c r="AM231" s="496" t="s">
        <v>538</v>
      </c>
      <c r="AN231" s="506">
        <v>1.000178</v>
      </c>
      <c r="AO231" s="490">
        <f>(1/1000)</f>
        <v>1E-3</v>
      </c>
      <c r="AP231" s="507">
        <f t="shared" si="135"/>
        <v>0</v>
      </c>
      <c r="AQ231" s="507"/>
      <c r="AR231" s="362"/>
      <c r="AS231" s="17"/>
    </row>
    <row r="232" spans="14:45" ht="15" customHeight="1">
      <c r="N232" s="17"/>
      <c r="O232" s="17"/>
      <c r="P232" s="17"/>
      <c r="Q232" s="17"/>
      <c r="R232" s="69"/>
      <c r="S232" s="69"/>
      <c r="T232" s="69"/>
      <c r="U232" s="69"/>
      <c r="AM232" s="496" t="s">
        <v>539</v>
      </c>
      <c r="AN232" s="506">
        <v>2.0002589999999998</v>
      </c>
      <c r="AO232" s="490">
        <f>(1.2/1000)</f>
        <v>1.1999999999999999E-3</v>
      </c>
      <c r="AP232" s="507">
        <f t="shared" si="135"/>
        <v>0</v>
      </c>
      <c r="AQ232" s="507"/>
      <c r="AR232" s="362"/>
      <c r="AS232" s="17"/>
    </row>
    <row r="233" spans="14:45" ht="15" customHeight="1">
      <c r="N233" s="17"/>
      <c r="O233" s="17"/>
      <c r="P233" s="17"/>
      <c r="Q233" s="17"/>
      <c r="R233" s="69"/>
      <c r="S233" s="69"/>
      <c r="T233" s="69"/>
      <c r="U233" s="69"/>
      <c r="AM233" s="494" t="s">
        <v>540</v>
      </c>
      <c r="AN233" s="506">
        <v>2.0003660000000001</v>
      </c>
      <c r="AO233" s="490">
        <f>(1.2/1000)</f>
        <v>1.1999999999999999E-3</v>
      </c>
      <c r="AP233" s="507">
        <f t="shared" si="135"/>
        <v>0</v>
      </c>
      <c r="AQ233" s="507"/>
      <c r="AR233" s="362"/>
      <c r="AS233" s="17"/>
    </row>
    <row r="234" spans="14:45" ht="15" customHeight="1">
      <c r="N234" s="17"/>
      <c r="O234" s="17"/>
      <c r="P234" s="17"/>
      <c r="Q234" s="17"/>
      <c r="R234" s="69"/>
      <c r="S234" s="69"/>
      <c r="T234" s="69"/>
      <c r="U234" s="69"/>
      <c r="AM234" s="496" t="s">
        <v>541</v>
      </c>
      <c r="AN234" s="506">
        <v>5.0006529999999998</v>
      </c>
      <c r="AO234" s="490">
        <f>(1.6/1000)</f>
        <v>1.6000000000000001E-3</v>
      </c>
      <c r="AP234" s="507">
        <f t="shared" si="135"/>
        <v>0</v>
      </c>
      <c r="AQ234" s="507"/>
      <c r="AR234" s="362"/>
      <c r="AS234" s="17"/>
    </row>
    <row r="235" spans="14:45" ht="15" customHeight="1">
      <c r="N235" s="17"/>
      <c r="O235" s="17"/>
      <c r="P235" s="17"/>
      <c r="Q235" s="17"/>
      <c r="R235" s="69"/>
      <c r="S235" s="69"/>
      <c r="T235" s="69"/>
      <c r="U235" s="69"/>
      <c r="AM235" s="496" t="s">
        <v>542</v>
      </c>
      <c r="AN235" s="506">
        <v>10.000673000000001</v>
      </c>
      <c r="AO235" s="490">
        <f>(2/1000)</f>
        <v>2E-3</v>
      </c>
      <c r="AP235" s="507">
        <f t="shared" si="135"/>
        <v>0</v>
      </c>
      <c r="AQ235" s="507"/>
      <c r="AR235" s="362"/>
      <c r="AS235" s="17"/>
    </row>
    <row r="236" spans="14:45" ht="15" customHeight="1">
      <c r="N236" s="17"/>
      <c r="O236" s="17"/>
      <c r="P236" s="17"/>
      <c r="Q236" s="17"/>
      <c r="R236" s="69"/>
      <c r="S236" s="69"/>
      <c r="T236" s="69"/>
      <c r="U236" s="69"/>
      <c r="AM236" s="496" t="s">
        <v>543</v>
      </c>
      <c r="AN236" s="506">
        <v>20.00074</v>
      </c>
      <c r="AO236" s="490">
        <f>(2.5/1000)</f>
        <v>2.5000000000000001E-3</v>
      </c>
      <c r="AP236" s="507">
        <f t="shared" si="135"/>
        <v>0</v>
      </c>
      <c r="AQ236" s="507"/>
      <c r="AR236" s="362"/>
      <c r="AS236" s="17"/>
    </row>
    <row r="237" spans="14:45" ht="15" customHeight="1">
      <c r="N237" s="17"/>
      <c r="O237" s="17"/>
      <c r="P237" s="17"/>
      <c r="Q237" s="17"/>
      <c r="R237" s="69"/>
      <c r="S237" s="69"/>
      <c r="T237" s="69"/>
      <c r="U237" s="69"/>
      <c r="AM237" s="494" t="s">
        <v>544</v>
      </c>
      <c r="AN237" s="506">
        <v>20.000961</v>
      </c>
      <c r="AO237" s="490">
        <f>(2.5/1000)</f>
        <v>2.5000000000000001E-3</v>
      </c>
      <c r="AP237" s="507">
        <f t="shared" si="135"/>
        <v>0</v>
      </c>
      <c r="AQ237" s="507"/>
      <c r="AR237" s="362"/>
      <c r="AS237" s="17"/>
    </row>
    <row r="238" spans="14:45" ht="15" customHeight="1">
      <c r="N238" s="17"/>
      <c r="O238" s="17"/>
      <c r="P238" s="17"/>
      <c r="Q238" s="17"/>
      <c r="R238" s="69"/>
      <c r="S238" s="69"/>
      <c r="T238" s="69"/>
      <c r="U238" s="69"/>
      <c r="AM238" s="496" t="s">
        <v>545</v>
      </c>
      <c r="AN238" s="506">
        <v>50.000734999999999</v>
      </c>
      <c r="AO238" s="490">
        <f>(3/1000)</f>
        <v>3.0000000000000001E-3</v>
      </c>
      <c r="AP238" s="507">
        <f t="shared" si="135"/>
        <v>0</v>
      </c>
      <c r="AQ238" s="507"/>
      <c r="AR238" s="362"/>
      <c r="AS238" s="17"/>
    </row>
    <row r="239" spans="14:45" ht="15" customHeight="1">
      <c r="N239" s="17"/>
      <c r="O239" s="17"/>
      <c r="P239" s="17"/>
      <c r="Q239" s="17"/>
      <c r="R239" s="69"/>
      <c r="S239" s="69"/>
      <c r="T239" s="69"/>
      <c r="U239" s="69"/>
      <c r="AM239" s="498" t="s">
        <v>546</v>
      </c>
      <c r="AN239" s="506">
        <v>100.00136000000001</v>
      </c>
      <c r="AO239" s="490">
        <f>(5/1000)</f>
        <v>5.0000000000000001E-3</v>
      </c>
      <c r="AP239" s="507">
        <f t="shared" si="135"/>
        <v>0</v>
      </c>
      <c r="AQ239" s="507"/>
      <c r="AR239" s="362"/>
      <c r="AS239" s="17"/>
    </row>
    <row r="240" spans="14:45" ht="15" customHeight="1">
      <c r="N240" s="17"/>
      <c r="O240" s="17"/>
      <c r="P240" s="17"/>
      <c r="Q240" s="17"/>
      <c r="R240" s="69"/>
      <c r="S240" s="69"/>
      <c r="T240" s="69"/>
      <c r="U240" s="69"/>
      <c r="AM240" s="498" t="s">
        <v>547</v>
      </c>
      <c r="AN240" s="506">
        <v>200.00282999999999</v>
      </c>
      <c r="AO240" s="490">
        <f>(10/1000)</f>
        <v>0.01</v>
      </c>
      <c r="AP240" s="507">
        <f t="shared" si="135"/>
        <v>0</v>
      </c>
      <c r="AQ240" s="507"/>
      <c r="AR240" s="362"/>
      <c r="AS240" s="17"/>
    </row>
    <row r="241" spans="14:45" ht="15" customHeight="1">
      <c r="N241" s="17"/>
      <c r="O241" s="17"/>
      <c r="P241" s="17"/>
      <c r="Q241" s="17"/>
      <c r="R241" s="69"/>
      <c r="S241" s="69"/>
      <c r="T241" s="69"/>
      <c r="U241" s="69"/>
      <c r="AM241" s="498" t="s">
        <v>548</v>
      </c>
      <c r="AN241" s="506">
        <v>200.00221999999999</v>
      </c>
      <c r="AO241" s="490">
        <f>(10/1000)</f>
        <v>0.01</v>
      </c>
      <c r="AP241" s="507">
        <f t="shared" si="135"/>
        <v>0</v>
      </c>
      <c r="AQ241" s="536"/>
      <c r="AR241" s="362"/>
      <c r="AS241" s="17"/>
    </row>
    <row r="242" spans="14:45" ht="15" customHeight="1">
      <c r="N242" s="17"/>
      <c r="O242" s="17"/>
      <c r="P242" s="17"/>
      <c r="Q242" s="17"/>
      <c r="R242" s="69"/>
      <c r="S242" s="69"/>
      <c r="T242" s="69"/>
      <c r="U242" s="69"/>
      <c r="AM242" s="498" t="s">
        <v>549</v>
      </c>
      <c r="AN242" s="506">
        <v>500.00295999999997</v>
      </c>
      <c r="AO242" s="490">
        <f>(25/1000)</f>
        <v>2.5000000000000001E-2</v>
      </c>
      <c r="AP242" s="536">
        <f t="shared" si="135"/>
        <v>0</v>
      </c>
      <c r="AQ242" s="537"/>
      <c r="AR242" s="362"/>
      <c r="AS242" s="17"/>
    </row>
    <row r="243" spans="14:45" ht="15" customHeight="1">
      <c r="N243" s="17"/>
      <c r="O243" s="17"/>
      <c r="P243" s="17"/>
      <c r="Q243" s="17"/>
      <c r="R243" s="69"/>
      <c r="S243" s="69"/>
      <c r="T243" s="69"/>
      <c r="U243" s="69"/>
      <c r="AM243" s="498" t="s">
        <v>550</v>
      </c>
      <c r="AN243" s="506">
        <v>1000.0106</v>
      </c>
      <c r="AO243" s="490">
        <f>(50/1000)</f>
        <v>0.05</v>
      </c>
      <c r="AP243" s="537">
        <f t="shared" si="135"/>
        <v>0</v>
      </c>
      <c r="AQ243" s="507"/>
      <c r="AR243" s="362"/>
      <c r="AS243" s="17"/>
    </row>
    <row r="244" spans="14:45" ht="15" customHeight="1">
      <c r="N244" s="17"/>
      <c r="O244" s="17"/>
      <c r="P244" s="17"/>
      <c r="Q244" s="17"/>
      <c r="R244" s="69"/>
      <c r="S244" s="69"/>
      <c r="T244" s="69"/>
      <c r="U244" s="69"/>
      <c r="AM244" s="739" t="s">
        <v>551</v>
      </c>
      <c r="AN244" s="758">
        <v>2000.0255999999999</v>
      </c>
      <c r="AO244" s="490">
        <f>0.1</f>
        <v>0.1</v>
      </c>
      <c r="AP244" s="507">
        <f t="shared" si="135"/>
        <v>0</v>
      </c>
      <c r="AQ244" s="507"/>
      <c r="AR244" s="362"/>
      <c r="AS244" s="17"/>
    </row>
    <row r="245" spans="14:45" ht="15" customHeight="1">
      <c r="N245" s="17"/>
      <c r="O245" s="17"/>
      <c r="P245" s="17"/>
      <c r="Q245" s="17"/>
      <c r="R245" s="69"/>
      <c r="S245" s="69"/>
      <c r="T245" s="69"/>
      <c r="U245" s="69"/>
      <c r="AM245" s="498" t="s">
        <v>552</v>
      </c>
      <c r="AN245" s="758">
        <v>2000.0272</v>
      </c>
      <c r="AO245" s="490">
        <f>0.1</f>
        <v>0.1</v>
      </c>
      <c r="AP245" s="507">
        <f t="shared" si="135"/>
        <v>0</v>
      </c>
      <c r="AQ245" s="536"/>
      <c r="AR245" s="362"/>
      <c r="AS245" s="17"/>
    </row>
    <row r="246" spans="14:45" ht="15.75" thickBot="1">
      <c r="N246" s="17"/>
      <c r="O246" s="17"/>
      <c r="P246" s="17"/>
      <c r="Q246" s="17"/>
      <c r="R246" s="69"/>
      <c r="S246" s="69"/>
      <c r="T246" s="69"/>
      <c r="U246" s="69"/>
      <c r="AM246" s="504" t="s">
        <v>553</v>
      </c>
      <c r="AN246" s="512">
        <v>5000.0600000000004</v>
      </c>
      <c r="AO246" s="502">
        <f>0.25</f>
        <v>0.25</v>
      </c>
      <c r="AP246" s="538">
        <f t="shared" si="135"/>
        <v>0</v>
      </c>
      <c r="AQ246" s="534"/>
      <c r="AR246" s="362"/>
      <c r="AS246" s="17"/>
    </row>
    <row r="247" spans="14:45" ht="15" customHeight="1">
      <c r="N247" s="17"/>
      <c r="O247" s="17"/>
      <c r="P247" s="17"/>
      <c r="Q247" s="17"/>
      <c r="R247" s="69"/>
      <c r="S247" s="69"/>
      <c r="T247" s="69"/>
      <c r="U247" s="69"/>
      <c r="AM247" s="524" t="s">
        <v>121</v>
      </c>
      <c r="AN247" s="546"/>
      <c r="AO247" s="530" t="str">
        <f>IF(AP247=0,"NÃO","SIM")</f>
        <v>NÃO</v>
      </c>
      <c r="AP247" s="531">
        <f>IF(ISERROR(SUM(AP248:AP255)),SUM(AP248:AP255),SUM(AP248:AP255))</f>
        <v>0</v>
      </c>
      <c r="AQ247" s="507"/>
      <c r="AR247" s="39"/>
    </row>
    <row r="248" spans="14:45" ht="15" customHeight="1">
      <c r="N248" s="17"/>
      <c r="O248" s="17"/>
      <c r="P248" s="17"/>
      <c r="Q248" s="17"/>
      <c r="R248" s="69"/>
      <c r="S248" s="69"/>
      <c r="T248" s="69"/>
      <c r="U248" s="69"/>
      <c r="AM248" s="540" t="str">
        <f>IF(AN248=0,"","L1")</f>
        <v/>
      </c>
      <c r="AN248" s="603">
        <f>E34*1000</f>
        <v>0</v>
      </c>
      <c r="AO248" s="749">
        <f>SQRT((X34^2+X35^2+X36^2)+2*($X$29^2+$X$30^2+X31^2+X32^2+X33^2))/$AV$78</f>
        <v>0</v>
      </c>
      <c r="AP248" s="507">
        <f t="shared" ref="AP248:AP255" si="136">IF(ISERROR(MATCH(AM248,$B$32:$B$77,0)),0,(MATCH(AM248,$B$32:$B$77,0)))+IF(ISERROR(MATCH(AM248,$C$32:$C$77,0)),0,(MATCH(AM248,$C$32:$C$77,0)))</f>
        <v>0</v>
      </c>
      <c r="AQ248" s="507"/>
      <c r="AR248" s="362">
        <f t="shared" ref="AR248:AR255" si="137">SQRT((15.88/1000)^2/3)</f>
        <v>9.1683222747312582E-3</v>
      </c>
    </row>
    <row r="249" spans="14:45" ht="15" customHeight="1">
      <c r="N249" s="17"/>
      <c r="O249" s="17"/>
      <c r="P249" s="17"/>
      <c r="Q249" s="17"/>
      <c r="R249" s="69"/>
      <c r="S249" s="69"/>
      <c r="T249" s="69"/>
      <c r="U249" s="69"/>
      <c r="AM249" s="540" t="str">
        <f>IF(AN249=0,"",IF(AN248="","L1","L2"))</f>
        <v/>
      </c>
      <c r="AN249" s="603">
        <f>E39*1000</f>
        <v>0</v>
      </c>
      <c r="AO249" s="749">
        <f>SQRT((X34^2+X35^2+X36^2)+2*($X$29^2+$X$30^2+X31^2+X32^2+X33^2))/$AV$78</f>
        <v>0</v>
      </c>
      <c r="AP249" s="507">
        <f t="shared" si="136"/>
        <v>0</v>
      </c>
      <c r="AQ249" s="536"/>
      <c r="AR249" s="362">
        <f t="shared" si="137"/>
        <v>9.1683222747312582E-3</v>
      </c>
    </row>
    <row r="250" spans="14:45" ht="15" customHeight="1">
      <c r="N250" s="17"/>
      <c r="O250" s="17"/>
      <c r="P250" s="17"/>
      <c r="Q250" s="17"/>
      <c r="R250" s="69"/>
      <c r="S250" s="69"/>
      <c r="T250" s="69"/>
      <c r="U250" s="69"/>
      <c r="AM250" s="540" t="str">
        <f>IF(AN250=0,"",IF(AND(AM248="",AM249=""),"L1","L2"))</f>
        <v/>
      </c>
      <c r="AN250" s="603">
        <f>E45*1000</f>
        <v>0</v>
      </c>
      <c r="AO250" s="749">
        <f>SQRT((X40^2+X41^2+X42^2)+2*($X$29^2+$X$30^2+X37^2+X38^2+X39^2))/$AV$78</f>
        <v>0</v>
      </c>
      <c r="AP250" s="536">
        <f t="shared" si="136"/>
        <v>0</v>
      </c>
      <c r="AQ250" s="536"/>
      <c r="AR250" s="362">
        <f t="shared" si="137"/>
        <v>9.1683222747312582E-3</v>
      </c>
    </row>
    <row r="251" spans="14:45" ht="15" customHeight="1">
      <c r="N251" s="17"/>
      <c r="O251" s="17"/>
      <c r="P251" s="17"/>
      <c r="Q251" s="17"/>
      <c r="R251" s="69"/>
      <c r="S251" s="69"/>
      <c r="T251" s="69"/>
      <c r="U251" s="69"/>
      <c r="AM251" s="540" t="str">
        <f>IF(AN251=0,"",IF(AND(AM248="",AM249="",AM250=""),"L1",IF(AND(AM248&lt;&gt;"L2",AM249&lt;&gt;"L2",AM250&lt;&gt;"L2",AM251&lt;&gt;"L2"),"L2","L3")))</f>
        <v/>
      </c>
      <c r="AN251" s="603">
        <f>E51*1000</f>
        <v>0</v>
      </c>
      <c r="AO251" s="749">
        <f>SQRT((X46^2+X47^2+X48^2)+2*($X$29^2+$X$30^2+X43^2+X44^2+X45^2))/$AV$78</f>
        <v>0</v>
      </c>
      <c r="AP251" s="536">
        <f t="shared" si="136"/>
        <v>0</v>
      </c>
      <c r="AQ251" s="507"/>
      <c r="AR251" s="362">
        <f t="shared" si="137"/>
        <v>9.1683222747312582E-3</v>
      </c>
    </row>
    <row r="252" spans="14:45" ht="15" customHeight="1">
      <c r="N252" s="17"/>
      <c r="O252" s="17"/>
      <c r="P252" s="17"/>
      <c r="Q252" s="17"/>
      <c r="R252" s="69"/>
      <c r="S252" s="69"/>
      <c r="T252" s="69"/>
      <c r="U252" s="69"/>
      <c r="AM252" s="540" t="str">
        <f>IF(AN252=0,"",IF(AND(AM248="",AM249="",AM250="",AM251=""),"L1",IF(AND(AM248&lt;&gt;"L2",AM249&lt;&gt;"L2",AM250&lt;&gt;"L2",AM251&lt;&gt;"L2"),"L2",IF(AND(AM250&lt;&gt;"L3",AM251&lt;&gt;"L3"),"L3","L4"))))</f>
        <v/>
      </c>
      <c r="AN252" s="603">
        <f>E57*1000</f>
        <v>0</v>
      </c>
      <c r="AO252" s="749">
        <f>SQRT((X52^2+X53^2+X54^2)+2*($X$29^2+$X$30^2+X49^2+X50^2+X51^2))/$AV$78</f>
        <v>0</v>
      </c>
      <c r="AP252" s="507">
        <f t="shared" si="136"/>
        <v>0</v>
      </c>
      <c r="AQ252" s="507"/>
      <c r="AR252" s="362">
        <f t="shared" si="137"/>
        <v>9.1683222747312582E-3</v>
      </c>
    </row>
    <row r="253" spans="14:45" ht="15" customHeight="1">
      <c r="N253" s="17"/>
      <c r="O253" s="17"/>
      <c r="P253" s="17"/>
      <c r="Q253" s="17"/>
      <c r="R253" s="69"/>
      <c r="S253" s="69"/>
      <c r="T253" s="69"/>
      <c r="U253" s="69"/>
      <c r="AM253" s="540" t="str">
        <f>IF(AN253=0,"",IF(AND(AM248="",AM249="",AM250="",AM251="",AM252=""),"L1",IF(AND(AM248&lt;&gt;"L2",AM249&lt;&gt;"L2",AM250&lt;&gt;"L2",AM251&lt;&gt;"L2",AM252&lt;&gt;"L2"),"L2",IF(AND(AM250&lt;&gt;"L3",AM251&lt;&gt;"L3",AM252&lt;&gt;"L3"),"L3",IF(AND(AM250&lt;&gt;"L4",AM251&lt;&gt;"L4",AM252&lt;&gt;"L4"),"L4","L5")))))</f>
        <v/>
      </c>
      <c r="AN253" s="603">
        <f>E63*1000</f>
        <v>0</v>
      </c>
      <c r="AO253" s="749">
        <f>SQRT((X58^2+X59^2+X60^2)+2*($X$29^2+$X$30^2+X55^2+X56^2+X57^2))/$AV$78</f>
        <v>0</v>
      </c>
      <c r="AP253" s="507">
        <f t="shared" si="136"/>
        <v>0</v>
      </c>
      <c r="AQ253" s="507"/>
      <c r="AR253" s="362">
        <f t="shared" si="137"/>
        <v>9.1683222747312582E-3</v>
      </c>
    </row>
    <row r="254" spans="14:45" ht="15" customHeight="1" thickBot="1">
      <c r="N254" s="17"/>
      <c r="O254" s="17"/>
      <c r="P254" s="17"/>
      <c r="Q254" s="17"/>
      <c r="R254" s="69"/>
      <c r="S254" s="69"/>
      <c r="T254" s="69"/>
      <c r="U254" s="69"/>
      <c r="AM254" s="540" t="str">
        <f>IF(AN254=0,"",IF(AND(AM248="",AM249="",AM250="",AM251="",AM252="",AM253=""),"L1",IF(AND(AM249&lt;&gt;"L2",AM250&lt;&gt;"L2",AM251&lt;&gt;"L2",AM252&lt;&gt;"L2",AM253&lt;&gt;"L2"),"L2",IF(AND(AM250&lt;&gt;"L3",AM251&lt;&gt;"L3",AM252&lt;&gt;"L3",AM253&lt;&gt;"L3"),"L3",IF(AND(AM251&lt;&gt;"L4",AM252&lt;&gt;"L4",AM253&lt;&gt;"L4"),"L4","L5")))))</f>
        <v/>
      </c>
      <c r="AN254" s="603">
        <f>E69*1000</f>
        <v>0</v>
      </c>
      <c r="AO254" s="749">
        <f>SQRT((X64^2+X65^2+X66^2)+2*($X$29^2+$X$30^2+X61^2+X62^2+X63^2))/$AV$78</f>
        <v>0</v>
      </c>
      <c r="AP254" s="507">
        <f t="shared" si="136"/>
        <v>0</v>
      </c>
      <c r="AQ254" s="511"/>
      <c r="AR254" s="362">
        <f t="shared" si="137"/>
        <v>9.1683222747312582E-3</v>
      </c>
    </row>
    <row r="255" spans="14:45" ht="15" customHeight="1" thickBot="1">
      <c r="N255" s="17"/>
      <c r="O255" s="17"/>
      <c r="P255" s="17"/>
      <c r="Q255" s="17"/>
      <c r="R255" s="69"/>
      <c r="S255" s="69"/>
      <c r="T255" s="69"/>
      <c r="U255" s="69"/>
      <c r="AM255" s="666" t="str">
        <f>IF(AN255=0,"",IF(AND(AM249="",AM250="",AM251="",AM252="",AM253="",AM254=""),"L1",IF(AND(AM250&lt;&gt;"L2",AM251&lt;&gt;"L2",AM252&lt;&gt;"L2",AM253&lt;&gt;"L2",AM254&lt;&gt;"L2"),"L2",IF(AND(AM251&lt;&gt;"L3",AM252&lt;&gt;"L3",AM253&lt;&gt;"L3",AM254&lt;&gt;"L3"),"L3",IF(AND(AM252&lt;&gt;"L4",AM253&lt;&gt;"L4",AM254&lt;&gt;"L4"),"L4","L5")))))</f>
        <v/>
      </c>
      <c r="AN255" s="604">
        <f>E75*1000</f>
        <v>0</v>
      </c>
      <c r="AO255" s="752">
        <f>SQRT((X70^2+X71^2+X72^2)+2*($X$29^2+$X$30^2+X67^2+X68^2+X69^2))/$AV$78</f>
        <v>0</v>
      </c>
      <c r="AP255" s="511">
        <f t="shared" si="136"/>
        <v>0</v>
      </c>
      <c r="AR255" s="605">
        <f t="shared" si="137"/>
        <v>9.1683222747312582E-3</v>
      </c>
    </row>
    <row r="256" spans="14:45" ht="15" customHeight="1">
      <c r="N256" s="17"/>
      <c r="O256" s="17"/>
      <c r="P256" s="17"/>
      <c r="Q256" s="17"/>
      <c r="R256" s="69"/>
      <c r="S256" s="69"/>
      <c r="T256" s="69"/>
      <c r="U256" s="69"/>
    </row>
    <row r="257" spans="14:46" ht="15" customHeight="1">
      <c r="N257" s="17"/>
      <c r="O257" s="17"/>
      <c r="P257" s="17"/>
      <c r="Q257" s="17"/>
      <c r="R257" s="69"/>
      <c r="S257" s="69"/>
      <c r="T257" s="69"/>
      <c r="U257" s="69"/>
      <c r="AQ257" s="751"/>
    </row>
    <row r="258" spans="14:46" ht="15" customHeight="1">
      <c r="N258" s="17"/>
      <c r="O258" s="17"/>
      <c r="P258" s="17"/>
      <c r="Q258" s="17"/>
      <c r="R258" s="69"/>
      <c r="S258" s="69"/>
      <c r="T258" s="69"/>
      <c r="U258" s="69"/>
      <c r="AQ258" s="87"/>
    </row>
    <row r="259" spans="14:46" ht="15" customHeight="1">
      <c r="N259" s="17"/>
      <c r="O259" s="17"/>
      <c r="P259" s="17"/>
      <c r="Q259" s="17"/>
      <c r="R259" s="69"/>
      <c r="S259" s="69"/>
      <c r="T259" s="69"/>
      <c r="U259" s="69"/>
      <c r="AO259" s="750"/>
      <c r="AP259" s="87"/>
      <c r="AQ259" s="87"/>
      <c r="AR259" s="87"/>
      <c r="AS259" s="750"/>
    </row>
    <row r="260" spans="14:46" ht="15" customHeight="1">
      <c r="N260" s="17"/>
      <c r="O260" s="17"/>
      <c r="P260" s="17"/>
      <c r="Q260" s="17"/>
      <c r="R260" s="69"/>
      <c r="S260" s="69"/>
      <c r="T260" s="69"/>
      <c r="U260" s="69"/>
      <c r="AO260" s="87"/>
      <c r="AP260" s="87"/>
      <c r="AQ260" s="376"/>
      <c r="AR260" s="87"/>
      <c r="AS260" s="87"/>
    </row>
    <row r="261" spans="14:46" ht="15" customHeight="1">
      <c r="N261" s="17"/>
      <c r="O261" s="17"/>
      <c r="P261" s="17"/>
      <c r="Q261" s="17"/>
      <c r="R261" s="69"/>
      <c r="S261" s="69"/>
      <c r="T261" s="69"/>
      <c r="U261" s="69"/>
      <c r="AO261" s="376"/>
      <c r="AP261" s="87"/>
      <c r="AQ261" s="679"/>
      <c r="AR261" s="87"/>
      <c r="AS261" s="376"/>
    </row>
    <row r="262" spans="14:46" ht="15" customHeight="1">
      <c r="N262" s="17"/>
      <c r="O262" s="17"/>
      <c r="P262" s="17"/>
      <c r="Q262" s="17"/>
      <c r="R262" s="69"/>
      <c r="S262" s="69"/>
      <c r="T262" s="69"/>
      <c r="U262" s="69"/>
      <c r="AO262" s="678"/>
      <c r="AP262" s="87"/>
      <c r="AQ262" s="679"/>
      <c r="AR262" s="87"/>
      <c r="AS262" s="678"/>
    </row>
    <row r="263" spans="14:46" ht="15" customHeight="1">
      <c r="N263" s="17"/>
      <c r="O263" s="17"/>
      <c r="P263" s="17"/>
      <c r="Q263" s="17"/>
      <c r="R263" s="69"/>
      <c r="S263" s="69"/>
      <c r="T263" s="69"/>
      <c r="U263" s="69"/>
      <c r="AO263" s="678"/>
      <c r="AP263" s="87"/>
      <c r="AQ263" s="679"/>
      <c r="AR263" s="87"/>
      <c r="AS263" s="678"/>
    </row>
    <row r="264" spans="14:46" ht="15" customHeight="1">
      <c r="N264" s="17"/>
      <c r="O264" s="17"/>
      <c r="P264" s="17"/>
      <c r="Q264" s="17"/>
      <c r="R264" s="69"/>
      <c r="S264" s="69"/>
      <c r="T264" s="69"/>
      <c r="U264" s="69"/>
      <c r="AO264" s="678"/>
      <c r="AP264" s="87"/>
      <c r="AQ264" s="751"/>
      <c r="AR264" s="87"/>
      <c r="AS264" s="678"/>
    </row>
    <row r="265" spans="14:46" ht="15" customHeight="1">
      <c r="N265" s="17"/>
      <c r="O265" s="17"/>
      <c r="P265" s="17"/>
      <c r="Q265" s="17"/>
      <c r="R265" s="69"/>
      <c r="S265" s="69"/>
      <c r="T265" s="69"/>
      <c r="U265" s="69"/>
      <c r="AO265" s="751"/>
      <c r="AP265" s="751"/>
      <c r="AR265" s="87"/>
      <c r="AS265" s="87"/>
      <c r="AT265" s="87"/>
    </row>
    <row r="266" spans="14:46" ht="15" customHeight="1">
      <c r="N266" s="17"/>
      <c r="O266" s="17"/>
      <c r="P266" s="17"/>
      <c r="Q266" s="17"/>
      <c r="R266" s="69"/>
      <c r="S266" s="69"/>
      <c r="T266" s="69"/>
      <c r="U266" s="69"/>
      <c r="AT266" s="87"/>
    </row>
    <row r="267" spans="14:46" ht="15" customHeight="1">
      <c r="N267" s="17"/>
      <c r="O267" s="17"/>
      <c r="P267" s="17"/>
      <c r="Q267" s="17"/>
      <c r="R267" s="69"/>
      <c r="S267" s="69"/>
      <c r="T267" s="69"/>
      <c r="U267" s="69"/>
      <c r="AT267" s="376"/>
    </row>
    <row r="268" spans="14:46" ht="15" customHeight="1">
      <c r="N268" s="17"/>
      <c r="O268" s="17"/>
      <c r="P268" s="17"/>
      <c r="Q268" s="17"/>
      <c r="R268" s="69"/>
      <c r="S268" s="69"/>
      <c r="T268" s="69"/>
      <c r="U268" s="69"/>
      <c r="AT268" s="679"/>
    </row>
    <row r="269" spans="14:46" ht="15" customHeight="1">
      <c r="N269" s="17"/>
      <c r="O269" s="17"/>
      <c r="P269" s="17"/>
      <c r="Q269" s="17"/>
      <c r="R269" s="69"/>
      <c r="S269" s="69"/>
      <c r="T269" s="69"/>
      <c r="U269" s="69"/>
      <c r="AT269" s="679"/>
    </row>
    <row r="270" spans="14:46" ht="15" customHeight="1">
      <c r="N270" s="17"/>
      <c r="O270" s="17"/>
      <c r="P270" s="17"/>
      <c r="Q270" s="17"/>
      <c r="R270" s="69"/>
      <c r="S270" s="69"/>
      <c r="T270" s="69"/>
      <c r="U270" s="69"/>
      <c r="AT270" s="679"/>
    </row>
    <row r="271" spans="14:46" ht="15" customHeight="1">
      <c r="N271" s="17"/>
      <c r="O271" s="17"/>
      <c r="P271" s="17"/>
      <c r="Q271" s="17"/>
      <c r="R271" s="69"/>
      <c r="S271" s="69"/>
      <c r="T271" s="69"/>
      <c r="U271" s="69"/>
      <c r="AT271" s="87"/>
    </row>
    <row r="272" spans="14:46" ht="15" customHeight="1">
      <c r="N272" s="17"/>
      <c r="O272" s="17"/>
      <c r="P272" s="17"/>
      <c r="Q272" s="17"/>
      <c r="R272" s="69"/>
      <c r="S272" s="69"/>
      <c r="T272" s="69"/>
      <c r="U272" s="69"/>
    </row>
    <row r="273" spans="14:21" ht="15" customHeight="1">
      <c r="N273" s="17"/>
      <c r="O273" s="17"/>
      <c r="P273" s="17"/>
      <c r="Q273" s="17"/>
      <c r="R273" s="69"/>
      <c r="S273" s="69"/>
      <c r="T273" s="69"/>
      <c r="U273" s="69"/>
    </row>
    <row r="274" spans="14:21" ht="15" customHeight="1">
      <c r="N274" s="17"/>
      <c r="O274" s="17"/>
      <c r="P274" s="17"/>
      <c r="Q274" s="17"/>
      <c r="R274" s="69"/>
      <c r="S274" s="69"/>
      <c r="T274" s="69"/>
      <c r="U274" s="69"/>
    </row>
    <row r="275" spans="14:21" ht="15" customHeight="1">
      <c r="N275" s="17"/>
      <c r="O275" s="17"/>
      <c r="P275" s="17"/>
      <c r="Q275" s="17"/>
      <c r="R275" s="69"/>
      <c r="S275" s="69"/>
      <c r="T275" s="69"/>
      <c r="U275" s="69"/>
    </row>
    <row r="276" spans="14:21" ht="15" customHeight="1">
      <c r="N276" s="17"/>
      <c r="O276" s="17"/>
      <c r="P276" s="17"/>
      <c r="Q276" s="17"/>
      <c r="R276" s="69"/>
      <c r="S276" s="69"/>
      <c r="T276" s="69"/>
      <c r="U276" s="69"/>
    </row>
    <row r="277" spans="14:21" ht="15" customHeight="1">
      <c r="N277" s="17"/>
      <c r="O277" s="17"/>
      <c r="P277" s="17"/>
      <c r="Q277" s="17"/>
      <c r="R277" s="69"/>
      <c r="S277" s="69"/>
      <c r="T277" s="69"/>
      <c r="U277" s="69"/>
    </row>
    <row r="278" spans="14:21" ht="15" customHeight="1">
      <c r="N278" s="17"/>
      <c r="O278" s="17"/>
      <c r="P278" s="17"/>
      <c r="Q278" s="17"/>
      <c r="R278" s="69"/>
      <c r="S278" s="69"/>
      <c r="T278" s="69"/>
      <c r="U278" s="69"/>
    </row>
    <row r="279" spans="14:21" ht="15" customHeight="1">
      <c r="N279" s="17"/>
      <c r="O279" s="17"/>
      <c r="P279" s="17"/>
      <c r="Q279" s="17"/>
      <c r="R279" s="69"/>
      <c r="S279" s="69"/>
      <c r="T279" s="69"/>
      <c r="U279" s="69"/>
    </row>
    <row r="280" spans="14:21" ht="15" customHeight="1">
      <c r="N280" s="17"/>
      <c r="O280" s="17"/>
      <c r="P280" s="17"/>
      <c r="Q280" s="17"/>
      <c r="R280" s="69"/>
      <c r="S280" s="69"/>
      <c r="T280" s="69"/>
      <c r="U280" s="69"/>
    </row>
    <row r="281" spans="14:21" ht="15" customHeight="1">
      <c r="N281" s="17"/>
      <c r="O281" s="17"/>
      <c r="P281" s="17"/>
      <c r="Q281" s="17"/>
      <c r="R281" s="69"/>
      <c r="S281" s="69"/>
      <c r="T281" s="69"/>
      <c r="U281" s="69"/>
    </row>
    <row r="282" spans="14:21" ht="15" customHeight="1">
      <c r="N282" s="17"/>
      <c r="O282" s="17"/>
      <c r="P282" s="17"/>
      <c r="Q282" s="17"/>
      <c r="R282" s="69"/>
      <c r="S282" s="69"/>
      <c r="T282" s="69"/>
      <c r="U282" s="69"/>
    </row>
    <row r="283" spans="14:21" ht="15" customHeight="1">
      <c r="N283" s="17"/>
      <c r="O283" s="17"/>
      <c r="P283" s="17"/>
      <c r="Q283" s="17"/>
      <c r="R283" s="69"/>
      <c r="S283" s="69"/>
      <c r="T283" s="69"/>
      <c r="U283" s="69"/>
    </row>
    <row r="284" spans="14:21" ht="15" customHeight="1">
      <c r="N284" s="17"/>
      <c r="O284" s="17"/>
      <c r="P284" s="17"/>
      <c r="Q284" s="17"/>
      <c r="R284" s="69"/>
      <c r="S284" s="69"/>
      <c r="T284" s="69"/>
      <c r="U284" s="69"/>
    </row>
    <row r="285" spans="14:21" ht="15" customHeight="1">
      <c r="N285" s="17"/>
      <c r="O285" s="17"/>
      <c r="P285" s="17"/>
      <c r="Q285" s="17"/>
      <c r="R285" s="69"/>
      <c r="S285" s="69"/>
      <c r="T285" s="69"/>
      <c r="U285" s="69"/>
    </row>
    <row r="286" spans="14:21" ht="15" customHeight="1">
      <c r="N286" s="17"/>
      <c r="O286" s="17"/>
      <c r="P286" s="17"/>
      <c r="Q286" s="17"/>
      <c r="R286" s="69"/>
      <c r="S286" s="69"/>
      <c r="T286" s="69"/>
      <c r="U286" s="69"/>
    </row>
    <row r="287" spans="14:21" ht="15" customHeight="1">
      <c r="N287" s="17"/>
      <c r="O287" s="17"/>
      <c r="P287" s="17"/>
      <c r="Q287" s="17"/>
      <c r="R287" s="69"/>
      <c r="S287" s="69"/>
      <c r="T287" s="69"/>
      <c r="U287" s="69"/>
    </row>
    <row r="288" spans="14:21" ht="15" customHeight="1">
      <c r="N288" s="17"/>
      <c r="O288" s="17"/>
      <c r="P288" s="17"/>
      <c r="Q288" s="17"/>
      <c r="R288" s="69"/>
      <c r="S288" s="69"/>
      <c r="T288" s="69"/>
      <c r="U288" s="69"/>
    </row>
    <row r="289" spans="14:21" ht="15" customHeight="1">
      <c r="N289" s="17"/>
      <c r="O289" s="17"/>
      <c r="P289" s="17"/>
      <c r="Q289" s="17"/>
      <c r="R289" s="69"/>
      <c r="S289" s="69"/>
      <c r="T289" s="69"/>
      <c r="U289" s="69"/>
    </row>
    <row r="290" spans="14:21" ht="15" customHeight="1">
      <c r="N290" s="17"/>
      <c r="O290" s="17"/>
      <c r="P290" s="17"/>
      <c r="Q290" s="17"/>
      <c r="R290" s="69"/>
      <c r="S290" s="69"/>
      <c r="T290" s="69"/>
      <c r="U290" s="69"/>
    </row>
    <row r="291" spans="14:21" ht="15" customHeight="1">
      <c r="N291" s="17"/>
      <c r="O291" s="17"/>
      <c r="P291" s="17"/>
      <c r="Q291" s="17"/>
      <c r="R291" s="69"/>
      <c r="S291" s="69"/>
      <c r="T291" s="69"/>
      <c r="U291" s="69"/>
    </row>
    <row r="292" spans="14:21" ht="15" customHeight="1">
      <c r="N292" s="17"/>
      <c r="O292" s="17"/>
      <c r="P292" s="17"/>
      <c r="Q292" s="17"/>
      <c r="R292" s="69"/>
      <c r="S292" s="69"/>
      <c r="T292" s="69"/>
      <c r="U292" s="69"/>
    </row>
    <row r="293" spans="14:21" ht="15" customHeight="1">
      <c r="N293" s="17"/>
      <c r="O293" s="17"/>
      <c r="P293" s="17"/>
      <c r="Q293" s="17"/>
      <c r="R293" s="69"/>
      <c r="S293" s="69"/>
      <c r="T293" s="69"/>
      <c r="U293" s="69"/>
    </row>
    <row r="294" spans="14:21" ht="15" customHeight="1">
      <c r="N294" s="17"/>
      <c r="O294" s="17"/>
      <c r="P294" s="17"/>
      <c r="Q294" s="17"/>
      <c r="R294" s="69"/>
      <c r="S294" s="69"/>
      <c r="T294" s="69"/>
      <c r="U294" s="69"/>
    </row>
    <row r="295" spans="14:21" ht="15" customHeight="1">
      <c r="N295" s="17"/>
      <c r="O295" s="17"/>
      <c r="P295" s="17"/>
      <c r="Q295" s="17"/>
      <c r="R295" s="69"/>
      <c r="S295" s="69"/>
      <c r="T295" s="69"/>
      <c r="U295" s="69"/>
    </row>
    <row r="296" spans="14:21" ht="15" customHeight="1">
      <c r="N296" s="17"/>
      <c r="O296" s="17"/>
      <c r="P296" s="17"/>
      <c r="Q296" s="17"/>
      <c r="R296" s="69"/>
      <c r="S296" s="69"/>
      <c r="T296" s="69"/>
    </row>
    <row r="297" spans="14:21" ht="15" customHeight="1">
      <c r="N297" s="17"/>
      <c r="O297" s="17"/>
      <c r="P297" s="17"/>
      <c r="Q297" s="17"/>
      <c r="R297" s="69"/>
      <c r="S297" s="69"/>
      <c r="T297" s="69"/>
    </row>
    <row r="298" spans="14:21" ht="15" customHeight="1">
      <c r="N298" s="17"/>
      <c r="O298" s="17"/>
      <c r="P298" s="17"/>
      <c r="Q298" s="17"/>
      <c r="R298" s="69"/>
      <c r="S298" s="69"/>
      <c r="T298" s="69"/>
    </row>
    <row r="299" spans="14:21" ht="15" customHeight="1">
      <c r="N299" s="17"/>
      <c r="O299" s="17"/>
      <c r="P299" s="17"/>
      <c r="Q299" s="17"/>
      <c r="R299" s="69"/>
      <c r="S299" s="69"/>
      <c r="T299" s="69"/>
    </row>
    <row r="300" spans="14:21" ht="15" customHeight="1">
      <c r="N300" s="17"/>
      <c r="O300" s="17"/>
      <c r="P300" s="17"/>
      <c r="Q300" s="17"/>
      <c r="R300" s="69"/>
      <c r="S300" s="69"/>
      <c r="T300" s="69"/>
    </row>
    <row r="301" spans="14:21" ht="15" customHeight="1">
      <c r="N301" s="17"/>
      <c r="O301" s="17"/>
      <c r="P301" s="17"/>
      <c r="Q301" s="17"/>
      <c r="R301" s="69"/>
      <c r="S301" s="69"/>
      <c r="T301" s="69"/>
    </row>
    <row r="302" spans="14:21" ht="15" customHeight="1">
      <c r="N302" s="17"/>
      <c r="O302" s="17"/>
      <c r="P302" s="17"/>
      <c r="Q302" s="17"/>
      <c r="R302" s="69"/>
      <c r="S302" s="69"/>
      <c r="T302" s="69"/>
    </row>
    <row r="303" spans="14:21" ht="15" customHeight="1">
      <c r="O303" s="17"/>
      <c r="P303" s="17"/>
      <c r="Q303" s="17"/>
      <c r="R303" s="69"/>
      <c r="S303" s="69"/>
      <c r="T303" s="69"/>
    </row>
    <row r="304" spans="14:21" ht="15" customHeight="1">
      <c r="O304" s="17"/>
      <c r="P304" s="17"/>
      <c r="Q304" s="17"/>
      <c r="R304" s="69"/>
      <c r="S304" s="69"/>
      <c r="T304" s="69"/>
    </row>
  </sheetData>
  <mergeCells count="195">
    <mergeCell ref="BW157:BX157"/>
    <mergeCell ref="BQ135:BX135"/>
    <mergeCell ref="BY135:CF135"/>
    <mergeCell ref="BA142:BC142"/>
    <mergeCell ref="BA154:BC154"/>
    <mergeCell ref="BA157:BC157"/>
    <mergeCell ref="AT98:AU98"/>
    <mergeCell ref="AT101:AV101"/>
    <mergeCell ref="BA102:BC102"/>
    <mergeCell ref="AT112:AU112"/>
    <mergeCell ref="BA113:BC113"/>
    <mergeCell ref="BA124:BC124"/>
    <mergeCell ref="BM135:BP135"/>
    <mergeCell ref="AT94:AV94"/>
    <mergeCell ref="A37:A42"/>
    <mergeCell ref="A43:A48"/>
    <mergeCell ref="A49:A54"/>
    <mergeCell ref="A55:A60"/>
    <mergeCell ref="AY56:BB56"/>
    <mergeCell ref="AU59:AV59"/>
    <mergeCell ref="BA136:BC136"/>
    <mergeCell ref="A32:A36"/>
    <mergeCell ref="AT32:AU32"/>
    <mergeCell ref="AT33:AU33"/>
    <mergeCell ref="AT34:AU34"/>
    <mergeCell ref="A61:A66"/>
    <mergeCell ref="A67:A72"/>
    <mergeCell ref="A73:A78"/>
    <mergeCell ref="AT114:AV114"/>
    <mergeCell ref="AT118:AU118"/>
    <mergeCell ref="AY135:BJ135"/>
    <mergeCell ref="BF88:BH89"/>
    <mergeCell ref="BA91:BC91"/>
    <mergeCell ref="AW26:AW30"/>
    <mergeCell ref="AB27:AF27"/>
    <mergeCell ref="AT27:AU27"/>
    <mergeCell ref="AT28:AU28"/>
    <mergeCell ref="B31:C31"/>
    <mergeCell ref="O31:P31"/>
    <mergeCell ref="Q31:R31"/>
    <mergeCell ref="S31:T31"/>
    <mergeCell ref="AT31:AU31"/>
    <mergeCell ref="A29:A30"/>
    <mergeCell ref="B29:D29"/>
    <mergeCell ref="G29:I29"/>
    <mergeCell ref="M29:M30"/>
    <mergeCell ref="O29:P29"/>
    <mergeCell ref="Q29:R29"/>
    <mergeCell ref="AT24:AU24"/>
    <mergeCell ref="AD25:AF25"/>
    <mergeCell ref="AT25:AU25"/>
    <mergeCell ref="AI26:AJ26"/>
    <mergeCell ref="AK26:AL26"/>
    <mergeCell ref="AT26:AU26"/>
    <mergeCell ref="S29:T29"/>
    <mergeCell ref="AT29:AU29"/>
    <mergeCell ref="B30:C30"/>
    <mergeCell ref="O30:P30"/>
    <mergeCell ref="Q30:R30"/>
    <mergeCell ref="S30:T30"/>
    <mergeCell ref="AT30:AU30"/>
    <mergeCell ref="AI21:AK21"/>
    <mergeCell ref="AT21:AU21"/>
    <mergeCell ref="A22:L22"/>
    <mergeCell ref="U22:AF22"/>
    <mergeCell ref="AT22:AU22"/>
    <mergeCell ref="G23:H23"/>
    <mergeCell ref="L23:L25"/>
    <mergeCell ref="AI23:AJ23"/>
    <mergeCell ref="AT23:AU23"/>
    <mergeCell ref="AI24:AJ24"/>
    <mergeCell ref="BC19:BC20"/>
    <mergeCell ref="BD19:BD20"/>
    <mergeCell ref="BE19:BE20"/>
    <mergeCell ref="BF19:BF20"/>
    <mergeCell ref="C20:D20"/>
    <mergeCell ref="AI20:AK20"/>
    <mergeCell ref="AT20:AU20"/>
    <mergeCell ref="C18:D18"/>
    <mergeCell ref="E18:F18"/>
    <mergeCell ref="AI18:AK18"/>
    <mergeCell ref="BB18:BD18"/>
    <mergeCell ref="C19:D19"/>
    <mergeCell ref="BA19:BA20"/>
    <mergeCell ref="BB19:BB20"/>
    <mergeCell ref="I18:J18"/>
    <mergeCell ref="I19:I20"/>
    <mergeCell ref="J19:J20"/>
    <mergeCell ref="A14:B14"/>
    <mergeCell ref="I14:J14"/>
    <mergeCell ref="A16:L16"/>
    <mergeCell ref="C11:F11"/>
    <mergeCell ref="H11:I11"/>
    <mergeCell ref="A12:C12"/>
    <mergeCell ref="D12:F12"/>
    <mergeCell ref="G12:H13"/>
    <mergeCell ref="I12:J12"/>
    <mergeCell ref="A10:B10"/>
    <mergeCell ref="C10:F10"/>
    <mergeCell ref="H10:I10"/>
    <mergeCell ref="N10:P11"/>
    <mergeCell ref="Q10:Q11"/>
    <mergeCell ref="A11:B11"/>
    <mergeCell ref="AI12:AK12"/>
    <mergeCell ref="A13:B13"/>
    <mergeCell ref="I13:J13"/>
    <mergeCell ref="BK7:BK8"/>
    <mergeCell ref="BL7:BL8"/>
    <mergeCell ref="A8:B8"/>
    <mergeCell ref="C8:F8"/>
    <mergeCell ref="AI8:AK8"/>
    <mergeCell ref="BC7:BC8"/>
    <mergeCell ref="BD7:BD8"/>
    <mergeCell ref="BE7:BE8"/>
    <mergeCell ref="BF7:BF8"/>
    <mergeCell ref="BG7:BG8"/>
    <mergeCell ref="BH7:BH8"/>
    <mergeCell ref="BH6:BJ6"/>
    <mergeCell ref="A7:B7"/>
    <mergeCell ref="C7:F7"/>
    <mergeCell ref="G7:H9"/>
    <mergeCell ref="I7:I8"/>
    <mergeCell ref="J7:K9"/>
    <mergeCell ref="L7:L8"/>
    <mergeCell ref="O7:P7"/>
    <mergeCell ref="BA7:BA8"/>
    <mergeCell ref="BB7:BB8"/>
    <mergeCell ref="A6:B6"/>
    <mergeCell ref="C6:F6"/>
    <mergeCell ref="G6:L6"/>
    <mergeCell ref="N6:P6"/>
    <mergeCell ref="AI6:AK6"/>
    <mergeCell ref="BB6:BD6"/>
    <mergeCell ref="BI7:BI8"/>
    <mergeCell ref="BJ7:BJ8"/>
    <mergeCell ref="A9:B9"/>
    <mergeCell ref="C9:F9"/>
    <mergeCell ref="N9:Q9"/>
    <mergeCell ref="AI9:AK9"/>
    <mergeCell ref="AT5:AU5"/>
    <mergeCell ref="AI2:AK2"/>
    <mergeCell ref="A3:B3"/>
    <mergeCell ref="C3:F3"/>
    <mergeCell ref="G3:H3"/>
    <mergeCell ref="A4:B4"/>
    <mergeCell ref="C4:F4"/>
    <mergeCell ref="G4:L4"/>
    <mergeCell ref="N4:P4"/>
    <mergeCell ref="AI4:AK4"/>
    <mergeCell ref="A1:M1"/>
    <mergeCell ref="A2:B2"/>
    <mergeCell ref="C2:F2"/>
    <mergeCell ref="G2:H2"/>
    <mergeCell ref="J2:J3"/>
    <mergeCell ref="AD2:AF2"/>
    <mergeCell ref="AM4:AO4"/>
    <mergeCell ref="A5:B5"/>
    <mergeCell ref="C5:F5"/>
    <mergeCell ref="G5:L5"/>
    <mergeCell ref="AI5:AK5"/>
    <mergeCell ref="BT185:BU185"/>
    <mergeCell ref="BW185:BY185"/>
    <mergeCell ref="BM160:BP160"/>
    <mergeCell ref="BQ160:BX160"/>
    <mergeCell ref="BY160:CF160"/>
    <mergeCell ref="BW177:BX177"/>
    <mergeCell ref="BN179:BR179"/>
    <mergeCell ref="BT179:BU179"/>
    <mergeCell ref="BW179:BY179"/>
    <mergeCell ref="BT180:BU180"/>
    <mergeCell ref="BW180:BY180"/>
    <mergeCell ref="BT191:BU191"/>
    <mergeCell ref="BW191:BY191"/>
    <mergeCell ref="BT192:BU192"/>
    <mergeCell ref="BW192:BY192"/>
    <mergeCell ref="AQ4:AR4"/>
    <mergeCell ref="AQ5:AR5"/>
    <mergeCell ref="BT186:BU186"/>
    <mergeCell ref="BW186:BY186"/>
    <mergeCell ref="BT187:BU187"/>
    <mergeCell ref="BW187:BY187"/>
    <mergeCell ref="BT188:BU188"/>
    <mergeCell ref="BW188:BY188"/>
    <mergeCell ref="BT189:BU189"/>
    <mergeCell ref="BW189:BY189"/>
    <mergeCell ref="BT190:BU190"/>
    <mergeCell ref="BW190:BY190"/>
    <mergeCell ref="BT181:BU181"/>
    <mergeCell ref="BW181:BY181"/>
    <mergeCell ref="BT182:BU182"/>
    <mergeCell ref="BW182:BY182"/>
    <mergeCell ref="BT183:BU183"/>
    <mergeCell ref="BW183:BY183"/>
    <mergeCell ref="BT184:BU184"/>
    <mergeCell ref="BW184:BY184"/>
  </mergeCells>
  <conditionalFormatting sqref="G3:H3">
    <cfRule type="cellIs" dxfId="1" priority="1" operator="equal">
      <formula>$G$3</formula>
    </cfRule>
    <cfRule type="cellIs" dxfId="0" priority="2" stopIfTrue="1" operator="equal">
      <formula>"»»» Verifique a Data"</formula>
    </cfRule>
  </conditionalFormatting>
  <printOptions horizontalCentered="1" verticalCentered="1"/>
  <pageMargins left="0.35433070866141736" right="0.35433070866141736" top="0.59055118110236227" bottom="0.39370078740157483" header="0.31496062992125984" footer="0.31496062992125984"/>
  <pageSetup paperSize="9" scale="28" orientation="landscape" r:id="rId1"/>
  <headerFooter alignWithMargins="0">
    <oddFooter>&amp;RPág. 1 de &amp;N</oddFooter>
  </headerFooter>
  <drawing r:id="rId2"/>
  <legacyDrawing r:id="rId3"/>
  <oleObjects>
    <mc:AlternateContent xmlns:mc="http://schemas.openxmlformats.org/markup-compatibility/2006">
      <mc:Choice Requires="x14">
        <oleObject progId="Equation.3" shapeId="78853" r:id="rId4">
          <objectPr defaultSize="0" autoPict="0" r:id="rId5">
            <anchor moveWithCells="1" sizeWithCells="1">
              <from>
                <xdr:col>27</xdr:col>
                <xdr:colOff>38100</xdr:colOff>
                <xdr:row>28</xdr:row>
                <xdr:rowOff>76200</xdr:rowOff>
              </from>
              <to>
                <xdr:col>29</xdr:col>
                <xdr:colOff>28575</xdr:colOff>
                <xdr:row>29</xdr:row>
                <xdr:rowOff>333375</xdr:rowOff>
              </to>
            </anchor>
          </objectPr>
        </oleObject>
      </mc:Choice>
      <mc:Fallback>
        <oleObject progId="Equation.3" shapeId="78853" r:id="rId4"/>
      </mc:Fallback>
    </mc:AlternateContent>
    <mc:AlternateContent xmlns:mc="http://schemas.openxmlformats.org/markup-compatibility/2006">
      <mc:Choice Requires="x14">
        <oleObject progId="Equation.3" shapeId="78854" r:id="rId6">
          <objectPr defaultSize="0" autoPict="0" r:id="rId7">
            <anchor moveWithCells="1" sizeWithCells="1">
              <from>
                <xdr:col>29</xdr:col>
                <xdr:colOff>219075</xdr:colOff>
                <xdr:row>28</xdr:row>
                <xdr:rowOff>76200</xdr:rowOff>
              </from>
              <to>
                <xdr:col>29</xdr:col>
                <xdr:colOff>1304925</xdr:colOff>
                <xdr:row>30</xdr:row>
                <xdr:rowOff>114300</xdr:rowOff>
              </to>
            </anchor>
          </objectPr>
        </oleObject>
      </mc:Choice>
      <mc:Fallback>
        <oleObject progId="Equation.3" shapeId="78854" r:id="rId6"/>
      </mc:Fallback>
    </mc:AlternateContent>
    <mc:AlternateContent xmlns:mc="http://schemas.openxmlformats.org/markup-compatibility/2006">
      <mc:Choice Requires="x14">
        <oleObject progId="Equation.DSMT4" shapeId="78858" r:id="rId8">
          <objectPr defaultSize="0" autoPict="0" r:id="rId9">
            <anchor moveWithCells="1" sizeWithCells="1">
              <from>
                <xdr:col>20</xdr:col>
                <xdr:colOff>723900</xdr:colOff>
                <xdr:row>33</xdr:row>
                <xdr:rowOff>28575</xdr:rowOff>
              </from>
              <to>
                <xdr:col>20</xdr:col>
                <xdr:colOff>2295525</xdr:colOff>
                <xdr:row>33</xdr:row>
                <xdr:rowOff>600075</xdr:rowOff>
              </to>
            </anchor>
          </objectPr>
        </oleObject>
      </mc:Choice>
      <mc:Fallback>
        <oleObject progId="Equation.DSMT4" shapeId="78858" r:id="rId8"/>
      </mc:Fallback>
    </mc:AlternateContent>
    <mc:AlternateContent xmlns:mc="http://schemas.openxmlformats.org/markup-compatibility/2006">
      <mc:Choice Requires="x14">
        <oleObject progId="Equation.DSMT4" shapeId="78859" r:id="rId10">
          <objectPr defaultSize="0" autoPict="0" r:id="rId11">
            <anchor moveWithCells="1" sizeWithCells="1">
              <from>
                <xdr:col>20</xdr:col>
                <xdr:colOff>609600</xdr:colOff>
                <xdr:row>35</xdr:row>
                <xdr:rowOff>47625</xdr:rowOff>
              </from>
              <to>
                <xdr:col>20</xdr:col>
                <xdr:colOff>2724150</xdr:colOff>
                <xdr:row>35</xdr:row>
                <xdr:rowOff>428625</xdr:rowOff>
              </to>
            </anchor>
          </objectPr>
        </oleObject>
      </mc:Choice>
      <mc:Fallback>
        <oleObject progId="Equation.DSMT4" shapeId="78859" r:id="rId10"/>
      </mc:Fallback>
    </mc:AlternateContent>
    <mc:AlternateContent xmlns:mc="http://schemas.openxmlformats.org/markup-compatibility/2006">
      <mc:Choice Requires="x14">
        <oleObject progId="Equation.DSMT4" shapeId="78860" r:id="rId12">
          <objectPr defaultSize="0" autoPict="0" r:id="rId13">
            <anchor moveWithCells="1" sizeWithCells="1">
              <from>
                <xdr:col>22</xdr:col>
                <xdr:colOff>933450</xdr:colOff>
                <xdr:row>24</xdr:row>
                <xdr:rowOff>76200</xdr:rowOff>
              </from>
              <to>
                <xdr:col>31</xdr:col>
                <xdr:colOff>361950</xdr:colOff>
                <xdr:row>25</xdr:row>
                <xdr:rowOff>219075</xdr:rowOff>
              </to>
            </anchor>
          </objectPr>
        </oleObject>
      </mc:Choice>
      <mc:Fallback>
        <oleObject progId="Equation.DSMT4" shapeId="78860" r:id="rId12"/>
      </mc:Fallback>
    </mc:AlternateContent>
    <mc:AlternateContent xmlns:mc="http://schemas.openxmlformats.org/markup-compatibility/2006">
      <mc:Choice Requires="x14">
        <oleObject progId="Equation.DSMT4" shapeId="78861" r:id="rId14">
          <objectPr defaultSize="0" autoPict="0" r:id="rId15">
            <anchor moveWithCells="1" sizeWithCells="1">
              <from>
                <xdr:col>20</xdr:col>
                <xdr:colOff>600075</xdr:colOff>
                <xdr:row>31</xdr:row>
                <xdr:rowOff>28575</xdr:rowOff>
              </from>
              <to>
                <xdr:col>20</xdr:col>
                <xdr:colOff>2133600</xdr:colOff>
                <xdr:row>31</xdr:row>
                <xdr:rowOff>342900</xdr:rowOff>
              </to>
            </anchor>
          </objectPr>
        </oleObject>
      </mc:Choice>
      <mc:Fallback>
        <oleObject progId="Equation.DSMT4" shapeId="78861" r:id="rId14"/>
      </mc:Fallback>
    </mc:AlternateContent>
    <mc:AlternateContent xmlns:mc="http://schemas.openxmlformats.org/markup-compatibility/2006">
      <mc:Choice Requires="x14">
        <oleObject progId="Equation.DSMT4" shapeId="78862" r:id="rId16">
          <objectPr defaultSize="0" autoPict="0" r:id="rId17">
            <anchor moveWithCells="1" sizeWithCells="1">
              <from>
                <xdr:col>20</xdr:col>
                <xdr:colOff>152400</xdr:colOff>
                <xdr:row>30</xdr:row>
                <xdr:rowOff>47625</xdr:rowOff>
              </from>
              <to>
                <xdr:col>20</xdr:col>
                <xdr:colOff>2752725</xdr:colOff>
                <xdr:row>31</xdr:row>
                <xdr:rowOff>28575</xdr:rowOff>
              </to>
            </anchor>
          </objectPr>
        </oleObject>
      </mc:Choice>
      <mc:Fallback>
        <oleObject progId="Equation.DSMT4" shapeId="78862" r:id="rId16"/>
      </mc:Fallback>
    </mc:AlternateContent>
    <mc:AlternateContent xmlns:mc="http://schemas.openxmlformats.org/markup-compatibility/2006">
      <mc:Choice Requires="x14">
        <oleObject progId="Equation.DSMT4" shapeId="78863" r:id="rId18">
          <objectPr defaultSize="0" autoPict="0" r:id="rId19">
            <anchor moveWithCells="1" sizeWithCells="1">
              <from>
                <xdr:col>20</xdr:col>
                <xdr:colOff>104775</xdr:colOff>
                <xdr:row>22</xdr:row>
                <xdr:rowOff>295275</xdr:rowOff>
              </from>
              <to>
                <xdr:col>20</xdr:col>
                <xdr:colOff>1905000</xdr:colOff>
                <xdr:row>23</xdr:row>
                <xdr:rowOff>228600</xdr:rowOff>
              </to>
            </anchor>
          </objectPr>
        </oleObject>
      </mc:Choice>
      <mc:Fallback>
        <oleObject progId="Equation.DSMT4" shapeId="78863" r:id="rId18"/>
      </mc:Fallback>
    </mc:AlternateContent>
    <mc:AlternateContent xmlns:mc="http://schemas.openxmlformats.org/markup-compatibility/2006">
      <mc:Choice Requires="x14">
        <oleObject progId="Equation.DSMT4" shapeId="78864" r:id="rId20">
          <objectPr defaultSize="0" autoPict="0" r:id="rId21">
            <anchor moveWithCells="1" sizeWithCells="1">
              <from>
                <xdr:col>20</xdr:col>
                <xdr:colOff>1781175</xdr:colOff>
                <xdr:row>22</xdr:row>
                <xdr:rowOff>38100</xdr:rowOff>
              </from>
              <to>
                <xdr:col>20</xdr:col>
                <xdr:colOff>3028950</xdr:colOff>
                <xdr:row>22</xdr:row>
                <xdr:rowOff>295275</xdr:rowOff>
              </to>
            </anchor>
          </objectPr>
        </oleObject>
      </mc:Choice>
      <mc:Fallback>
        <oleObject progId="Equation.DSMT4" shapeId="78864" r:id="rId20"/>
      </mc:Fallback>
    </mc:AlternateContent>
    <mc:AlternateContent xmlns:mc="http://schemas.openxmlformats.org/markup-compatibility/2006">
      <mc:Choice Requires="x14">
        <oleObject progId="Equation.DSMT4" shapeId="78865" r:id="rId22">
          <objectPr defaultSize="0" autoPict="0" r:id="rId23">
            <anchor moveWithCells="1" sizeWithCells="1">
              <from>
                <xdr:col>20</xdr:col>
                <xdr:colOff>76200</xdr:colOff>
                <xdr:row>21</xdr:row>
                <xdr:rowOff>371475</xdr:rowOff>
              </from>
              <to>
                <xdr:col>20</xdr:col>
                <xdr:colOff>1609725</xdr:colOff>
                <xdr:row>22</xdr:row>
                <xdr:rowOff>314325</xdr:rowOff>
              </to>
            </anchor>
          </objectPr>
        </oleObject>
      </mc:Choice>
      <mc:Fallback>
        <oleObject progId="Equation.DSMT4" shapeId="78865" r:id="rId22"/>
      </mc:Fallback>
    </mc:AlternateContent>
    <mc:AlternateContent xmlns:mc="http://schemas.openxmlformats.org/markup-compatibility/2006">
      <mc:Choice Requires="x14">
        <oleObject progId="Equation.DSMT4" shapeId="78866" r:id="rId24">
          <objectPr defaultSize="0" autoPict="0" r:id="rId25">
            <anchor moveWithCells="1" sizeWithCells="1">
              <from>
                <xdr:col>20</xdr:col>
                <xdr:colOff>152400</xdr:colOff>
                <xdr:row>32</xdr:row>
                <xdr:rowOff>228600</xdr:rowOff>
              </from>
              <to>
                <xdr:col>20</xdr:col>
                <xdr:colOff>2952750</xdr:colOff>
                <xdr:row>33</xdr:row>
                <xdr:rowOff>9525</xdr:rowOff>
              </to>
            </anchor>
          </objectPr>
        </oleObject>
      </mc:Choice>
      <mc:Fallback>
        <oleObject progId="Equation.DSMT4" shapeId="78866" r:id="rId24"/>
      </mc:Fallback>
    </mc:AlternateContent>
    <mc:AlternateContent xmlns:mc="http://schemas.openxmlformats.org/markup-compatibility/2006">
      <mc:Choice Requires="x14">
        <oleObject progId="Equation.DSMT4" shapeId="78867" r:id="rId26">
          <objectPr defaultSize="0" autoPict="0" r:id="rId27">
            <anchor moveWithCells="1" sizeWithCells="1">
              <from>
                <xdr:col>20</xdr:col>
                <xdr:colOff>457200</xdr:colOff>
                <xdr:row>31</xdr:row>
                <xdr:rowOff>485775</xdr:rowOff>
              </from>
              <to>
                <xdr:col>20</xdr:col>
                <xdr:colOff>2552700</xdr:colOff>
                <xdr:row>32</xdr:row>
                <xdr:rowOff>285750</xdr:rowOff>
              </to>
            </anchor>
          </objectPr>
        </oleObject>
      </mc:Choice>
      <mc:Fallback>
        <oleObject progId="Equation.DSMT4" shapeId="78867" r:id="rId26"/>
      </mc:Fallback>
    </mc:AlternateContent>
    <mc:AlternateContent xmlns:mc="http://schemas.openxmlformats.org/markup-compatibility/2006">
      <mc:Choice Requires="x14">
        <oleObject progId="Equation.DSMT4" shapeId="78868" r:id="rId28">
          <objectPr defaultSize="0" autoPict="0" r:id="rId29">
            <anchor moveWithCells="1" sizeWithCells="1">
              <from>
                <xdr:col>20</xdr:col>
                <xdr:colOff>485775</xdr:colOff>
                <xdr:row>33</xdr:row>
                <xdr:rowOff>542925</xdr:rowOff>
              </from>
              <to>
                <xdr:col>20</xdr:col>
                <xdr:colOff>2476500</xdr:colOff>
                <xdr:row>34</xdr:row>
                <xdr:rowOff>361950</xdr:rowOff>
              </to>
            </anchor>
          </objectPr>
        </oleObject>
      </mc:Choice>
      <mc:Fallback>
        <oleObject progId="Equation.DSMT4" shapeId="78868" r:id="rId28"/>
      </mc:Fallback>
    </mc:AlternateContent>
    <mc:AlternateContent xmlns:mc="http://schemas.openxmlformats.org/markup-compatibility/2006">
      <mc:Choice Requires="x14">
        <oleObject progId="Equation.DSMT4" shapeId="78869" r:id="rId30">
          <objectPr defaultSize="0" autoPict="0" r:id="rId31">
            <anchor moveWithCells="1" sizeWithCells="1">
              <from>
                <xdr:col>20</xdr:col>
                <xdr:colOff>123825</xdr:colOff>
                <xdr:row>34</xdr:row>
                <xdr:rowOff>314325</xdr:rowOff>
              </from>
              <to>
                <xdr:col>20</xdr:col>
                <xdr:colOff>2752725</xdr:colOff>
                <xdr:row>35</xdr:row>
                <xdr:rowOff>0</xdr:rowOff>
              </to>
            </anchor>
          </objectPr>
        </oleObject>
      </mc:Choice>
      <mc:Fallback>
        <oleObject progId="Equation.DSMT4" shapeId="78869" r:id="rId30"/>
      </mc:Fallback>
    </mc:AlternateContent>
    <mc:AlternateContent xmlns:mc="http://schemas.openxmlformats.org/markup-compatibility/2006">
      <mc:Choice Requires="x14">
        <oleObject progId="Equation.DSMT4" shapeId="78870" r:id="rId32">
          <objectPr defaultSize="0" autoPict="0" r:id="rId33">
            <anchor moveWithCells="1" sizeWithCells="1">
              <from>
                <xdr:col>14</xdr:col>
                <xdr:colOff>504825</xdr:colOff>
                <xdr:row>29</xdr:row>
                <xdr:rowOff>180975</xdr:rowOff>
              </from>
              <to>
                <xdr:col>15</xdr:col>
                <xdr:colOff>447675</xdr:colOff>
                <xdr:row>30</xdr:row>
                <xdr:rowOff>9525</xdr:rowOff>
              </to>
            </anchor>
          </objectPr>
        </oleObject>
      </mc:Choice>
      <mc:Fallback>
        <oleObject progId="Equation.DSMT4" shapeId="78870" r:id="rId32"/>
      </mc:Fallback>
    </mc:AlternateContent>
    <mc:AlternateContent xmlns:mc="http://schemas.openxmlformats.org/markup-compatibility/2006">
      <mc:Choice Requires="x14">
        <oleObject progId="Equation.DSMT4" shapeId="78871" r:id="rId34">
          <objectPr defaultSize="0" autoPict="0" r:id="rId35">
            <anchor moveWithCells="1" sizeWithCells="1">
              <from>
                <xdr:col>21</xdr:col>
                <xdr:colOff>257175</xdr:colOff>
                <xdr:row>22</xdr:row>
                <xdr:rowOff>76200</xdr:rowOff>
              </from>
              <to>
                <xdr:col>24</xdr:col>
                <xdr:colOff>514350</xdr:colOff>
                <xdr:row>23</xdr:row>
                <xdr:rowOff>66675</xdr:rowOff>
              </to>
            </anchor>
          </objectPr>
        </oleObject>
      </mc:Choice>
      <mc:Fallback>
        <oleObject progId="Equation.DSMT4" shapeId="78871" r:id="rId34"/>
      </mc:Fallback>
    </mc:AlternateContent>
    <mc:AlternateContent xmlns:mc="http://schemas.openxmlformats.org/markup-compatibility/2006">
      <mc:Choice Requires="x14">
        <oleObject progId="Equation.DSMT4" shapeId="78872" r:id="rId36">
          <objectPr defaultSize="0" autoPict="0" r:id="rId37">
            <anchor moveWithCells="1" sizeWithCells="1">
              <from>
                <xdr:col>24</xdr:col>
                <xdr:colOff>990600</xdr:colOff>
                <xdr:row>22</xdr:row>
                <xdr:rowOff>66675</xdr:rowOff>
              </from>
              <to>
                <xdr:col>31</xdr:col>
                <xdr:colOff>371475</xdr:colOff>
                <xdr:row>23</xdr:row>
                <xdr:rowOff>57150</xdr:rowOff>
              </to>
            </anchor>
          </objectPr>
        </oleObject>
      </mc:Choice>
      <mc:Fallback>
        <oleObject progId="Equation.DSMT4" shapeId="78872" r:id="rId36"/>
      </mc:Fallback>
    </mc:AlternateContent>
    <mc:AlternateContent xmlns:mc="http://schemas.openxmlformats.org/markup-compatibility/2006">
      <mc:Choice Requires="x14">
        <oleObject progId="Equation.DSMT4" shapeId="78873" r:id="rId38">
          <objectPr defaultSize="0" autoPict="0" r:id="rId39">
            <anchor moveWithCells="1" sizeWithCells="1">
              <from>
                <xdr:col>20</xdr:col>
                <xdr:colOff>38100</xdr:colOff>
                <xdr:row>23</xdr:row>
                <xdr:rowOff>200025</xdr:rowOff>
              </from>
              <to>
                <xdr:col>20</xdr:col>
                <xdr:colOff>1943100</xdr:colOff>
                <xdr:row>24</xdr:row>
                <xdr:rowOff>161925</xdr:rowOff>
              </to>
            </anchor>
          </objectPr>
        </oleObject>
      </mc:Choice>
      <mc:Fallback>
        <oleObject progId="Equation.DSMT4" shapeId="78873" r:id="rId38"/>
      </mc:Fallback>
    </mc:AlternateContent>
    <mc:AlternateContent xmlns:mc="http://schemas.openxmlformats.org/markup-compatibility/2006">
      <mc:Choice Requires="x14">
        <oleObject progId="Equation.DSMT4" shapeId="78874" r:id="rId40">
          <objectPr defaultSize="0" autoPict="0" r:id="rId41">
            <anchor moveWithCells="1" sizeWithCells="1">
              <from>
                <xdr:col>20</xdr:col>
                <xdr:colOff>104775</xdr:colOff>
                <xdr:row>24</xdr:row>
                <xdr:rowOff>190500</xdr:rowOff>
              </from>
              <to>
                <xdr:col>20</xdr:col>
                <xdr:colOff>1695450</xdr:colOff>
                <xdr:row>25</xdr:row>
                <xdr:rowOff>219075</xdr:rowOff>
              </to>
            </anchor>
          </objectPr>
        </oleObject>
      </mc:Choice>
      <mc:Fallback>
        <oleObject progId="Equation.DSMT4" shapeId="78874" r:id="rId40"/>
      </mc:Fallback>
    </mc:AlternateContent>
    <mc:AlternateContent xmlns:mc="http://schemas.openxmlformats.org/markup-compatibility/2006">
      <mc:Choice Requires="x14">
        <oleObject progId="Equation.DSMT4" shapeId="78875" r:id="rId42">
          <objectPr defaultSize="0" autoPict="0" r:id="rId43">
            <anchor moveWithCells="1" sizeWithCells="1">
              <from>
                <xdr:col>38</xdr:col>
                <xdr:colOff>704850</xdr:colOff>
                <xdr:row>255</xdr:row>
                <xdr:rowOff>152400</xdr:rowOff>
              </from>
              <to>
                <xdr:col>40</xdr:col>
                <xdr:colOff>247650</xdr:colOff>
                <xdr:row>258</xdr:row>
                <xdr:rowOff>19050</xdr:rowOff>
              </to>
            </anchor>
          </objectPr>
        </oleObject>
      </mc:Choice>
      <mc:Fallback>
        <oleObject progId="Equation.DSMT4" shapeId="78875" r:id="rId42"/>
      </mc:Fallback>
    </mc:AlternateContent>
    <mc:AlternateContent xmlns:mc="http://schemas.openxmlformats.org/markup-compatibility/2006">
      <mc:Choice Requires="x14">
        <oleObject progId="Equation.DSMT4" shapeId="78914" r:id="rId44">
          <objectPr defaultSize="0" autoPict="0" r:id="rId45">
            <anchor moveWithCells="1" sizeWithCells="1">
              <from>
                <xdr:col>20</xdr:col>
                <xdr:colOff>628650</xdr:colOff>
                <xdr:row>82</xdr:row>
                <xdr:rowOff>180975</xdr:rowOff>
              </from>
              <to>
                <xdr:col>20</xdr:col>
                <xdr:colOff>2762250</xdr:colOff>
                <xdr:row>84</xdr:row>
                <xdr:rowOff>104775</xdr:rowOff>
              </to>
            </anchor>
          </objectPr>
        </oleObject>
      </mc:Choice>
      <mc:Fallback>
        <oleObject progId="Equation.DSMT4" shapeId="78914" r:id="rId44"/>
      </mc:Fallback>
    </mc:AlternateContent>
    <mc:AlternateContent xmlns:mc="http://schemas.openxmlformats.org/markup-compatibility/2006">
      <mc:Choice Requires="x14">
        <oleObject progId="Equation.DSMT4" shapeId="78917" r:id="rId46">
          <objectPr defaultSize="0" autoPict="0" r:id="rId47">
            <anchor moveWithCells="1" sizeWithCells="1">
              <from>
                <xdr:col>20</xdr:col>
                <xdr:colOff>704850</xdr:colOff>
                <xdr:row>91</xdr:row>
                <xdr:rowOff>266700</xdr:rowOff>
              </from>
              <to>
                <xdr:col>20</xdr:col>
                <xdr:colOff>2295525</xdr:colOff>
                <xdr:row>92</xdr:row>
                <xdr:rowOff>238125</xdr:rowOff>
              </to>
            </anchor>
          </objectPr>
        </oleObject>
      </mc:Choice>
      <mc:Fallback>
        <oleObject progId="Equation.DSMT4" shapeId="78917" r:id="rId4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8" name="Drop Down 9">
              <controlPr defaultSize="0" autoLine="0" autoPict="0">
                <anchor moveWithCells="1">
                  <from>
                    <xdr:col>4</xdr:col>
                    <xdr:colOff>66675</xdr:colOff>
                    <xdr:row>12</xdr:row>
                    <xdr:rowOff>66675</xdr:rowOff>
                  </from>
                  <to>
                    <xdr:col>4</xdr:col>
                    <xdr:colOff>990600</xdr:colOff>
                    <xdr:row>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49" name="Drop Down 16">
              <controlPr defaultSize="0" autoLine="0" autoPict="0">
                <anchor moveWithCells="1">
                  <from>
                    <xdr:col>15</xdr:col>
                    <xdr:colOff>323850</xdr:colOff>
                    <xdr:row>3</xdr:row>
                    <xdr:rowOff>238125</xdr:rowOff>
                  </from>
                  <to>
                    <xdr:col>16</xdr:col>
                    <xdr:colOff>828675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2" r:id="rId50" name="Drop Down 1026">
              <controlPr defaultSize="0" autoLine="0" autoPict="0">
                <anchor moveWithCells="1">
                  <from>
                    <xdr:col>10</xdr:col>
                    <xdr:colOff>190500</xdr:colOff>
                    <xdr:row>1</xdr:row>
                    <xdr:rowOff>200025</xdr:rowOff>
                  </from>
                  <to>
                    <xdr:col>11</xdr:col>
                    <xdr:colOff>676275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5" r:id="rId51" name="Check Box 1344">
              <controlPr defaultSize="0" autoFill="0" autoLine="0" autoPict="0">
                <anchor moveWithCells="1">
                  <from>
                    <xdr:col>11</xdr:col>
                    <xdr:colOff>123825</xdr:colOff>
                    <xdr:row>6</xdr:row>
                    <xdr:rowOff>57150</xdr:rowOff>
                  </from>
                  <to>
                    <xdr:col>11</xdr:col>
                    <xdr:colOff>419100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6" r:id="rId52" name="Check Box 1481">
              <controlPr defaultSize="0" autoFill="0" autoLine="0" autoPict="0">
                <anchor moveWithCells="1">
                  <from>
                    <xdr:col>8</xdr:col>
                    <xdr:colOff>123825</xdr:colOff>
                    <xdr:row>6</xdr:row>
                    <xdr:rowOff>57150</xdr:rowOff>
                  </from>
                  <to>
                    <xdr:col>8</xdr:col>
                    <xdr:colOff>419100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7" r:id="rId53" name="Check Box 9">
              <controlPr defaultSize="0" autoFill="0" autoLine="0" autoPict="0">
                <anchor moveWithCells="1">
                  <from>
                    <xdr:col>6</xdr:col>
                    <xdr:colOff>123825</xdr:colOff>
                    <xdr:row>13</xdr:row>
                    <xdr:rowOff>57150</xdr:rowOff>
                  </from>
                  <to>
                    <xdr:col>6</xdr:col>
                    <xdr:colOff>419100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15" r:id="rId54" name="Check Box 67">
              <controlPr defaultSize="0" autoFill="0" autoLine="0" autoPict="0">
                <anchor moveWithCells="1">
                  <from>
                    <xdr:col>8</xdr:col>
                    <xdr:colOff>123825</xdr:colOff>
                    <xdr:row>18</xdr:row>
                    <xdr:rowOff>57150</xdr:rowOff>
                  </from>
                  <to>
                    <xdr:col>8</xdr:col>
                    <xdr:colOff>485775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16" r:id="rId55" name="Drop Down 68">
              <controlPr defaultSize="0" autoLine="0" autoPict="0">
                <anchor moveWithCells="1">
                  <from>
                    <xdr:col>10</xdr:col>
                    <xdr:colOff>57150</xdr:colOff>
                    <xdr:row>16</xdr:row>
                    <xdr:rowOff>95250</xdr:rowOff>
                  </from>
                  <to>
                    <xdr:col>11</xdr:col>
                    <xdr:colOff>533400</xdr:colOff>
                    <xdr:row>16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92D050"/>
  </sheetPr>
  <dimension ref="A1:GH116117"/>
  <sheetViews>
    <sheetView showGridLines="0" view="pageBreakPreview" zoomScale="115" zoomScaleNormal="100" zoomScaleSheetLayoutView="115" workbookViewId="0">
      <selection activeCell="BK95" sqref="BK95"/>
    </sheetView>
  </sheetViews>
  <sheetFormatPr defaultRowHeight="12.75"/>
  <cols>
    <col min="1" max="1" width="2.28515625" customWidth="1"/>
    <col min="2" max="2" width="2.140625" customWidth="1"/>
    <col min="3" max="3" width="2.85546875" customWidth="1"/>
    <col min="4" max="5" width="2" customWidth="1"/>
    <col min="6" max="6" width="1.85546875" customWidth="1"/>
    <col min="7" max="7" width="2.42578125" customWidth="1"/>
    <col min="8" max="8" width="2" customWidth="1"/>
    <col min="9" max="9" width="2.7109375" customWidth="1"/>
    <col min="10" max="10" width="2.42578125" customWidth="1"/>
    <col min="11" max="13" width="2" customWidth="1"/>
    <col min="14" max="14" width="2.140625" customWidth="1"/>
    <col min="15" max="16" width="2" customWidth="1"/>
    <col min="17" max="17" width="3" customWidth="1"/>
    <col min="18" max="18" width="2" customWidth="1"/>
    <col min="19" max="19" width="3.5703125" customWidth="1"/>
    <col min="20" max="26" width="2" customWidth="1"/>
    <col min="27" max="27" width="2.5703125" customWidth="1"/>
    <col min="28" max="32" width="2" customWidth="1"/>
    <col min="33" max="33" width="5.28515625" customWidth="1"/>
    <col min="34" max="34" width="1.28515625" customWidth="1"/>
    <col min="35" max="35" width="1.85546875" customWidth="1"/>
    <col min="36" max="36" width="2" customWidth="1"/>
    <col min="37" max="37" width="3.140625" customWidth="1"/>
    <col min="38" max="38" width="1.140625" customWidth="1"/>
    <col min="39" max="39" width="1.5703125" customWidth="1"/>
    <col min="40" max="40" width="2" customWidth="1"/>
    <col min="41" max="41" width="1.28515625" customWidth="1"/>
    <col min="42" max="42" width="2.28515625" customWidth="1"/>
    <col min="43" max="43" width="1.42578125" customWidth="1"/>
    <col min="44" max="45" width="2" customWidth="1"/>
    <col min="46" max="46" width="3" customWidth="1"/>
    <col min="47" max="47" width="2.5703125" customWidth="1"/>
    <col min="48" max="48" width="1.42578125" customWidth="1"/>
    <col min="49" max="49" width="3.5703125" style="35" customWidth="1"/>
    <col min="50" max="52" width="2" style="37" customWidth="1"/>
    <col min="53" max="53" width="3.85546875" style="37" customWidth="1"/>
    <col min="54" max="60" width="2" style="37" customWidth="1"/>
    <col min="61" max="61" width="7.42578125" style="37" bestFit="1" customWidth="1"/>
    <col min="62" max="62" width="4.28515625" style="37" customWidth="1"/>
    <col min="63" max="63" width="20.140625" style="37" bestFit="1" customWidth="1"/>
    <col min="64" max="64" width="19.28515625" style="37" bestFit="1" customWidth="1"/>
    <col min="65" max="65" width="9.85546875" style="37" bestFit="1" customWidth="1"/>
    <col min="66" max="66" width="11" style="37" bestFit="1" customWidth="1"/>
    <col min="67" max="67" width="33.28515625" style="37" bestFit="1" customWidth="1"/>
    <col min="68" max="95" width="2" style="37" customWidth="1"/>
    <col min="96" max="96" width="2.85546875" style="37" customWidth="1"/>
    <col min="97" max="166" width="2" style="37" customWidth="1"/>
    <col min="167" max="190" width="2" style="35" customWidth="1"/>
    <col min="191" max="210" width="2" customWidth="1"/>
  </cols>
  <sheetData>
    <row r="1" spans="1:190" ht="16.5" customHeight="1">
      <c r="AW1" s="412"/>
    </row>
    <row r="2" spans="1:190" ht="21.75" customHeight="1">
      <c r="B2" s="1235" t="s">
        <v>351</v>
      </c>
      <c r="C2" s="1235"/>
      <c r="D2" s="1235"/>
      <c r="E2" s="1235"/>
      <c r="F2" s="1235"/>
      <c r="G2" s="1235"/>
      <c r="H2" s="1235"/>
      <c r="I2" s="1235"/>
      <c r="J2" s="1235"/>
      <c r="K2" s="1235"/>
      <c r="L2" s="1235"/>
      <c r="M2" s="1235"/>
      <c r="N2" s="1235"/>
      <c r="O2" s="1235"/>
      <c r="P2" s="1235"/>
      <c r="Q2" s="1235"/>
      <c r="R2" s="1235"/>
      <c r="S2" s="1235"/>
      <c r="T2" s="759"/>
      <c r="U2" s="759"/>
      <c r="W2" s="1234"/>
      <c r="X2" s="1234"/>
      <c r="Y2" s="1234"/>
      <c r="Z2" s="1234"/>
      <c r="AA2" s="1234"/>
      <c r="AB2" s="1234"/>
      <c r="AC2" s="1234"/>
      <c r="AD2" s="1234"/>
      <c r="AE2" s="1234"/>
      <c r="AF2" s="1234"/>
      <c r="AG2" s="1234"/>
      <c r="AH2" s="1234"/>
      <c r="AI2" s="1234"/>
      <c r="AU2" s="407"/>
      <c r="AV2" s="407"/>
      <c r="AW2" s="413"/>
      <c r="BR2" s="460"/>
      <c r="BS2" s="460"/>
      <c r="BT2" s="460"/>
      <c r="BU2" s="460"/>
      <c r="BV2" s="460"/>
      <c r="BW2" s="460"/>
      <c r="BX2" s="460"/>
      <c r="BY2" s="460"/>
      <c r="BZ2" s="460"/>
      <c r="CA2" s="460"/>
      <c r="CB2" s="460"/>
      <c r="CC2" s="460"/>
    </row>
    <row r="3" spans="1:190" ht="14.25" customHeight="1">
      <c r="B3" s="1210" t="s">
        <v>352</v>
      </c>
      <c r="C3" s="1210"/>
      <c r="D3" s="1210"/>
      <c r="E3" s="1210"/>
      <c r="F3" s="1210"/>
      <c r="G3" s="1210"/>
      <c r="H3" s="1210"/>
      <c r="I3" s="1210"/>
      <c r="J3" s="1210"/>
      <c r="K3" s="1210"/>
      <c r="L3" s="1210"/>
      <c r="M3" s="1210"/>
      <c r="N3" s="1210"/>
      <c r="O3" s="1210"/>
      <c r="P3" s="1210"/>
      <c r="W3" s="1234"/>
      <c r="X3" s="1234"/>
      <c r="Y3" s="1234"/>
      <c r="Z3" s="1234"/>
      <c r="AA3" s="1234"/>
      <c r="AB3" s="1234"/>
      <c r="AC3" s="1234"/>
      <c r="AD3" s="1234"/>
      <c r="AE3" s="1234"/>
      <c r="AF3" s="1234"/>
      <c r="AG3" s="1234"/>
      <c r="AH3" s="1234"/>
      <c r="AI3" s="1234"/>
      <c r="AU3" s="407"/>
      <c r="AV3" s="407"/>
      <c r="AW3" s="413"/>
      <c r="AX3"/>
      <c r="AY3"/>
      <c r="AZ3"/>
      <c r="BR3" s="410"/>
      <c r="BS3" s="410"/>
      <c r="BT3" s="410"/>
      <c r="BU3" s="410"/>
      <c r="BV3" s="410"/>
      <c r="BW3" s="410"/>
      <c r="BX3" s="410"/>
      <c r="BY3" s="410"/>
      <c r="BZ3" s="410"/>
      <c r="CA3" s="410"/>
      <c r="CB3" s="410"/>
      <c r="CC3" s="410"/>
      <c r="CD3"/>
      <c r="CE3"/>
      <c r="CF3"/>
      <c r="CG3"/>
      <c r="CH3"/>
      <c r="CI3"/>
      <c r="CJ3"/>
      <c r="CK3"/>
      <c r="CL3"/>
      <c r="CM3"/>
      <c r="CN3"/>
      <c r="CO3"/>
      <c r="CP3"/>
      <c r="CQ3"/>
    </row>
    <row r="4" spans="1:190" ht="15.75" customHeight="1">
      <c r="B4" s="1225" t="s">
        <v>354</v>
      </c>
      <c r="C4" s="1225"/>
      <c r="D4" s="1225"/>
      <c r="E4" s="1225"/>
      <c r="F4" s="1225"/>
      <c r="G4" s="1236" t="str">
        <f>'Registo Calibração'!$G$2</f>
        <v/>
      </c>
      <c r="H4" s="1236"/>
      <c r="I4" s="1236"/>
      <c r="J4" s="1236"/>
      <c r="K4" s="1236"/>
      <c r="L4" s="1236"/>
      <c r="M4" s="1236"/>
      <c r="N4" s="1236"/>
      <c r="O4" s="1236"/>
      <c r="W4" s="1238"/>
      <c r="X4" s="1238"/>
      <c r="Y4" s="1238"/>
      <c r="Z4" s="1238"/>
      <c r="AA4" s="1238"/>
      <c r="AB4" s="1238"/>
      <c r="AC4" s="1238"/>
      <c r="AD4" s="1238"/>
      <c r="AE4" s="1238"/>
      <c r="AF4" s="1238"/>
      <c r="AG4" s="1238"/>
      <c r="AH4" s="1238"/>
      <c r="AI4" s="1238"/>
      <c r="AW4" s="406"/>
      <c r="AX4"/>
      <c r="AY4"/>
      <c r="AZ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</row>
    <row r="5" spans="1:190" ht="14.25" customHeight="1">
      <c r="B5" s="1226" t="s">
        <v>353</v>
      </c>
      <c r="C5" s="1226"/>
      <c r="D5" s="1226"/>
      <c r="E5" s="1226"/>
      <c r="F5" s="408"/>
      <c r="G5" s="409"/>
      <c r="H5" s="409"/>
      <c r="I5" s="409"/>
      <c r="J5" s="409"/>
      <c r="K5" s="409"/>
      <c r="L5" s="409"/>
      <c r="M5" s="409"/>
      <c r="N5" s="409"/>
      <c r="O5" s="409"/>
      <c r="AW5" s="406"/>
      <c r="AX5"/>
      <c r="AY5"/>
      <c r="AZ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</row>
    <row r="6" spans="1:190" ht="16.5" customHeight="1">
      <c r="B6" s="1225" t="s">
        <v>402</v>
      </c>
      <c r="C6" s="1225"/>
      <c r="D6" s="1225"/>
      <c r="E6" s="1225"/>
      <c r="F6" s="1225"/>
      <c r="G6" s="1229">
        <f ca="1">TODAY()</f>
        <v>44811</v>
      </c>
      <c r="H6" s="1225"/>
      <c r="I6" s="1225"/>
      <c r="J6" s="1225"/>
      <c r="K6" s="1225"/>
      <c r="L6" s="1225"/>
      <c r="M6" s="1225"/>
      <c r="N6" s="1225"/>
      <c r="O6" s="1225"/>
      <c r="AW6" s="406"/>
      <c r="AX6"/>
      <c r="AY6"/>
      <c r="AZ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</row>
    <row r="7" spans="1:190" ht="15.75" customHeight="1">
      <c r="B7" s="1227" t="s">
        <v>401</v>
      </c>
      <c r="C7" s="1227"/>
      <c r="D7" s="1227"/>
      <c r="E7" s="1227"/>
      <c r="F7" s="1227"/>
      <c r="G7" s="1227"/>
      <c r="H7" s="1227"/>
      <c r="I7" s="1227"/>
      <c r="J7" s="1227"/>
      <c r="K7" s="1227"/>
      <c r="L7" s="409"/>
      <c r="M7" s="409"/>
      <c r="N7" s="409"/>
      <c r="O7" s="409"/>
      <c r="AW7" s="406"/>
      <c r="AX7"/>
      <c r="AY7"/>
      <c r="AZ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</row>
    <row r="8" spans="1:190" ht="15.75" customHeight="1">
      <c r="B8" s="1263" t="str">
        <f>'Registo Calibração'!$N$10</f>
        <v/>
      </c>
      <c r="C8" s="1263"/>
      <c r="D8" s="1263"/>
      <c r="E8" s="1263"/>
      <c r="F8" s="1263"/>
      <c r="G8" s="1263"/>
      <c r="H8" s="1263"/>
      <c r="I8" s="1263"/>
      <c r="J8" s="1263"/>
      <c r="K8" s="1263"/>
      <c r="L8" s="1263"/>
      <c r="M8" s="1263"/>
      <c r="N8" s="1263"/>
      <c r="O8" s="1263"/>
      <c r="P8" s="1263"/>
      <c r="Q8" s="1263"/>
      <c r="R8" s="1263"/>
      <c r="S8" s="1263"/>
      <c r="T8" s="1263"/>
      <c r="U8" s="1263"/>
      <c r="V8" s="1263"/>
      <c r="W8" s="1263"/>
      <c r="X8" s="1263"/>
      <c r="Y8" s="1263"/>
      <c r="Z8" s="1263"/>
      <c r="AA8" s="1263"/>
      <c r="AB8" s="1263"/>
      <c r="AC8" s="1263"/>
      <c r="AD8" s="1263"/>
      <c r="AE8" s="1263"/>
      <c r="AF8" s="1263"/>
      <c r="AG8" s="1264" t="str">
        <f>'Registo Calibração'!$Q$10</f>
        <v/>
      </c>
      <c r="AH8" s="1264"/>
      <c r="AI8" s="1264"/>
      <c r="AJ8" s="1264"/>
      <c r="AK8" s="1264"/>
      <c r="AL8" s="1264"/>
      <c r="AM8" s="1264"/>
      <c r="AN8" s="1264"/>
      <c r="AW8" s="406"/>
      <c r="AX8"/>
      <c r="AY8"/>
      <c r="AZ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</row>
    <row r="9" spans="1:190" ht="16.5" customHeight="1">
      <c r="B9" s="1265" t="str">
        <f>'Registo Calibração'!$N$15</f>
        <v/>
      </c>
      <c r="C9" s="1265"/>
      <c r="D9" s="1265"/>
      <c r="E9" s="1265"/>
      <c r="F9" s="1265"/>
      <c r="G9" s="1265"/>
      <c r="H9" s="1265"/>
      <c r="I9" s="1265"/>
      <c r="J9" s="1265"/>
      <c r="K9" s="1265"/>
      <c r="L9" s="1265"/>
      <c r="M9" s="1265"/>
      <c r="N9" s="1265"/>
      <c r="O9" s="1265"/>
      <c r="P9" s="1265"/>
      <c r="Q9" s="1265"/>
      <c r="R9" s="1265"/>
      <c r="S9" s="1265"/>
      <c r="T9" s="1265"/>
      <c r="U9" s="1265"/>
      <c r="V9" s="1265"/>
      <c r="W9" s="1265"/>
      <c r="X9" s="1265"/>
      <c r="Y9" s="1265"/>
      <c r="Z9" s="1265"/>
      <c r="AA9" s="1265"/>
      <c r="AB9" s="1265"/>
      <c r="AC9" s="1265"/>
      <c r="AD9" s="1265"/>
      <c r="AE9" s="1265"/>
      <c r="AF9" s="1265"/>
      <c r="AG9" s="1265"/>
      <c r="AH9" s="1265"/>
      <c r="AI9" s="1265"/>
      <c r="AJ9" s="1265"/>
      <c r="AK9" s="1265"/>
      <c r="AL9" s="1265"/>
      <c r="AM9" s="1265"/>
      <c r="AN9" s="1265"/>
      <c r="AO9" s="1228" t="s">
        <v>355</v>
      </c>
      <c r="AP9" s="1228"/>
      <c r="AQ9" s="1228"/>
      <c r="AR9" s="1228"/>
      <c r="AS9" s="1228"/>
      <c r="AT9" s="1228"/>
      <c r="AU9" s="1228"/>
      <c r="AV9" s="1228"/>
      <c r="AW9" s="406"/>
      <c r="AX9"/>
      <c r="AY9"/>
      <c r="AZ9"/>
      <c r="CJ9"/>
      <c r="CK9"/>
      <c r="CL9"/>
      <c r="CM9"/>
      <c r="CN9"/>
      <c r="CO9"/>
      <c r="CP9"/>
      <c r="CQ9"/>
    </row>
    <row r="10" spans="1:190" ht="18" customHeight="1">
      <c r="A10" s="281"/>
      <c r="B10" s="281"/>
      <c r="C10" s="281"/>
      <c r="D10" s="281"/>
      <c r="E10" s="281"/>
      <c r="F10" s="281"/>
      <c r="G10" s="281"/>
      <c r="H10" s="281"/>
      <c r="I10" s="281"/>
      <c r="J10" s="281"/>
      <c r="K10" s="281"/>
      <c r="L10" s="281"/>
      <c r="M10" s="281"/>
      <c r="N10" s="281"/>
      <c r="O10" s="753"/>
      <c r="P10" s="753"/>
      <c r="Q10" s="753"/>
      <c r="R10" s="753"/>
      <c r="S10" s="753"/>
      <c r="T10" s="753"/>
      <c r="U10" s="753"/>
      <c r="V10" s="753"/>
      <c r="W10" s="753"/>
      <c r="X10" s="753"/>
      <c r="Y10" s="754"/>
      <c r="Z10" s="754"/>
      <c r="AA10" s="754"/>
      <c r="AB10" s="754"/>
      <c r="AC10" s="281"/>
      <c r="AD10" s="281"/>
      <c r="AE10" s="281"/>
      <c r="AF10" s="281"/>
      <c r="AG10" s="281"/>
      <c r="AH10" s="281"/>
      <c r="AI10" s="281"/>
      <c r="AJ10" s="281"/>
      <c r="AK10" s="281"/>
      <c r="AL10" s="281"/>
      <c r="AM10" s="281"/>
      <c r="AN10" s="281"/>
      <c r="AO10" s="281"/>
      <c r="AP10" s="281"/>
      <c r="AQ10" s="281"/>
      <c r="AR10" s="281"/>
      <c r="AS10" s="281"/>
      <c r="AT10" s="281"/>
      <c r="AU10" s="281"/>
      <c r="AV10" s="281"/>
      <c r="AW10" s="755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</row>
    <row r="11" spans="1:190" s="418" customFormat="1" ht="18" customHeight="1">
      <c r="B11" s="417" t="s">
        <v>357</v>
      </c>
      <c r="F11" s="433"/>
      <c r="G11" s="433" t="s">
        <v>394</v>
      </c>
      <c r="O11" s="423" t="str">
        <f>IF('Registo Calibração'!$C$7="","",'Registo Calibração'!$C$7)</f>
        <v/>
      </c>
      <c r="P11" s="424"/>
      <c r="Q11" s="424"/>
      <c r="R11" s="424"/>
      <c r="S11" s="424"/>
      <c r="T11" s="424"/>
      <c r="U11" s="424"/>
      <c r="V11" s="424"/>
      <c r="W11" s="424"/>
      <c r="X11" s="424"/>
      <c r="Y11" s="424"/>
      <c r="AT11" s="405"/>
      <c r="AU11" s="405"/>
      <c r="AV11" s="419"/>
      <c r="AW11" s="406"/>
      <c r="CR11" s="415"/>
      <c r="CS11" s="415"/>
      <c r="CT11" s="415"/>
      <c r="CU11" s="415"/>
      <c r="CV11" s="415"/>
      <c r="CW11" s="415"/>
      <c r="CX11" s="415"/>
      <c r="CY11" s="415"/>
      <c r="CZ11" s="415"/>
      <c r="DA11" s="415"/>
      <c r="DB11" s="415"/>
      <c r="DC11" s="415"/>
      <c r="DD11" s="415"/>
      <c r="DE11" s="415"/>
      <c r="DF11" s="415"/>
      <c r="DG11" s="415"/>
      <c r="DH11" s="415"/>
      <c r="DI11" s="415"/>
      <c r="DJ11" s="415"/>
      <c r="DK11" s="415"/>
      <c r="DL11" s="415"/>
      <c r="DM11" s="415"/>
      <c r="DN11" s="415"/>
      <c r="DO11" s="415"/>
      <c r="DP11" s="415"/>
      <c r="DQ11" s="415"/>
      <c r="DR11" s="415"/>
      <c r="DS11" s="415"/>
      <c r="DT11" s="415"/>
      <c r="DU11" s="415"/>
      <c r="DV11" s="415"/>
      <c r="DW11" s="415"/>
      <c r="DX11" s="415"/>
      <c r="DY11" s="415"/>
      <c r="DZ11" s="415"/>
      <c r="EA11" s="415"/>
      <c r="EB11" s="415"/>
      <c r="EC11" s="415"/>
      <c r="ED11" s="415"/>
      <c r="EE11" s="415"/>
      <c r="EF11" s="415"/>
      <c r="EG11" s="415"/>
      <c r="EH11" s="415"/>
      <c r="EI11" s="415"/>
      <c r="EJ11" s="415"/>
      <c r="EK11" s="415"/>
      <c r="EL11" s="415"/>
      <c r="EM11" s="415"/>
      <c r="EN11" s="415"/>
      <c r="EO11" s="415"/>
      <c r="EP11" s="415"/>
      <c r="EQ11" s="415"/>
      <c r="ER11" s="415"/>
      <c r="ES11" s="415"/>
      <c r="ET11" s="415"/>
      <c r="EU11" s="415"/>
      <c r="EV11" s="415"/>
      <c r="EW11" s="415"/>
      <c r="EX11" s="415"/>
      <c r="EY11" s="415"/>
      <c r="EZ11" s="415"/>
      <c r="FA11" s="415"/>
      <c r="FB11" s="415"/>
      <c r="FC11" s="415"/>
      <c r="FD11" s="415"/>
      <c r="FE11" s="415"/>
      <c r="FF11" s="415"/>
      <c r="FG11" s="415"/>
      <c r="FH11" s="415"/>
      <c r="FI11" s="415"/>
      <c r="FJ11" s="415"/>
      <c r="FK11" s="420"/>
      <c r="FL11" s="420"/>
      <c r="FM11" s="420"/>
      <c r="FN11" s="420"/>
      <c r="FO11" s="420"/>
      <c r="FP11" s="420"/>
      <c r="FQ11" s="420"/>
      <c r="FR11" s="420"/>
      <c r="FS11" s="420"/>
      <c r="FT11" s="420"/>
      <c r="FU11" s="420"/>
      <c r="FV11" s="420"/>
      <c r="FW11" s="420"/>
      <c r="FX11" s="420"/>
      <c r="FY11" s="420"/>
      <c r="FZ11" s="420"/>
      <c r="GA11" s="420"/>
      <c r="GB11" s="420"/>
      <c r="GC11" s="420"/>
      <c r="GD11" s="420"/>
      <c r="GE11" s="420"/>
      <c r="GF11" s="420"/>
      <c r="GG11" s="420"/>
      <c r="GH11" s="420"/>
    </row>
    <row r="12" spans="1:190" ht="3" customHeight="1">
      <c r="B12" s="1217"/>
      <c r="C12" s="1217"/>
      <c r="D12" s="1217"/>
      <c r="E12" s="1217"/>
      <c r="F12" s="421"/>
      <c r="G12" s="421"/>
      <c r="H12" s="421"/>
      <c r="O12" s="421"/>
      <c r="P12" s="414"/>
      <c r="W12" s="449"/>
      <c r="X12" s="449"/>
      <c r="Y12" s="449"/>
      <c r="Z12" s="449"/>
      <c r="AW12" s="406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</row>
    <row r="13" spans="1:190" ht="15.75" customHeight="1">
      <c r="B13" s="417" t="s">
        <v>360</v>
      </c>
      <c r="F13" s="37" t="s">
        <v>393</v>
      </c>
      <c r="O13" s="423" t="str">
        <f>IF('Registo Calibração'!$C$8="","N/C",'Registo Calibração'!$C$8)</f>
        <v>N/C</v>
      </c>
      <c r="P13" s="87"/>
      <c r="Q13" s="425"/>
      <c r="R13" s="425"/>
      <c r="S13" s="425"/>
      <c r="T13" s="425"/>
      <c r="U13" s="425"/>
      <c r="V13" s="425"/>
      <c r="W13" s="425"/>
      <c r="X13" s="425"/>
      <c r="Y13" s="425"/>
      <c r="Z13" s="425"/>
      <c r="AA13" s="425"/>
      <c r="AB13" s="425"/>
      <c r="AC13" s="425"/>
      <c r="AD13" s="425"/>
      <c r="AE13" s="425"/>
      <c r="AF13" s="425"/>
      <c r="AW13" s="406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</row>
    <row r="14" spans="1:190" ht="3.75" customHeight="1">
      <c r="B14" s="421"/>
      <c r="Z14" s="282"/>
      <c r="AA14" s="282"/>
      <c r="AW14" s="406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</row>
    <row r="15" spans="1:190" ht="13.5" customHeight="1">
      <c r="B15" s="417" t="s">
        <v>361</v>
      </c>
      <c r="G15" s="415" t="s">
        <v>395</v>
      </c>
      <c r="O15" s="423" t="str">
        <f>IF('Registo Calibração'!$C$9="","N/C",'Registo Calibração'!$C$9)</f>
        <v>N/C</v>
      </c>
      <c r="P15" s="423"/>
      <c r="Q15" s="423"/>
      <c r="R15" s="423"/>
      <c r="S15" s="423"/>
      <c r="T15" s="423"/>
      <c r="U15" s="423"/>
      <c r="V15" s="423"/>
      <c r="W15" s="423"/>
      <c r="X15" s="423"/>
      <c r="Y15" s="423"/>
      <c r="Z15" s="423"/>
      <c r="AA15" s="423"/>
      <c r="AB15" s="423"/>
      <c r="AW15" s="406"/>
      <c r="AX15"/>
      <c r="AY15" s="1195"/>
      <c r="AZ15" s="1196"/>
      <c r="BA15" s="1196"/>
      <c r="BB15" s="1196"/>
      <c r="BC15" s="1196"/>
      <c r="BD15" s="1196"/>
      <c r="BE15" s="1196"/>
      <c r="BF15" s="1196"/>
    </row>
    <row r="16" spans="1:190" ht="3" customHeight="1">
      <c r="B16" s="421"/>
      <c r="AW16" s="406"/>
      <c r="AX16" s="2"/>
      <c r="AY16" s="1197"/>
      <c r="AZ16" s="1197"/>
      <c r="BA16" s="1197"/>
      <c r="BB16" s="1197"/>
      <c r="BC16" s="1197"/>
    </row>
    <row r="17" spans="1:190" ht="15.75" customHeight="1">
      <c r="B17" s="417" t="s">
        <v>362</v>
      </c>
      <c r="C17" s="417"/>
      <c r="D17" s="417"/>
      <c r="E17" s="417"/>
      <c r="F17" s="417"/>
      <c r="G17" s="416" t="s">
        <v>396</v>
      </c>
      <c r="H17" s="417"/>
      <c r="O17" s="1198" t="str">
        <f>IF('Registo Calibração'!$C$10="","N/C",'Registo Calibração'!$C$10)</f>
        <v>N/C</v>
      </c>
      <c r="P17" s="1198"/>
      <c r="Q17" s="1198"/>
      <c r="R17" s="1198"/>
      <c r="S17" s="1198"/>
      <c r="T17" s="1198"/>
      <c r="U17" s="1198"/>
      <c r="V17" s="1198"/>
      <c r="W17" s="1198"/>
      <c r="X17" s="1198"/>
      <c r="Y17" s="1198"/>
      <c r="AW17" s="406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/>
    </row>
    <row r="18" spans="1:190" ht="3" customHeight="1">
      <c r="B18" s="421"/>
      <c r="AW18" s="406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</row>
    <row r="19" spans="1:190" ht="15.75" customHeight="1">
      <c r="B19" s="417" t="s">
        <v>363</v>
      </c>
      <c r="C19" s="417"/>
      <c r="D19" s="417"/>
      <c r="E19" s="417"/>
      <c r="F19" s="417"/>
      <c r="H19" s="422"/>
      <c r="I19" s="37" t="s">
        <v>397</v>
      </c>
      <c r="J19" s="422"/>
      <c r="K19" s="422"/>
      <c r="L19" s="422"/>
      <c r="M19" s="422"/>
      <c r="N19" s="422"/>
      <c r="O19" s="425" t="str">
        <f>IF('Registo Calibração'!$C$11="","------",'Registo Calibração'!$C$11)</f>
        <v>------</v>
      </c>
      <c r="AW19" s="406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</row>
    <row r="20" spans="1:190" ht="3" customHeight="1">
      <c r="A20" s="1"/>
      <c r="B20" s="426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427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</row>
    <row r="21" spans="1:190" ht="3" customHeight="1">
      <c r="AW21" s="406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</row>
    <row r="22" spans="1:190" ht="15.75" customHeight="1">
      <c r="B22" s="417" t="s">
        <v>365</v>
      </c>
      <c r="J22" s="47"/>
      <c r="K22" s="47"/>
      <c r="L22" s="47"/>
      <c r="M22" s="47"/>
      <c r="N22" s="47"/>
      <c r="O22" s="1191">
        <f>'Registo Calibração'!C4</f>
        <v>0</v>
      </c>
      <c r="P22" s="1191"/>
      <c r="Q22" s="1191"/>
      <c r="R22" s="1191"/>
      <c r="S22" s="1191"/>
      <c r="T22" s="1191"/>
      <c r="U22" s="1191"/>
      <c r="V22" s="1191"/>
      <c r="W22" s="1191"/>
      <c r="X22" s="1191"/>
      <c r="Y22" s="1191"/>
      <c r="Z22" s="1191"/>
      <c r="AA22" s="1191"/>
      <c r="AB22" s="1191"/>
      <c r="AC22" s="1191"/>
      <c r="AD22" s="1191"/>
      <c r="AE22" s="1191"/>
      <c r="AF22" s="1191"/>
      <c r="AG22" s="1191"/>
      <c r="AH22" s="1191"/>
      <c r="AI22" s="1191"/>
      <c r="AJ22" s="1191"/>
      <c r="AK22" s="1191"/>
      <c r="AL22" s="1191"/>
      <c r="AM22" s="1191"/>
      <c r="AN22" s="1191"/>
      <c r="AO22" s="1191"/>
      <c r="AP22" s="1191"/>
      <c r="AQ22" s="1191"/>
      <c r="AR22" s="1191"/>
      <c r="AS22" s="1191"/>
      <c r="AT22" s="1191"/>
      <c r="AU22" s="1191"/>
      <c r="AV22" s="1191"/>
      <c r="AW22" s="406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</row>
    <row r="23" spans="1:190" ht="51" customHeight="1">
      <c r="B23" s="421" t="s">
        <v>366</v>
      </c>
      <c r="J23" s="450"/>
      <c r="K23" s="450"/>
      <c r="L23" s="450"/>
      <c r="M23" s="450"/>
      <c r="N23" s="450"/>
      <c r="O23" s="1192" t="str">
        <f>IF('Registo Calibração'!C5="","------",'Registo Calibração'!C5)</f>
        <v>------</v>
      </c>
      <c r="P23" s="1192"/>
      <c r="Q23" s="1192"/>
      <c r="R23" s="1192"/>
      <c r="S23" s="1192"/>
      <c r="T23" s="1192"/>
      <c r="U23" s="1192"/>
      <c r="V23" s="1192"/>
      <c r="W23" s="1192"/>
      <c r="X23" s="1192"/>
      <c r="Y23" s="1192"/>
      <c r="Z23" s="1192"/>
      <c r="AA23" s="1192"/>
      <c r="AB23" s="1192"/>
      <c r="AC23" s="1192"/>
      <c r="AD23" s="1192"/>
      <c r="AE23" s="1192"/>
      <c r="AF23" s="1192"/>
      <c r="AG23" s="1192"/>
      <c r="AH23" s="1192"/>
      <c r="AI23" s="1192"/>
      <c r="AJ23" s="1192"/>
      <c r="AK23" s="1192"/>
      <c r="AL23" s="1192"/>
      <c r="AM23" s="1192"/>
      <c r="AN23" s="1192"/>
      <c r="AO23" s="1192"/>
      <c r="AP23" s="1192"/>
      <c r="AQ23" s="1192"/>
      <c r="AR23" s="1192"/>
      <c r="AS23" s="1192"/>
      <c r="AT23" s="1192"/>
      <c r="AU23" s="1192"/>
      <c r="AV23" s="1192"/>
      <c r="AW23" s="450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</row>
    <row r="24" spans="1:190" ht="14.25" customHeight="1">
      <c r="B24" s="1"/>
      <c r="C24" s="431"/>
      <c r="D24" s="431"/>
      <c r="E24" s="431"/>
      <c r="F24" s="431"/>
      <c r="G24" s="431"/>
      <c r="H24" s="431"/>
      <c r="I24" s="1"/>
      <c r="J24" s="451"/>
      <c r="K24" s="451"/>
      <c r="L24" s="451"/>
      <c r="M24" s="451"/>
      <c r="N24" s="451"/>
      <c r="O24" s="1194" t="str">
        <f>IF('Registo Calibração'!C6="","------",'Registo Calibração'!C6)</f>
        <v>------</v>
      </c>
      <c r="P24" s="1194"/>
      <c r="Q24" s="1194"/>
      <c r="R24" s="1194"/>
      <c r="S24" s="1194"/>
      <c r="T24" s="1194"/>
      <c r="U24" s="1194"/>
      <c r="V24" s="1194"/>
      <c r="W24" s="1194"/>
      <c r="X24" s="1194"/>
      <c r="Y24" s="1194"/>
      <c r="Z24" s="1194"/>
      <c r="AA24" s="1194"/>
      <c r="AB24" s="1194"/>
      <c r="AC24" s="1194"/>
      <c r="AD24" s="1194"/>
      <c r="AE24" s="1194"/>
      <c r="AF24" s="1194"/>
      <c r="AG24" s="1194"/>
      <c r="AH24" s="1194"/>
      <c r="AI24" s="1194"/>
      <c r="AJ24" s="1194"/>
      <c r="AK24" s="1194"/>
      <c r="AL24" s="1194"/>
      <c r="AM24" s="1194"/>
      <c r="AN24" s="1194"/>
      <c r="AO24" s="1194"/>
      <c r="AP24" s="1194"/>
      <c r="AQ24" s="1194"/>
      <c r="AR24" s="1194"/>
      <c r="AS24" s="1194"/>
      <c r="AT24" s="1194"/>
      <c r="AU24" s="1194"/>
      <c r="AV24" s="1194"/>
      <c r="AW24" s="451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</row>
    <row r="25" spans="1:190" ht="19.5" customHeight="1">
      <c r="A25" s="281"/>
      <c r="B25" s="1240" t="s">
        <v>370</v>
      </c>
      <c r="C25" s="1240"/>
      <c r="D25" s="1240"/>
      <c r="E25" s="1240"/>
      <c r="F25" s="1240"/>
      <c r="G25" s="1240"/>
      <c r="H25" s="1240"/>
      <c r="I25" s="1240"/>
      <c r="J25" s="1240"/>
      <c r="K25" s="1240"/>
      <c r="L25" s="1240"/>
      <c r="M25" s="1240"/>
      <c r="N25" s="1240"/>
      <c r="O25" s="1240"/>
      <c r="P25" s="1240"/>
      <c r="Q25" s="1240"/>
      <c r="V25" s="430"/>
      <c r="AW25" s="406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</row>
    <row r="26" spans="1:190" s="4" customFormat="1" ht="12.75" customHeight="1">
      <c r="A26"/>
      <c r="B26" s="421" t="s">
        <v>371</v>
      </c>
      <c r="U26"/>
      <c r="AK26" s="1021" t="s">
        <v>679</v>
      </c>
      <c r="AL26" s="1021"/>
      <c r="AM26" s="1021"/>
      <c r="AN26" s="1021"/>
      <c r="AO26" s="1021"/>
      <c r="AP26" s="1021"/>
      <c r="AR26" s="1021" t="s">
        <v>165</v>
      </c>
      <c r="AS26" s="1021"/>
      <c r="AT26" s="1021"/>
      <c r="AU26" s="1021"/>
      <c r="AV26" s="1021"/>
      <c r="AW26" s="406"/>
      <c r="AX26"/>
      <c r="AY26"/>
      <c r="AZ26"/>
      <c r="BA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 s="44"/>
      <c r="CS26" s="44"/>
      <c r="CT26" s="44"/>
      <c r="CU26" s="44"/>
      <c r="CV26" s="44"/>
      <c r="CW26" s="44"/>
      <c r="CX26" s="44"/>
      <c r="CY26" s="44"/>
      <c r="CZ26" s="44"/>
      <c r="DA26" s="44"/>
      <c r="DB26" s="44"/>
      <c r="DC26" s="44"/>
      <c r="DD26" s="44"/>
      <c r="DE26" s="44"/>
      <c r="DF26" s="44"/>
      <c r="DG26" s="44"/>
      <c r="DH26" s="44"/>
      <c r="DI26" s="44"/>
      <c r="DJ26" s="44"/>
      <c r="DK26" s="44"/>
      <c r="DL26" s="44"/>
      <c r="DM26" s="44"/>
      <c r="DN26" s="44"/>
      <c r="DO26" s="44"/>
      <c r="DP26" s="44"/>
      <c r="DQ26" s="44"/>
      <c r="DR26" s="44"/>
      <c r="DS26" s="44"/>
      <c r="DT26" s="44"/>
      <c r="DU26" s="44"/>
      <c r="DV26" s="44"/>
      <c r="DW26" s="44"/>
      <c r="DX26" s="44"/>
      <c r="DY26" s="44"/>
      <c r="DZ26" s="44"/>
      <c r="EA26" s="44"/>
      <c r="EB26" s="44"/>
      <c r="EC26" s="44"/>
      <c r="ED26" s="44"/>
      <c r="EE26" s="44"/>
      <c r="EF26" s="44"/>
      <c r="EG26" s="44"/>
      <c r="EH26" s="44"/>
      <c r="EI26" s="44"/>
      <c r="EJ26" s="44"/>
      <c r="EK26" s="44"/>
      <c r="EL26" s="44"/>
      <c r="EM26" s="44"/>
      <c r="EN26" s="44"/>
      <c r="EO26" s="44"/>
      <c r="EP26" s="44"/>
      <c r="EQ26" s="44"/>
      <c r="ER26" s="44"/>
      <c r="ES26" s="44"/>
      <c r="ET26" s="44"/>
      <c r="EU26" s="44"/>
      <c r="EV26" s="44"/>
      <c r="EW26" s="44"/>
      <c r="EX26" s="44"/>
      <c r="EY26" s="44"/>
      <c r="EZ26" s="44"/>
      <c r="FA26" s="44"/>
      <c r="FB26" s="44"/>
      <c r="FC26" s="44"/>
      <c r="FD26" s="44"/>
      <c r="FE26" s="44"/>
      <c r="FF26" s="44"/>
      <c r="FG26" s="44"/>
      <c r="FH26" s="44"/>
      <c r="FI26" s="44"/>
      <c r="FJ26" s="44"/>
      <c r="FK26" s="36"/>
      <c r="FL26" s="36"/>
      <c r="FM26" s="36"/>
      <c r="FN26" s="36"/>
      <c r="FO26" s="36"/>
      <c r="FP26" s="36"/>
      <c r="FQ26" s="36"/>
      <c r="FR26" s="36"/>
      <c r="FS26" s="36"/>
      <c r="FT26" s="36"/>
      <c r="FU26" s="36"/>
      <c r="FV26" s="36"/>
      <c r="FW26" s="36"/>
      <c r="FX26" s="36"/>
      <c r="FY26" s="36"/>
      <c r="FZ26" s="36"/>
      <c r="GA26" s="36"/>
      <c r="GB26" s="36"/>
      <c r="GC26" s="36"/>
      <c r="GD26" s="36"/>
      <c r="GE26" s="36"/>
      <c r="GF26" s="36"/>
      <c r="GG26" s="36"/>
      <c r="GH26" s="36"/>
    </row>
    <row r="27" spans="1:190" ht="3.75" customHeight="1" thickBot="1">
      <c r="V27" s="37"/>
      <c r="Y27" s="430"/>
      <c r="Z27" s="430"/>
      <c r="AA27" s="37"/>
      <c r="AB27" s="37"/>
      <c r="AC27" s="37"/>
      <c r="AD27" s="37"/>
      <c r="AE27" s="37"/>
      <c r="AF27" s="37"/>
      <c r="AG27" s="37"/>
      <c r="AH27" s="37"/>
      <c r="AI27" s="37"/>
      <c r="AQ27" s="432"/>
      <c r="AW27" s="406"/>
      <c r="AX27"/>
      <c r="AY27"/>
      <c r="AZ27"/>
      <c r="BA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</row>
    <row r="28" spans="1:190" ht="15.75" customHeight="1" thickBot="1">
      <c r="B28" s="428" t="s">
        <v>673</v>
      </c>
      <c r="C28" s="90"/>
      <c r="D28" s="90"/>
      <c r="E28" s="90"/>
      <c r="F28" s="90"/>
      <c r="G28" s="90"/>
      <c r="H28" s="90"/>
      <c r="O28" s="37" t="s">
        <v>675</v>
      </c>
      <c r="Y28" s="1237" t="s">
        <v>372</v>
      </c>
      <c r="Z28" s="1237"/>
      <c r="AA28" s="1237"/>
      <c r="AB28" s="1237"/>
      <c r="AC28" s="1237"/>
      <c r="AD28" s="1237"/>
      <c r="AE28" s="1237"/>
      <c r="AF28" s="1237"/>
      <c r="AG28" s="1237"/>
      <c r="AH28" s="1237"/>
      <c r="AI28" s="1237"/>
      <c r="AJ28" s="1237"/>
      <c r="AK28" s="1231" t="str">
        <f>CONCATENATE(FIXED('Registo Calibração'!$K$13,1)," ± 1")</f>
        <v>0,0 ± 1</v>
      </c>
      <c r="AL28" s="1232"/>
      <c r="AM28" s="1232"/>
      <c r="AN28" s="1232"/>
      <c r="AO28" s="1232"/>
      <c r="AP28" s="1233"/>
      <c r="AQ28" s="4"/>
      <c r="AR28" s="1231" t="str">
        <f>CONCATENATE(FIXED('Registo Calibração'!$L$13,1)," ± 1")</f>
        <v>0,0 ± 1</v>
      </c>
      <c r="AS28" s="1232"/>
      <c r="AT28" s="1232"/>
      <c r="AU28" s="1232"/>
      <c r="AV28" s="1233"/>
      <c r="AW28" s="406"/>
      <c r="AX28"/>
      <c r="AY28"/>
      <c r="AZ28"/>
      <c r="BA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</row>
    <row r="29" spans="1:190" ht="10.5" customHeight="1" thickBot="1">
      <c r="B29" s="433" t="s">
        <v>373</v>
      </c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W29" s="406"/>
      <c r="AX29"/>
      <c r="AY29"/>
      <c r="AZ29"/>
      <c r="BA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</row>
    <row r="30" spans="1:190" ht="15.75" customHeight="1" thickBot="1">
      <c r="B30" s="417" t="s">
        <v>368</v>
      </c>
      <c r="M30" s="452"/>
      <c r="N30" s="452"/>
      <c r="O30" s="1241" t="str">
        <f>IF('Registo Calibração'!C3="","",'Registo Calibração'!C3)</f>
        <v/>
      </c>
      <c r="P30" s="1241"/>
      <c r="Q30" s="1241"/>
      <c r="R30" s="1241"/>
      <c r="S30" s="1241"/>
      <c r="T30" s="1241"/>
      <c r="U30" s="1241"/>
      <c r="Y30" s="1237" t="s">
        <v>166</v>
      </c>
      <c r="Z30" s="1237"/>
      <c r="AA30" s="1237"/>
      <c r="AB30" s="1237"/>
      <c r="AC30" s="1237"/>
      <c r="AD30" s="1237"/>
      <c r="AE30" s="1237"/>
      <c r="AF30" s="1237"/>
      <c r="AG30" s="1237"/>
      <c r="AH30" s="1237"/>
      <c r="AI30" s="1237"/>
      <c r="AJ30" s="1237"/>
      <c r="AK30" s="1231" t="str">
        <f>CONCATENATE(FIXED('Registo Calibração'!$K$14,1)," ± 5")</f>
        <v>0,0 ± 5</v>
      </c>
      <c r="AL30" s="1232"/>
      <c r="AM30" s="1232"/>
      <c r="AN30" s="1232"/>
      <c r="AO30" s="1232"/>
      <c r="AP30" s="1233"/>
      <c r="AR30" s="1231" t="str">
        <f>CONCATENATE(FIXED('Registo Calibração'!$L$14,1)," ± 5")</f>
        <v>0,0 ± 5</v>
      </c>
      <c r="AS30" s="1232"/>
      <c r="AT30" s="1232"/>
      <c r="AU30" s="1232"/>
      <c r="AV30" s="1233"/>
      <c r="AW30" s="406"/>
      <c r="AX30"/>
      <c r="AY30"/>
      <c r="AZ30"/>
      <c r="BA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</row>
    <row r="31" spans="1:190" ht="12.75" customHeight="1">
      <c r="B31" s="433" t="s">
        <v>369</v>
      </c>
      <c r="C31" s="90"/>
      <c r="D31" s="90"/>
      <c r="E31" s="90"/>
      <c r="F31" s="90"/>
      <c r="G31" s="90"/>
      <c r="H31" s="90"/>
      <c r="AW31" s="406"/>
      <c r="AX31"/>
      <c r="AY31"/>
      <c r="AZ31"/>
      <c r="BA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</row>
    <row r="32" spans="1:190" ht="19.5" customHeight="1">
      <c r="B32" s="429" t="s">
        <v>376</v>
      </c>
      <c r="O32" s="1192" t="s">
        <v>478</v>
      </c>
      <c r="P32" s="1192"/>
      <c r="Q32" s="1192"/>
      <c r="R32" s="1192"/>
      <c r="S32" s="1192"/>
      <c r="T32" s="1192"/>
      <c r="U32" s="1192"/>
      <c r="V32" s="1192"/>
      <c r="W32" s="1192"/>
      <c r="X32" s="1192"/>
      <c r="Y32" s="1192"/>
      <c r="Z32" s="1192"/>
      <c r="AA32" s="1192"/>
      <c r="AB32" s="1192"/>
      <c r="AC32" s="1192"/>
      <c r="AD32" s="1192"/>
      <c r="AE32" s="1192"/>
      <c r="AF32" s="1192"/>
      <c r="AG32" s="1192"/>
      <c r="AH32" s="1192"/>
      <c r="AI32" s="1192"/>
      <c r="AJ32" s="1192"/>
      <c r="AK32" s="1192"/>
      <c r="AL32" s="1192"/>
      <c r="AM32" s="1192"/>
      <c r="AN32" s="1192"/>
      <c r="AO32" s="1192"/>
      <c r="AP32" s="1192"/>
      <c r="AQ32" s="1192"/>
      <c r="AR32" s="1192"/>
      <c r="AS32" s="1192"/>
      <c r="AT32" s="1192"/>
      <c r="AU32" s="1192"/>
      <c r="AV32" s="119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</row>
    <row r="33" spans="1:99">
      <c r="B33" s="433" t="s">
        <v>398</v>
      </c>
      <c r="O33" s="1192"/>
      <c r="P33" s="1192"/>
      <c r="Q33" s="1192"/>
      <c r="R33" s="1192"/>
      <c r="S33" s="1192"/>
      <c r="T33" s="1192"/>
      <c r="U33" s="1192"/>
      <c r="V33" s="1192"/>
      <c r="W33" s="1192"/>
      <c r="X33" s="1192"/>
      <c r="Y33" s="1192"/>
      <c r="Z33" s="1192"/>
      <c r="AA33" s="1192"/>
      <c r="AB33" s="1192"/>
      <c r="AC33" s="1192"/>
      <c r="AD33" s="1192"/>
      <c r="AE33" s="1192"/>
      <c r="AF33" s="1192"/>
      <c r="AG33" s="1192"/>
      <c r="AH33" s="1192"/>
      <c r="AI33" s="1192"/>
      <c r="AJ33" s="1192"/>
      <c r="AK33" s="1192"/>
      <c r="AL33" s="1192"/>
      <c r="AM33" s="1192"/>
      <c r="AN33" s="1192"/>
      <c r="AO33" s="1192"/>
      <c r="AP33" s="1192"/>
      <c r="AQ33" s="1192"/>
      <c r="AR33" s="1192"/>
      <c r="AS33" s="1192"/>
      <c r="AT33" s="1192"/>
      <c r="AU33" s="1192"/>
      <c r="AV33" s="1192"/>
    </row>
    <row r="34" spans="1:99" ht="6.75" customHeight="1">
      <c r="C34" s="453"/>
      <c r="D34" s="453"/>
      <c r="E34" s="453"/>
      <c r="F34" s="453"/>
      <c r="G34" s="453"/>
      <c r="H34" s="453"/>
      <c r="I34" s="453"/>
      <c r="J34" s="453"/>
      <c r="K34" s="453"/>
      <c r="L34" s="453"/>
      <c r="M34" s="453"/>
      <c r="N34" s="453"/>
      <c r="O34" s="453"/>
      <c r="P34" s="453"/>
      <c r="Q34" s="453"/>
      <c r="R34" s="453"/>
      <c r="S34" s="453"/>
      <c r="T34" s="453"/>
      <c r="U34" s="453"/>
      <c r="V34" s="453"/>
      <c r="W34" s="453"/>
      <c r="X34" s="453"/>
      <c r="Y34" s="453"/>
      <c r="Z34" s="453"/>
      <c r="AA34" s="453"/>
      <c r="AB34" s="453"/>
      <c r="AC34" s="453"/>
      <c r="AD34" s="453"/>
      <c r="AE34" s="453"/>
      <c r="AF34" s="453"/>
      <c r="AG34" s="453"/>
      <c r="AH34" s="453"/>
      <c r="AI34" s="453"/>
      <c r="AJ34" s="453"/>
      <c r="AK34" s="453"/>
      <c r="AL34" s="453"/>
      <c r="AM34" s="453"/>
      <c r="AN34" s="453"/>
      <c r="AO34" s="453"/>
      <c r="AP34" s="453"/>
      <c r="AQ34" s="453"/>
      <c r="AR34" s="453"/>
      <c r="AS34" s="453"/>
      <c r="AT34" s="453"/>
      <c r="AU34" s="453"/>
      <c r="AV34" s="453"/>
      <c r="AW34" s="453"/>
      <c r="AX34"/>
      <c r="AY34"/>
      <c r="AZ34"/>
      <c r="BA34"/>
      <c r="BB34" s="450"/>
      <c r="BC34" s="450"/>
      <c r="BD34" s="450"/>
      <c r="BE34" s="450"/>
      <c r="BF34" s="450"/>
      <c r="BG34" s="450"/>
      <c r="BH34" s="450"/>
      <c r="BI34" s="450"/>
      <c r="BJ34" s="450"/>
      <c r="BK34" s="450"/>
      <c r="BL34" s="450"/>
      <c r="BM34" s="450"/>
      <c r="BN34" s="450"/>
      <c r="BO34" s="450"/>
      <c r="BP34" s="450"/>
      <c r="BQ34" s="450"/>
      <c r="BR34" s="450"/>
      <c r="BS34" s="450"/>
      <c r="BT34" s="450"/>
      <c r="BU34" s="450"/>
      <c r="BV34" s="450"/>
      <c r="BW34" s="450"/>
      <c r="BX34" s="450"/>
      <c r="BY34" s="450"/>
      <c r="BZ34" s="450"/>
      <c r="CA34" s="450"/>
      <c r="CB34" s="450"/>
      <c r="CC34" s="450"/>
      <c r="CD34" s="450"/>
      <c r="CE34" s="450"/>
      <c r="CF34" s="450"/>
      <c r="CG34" s="450"/>
      <c r="CH34" s="450"/>
      <c r="CI34" s="450"/>
      <c r="CJ34" s="450"/>
      <c r="CK34" s="450"/>
      <c r="CL34" s="450"/>
      <c r="CM34" s="450"/>
      <c r="CN34" s="450"/>
      <c r="CO34" s="450"/>
      <c r="CP34" s="450"/>
      <c r="CQ34" s="450"/>
      <c r="CR34" s="450"/>
      <c r="CS34" s="450"/>
      <c r="CT34" s="450"/>
      <c r="CU34" s="450"/>
    </row>
    <row r="35" spans="1:99" ht="15.75">
      <c r="O35" s="1230" t="s">
        <v>375</v>
      </c>
      <c r="P35" s="1230"/>
      <c r="Q35" s="1230"/>
      <c r="R35" s="1230"/>
      <c r="S35" s="1230"/>
      <c r="T35" s="1230"/>
      <c r="U35" s="1230"/>
      <c r="V35" s="1230"/>
      <c r="W35" s="90"/>
      <c r="X35" s="1230" t="s">
        <v>374</v>
      </c>
      <c r="Y35" s="1230"/>
      <c r="Z35" s="1230"/>
      <c r="AA35" s="1230"/>
      <c r="AB35" s="1230"/>
      <c r="AC35" s="1230"/>
      <c r="AD35" s="1230"/>
      <c r="AE35" s="1230"/>
      <c r="AF35" s="1230"/>
      <c r="AG35" s="1230"/>
      <c r="AH35" s="1230"/>
      <c r="AI35" s="1230"/>
      <c r="AJ35" s="1230"/>
      <c r="AK35" s="1230"/>
      <c r="AL35" s="1230"/>
      <c r="AM35" s="1230"/>
      <c r="AN35" s="1230"/>
      <c r="AO35" s="1230"/>
      <c r="AP35" s="1230"/>
      <c r="AQ35" s="1230"/>
      <c r="AR35" s="1230"/>
      <c r="AS35" s="1230"/>
      <c r="AT35" s="1230"/>
      <c r="AU35" s="1230"/>
      <c r="AV35" s="1230"/>
      <c r="AW35" s="406"/>
      <c r="AX35"/>
      <c r="AY35"/>
      <c r="AZ35"/>
      <c r="BA35" s="1243" t="s">
        <v>376</v>
      </c>
      <c r="BB35" s="1243"/>
      <c r="BC35" s="1243"/>
      <c r="BD35" s="1243"/>
      <c r="BE35" s="1243"/>
      <c r="BF35" s="1243"/>
      <c r="BG35" s="1243"/>
      <c r="BH35" s="1243"/>
      <c r="BI35" s="1243"/>
      <c r="BJ35" s="1243"/>
      <c r="CI35" s="450"/>
      <c r="CJ35" s="450"/>
      <c r="CK35" s="450"/>
      <c r="CL35" s="450"/>
      <c r="CM35" s="450"/>
      <c r="CN35" s="450"/>
      <c r="CO35" s="450"/>
      <c r="CP35" s="450"/>
      <c r="CQ35" s="450"/>
      <c r="CR35" s="450"/>
      <c r="CS35" s="450"/>
    </row>
    <row r="36" spans="1:99" ht="15.75">
      <c r="O36" s="867" t="str">
        <f>IF('Registo Calibração'!AT6="","",'Registo Calibração'!AV6)</f>
        <v/>
      </c>
      <c r="P36" s="867"/>
      <c r="Q36" s="867"/>
      <c r="R36" s="867"/>
      <c r="S36" s="867"/>
      <c r="T36" s="867"/>
      <c r="U36" s="867"/>
      <c r="V36" s="867"/>
      <c r="W36" s="90"/>
      <c r="X36" s="1201" t="str">
        <f>IF('Registo Calibração'!AT6="","",'Registo Calibração'!AW6)</f>
        <v/>
      </c>
      <c r="Y36" s="1201"/>
      <c r="Z36" s="1201"/>
      <c r="AA36" s="1201"/>
      <c r="AB36" s="1201"/>
      <c r="AC36" s="1201"/>
      <c r="AD36" s="1201"/>
      <c r="AE36" s="1201"/>
      <c r="AF36" s="1201"/>
      <c r="AG36" s="1201"/>
      <c r="AH36" s="1201"/>
      <c r="AI36" s="1201"/>
      <c r="AJ36" s="1201"/>
      <c r="AK36" s="1201"/>
      <c r="AL36" s="1201"/>
      <c r="AM36" s="1201"/>
      <c r="AN36" s="1201"/>
      <c r="AO36" s="1201"/>
      <c r="AP36" s="1201"/>
      <c r="AQ36" s="1201"/>
      <c r="AR36" s="1201"/>
      <c r="AS36" s="1201"/>
      <c r="AT36" s="1201"/>
      <c r="AU36" s="1201"/>
      <c r="AV36" s="1201"/>
      <c r="AW36" s="406"/>
      <c r="AX36"/>
      <c r="AY36"/>
      <c r="AZ36"/>
      <c r="BA36" s="1193" t="str">
        <f>IF('Registo Calibração'!AT6="","",'Registo Calibração'!AX6)</f>
        <v/>
      </c>
      <c r="BB36" s="1193"/>
      <c r="BC36" s="1193"/>
      <c r="BD36" s="1193"/>
      <c r="BE36" s="1193"/>
      <c r="BF36" s="1193"/>
      <c r="BG36" s="1193"/>
      <c r="BH36" s="1193"/>
      <c r="BI36" s="1193"/>
      <c r="BJ36" s="1193"/>
      <c r="CI36" s="450"/>
      <c r="CJ36" s="450"/>
      <c r="CK36" s="450"/>
      <c r="CL36" s="450"/>
      <c r="CM36" s="450"/>
      <c r="CN36" s="450"/>
      <c r="CO36" s="450"/>
      <c r="CP36" s="450"/>
      <c r="CQ36" s="450"/>
      <c r="CR36" s="450"/>
      <c r="CS36" s="450"/>
    </row>
    <row r="37" spans="1:99" ht="15.75" hidden="1">
      <c r="O37" s="867" t="str">
        <f>IF('Registo Calibração'!AT7="","",'Registo Calibração'!AV7)</f>
        <v/>
      </c>
      <c r="P37" s="867"/>
      <c r="Q37" s="867"/>
      <c r="R37" s="867"/>
      <c r="S37" s="867"/>
      <c r="T37" s="867"/>
      <c r="U37" s="867"/>
      <c r="V37" s="867"/>
      <c r="W37" s="90"/>
      <c r="X37" s="1201" t="str">
        <f>IF('Registo Calibração'!AT7="","",'Registo Calibração'!AW7)</f>
        <v/>
      </c>
      <c r="Y37" s="1201"/>
      <c r="Z37" s="1201"/>
      <c r="AA37" s="1201"/>
      <c r="AB37" s="1201"/>
      <c r="AC37" s="1201"/>
      <c r="AD37" s="1201"/>
      <c r="AE37" s="1201"/>
      <c r="AF37" s="1201"/>
      <c r="AG37" s="1201"/>
      <c r="AH37" s="1201"/>
      <c r="AI37" s="1201"/>
      <c r="AJ37" s="1201"/>
      <c r="AK37" s="1201"/>
      <c r="AL37" s="1201"/>
      <c r="AM37" s="1201"/>
      <c r="AN37" s="1201"/>
      <c r="AO37" s="1201"/>
      <c r="AP37" s="1201"/>
      <c r="AQ37" s="1201"/>
      <c r="AR37" s="1201"/>
      <c r="AS37" s="1201"/>
      <c r="AT37" s="1201"/>
      <c r="AU37" s="1201"/>
      <c r="AV37" s="1201"/>
      <c r="AW37" s="406"/>
      <c r="AX37"/>
      <c r="AY37"/>
      <c r="AZ37"/>
      <c r="BA37" s="1193" t="str">
        <f>IF('Registo Calibração'!AT7="","",'Registo Calibração'!AX7)</f>
        <v/>
      </c>
      <c r="BB37" s="1193"/>
      <c r="BC37" s="1193"/>
      <c r="BD37" s="1193"/>
      <c r="BE37" s="1193"/>
      <c r="BF37" s="1193"/>
      <c r="BG37" s="1193"/>
      <c r="BH37" s="1193"/>
      <c r="BI37" s="1193"/>
      <c r="BJ37" s="1193"/>
      <c r="CI37" s="450"/>
      <c r="CJ37" s="450"/>
      <c r="CK37" s="450"/>
      <c r="CL37" s="450"/>
      <c r="CM37" s="450"/>
      <c r="CN37" s="450"/>
      <c r="CO37" s="450"/>
      <c r="CP37" s="450"/>
      <c r="CQ37" s="450"/>
      <c r="CR37" s="450"/>
      <c r="CS37" s="450"/>
    </row>
    <row r="38" spans="1:99" ht="15.75" hidden="1">
      <c r="O38" s="869" t="str">
        <f>IF('Registo Calibração'!AT8="","",'Registo Calibração'!AV8)</f>
        <v/>
      </c>
      <c r="P38" s="869"/>
      <c r="Q38" s="869"/>
      <c r="R38" s="869"/>
      <c r="S38" s="869"/>
      <c r="T38" s="869"/>
      <c r="U38" s="869"/>
      <c r="V38" s="869"/>
      <c r="W38" s="448"/>
      <c r="X38" s="1201" t="str">
        <f>IF('Registo Calibração'!AT8="","",'Registo Calibração'!AW8)</f>
        <v/>
      </c>
      <c r="Y38" s="1201"/>
      <c r="Z38" s="1201"/>
      <c r="AA38" s="1201"/>
      <c r="AB38" s="1201"/>
      <c r="AC38" s="1201"/>
      <c r="AD38" s="1201"/>
      <c r="AE38" s="1201"/>
      <c r="AF38" s="1201"/>
      <c r="AG38" s="1201"/>
      <c r="AH38" s="1201"/>
      <c r="AI38" s="1201"/>
      <c r="AJ38" s="1201"/>
      <c r="AK38" s="1201"/>
      <c r="AL38" s="1201"/>
      <c r="AM38" s="1201"/>
      <c r="AN38" s="1201"/>
      <c r="AO38" s="1201"/>
      <c r="AP38" s="1201"/>
      <c r="AQ38" s="1201"/>
      <c r="AR38" s="1201"/>
      <c r="AS38" s="1201"/>
      <c r="AT38" s="1201"/>
      <c r="AU38" s="1201"/>
      <c r="AV38" s="1201"/>
      <c r="AW38" s="406"/>
      <c r="AX38"/>
      <c r="AY38"/>
      <c r="AZ38"/>
      <c r="BA38" s="1193" t="str">
        <f>IF('Registo Calibração'!AT8="","",'Registo Calibração'!AX8)</f>
        <v/>
      </c>
      <c r="BB38" s="1193"/>
      <c r="BC38" s="1193"/>
      <c r="BD38" s="1193"/>
      <c r="BE38" s="1193"/>
      <c r="BF38" s="1193"/>
      <c r="BG38" s="1193"/>
      <c r="BH38" s="1193"/>
      <c r="BI38" s="1193"/>
      <c r="BJ38" s="1193"/>
      <c r="CI38" s="450"/>
      <c r="CJ38" s="450"/>
      <c r="CK38" s="450"/>
      <c r="CL38" s="450"/>
      <c r="CM38" s="450"/>
      <c r="CN38" s="450"/>
      <c r="CO38" s="450"/>
      <c r="CP38" s="450"/>
      <c r="CQ38" s="450"/>
      <c r="CR38" s="450"/>
      <c r="CS38" s="450"/>
    </row>
    <row r="39" spans="1:99" ht="15.75" hidden="1">
      <c r="O39" s="869" t="str">
        <f>IF('Registo Calibração'!AT9="","",'Registo Calibração'!AV9)</f>
        <v/>
      </c>
      <c r="P39" s="869"/>
      <c r="Q39" s="869"/>
      <c r="R39" s="869"/>
      <c r="S39" s="869"/>
      <c r="T39" s="869"/>
      <c r="U39" s="869"/>
      <c r="V39" s="869"/>
      <c r="W39" s="90"/>
      <c r="X39" s="1201" t="str">
        <f>IF('Registo Calibração'!AT9="","",'Registo Calibração'!AW9)</f>
        <v/>
      </c>
      <c r="Y39" s="1201"/>
      <c r="Z39" s="1201"/>
      <c r="AA39" s="1201"/>
      <c r="AB39" s="1201"/>
      <c r="AC39" s="1201"/>
      <c r="AD39" s="1201"/>
      <c r="AE39" s="1201"/>
      <c r="AF39" s="1201"/>
      <c r="AG39" s="1201"/>
      <c r="AH39" s="1201"/>
      <c r="AI39" s="1201"/>
      <c r="AJ39" s="1201"/>
      <c r="AK39" s="1201"/>
      <c r="AL39" s="1201"/>
      <c r="AM39" s="1201"/>
      <c r="AN39" s="1201"/>
      <c r="AO39" s="1201"/>
      <c r="AP39" s="1201"/>
      <c r="AQ39" s="1201"/>
      <c r="AR39" s="1201"/>
      <c r="AS39" s="1201"/>
      <c r="AT39" s="1201"/>
      <c r="AU39" s="1201"/>
      <c r="AV39" s="1201"/>
      <c r="AW39" s="406"/>
      <c r="AX39"/>
      <c r="AY39"/>
      <c r="AZ39"/>
      <c r="BA39" s="1193" t="str">
        <f>IF('Registo Calibração'!AT9="","",'Registo Calibração'!AX9)</f>
        <v/>
      </c>
      <c r="BB39" s="1193"/>
      <c r="BC39" s="1193"/>
      <c r="BD39" s="1193"/>
      <c r="BE39" s="1193"/>
      <c r="BF39" s="1193"/>
      <c r="BG39" s="1193"/>
      <c r="BH39" s="1193"/>
      <c r="BI39" s="1193"/>
      <c r="BJ39" s="1193"/>
      <c r="CI39" s="450"/>
      <c r="CJ39" s="450"/>
      <c r="CK39" s="450"/>
      <c r="CL39" s="450"/>
      <c r="CM39" s="450"/>
      <c r="CN39" s="450"/>
      <c r="CO39" s="450"/>
      <c r="CP39" s="450"/>
      <c r="CQ39" s="450"/>
      <c r="CR39" s="450"/>
      <c r="CS39" s="450"/>
    </row>
    <row r="40" spans="1:99" ht="15.75">
      <c r="O40" s="869" t="str">
        <f>IF('Registo Calibração'!AT10="","",'Registo Calibração'!AV10)</f>
        <v/>
      </c>
      <c r="P40" s="869"/>
      <c r="Q40" s="869"/>
      <c r="R40" s="869"/>
      <c r="S40" s="869"/>
      <c r="T40" s="869"/>
      <c r="U40" s="869"/>
      <c r="V40" s="869"/>
      <c r="W40" s="90"/>
      <c r="X40" s="1201" t="str">
        <f>IF('Registo Calibração'!AT10="","",'Registo Calibração'!AW10)</f>
        <v/>
      </c>
      <c r="Y40" s="1201"/>
      <c r="Z40" s="1201"/>
      <c r="AA40" s="1201"/>
      <c r="AB40" s="1201"/>
      <c r="AC40" s="1201"/>
      <c r="AD40" s="1201"/>
      <c r="AE40" s="1201"/>
      <c r="AF40" s="1201"/>
      <c r="AG40" s="1201"/>
      <c r="AH40" s="1201"/>
      <c r="AI40" s="1201"/>
      <c r="AJ40" s="1201"/>
      <c r="AK40" s="1201"/>
      <c r="AL40" s="1201"/>
      <c r="AM40" s="1201"/>
      <c r="AN40" s="1201"/>
      <c r="AO40" s="1201"/>
      <c r="AP40" s="1201"/>
      <c r="AQ40" s="1201"/>
      <c r="AR40" s="1201"/>
      <c r="AS40" s="1201"/>
      <c r="AT40" s="1201"/>
      <c r="AU40" s="1201"/>
      <c r="AV40" s="1201"/>
      <c r="AW40" s="406"/>
      <c r="BA40" s="1193" t="str">
        <f>IF('Registo Calibração'!AT10="","",'Registo Calibração'!AX10)</f>
        <v/>
      </c>
      <c r="BB40" s="1193"/>
      <c r="BC40" s="1193"/>
      <c r="BD40" s="1193"/>
      <c r="BE40" s="1193"/>
      <c r="BF40" s="1193"/>
      <c r="BG40" s="1193"/>
      <c r="BH40" s="1193"/>
      <c r="BI40" s="1193"/>
      <c r="BJ40" s="1193"/>
      <c r="CI40" s="450"/>
      <c r="CJ40" s="450"/>
      <c r="CK40" s="450"/>
      <c r="CL40" s="450"/>
      <c r="CM40" s="450"/>
      <c r="CN40" s="450"/>
      <c r="CO40" s="450"/>
      <c r="CP40" s="450"/>
      <c r="CQ40" s="450"/>
      <c r="CR40" s="450"/>
      <c r="CS40" s="450"/>
    </row>
    <row r="41" spans="1:99" ht="45.75" customHeight="1">
      <c r="O41" s="1202" t="str">
        <f>IF('Registo Calibração'!AT11="","",'Registo Calibração'!AV11)</f>
        <v/>
      </c>
      <c r="P41" s="1202"/>
      <c r="Q41" s="1202"/>
      <c r="R41" s="1202"/>
      <c r="S41" s="1202"/>
      <c r="T41" s="1202"/>
      <c r="U41" s="1202"/>
      <c r="V41" s="1202"/>
      <c r="W41" s="90"/>
      <c r="X41" s="1201" t="str">
        <f>IF('Registo Calibração'!AT11="","",'Registo Calibração'!AW11)</f>
        <v/>
      </c>
      <c r="Y41" s="1201"/>
      <c r="Z41" s="1201"/>
      <c r="AA41" s="1201"/>
      <c r="AB41" s="1201"/>
      <c r="AC41" s="1201"/>
      <c r="AD41" s="1201"/>
      <c r="AE41" s="1201"/>
      <c r="AF41" s="1201"/>
      <c r="AG41" s="1201"/>
      <c r="AH41" s="1201"/>
      <c r="AI41" s="1201"/>
      <c r="AJ41" s="1201"/>
      <c r="AK41" s="1201"/>
      <c r="AL41" s="1201"/>
      <c r="AM41" s="1201"/>
      <c r="AN41" s="1201"/>
      <c r="AO41" s="1201"/>
      <c r="AP41" s="1201"/>
      <c r="AQ41" s="1201"/>
      <c r="AR41" s="1201"/>
      <c r="AS41" s="1201"/>
      <c r="AT41" s="1201"/>
      <c r="AU41" s="1201"/>
      <c r="AV41" s="1201"/>
      <c r="AW41" s="406"/>
      <c r="BA41" s="1193" t="str">
        <f>IF('Registo Calibração'!AT11="","",'Registo Calibração'!AX11)</f>
        <v/>
      </c>
      <c r="BB41" s="1193"/>
      <c r="BC41" s="1193"/>
      <c r="BD41" s="1193"/>
      <c r="BE41" s="1193"/>
      <c r="BF41" s="1193"/>
      <c r="BG41" s="1193"/>
      <c r="BH41" s="1193"/>
      <c r="BI41" s="1193"/>
      <c r="BJ41" s="1193"/>
      <c r="CI41" s="450"/>
      <c r="CJ41" s="450"/>
      <c r="CK41" s="450"/>
      <c r="CL41" s="450"/>
      <c r="CM41" s="450"/>
      <c r="CN41" s="450"/>
      <c r="CO41" s="450"/>
      <c r="CP41" s="450"/>
      <c r="CQ41" s="450"/>
      <c r="CR41" s="450"/>
      <c r="CS41" s="450"/>
    </row>
    <row r="42" spans="1:99" ht="15.75" hidden="1">
      <c r="O42" s="869" t="str">
        <f>IF('Registo Calibração'!AT12="","",'Registo Calibração'!AV12)</f>
        <v/>
      </c>
      <c r="P42" s="869"/>
      <c r="Q42" s="869"/>
      <c r="R42" s="869"/>
      <c r="S42" s="869"/>
      <c r="T42" s="869"/>
      <c r="U42" s="869"/>
      <c r="V42" s="869"/>
      <c r="W42" s="90"/>
      <c r="X42" s="1201" t="str">
        <f>IF('Registo Calibração'!AT12="","",'Registo Calibração'!AW12)</f>
        <v/>
      </c>
      <c r="Y42" s="1201"/>
      <c r="Z42" s="1201"/>
      <c r="AA42" s="1201"/>
      <c r="AB42" s="1201"/>
      <c r="AC42" s="1201"/>
      <c r="AD42" s="1201"/>
      <c r="AE42" s="1201"/>
      <c r="AF42" s="1201"/>
      <c r="AG42" s="1201"/>
      <c r="AH42" s="1201"/>
      <c r="AI42" s="1201"/>
      <c r="AJ42" s="1201"/>
      <c r="AK42" s="1201"/>
      <c r="AL42" s="1201"/>
      <c r="AM42" s="1201"/>
      <c r="AN42" s="1201"/>
      <c r="AO42" s="1201"/>
      <c r="AP42" s="1201"/>
      <c r="AQ42" s="1201"/>
      <c r="AR42" s="1201"/>
      <c r="AS42" s="1201"/>
      <c r="AT42" s="1201"/>
      <c r="AU42" s="1201"/>
      <c r="AV42" s="1201"/>
      <c r="AW42" s="406"/>
      <c r="BA42" s="1193" t="str">
        <f>IF('Registo Calibração'!AT12="","",'Registo Calibração'!AX12)</f>
        <v/>
      </c>
      <c r="BB42" s="1193"/>
      <c r="BC42" s="1193"/>
      <c r="BD42" s="1193"/>
      <c r="BE42" s="1193"/>
      <c r="BF42" s="1193"/>
      <c r="BG42" s="1193"/>
      <c r="BH42" s="1193"/>
      <c r="BI42" s="1193"/>
      <c r="BJ42" s="1193"/>
      <c r="CI42" s="450"/>
      <c r="CJ42" s="450"/>
      <c r="CK42" s="450"/>
      <c r="CL42" s="450"/>
      <c r="CM42" s="450"/>
      <c r="CN42" s="450"/>
      <c r="CO42" s="450"/>
      <c r="CP42" s="450"/>
      <c r="CQ42" s="450"/>
      <c r="CR42" s="450"/>
      <c r="CS42" s="450"/>
    </row>
    <row r="43" spans="1:99" ht="15.75">
      <c r="O43" s="869" t="str">
        <f>IF('Registo Calibração'!AT13="","",'Registo Calibração'!AV13)</f>
        <v/>
      </c>
      <c r="P43" s="869"/>
      <c r="Q43" s="869"/>
      <c r="R43" s="869"/>
      <c r="S43" s="869"/>
      <c r="T43" s="869"/>
      <c r="U43" s="869"/>
      <c r="V43" s="869"/>
      <c r="W43" s="90"/>
      <c r="X43" s="1201" t="str">
        <f>IF('Registo Calibração'!AT13="","",'Registo Calibração'!AW13)</f>
        <v/>
      </c>
      <c r="Y43" s="1201"/>
      <c r="Z43" s="1201"/>
      <c r="AA43" s="1201"/>
      <c r="AB43" s="1201"/>
      <c r="AC43" s="1201"/>
      <c r="AD43" s="1201"/>
      <c r="AE43" s="1201"/>
      <c r="AF43" s="1201"/>
      <c r="AG43" s="1201"/>
      <c r="AH43" s="1201"/>
      <c r="AI43" s="1201"/>
      <c r="AJ43" s="1201"/>
      <c r="AK43" s="1201"/>
      <c r="AL43" s="1201"/>
      <c r="AM43" s="1201"/>
      <c r="AN43" s="1201"/>
      <c r="AO43" s="1201"/>
      <c r="AP43" s="1201"/>
      <c r="AQ43" s="1201"/>
      <c r="AR43" s="1201"/>
      <c r="AS43" s="1201"/>
      <c r="AT43" s="1201"/>
      <c r="AU43" s="1201"/>
      <c r="AV43" s="1201"/>
      <c r="AW43" s="406"/>
      <c r="BA43" s="1193" t="str">
        <f>IF('Registo Calibração'!AT13="","",'Registo Calibração'!AX13)</f>
        <v/>
      </c>
      <c r="BB43" s="1193"/>
      <c r="BC43" s="1193"/>
      <c r="BD43" s="1193"/>
      <c r="BE43" s="1193"/>
      <c r="BF43" s="1193"/>
      <c r="BG43" s="1193"/>
      <c r="BH43" s="1193"/>
      <c r="BI43" s="1193"/>
      <c r="BJ43" s="1193"/>
      <c r="CI43" s="450"/>
      <c r="CJ43" s="450"/>
      <c r="CK43" s="450"/>
      <c r="CL43" s="450"/>
      <c r="CM43" s="450"/>
      <c r="CN43" s="450"/>
      <c r="CO43" s="450"/>
      <c r="CP43" s="450"/>
      <c r="CQ43" s="450"/>
      <c r="CR43" s="450"/>
      <c r="CS43" s="450"/>
    </row>
    <row r="44" spans="1:99" ht="15.75" hidden="1">
      <c r="O44" s="869" t="str">
        <f>IF('Registo Calibração'!AT14="","",'Registo Calibração'!AV14)</f>
        <v/>
      </c>
      <c r="P44" s="869"/>
      <c r="Q44" s="869"/>
      <c r="R44" s="869"/>
      <c r="S44" s="869"/>
      <c r="T44" s="869"/>
      <c r="U44" s="869"/>
      <c r="V44" s="869"/>
      <c r="W44" s="90"/>
      <c r="X44" s="1201" t="str">
        <f>IF('Registo Calibração'!AT14="","",'Registo Calibração'!AW14)</f>
        <v/>
      </c>
      <c r="Y44" s="1201"/>
      <c r="Z44" s="1201"/>
      <c r="AA44" s="1201"/>
      <c r="AB44" s="1201"/>
      <c r="AC44" s="1201"/>
      <c r="AD44" s="1201"/>
      <c r="AE44" s="1201"/>
      <c r="AF44" s="1201"/>
      <c r="AG44" s="1201"/>
      <c r="AH44" s="1201"/>
      <c r="AI44" s="1201"/>
      <c r="AJ44" s="1201"/>
      <c r="AK44" s="1201"/>
      <c r="AL44" s="1201"/>
      <c r="AM44" s="1201"/>
      <c r="AN44" s="1201"/>
      <c r="AO44" s="1201"/>
      <c r="AP44" s="1201"/>
      <c r="AQ44" s="1201"/>
      <c r="AR44" s="1201"/>
      <c r="AS44" s="1201"/>
      <c r="AT44" s="1201"/>
      <c r="AU44" s="1201"/>
      <c r="AV44" s="1201"/>
      <c r="AW44" s="406"/>
      <c r="AX44"/>
      <c r="AY44"/>
      <c r="AZ44"/>
      <c r="BA44" s="1193" t="str">
        <f>IF('Registo Calibração'!AT14="","",'Registo Calibração'!AX14)</f>
        <v/>
      </c>
      <c r="BB44" s="1193"/>
      <c r="BC44" s="1193"/>
      <c r="BD44" s="1193"/>
      <c r="BE44" s="1193"/>
      <c r="BF44" s="1193"/>
      <c r="BG44" s="1193"/>
      <c r="BH44" s="1193"/>
      <c r="BI44" s="1193"/>
      <c r="BJ44" s="1193"/>
      <c r="CI44" s="450"/>
      <c r="CJ44" s="450"/>
      <c r="CK44" s="450"/>
      <c r="CL44" s="450"/>
      <c r="CM44" s="450"/>
      <c r="CN44" s="450"/>
      <c r="CO44" s="450"/>
      <c r="CP44" s="450"/>
      <c r="CQ44" s="450"/>
      <c r="CR44" s="450"/>
      <c r="CS44" s="450"/>
    </row>
    <row r="45" spans="1:99" ht="29.25" hidden="1" customHeight="1">
      <c r="O45" s="869" t="str">
        <f>IF('Registo Calibração'!AT15="","",'Registo Calibração'!AV15)</f>
        <v/>
      </c>
      <c r="P45" s="869"/>
      <c r="Q45" s="869"/>
      <c r="R45" s="869"/>
      <c r="S45" s="869"/>
      <c r="T45" s="869"/>
      <c r="U45" s="869"/>
      <c r="V45" s="869"/>
      <c r="W45" s="90"/>
      <c r="X45" s="1201" t="str">
        <f>IF('Registo Calibração'!AT15="","",'Registo Calibração'!AW15)</f>
        <v/>
      </c>
      <c r="Y45" s="1201"/>
      <c r="Z45" s="1201"/>
      <c r="AA45" s="1201"/>
      <c r="AB45" s="1201"/>
      <c r="AC45" s="1201"/>
      <c r="AD45" s="1201"/>
      <c r="AE45" s="1201"/>
      <c r="AF45" s="1201"/>
      <c r="AG45" s="1201"/>
      <c r="AH45" s="1201"/>
      <c r="AI45" s="1201"/>
      <c r="AJ45" s="1201"/>
      <c r="AK45" s="1201"/>
      <c r="AL45" s="1201"/>
      <c r="AM45" s="1201"/>
      <c r="AN45" s="1201"/>
      <c r="AO45" s="1201"/>
      <c r="AP45" s="1201"/>
      <c r="AQ45" s="1201"/>
      <c r="AR45" s="1201"/>
      <c r="AS45" s="1201"/>
      <c r="AT45" s="1201"/>
      <c r="AU45" s="1201"/>
      <c r="AV45" s="1201"/>
      <c r="AW45" s="406"/>
      <c r="AX45"/>
      <c r="AY45"/>
      <c r="AZ45"/>
      <c r="BA45" s="1193" t="str">
        <f>IF('Registo Calibração'!AT15="","",'Registo Calibração'!AX15)</f>
        <v/>
      </c>
      <c r="BB45" s="1193"/>
      <c r="BC45" s="1193"/>
      <c r="BD45" s="1193"/>
      <c r="BE45" s="1193"/>
      <c r="BF45" s="1193"/>
      <c r="BG45" s="1193"/>
      <c r="BH45" s="1193"/>
      <c r="BI45" s="1193"/>
      <c r="BJ45" s="1193"/>
      <c r="CI45" s="450"/>
      <c r="CJ45" s="450"/>
      <c r="CK45" s="450"/>
      <c r="CL45" s="450"/>
      <c r="CM45" s="450"/>
      <c r="CN45" s="450"/>
      <c r="CO45" s="450"/>
      <c r="CP45" s="450"/>
      <c r="CQ45" s="450"/>
      <c r="CR45" s="450"/>
      <c r="CS45" s="450"/>
    </row>
    <row r="46" spans="1:99" ht="15.75">
      <c r="O46" s="869" t="str">
        <f>IF('Registo Calibração'!AT16="","",'Registo Calibração'!AV16)</f>
        <v/>
      </c>
      <c r="P46" s="869"/>
      <c r="Q46" s="869"/>
      <c r="R46" s="869"/>
      <c r="S46" s="869"/>
      <c r="T46" s="869"/>
      <c r="U46" s="869"/>
      <c r="V46" s="869"/>
      <c r="W46" s="90"/>
      <c r="X46" s="1201" t="str">
        <f>IF('Registo Calibração'!AT16="","",'Registo Calibração'!AW16)</f>
        <v/>
      </c>
      <c r="Y46" s="1201"/>
      <c r="Z46" s="1201"/>
      <c r="AA46" s="1201"/>
      <c r="AB46" s="1201"/>
      <c r="AC46" s="1201"/>
      <c r="AD46" s="1201"/>
      <c r="AE46" s="1201"/>
      <c r="AF46" s="1201"/>
      <c r="AG46" s="1201"/>
      <c r="AH46" s="1201"/>
      <c r="AI46" s="1201"/>
      <c r="AJ46" s="1201"/>
      <c r="AK46" s="1201"/>
      <c r="AL46" s="1201"/>
      <c r="AM46" s="1201"/>
      <c r="AN46" s="1201"/>
      <c r="AO46" s="1201"/>
      <c r="AP46" s="1201"/>
      <c r="AQ46" s="1201"/>
      <c r="AR46" s="1201"/>
      <c r="AS46" s="1201"/>
      <c r="AT46" s="1201"/>
      <c r="AU46" s="1201"/>
      <c r="AV46" s="1201"/>
      <c r="AW46" s="406"/>
      <c r="AX46"/>
      <c r="AY46"/>
      <c r="AZ46"/>
      <c r="BA46" s="1193" t="str">
        <f>IF('Registo Calibração'!AT16="","",'Registo Calibração'!AX16)</f>
        <v/>
      </c>
      <c r="BB46" s="1193"/>
      <c r="BC46" s="1193"/>
      <c r="BD46" s="1193"/>
      <c r="BE46" s="1193"/>
      <c r="BF46" s="1193"/>
      <c r="BG46" s="1193"/>
      <c r="BH46" s="1193"/>
      <c r="BI46" s="1193"/>
      <c r="BJ46" s="1193"/>
      <c r="CI46" s="450"/>
      <c r="CJ46" s="450"/>
      <c r="CK46" s="450"/>
      <c r="CL46" s="450"/>
      <c r="CM46" s="450"/>
      <c r="CN46" s="450"/>
      <c r="CO46" s="450"/>
      <c r="CP46" s="450"/>
      <c r="CQ46" s="450"/>
      <c r="CR46" s="450"/>
      <c r="CS46" s="450"/>
    </row>
    <row r="47" spans="1:99" ht="15.75">
      <c r="A47" s="4"/>
      <c r="O47" s="869" t="str">
        <f>IF('Registo Calibração'!AT17="","",'Registo Calibração'!AV17)</f>
        <v/>
      </c>
      <c r="P47" s="869"/>
      <c r="Q47" s="869"/>
      <c r="R47" s="869"/>
      <c r="S47" s="869"/>
      <c r="T47" s="869"/>
      <c r="U47" s="869"/>
      <c r="V47" s="869"/>
      <c r="W47" s="90"/>
      <c r="X47" s="1201" t="str">
        <f>IF('Registo Calibração'!AT17="","",'Registo Calibração'!AW17)</f>
        <v/>
      </c>
      <c r="Y47" s="1201"/>
      <c r="Z47" s="1201"/>
      <c r="AA47" s="1201"/>
      <c r="AB47" s="1201"/>
      <c r="AC47" s="1201"/>
      <c r="AD47" s="1201"/>
      <c r="AE47" s="1201"/>
      <c r="AF47" s="1201"/>
      <c r="AG47" s="1201"/>
      <c r="AH47" s="1201"/>
      <c r="AI47" s="1201"/>
      <c r="AJ47" s="1201"/>
      <c r="AK47" s="1201"/>
      <c r="AL47" s="1201"/>
      <c r="AM47" s="1201"/>
      <c r="AN47" s="1201"/>
      <c r="AO47" s="1201"/>
      <c r="AP47" s="1201"/>
      <c r="AQ47" s="1201"/>
      <c r="AR47" s="1201"/>
      <c r="AS47" s="1201"/>
      <c r="AT47" s="1201"/>
      <c r="AU47" s="1201"/>
      <c r="AV47" s="1201"/>
      <c r="AW47" s="406"/>
      <c r="AX47"/>
      <c r="AY47"/>
      <c r="AZ47"/>
      <c r="BA47" s="1193" t="str">
        <f>IF('Registo Calibração'!AT17="","",'Registo Calibração'!AX17)</f>
        <v/>
      </c>
      <c r="BB47" s="1193"/>
      <c r="BC47" s="1193"/>
      <c r="BD47" s="1193"/>
      <c r="BE47" s="1193"/>
      <c r="BF47" s="1193"/>
      <c r="BG47" s="1193"/>
      <c r="BH47" s="1193"/>
      <c r="BI47" s="1193"/>
      <c r="BJ47" s="1193"/>
      <c r="CI47" s="450"/>
      <c r="CJ47" s="450"/>
      <c r="CK47" s="450"/>
      <c r="CL47" s="450"/>
      <c r="CM47" s="450"/>
      <c r="CN47" s="450"/>
      <c r="CO47" s="450"/>
      <c r="CP47" s="450"/>
      <c r="CQ47" s="450"/>
      <c r="CR47" s="450"/>
      <c r="CS47" s="450"/>
    </row>
    <row r="48" spans="1:99" ht="19.5" customHeight="1">
      <c r="O48" s="1202" t="str">
        <f>IF('Registo Calibração'!AT18="","",'Registo Calibração'!AV18)</f>
        <v/>
      </c>
      <c r="P48" s="1202"/>
      <c r="Q48" s="1202"/>
      <c r="R48" s="1202"/>
      <c r="S48" s="1202"/>
      <c r="T48" s="1202"/>
      <c r="U48" s="1202"/>
      <c r="V48" s="1202"/>
      <c r="W48" s="90"/>
      <c r="X48" s="1201" t="str">
        <f>IF('Registo Calibração'!AT18="","",'Registo Calibração'!AW18)</f>
        <v/>
      </c>
      <c r="Y48" s="1201"/>
      <c r="Z48" s="1201"/>
      <c r="AA48" s="1201"/>
      <c r="AB48" s="1201"/>
      <c r="AC48" s="1201"/>
      <c r="AD48" s="1201"/>
      <c r="AE48" s="1201"/>
      <c r="AF48" s="1201"/>
      <c r="AG48" s="1201"/>
      <c r="AH48" s="1201"/>
      <c r="AI48" s="1201"/>
      <c r="AJ48" s="1201"/>
      <c r="AK48" s="1201"/>
      <c r="AL48" s="1201"/>
      <c r="AM48" s="1201"/>
      <c r="AN48" s="1201"/>
      <c r="AO48" s="1201"/>
      <c r="AP48" s="1201"/>
      <c r="AQ48" s="1201"/>
      <c r="AR48" s="1201"/>
      <c r="AS48" s="1201"/>
      <c r="AT48" s="1201"/>
      <c r="AU48" s="1201"/>
      <c r="AV48" s="1201"/>
      <c r="AW48" s="406"/>
      <c r="AX48"/>
      <c r="AY48"/>
      <c r="AZ48"/>
      <c r="BA48" s="454"/>
      <c r="BB48" s="454"/>
      <c r="BC48" s="454"/>
      <c r="BD48" s="454"/>
      <c r="BE48" s="454"/>
      <c r="BF48" s="454"/>
      <c r="BG48" s="454"/>
      <c r="BH48" s="454"/>
      <c r="BI48" s="454"/>
      <c r="BJ48" s="454"/>
    </row>
    <row r="49" spans="1:99" ht="27.75" customHeight="1">
      <c r="O49" s="1202" t="str">
        <f>IF('Registo Calibração'!AT19="","",'Registo Calibração'!AV19)</f>
        <v/>
      </c>
      <c r="P49" s="1202"/>
      <c r="Q49" s="1202"/>
      <c r="R49" s="1202"/>
      <c r="S49" s="1202"/>
      <c r="T49" s="1202"/>
      <c r="U49" s="1202"/>
      <c r="V49" s="1202"/>
      <c r="W49" s="90"/>
      <c r="X49" s="1201" t="str">
        <f>IF('Registo Calibração'!AT19="","",'Registo Calibração'!AW19)</f>
        <v/>
      </c>
      <c r="Y49" s="1201"/>
      <c r="Z49" s="1201"/>
      <c r="AA49" s="1201"/>
      <c r="AB49" s="1201"/>
      <c r="AC49" s="1201"/>
      <c r="AD49" s="1201"/>
      <c r="AE49" s="1201"/>
      <c r="AF49" s="1201"/>
      <c r="AG49" s="1201"/>
      <c r="AH49" s="1201"/>
      <c r="AI49" s="1201"/>
      <c r="AJ49" s="1201"/>
      <c r="AK49" s="1201"/>
      <c r="AL49" s="1201"/>
      <c r="AM49" s="1201"/>
      <c r="AN49" s="1201"/>
      <c r="AO49" s="1201"/>
      <c r="AP49" s="1201"/>
      <c r="AQ49" s="1201"/>
      <c r="AR49" s="1201"/>
      <c r="AS49" s="1201"/>
      <c r="AT49" s="1201"/>
      <c r="AU49" s="1201"/>
      <c r="AV49" s="1201"/>
      <c r="AW49" s="406"/>
      <c r="AX49"/>
      <c r="AY49"/>
      <c r="AZ49"/>
      <c r="BA49"/>
      <c r="BB49" s="450"/>
    </row>
    <row r="50" spans="1:99" ht="15.75" customHeight="1">
      <c r="B50" s="428" t="s">
        <v>399</v>
      </c>
      <c r="E50" s="90"/>
      <c r="F50" s="90"/>
      <c r="G50" s="90"/>
      <c r="H50" s="90"/>
      <c r="I50" s="90"/>
      <c r="J50" s="90"/>
      <c r="K50" s="90"/>
      <c r="L50" s="90"/>
      <c r="M50" s="90"/>
      <c r="N50" s="1200" t="str">
        <f>CONCATENATE('Registo Calibração'!AW26," ",'Registo Calibração'!AW31)</f>
        <v>A incerteza expandida de medição apresentada, é indicada como a incerteza padrão da medição, multiplicada por um fator de cobertura "k" tal, que a probabilidade de cobertura corresponde a aproximadamente 95%. A incerteza foi calculada de acordo com o Doc. EA-4/02."</v>
      </c>
      <c r="O50" s="1200"/>
      <c r="P50" s="1200"/>
      <c r="Q50" s="1200"/>
      <c r="R50" s="1200"/>
      <c r="S50" s="1200"/>
      <c r="T50" s="1200"/>
      <c r="U50" s="1200"/>
      <c r="V50" s="1200"/>
      <c r="W50" s="1200"/>
      <c r="X50" s="1200"/>
      <c r="Y50" s="1200"/>
      <c r="Z50" s="1200"/>
      <c r="AA50" s="1200"/>
      <c r="AB50" s="1200"/>
      <c r="AC50" s="1200"/>
      <c r="AD50" s="1200"/>
      <c r="AE50" s="1200"/>
      <c r="AF50" s="1200"/>
      <c r="AG50" s="1200"/>
      <c r="AH50" s="1200"/>
      <c r="AI50" s="1200"/>
      <c r="AJ50" s="1200"/>
      <c r="AK50" s="1200"/>
      <c r="AL50" s="1200"/>
      <c r="AM50" s="1200"/>
      <c r="AN50" s="1200"/>
      <c r="AO50" s="1200"/>
      <c r="AP50" s="1200"/>
      <c r="AQ50" s="1200"/>
      <c r="AR50" s="1200"/>
      <c r="AS50" s="1200"/>
      <c r="AT50" s="1200"/>
      <c r="AU50" s="1200"/>
      <c r="AV50" s="1200"/>
      <c r="AX50"/>
      <c r="AY50"/>
      <c r="AZ50"/>
      <c r="BA50"/>
      <c r="BB50" s="450"/>
      <c r="BC50" s="450"/>
      <c r="BD50" s="450"/>
      <c r="BE50" s="450"/>
      <c r="BF50" s="450"/>
      <c r="BG50" s="450"/>
      <c r="BH50" s="450"/>
      <c r="BI50" s="450"/>
      <c r="BJ50" s="450"/>
      <c r="BK50" s="450"/>
      <c r="BL50" s="450"/>
      <c r="BM50" s="450"/>
      <c r="BN50" s="450"/>
      <c r="BO50" s="450"/>
      <c r="BP50" s="450"/>
      <c r="BQ50" s="450"/>
      <c r="BR50" s="450"/>
      <c r="BS50" s="450"/>
      <c r="BT50" s="450"/>
      <c r="BU50" s="450"/>
      <c r="BV50" s="450"/>
      <c r="BW50" s="450"/>
      <c r="BX50" s="450"/>
      <c r="BY50" s="450"/>
      <c r="BZ50" s="450"/>
      <c r="CA50" s="450"/>
      <c r="CB50" s="450"/>
      <c r="CC50" s="450"/>
      <c r="CD50" s="450"/>
      <c r="CE50" s="450"/>
      <c r="CF50" s="450"/>
      <c r="CG50" s="450"/>
      <c r="CH50" s="450"/>
      <c r="CI50" s="450"/>
      <c r="CJ50" s="450"/>
      <c r="CK50" s="450"/>
      <c r="CL50" s="450"/>
      <c r="CM50" s="450"/>
      <c r="CN50" s="450"/>
      <c r="CO50" s="450"/>
      <c r="CP50" s="450"/>
      <c r="CQ50" s="450"/>
      <c r="CR50" s="450"/>
      <c r="CS50" s="450"/>
      <c r="CT50" s="450"/>
      <c r="CU50" s="450"/>
    </row>
    <row r="51" spans="1:99" ht="48.75" customHeight="1">
      <c r="B51" s="421" t="s">
        <v>400</v>
      </c>
      <c r="E51" s="90"/>
      <c r="F51" s="90"/>
      <c r="G51" s="90"/>
      <c r="H51" s="90"/>
      <c r="I51" s="90"/>
      <c r="J51" s="90"/>
      <c r="K51" s="90"/>
      <c r="L51" s="90"/>
      <c r="M51" s="90"/>
      <c r="N51" s="1200"/>
      <c r="O51" s="1200"/>
      <c r="P51" s="1200"/>
      <c r="Q51" s="1200"/>
      <c r="R51" s="1200"/>
      <c r="S51" s="1200"/>
      <c r="T51" s="1200"/>
      <c r="U51" s="1200"/>
      <c r="V51" s="1200"/>
      <c r="W51" s="1200"/>
      <c r="X51" s="1200"/>
      <c r="Y51" s="1200"/>
      <c r="Z51" s="1200"/>
      <c r="AA51" s="1200"/>
      <c r="AB51" s="1200"/>
      <c r="AC51" s="1200"/>
      <c r="AD51" s="1200"/>
      <c r="AE51" s="1200"/>
      <c r="AF51" s="1200"/>
      <c r="AG51" s="1200"/>
      <c r="AH51" s="1200"/>
      <c r="AI51" s="1200"/>
      <c r="AJ51" s="1200"/>
      <c r="AK51" s="1200"/>
      <c r="AL51" s="1200"/>
      <c r="AM51" s="1200"/>
      <c r="AN51" s="1200"/>
      <c r="AO51" s="1200"/>
      <c r="AP51" s="1200"/>
      <c r="AQ51" s="1200"/>
      <c r="AR51" s="1200"/>
      <c r="AS51" s="1200"/>
      <c r="AT51" s="1200"/>
      <c r="AU51" s="1200"/>
      <c r="AV51" s="1200"/>
      <c r="AX51"/>
      <c r="AY51"/>
      <c r="AZ51"/>
      <c r="BA51"/>
      <c r="BB51" s="450"/>
    </row>
    <row r="52" spans="1:99" ht="15.75" customHeight="1">
      <c r="B52" s="1208" t="str">
        <f>IF('Registo Calibração'!AI5="","",'Registo Calibração'!AI5)</f>
        <v/>
      </c>
      <c r="C52" s="1208"/>
      <c r="D52" s="1208"/>
      <c r="E52" s="1208"/>
      <c r="F52" s="1208"/>
      <c r="G52" s="1208"/>
      <c r="H52" s="1208"/>
      <c r="I52" s="1208"/>
      <c r="J52" s="1208"/>
      <c r="K52" s="1208"/>
      <c r="L52" s="1208"/>
      <c r="M52" s="1208"/>
      <c r="N52" s="1208"/>
      <c r="O52" s="1208"/>
      <c r="P52" s="1208"/>
      <c r="Q52" s="1208"/>
      <c r="R52" s="1208"/>
      <c r="S52" s="1208"/>
      <c r="T52" s="1208"/>
      <c r="U52" s="1208"/>
      <c r="V52" s="1208"/>
      <c r="W52" s="1208"/>
      <c r="X52" s="1208"/>
      <c r="Y52" s="1208"/>
      <c r="Z52" s="1208"/>
      <c r="AA52" s="1208"/>
      <c r="AB52" s="1208"/>
      <c r="AC52" s="1208"/>
      <c r="AD52" s="1208"/>
      <c r="AE52" s="1208"/>
      <c r="AF52" s="1208"/>
      <c r="AG52" s="1208"/>
      <c r="AH52" s="1208"/>
      <c r="AI52" s="1208"/>
      <c r="AJ52" s="1208"/>
      <c r="AK52" s="1208"/>
      <c r="AL52" s="1208"/>
      <c r="AM52" s="1208"/>
      <c r="AN52" s="1208"/>
      <c r="AO52" s="1208"/>
      <c r="AP52" s="1208"/>
      <c r="AQ52" s="1208"/>
      <c r="AR52" s="1208"/>
      <c r="AS52" s="1208"/>
      <c r="AT52" s="1208"/>
      <c r="AU52" s="1208"/>
      <c r="AV52" s="1208"/>
      <c r="AW52" s="406"/>
      <c r="AX52"/>
      <c r="AY52"/>
      <c r="AZ52"/>
      <c r="BA52" s="1239"/>
      <c r="BB52" s="1239"/>
      <c r="BC52" s="1239"/>
      <c r="BD52" s="1239"/>
      <c r="BE52" s="1239"/>
      <c r="BF52" s="1239"/>
      <c r="BG52" s="1239"/>
      <c r="BH52" s="1239"/>
      <c r="BI52" s="1239"/>
      <c r="BJ52" s="1239"/>
      <c r="BK52" s="1239"/>
      <c r="BL52" s="1239"/>
      <c r="BM52" s="1239"/>
      <c r="BN52" s="1239"/>
      <c r="BO52" s="1239"/>
      <c r="BP52" s="1239"/>
      <c r="BQ52" s="1239"/>
      <c r="BR52" s="1239"/>
      <c r="BS52" s="1239"/>
      <c r="BT52" s="1239"/>
      <c r="BU52" s="1239"/>
      <c r="BV52" s="1239"/>
      <c r="BW52" s="1239"/>
      <c r="BX52" s="1239"/>
      <c r="BY52" s="1239"/>
      <c r="BZ52" s="1239"/>
      <c r="CA52" s="1239"/>
      <c r="CB52" s="1239"/>
      <c r="CC52" s="1239"/>
      <c r="CD52" s="1239"/>
      <c r="CE52" s="1239"/>
      <c r="CF52" s="1239"/>
      <c r="CG52" s="1239"/>
      <c r="CH52" s="1239"/>
      <c r="CI52" s="1239"/>
      <c r="CJ52" s="1239"/>
      <c r="CK52" s="1239"/>
      <c r="CL52" s="1239"/>
      <c r="CM52" s="1239"/>
      <c r="CN52" s="1239"/>
      <c r="CO52" s="1239"/>
      <c r="CP52" s="1239"/>
      <c r="CQ52" s="1239"/>
      <c r="CR52" s="1239"/>
      <c r="CS52" s="1239"/>
    </row>
    <row r="53" spans="1:99" ht="21" customHeight="1">
      <c r="B53" s="1242" t="str">
        <f>'Registo Calibração'!AI9</f>
        <v/>
      </c>
      <c r="C53" s="1242"/>
      <c r="D53" s="1242"/>
      <c r="E53" s="1242"/>
      <c r="F53" s="1242"/>
      <c r="G53" s="1242"/>
      <c r="H53" s="1242"/>
      <c r="I53" s="1242"/>
      <c r="J53" s="1242"/>
      <c r="K53" s="1242"/>
      <c r="L53" s="1242"/>
      <c r="M53" s="1242"/>
      <c r="N53" s="1242"/>
      <c r="O53" s="1242"/>
      <c r="P53" s="1242"/>
      <c r="Q53" s="1242"/>
      <c r="R53" s="1242"/>
      <c r="S53" s="1242"/>
      <c r="T53" s="1242"/>
      <c r="U53" s="1242"/>
      <c r="V53" s="1242"/>
      <c r="W53" s="1242"/>
      <c r="X53" s="1242"/>
      <c r="Y53" s="1242"/>
      <c r="Z53" s="1242"/>
      <c r="AA53" s="1242"/>
      <c r="AB53" s="1242"/>
      <c r="AC53" s="1242"/>
      <c r="AD53" s="1242"/>
      <c r="AE53" s="1242"/>
      <c r="AF53" s="1242"/>
      <c r="AG53" s="1242"/>
      <c r="AH53" s="1242"/>
      <c r="AI53" s="1242"/>
      <c r="AJ53" s="1242"/>
      <c r="AK53" s="1242"/>
      <c r="AL53" s="1242"/>
      <c r="AM53" s="1242"/>
      <c r="AN53" s="1242"/>
      <c r="AO53" s="1242"/>
      <c r="AP53" s="1242"/>
      <c r="AQ53" s="1242"/>
      <c r="AR53" s="1242"/>
      <c r="AS53" s="1242"/>
      <c r="AT53" s="1242"/>
      <c r="AU53" s="1242"/>
      <c r="AV53" s="1242"/>
      <c r="AW53" s="406"/>
      <c r="AX53"/>
      <c r="AY53"/>
      <c r="AZ53"/>
      <c r="BA53" s="1239"/>
      <c r="BB53" s="1239"/>
      <c r="BC53" s="1239"/>
      <c r="BD53" s="1239"/>
      <c r="BE53" s="1239"/>
      <c r="BF53" s="1239"/>
      <c r="BG53" s="1239"/>
      <c r="BH53" s="1239"/>
      <c r="BI53" s="1239"/>
      <c r="BJ53" s="1239"/>
      <c r="BK53" s="1239"/>
      <c r="BL53" s="1239"/>
      <c r="BM53" s="1239"/>
      <c r="BN53" s="1239"/>
      <c r="BO53" s="1239"/>
      <c r="BP53" s="1239"/>
      <c r="BQ53" s="1239"/>
      <c r="BR53" s="1239"/>
      <c r="BS53" s="1239"/>
      <c r="BT53" s="1239"/>
      <c r="BU53" s="1239"/>
      <c r="BV53" s="1239"/>
      <c r="BW53" s="1239"/>
      <c r="BX53" s="1239"/>
      <c r="BY53" s="1239"/>
      <c r="BZ53" s="1239"/>
      <c r="CA53" s="1239"/>
      <c r="CB53" s="1239"/>
      <c r="CC53" s="1239"/>
      <c r="CD53" s="1239"/>
      <c r="CE53" s="1239"/>
      <c r="CF53" s="1239"/>
      <c r="CG53" s="1239"/>
      <c r="CH53" s="1239"/>
      <c r="CI53" s="1239"/>
      <c r="CJ53" s="1239"/>
      <c r="CK53" s="1239"/>
      <c r="CL53" s="1239"/>
      <c r="CM53" s="1239"/>
      <c r="CN53" s="1239"/>
      <c r="CO53" s="1239"/>
      <c r="CP53" s="1239"/>
      <c r="CQ53" s="1239"/>
      <c r="CR53" s="1239"/>
      <c r="CS53" s="1239"/>
    </row>
    <row r="54" spans="1:99" ht="30.75" customHeight="1">
      <c r="B54" s="1242"/>
      <c r="C54" s="1242"/>
      <c r="D54" s="1242"/>
      <c r="E54" s="1242"/>
      <c r="F54" s="1242"/>
      <c r="G54" s="1242"/>
      <c r="H54" s="1242"/>
      <c r="I54" s="1242"/>
      <c r="J54" s="1242"/>
      <c r="K54" s="1242"/>
      <c r="L54" s="1242"/>
      <c r="M54" s="1242"/>
      <c r="N54" s="1242"/>
      <c r="O54" s="1242"/>
      <c r="P54" s="1242"/>
      <c r="Q54" s="1242"/>
      <c r="R54" s="1242"/>
      <c r="S54" s="1242"/>
      <c r="T54" s="1242"/>
      <c r="U54" s="1242"/>
      <c r="V54" s="1242"/>
      <c r="W54" s="1242"/>
      <c r="X54" s="1242"/>
      <c r="Y54" s="1242"/>
      <c r="Z54" s="1242"/>
      <c r="AA54" s="1242"/>
      <c r="AB54" s="1242"/>
      <c r="AC54" s="1242"/>
      <c r="AD54" s="1242"/>
      <c r="AE54" s="1242"/>
      <c r="AF54" s="1242"/>
      <c r="AG54" s="1242"/>
      <c r="AH54" s="1242"/>
      <c r="AI54" s="1242"/>
      <c r="AJ54" s="1242"/>
      <c r="AK54" s="1242"/>
      <c r="AL54" s="1242"/>
      <c r="AM54" s="1242"/>
      <c r="AN54" s="1242"/>
      <c r="AO54" s="1242"/>
      <c r="AP54" s="1242"/>
      <c r="AQ54" s="1242"/>
      <c r="AR54" s="1242"/>
      <c r="AS54" s="1242"/>
      <c r="AT54" s="1242"/>
      <c r="AU54" s="1242"/>
      <c r="AV54" s="1242"/>
      <c r="AW54" s="406"/>
      <c r="AX54"/>
      <c r="AY54"/>
      <c r="AZ54"/>
      <c r="BA54" s="1239"/>
      <c r="BB54" s="1239"/>
      <c r="BC54" s="1239"/>
      <c r="BD54" s="1239"/>
      <c r="BE54" s="1239"/>
      <c r="BF54" s="1239"/>
      <c r="BG54" s="1239"/>
      <c r="BH54" s="1239"/>
      <c r="BI54" s="1239"/>
      <c r="BJ54" s="1239"/>
      <c r="BK54" s="1239"/>
      <c r="BL54" s="1239"/>
      <c r="BM54" s="1239"/>
      <c r="BN54" s="1239"/>
      <c r="BO54" s="1239"/>
      <c r="BP54" s="1239"/>
      <c r="BQ54" s="1239"/>
      <c r="BR54" s="1239"/>
      <c r="BS54" s="1239"/>
      <c r="BT54" s="1239"/>
      <c r="BU54" s="1239"/>
      <c r="BV54" s="1239"/>
      <c r="BW54" s="1239"/>
      <c r="BX54" s="1239"/>
      <c r="BY54" s="1239"/>
      <c r="BZ54" s="1239"/>
      <c r="CA54" s="1239"/>
      <c r="CB54" s="1239"/>
      <c r="CC54" s="1239"/>
      <c r="CD54" s="1239"/>
      <c r="CE54" s="1239"/>
      <c r="CF54" s="1239"/>
      <c r="CG54" s="1239"/>
      <c r="CH54" s="1239"/>
      <c r="CI54" s="1239"/>
      <c r="CJ54" s="1239"/>
      <c r="CK54" s="1239"/>
      <c r="CL54" s="1239"/>
      <c r="CM54" s="1239"/>
      <c r="CN54" s="1239"/>
      <c r="CO54" s="1239"/>
      <c r="CP54" s="1239"/>
      <c r="CQ54" s="1239"/>
      <c r="CR54" s="1239"/>
      <c r="CS54" s="1239"/>
    </row>
    <row r="55" spans="1:99" ht="46.5" customHeight="1">
      <c r="B55" s="1247" t="s">
        <v>445</v>
      </c>
      <c r="C55" s="1248"/>
      <c r="D55" s="1248"/>
      <c r="E55" s="1248"/>
      <c r="F55" s="1248"/>
      <c r="G55" s="1248"/>
      <c r="H55" s="1248"/>
      <c r="I55" s="1248"/>
      <c r="J55" s="1248"/>
      <c r="K55" s="1248"/>
      <c r="L55" s="1248"/>
      <c r="M55" s="1248"/>
      <c r="N55" s="1248"/>
      <c r="O55" s="1248"/>
      <c r="P55" s="1248"/>
      <c r="Q55" s="1248"/>
      <c r="R55" s="1248"/>
      <c r="S55" s="1248"/>
      <c r="T55" s="1248"/>
      <c r="U55" s="1248"/>
      <c r="V55" s="1248"/>
      <c r="W55" s="1248"/>
      <c r="X55" s="1248"/>
      <c r="Y55" s="1248"/>
      <c r="Z55" s="1248"/>
      <c r="AA55" s="1248"/>
      <c r="AB55" s="1248"/>
      <c r="AC55" s="1248"/>
      <c r="AD55" s="1248"/>
      <c r="AE55" s="1248"/>
      <c r="AF55" s="1248"/>
      <c r="AG55" s="1248"/>
      <c r="AH55" s="1248"/>
      <c r="AI55" s="1248"/>
      <c r="AJ55" s="1248"/>
      <c r="AK55" s="1248"/>
      <c r="AL55" s="1248"/>
      <c r="AM55" s="1248"/>
      <c r="AN55" s="1248"/>
      <c r="AO55" s="1248"/>
      <c r="AP55" s="1248"/>
      <c r="AQ55" s="1248"/>
      <c r="AR55" s="1248"/>
      <c r="AS55" s="1248"/>
      <c r="AT55" s="1248"/>
      <c r="AU55" s="1248"/>
      <c r="AV55" s="1248"/>
      <c r="AW55" s="459"/>
      <c r="AX55"/>
      <c r="AY55"/>
      <c r="AZ55"/>
      <c r="BA55" s="1239"/>
      <c r="BB55" s="1239"/>
      <c r="BC55" s="1239"/>
      <c r="BD55" s="1239"/>
      <c r="BE55" s="1239"/>
      <c r="BF55" s="1239"/>
      <c r="BG55" s="1239"/>
      <c r="BH55" s="1239"/>
      <c r="BI55" s="1239"/>
      <c r="BJ55" s="1239"/>
      <c r="BK55" s="1239"/>
      <c r="BL55" s="1239"/>
      <c r="BM55" s="1239"/>
      <c r="BN55" s="1239"/>
      <c r="BO55" s="1239"/>
      <c r="BP55" s="1239"/>
      <c r="BQ55" s="1239"/>
      <c r="BR55" s="1239"/>
      <c r="BS55" s="1239"/>
      <c r="BT55" s="1239"/>
      <c r="BU55" s="1239"/>
      <c r="BV55" s="1239"/>
      <c r="BW55" s="1239"/>
      <c r="BX55" s="1239"/>
      <c r="BY55" s="1239"/>
      <c r="BZ55" s="1239"/>
      <c r="CA55" s="1239"/>
      <c r="CB55" s="1239"/>
      <c r="CC55" s="1239"/>
      <c r="CD55" s="1239"/>
      <c r="CE55" s="1239"/>
      <c r="CF55" s="1239"/>
      <c r="CG55" s="1239"/>
      <c r="CH55" s="1239"/>
      <c r="CI55" s="1239"/>
      <c r="CJ55" s="1239"/>
      <c r="CK55" s="1239"/>
      <c r="CL55" s="1239"/>
      <c r="CM55" s="1239"/>
      <c r="CN55" s="1239"/>
      <c r="CO55" s="1239"/>
      <c r="CP55" s="1239"/>
      <c r="CQ55" s="1239"/>
      <c r="CR55" s="1239"/>
      <c r="CS55" s="1239"/>
      <c r="CT55" s="450"/>
      <c r="CU55" s="450"/>
    </row>
    <row r="56" spans="1:99" ht="19.5" customHeight="1">
      <c r="B56" s="455" t="s">
        <v>404</v>
      </c>
      <c r="C56" s="455"/>
      <c r="D56" s="455"/>
      <c r="E56" s="455"/>
      <c r="F56" s="455"/>
      <c r="G56" s="1213"/>
      <c r="H56" s="1213"/>
      <c r="I56" s="1213"/>
      <c r="J56" s="1213"/>
      <c r="K56" s="1213"/>
      <c r="L56" s="1213"/>
      <c r="M56" s="1213"/>
      <c r="N56" s="1213"/>
      <c r="O56" s="1213"/>
      <c r="P56" s="1213"/>
      <c r="Q56" s="1213"/>
      <c r="R56" s="1213"/>
      <c r="S56" s="1213"/>
      <c r="T56" s="1213"/>
      <c r="W56" s="455"/>
      <c r="X56" s="456" t="s">
        <v>405</v>
      </c>
      <c r="Y56" s="455"/>
      <c r="Z56" s="455"/>
      <c r="AA56" s="455"/>
      <c r="AB56" s="455"/>
      <c r="AC56" s="455"/>
      <c r="AD56" s="455"/>
      <c r="AE56" s="455"/>
      <c r="AF56" s="455"/>
      <c r="AG56" s="1215"/>
      <c r="AH56" s="1215"/>
      <c r="AI56" s="1215"/>
      <c r="AJ56" s="1215"/>
      <c r="AK56" s="1215"/>
      <c r="AL56" s="1215"/>
      <c r="AM56" s="1215"/>
      <c r="AN56" s="1215"/>
      <c r="AO56" s="1215"/>
      <c r="AP56" s="1215"/>
      <c r="AQ56" s="1215"/>
      <c r="AR56" s="1215"/>
      <c r="AS56" s="1215"/>
      <c r="AT56" s="1215"/>
      <c r="AX56"/>
      <c r="AY56"/>
      <c r="AZ56"/>
      <c r="BA56"/>
      <c r="BB56" s="450"/>
      <c r="BC56" s="450"/>
      <c r="BD56" s="450"/>
      <c r="BE56" s="450"/>
      <c r="BF56" s="450"/>
      <c r="BG56" s="450"/>
      <c r="BH56" s="450"/>
      <c r="BI56" s="450"/>
      <c r="BJ56" s="450"/>
      <c r="BK56" s="450"/>
      <c r="BL56" s="450"/>
      <c r="BM56" s="450"/>
      <c r="BN56" s="450"/>
      <c r="BO56" s="450"/>
      <c r="BP56" s="450"/>
      <c r="BQ56" s="450"/>
      <c r="BR56" s="450"/>
      <c r="BS56" s="450"/>
      <c r="BT56" s="450"/>
      <c r="BU56" s="450"/>
      <c r="BV56" s="450"/>
      <c r="BW56" s="450"/>
      <c r="BX56" s="450"/>
      <c r="BY56" s="450"/>
      <c r="BZ56" s="450"/>
      <c r="CA56" s="450"/>
      <c r="CB56" s="450"/>
      <c r="CC56" s="450"/>
      <c r="CD56" s="450"/>
      <c r="CE56" s="450"/>
      <c r="CF56" s="450"/>
      <c r="CG56" s="450"/>
      <c r="CH56" s="450"/>
      <c r="CI56" s="450"/>
      <c r="CJ56" s="450"/>
      <c r="CK56" s="450"/>
      <c r="CL56" s="450"/>
      <c r="CM56" s="450"/>
      <c r="CN56" s="450"/>
      <c r="CO56" s="450"/>
      <c r="CP56" s="450"/>
      <c r="CQ56" s="450"/>
      <c r="CR56" s="450"/>
      <c r="CS56" s="450"/>
      <c r="CT56" s="450"/>
      <c r="CU56" s="450"/>
    </row>
    <row r="57" spans="1:99" ht="21.75" customHeight="1">
      <c r="G57" s="34"/>
      <c r="H57" s="34"/>
      <c r="I57" s="1214" t="str">
        <f>VLOOKUP('Registo Calibração'!AV$112,'Registo Calibração'!AT$102:$AU$110,2)</f>
        <v>Vitor Rodrigues</v>
      </c>
      <c r="J57" s="1214"/>
      <c r="K57" s="1214"/>
      <c r="L57" s="1214"/>
      <c r="M57" s="1214"/>
      <c r="N57" s="1214"/>
      <c r="O57" s="1214"/>
      <c r="P57" s="1214"/>
      <c r="Q57" s="1214"/>
      <c r="R57" s="1214"/>
      <c r="S57" s="457"/>
      <c r="T57" s="457"/>
      <c r="U57" s="458"/>
      <c r="V57" s="458"/>
      <c r="W57" s="458"/>
      <c r="X57" s="458"/>
      <c r="Y57" s="458"/>
      <c r="Z57" s="458"/>
      <c r="AA57" s="458"/>
      <c r="AB57" s="458"/>
      <c r="AC57" s="458"/>
      <c r="AD57" s="458"/>
      <c r="AE57" s="458"/>
      <c r="AF57" s="458"/>
      <c r="AG57" s="457"/>
      <c r="AH57" s="457"/>
      <c r="AI57" s="1214" t="s">
        <v>96</v>
      </c>
      <c r="AJ57" s="1214"/>
      <c r="AK57" s="1214"/>
      <c r="AL57" s="1214"/>
      <c r="AM57" s="1214"/>
      <c r="AN57" s="1214"/>
      <c r="AO57" s="1214"/>
      <c r="AP57" s="1214"/>
      <c r="AQ57" s="1214"/>
      <c r="AR57" s="1214"/>
      <c r="AS57" s="34"/>
      <c r="AT57" s="34"/>
      <c r="AW57" s="406"/>
      <c r="AX57"/>
      <c r="AY57"/>
      <c r="AZ57"/>
    </row>
    <row r="58" spans="1:99" ht="18.75" customHeight="1">
      <c r="A58" s="1246" t="s">
        <v>403</v>
      </c>
      <c r="B58" s="1246"/>
      <c r="C58" s="1246"/>
      <c r="D58" s="1246"/>
      <c r="E58" s="1246"/>
      <c r="F58" s="1246"/>
      <c r="G58" s="1246"/>
      <c r="H58" s="1246"/>
      <c r="I58" s="1246"/>
      <c r="J58" s="1246"/>
      <c r="K58" s="1246"/>
      <c r="L58" s="1246"/>
      <c r="M58" s="1246"/>
      <c r="N58" s="1246"/>
      <c r="O58" s="1246"/>
      <c r="P58" s="1246"/>
      <c r="Q58" s="1246"/>
      <c r="R58" s="1246"/>
      <c r="S58" s="1246"/>
      <c r="T58" s="1246"/>
      <c r="U58" s="1246"/>
      <c r="V58" s="1246"/>
      <c r="W58" s="1246"/>
      <c r="X58" s="1246"/>
      <c r="Y58" s="1246"/>
      <c r="Z58" s="1246"/>
      <c r="AA58" s="1246"/>
      <c r="AB58" s="1246"/>
      <c r="AC58" s="1246"/>
      <c r="AD58" s="1246"/>
      <c r="AE58" s="1246"/>
      <c r="AF58" s="1246"/>
      <c r="AG58" s="1246"/>
      <c r="AH58" s="1246"/>
      <c r="AI58" s="1246"/>
      <c r="AJ58" s="1246"/>
      <c r="AK58" s="1246"/>
      <c r="AL58" s="1246"/>
      <c r="AM58" s="1246"/>
      <c r="AN58" s="1246"/>
      <c r="AO58" s="1246"/>
      <c r="AP58" s="1246"/>
      <c r="AQ58" s="1246"/>
      <c r="AR58" s="1246"/>
      <c r="AS58" s="1246"/>
      <c r="AT58" s="1246"/>
      <c r="AU58" s="1246"/>
      <c r="AV58" s="1246"/>
      <c r="AW58" s="1246"/>
      <c r="AX58"/>
      <c r="AY58"/>
      <c r="AZ58"/>
    </row>
    <row r="59" spans="1:99" ht="53.25" customHeight="1">
      <c r="A59" s="281"/>
      <c r="B59" s="281"/>
      <c r="C59" s="281"/>
      <c r="D59" s="281"/>
      <c r="E59" s="281"/>
      <c r="F59" s="281"/>
      <c r="G59" s="281"/>
      <c r="H59" s="281"/>
      <c r="I59" s="281"/>
      <c r="J59" s="281"/>
      <c r="K59" s="281"/>
      <c r="L59" s="281"/>
      <c r="M59" s="281"/>
      <c r="N59" s="281"/>
      <c r="O59" s="753"/>
      <c r="P59" s="753"/>
      <c r="Q59" s="753"/>
      <c r="R59" s="753"/>
      <c r="S59" s="753"/>
      <c r="T59" s="753"/>
      <c r="U59" s="753"/>
      <c r="V59" s="753"/>
      <c r="W59" s="753"/>
      <c r="X59" s="753"/>
      <c r="Y59" s="754"/>
      <c r="Z59" s="754"/>
      <c r="AA59" s="754"/>
      <c r="AB59" s="754"/>
      <c r="AC59" s="281"/>
      <c r="AD59" s="281"/>
      <c r="AE59" s="281"/>
      <c r="AF59" s="281"/>
      <c r="AG59" s="281"/>
      <c r="AH59" s="281"/>
      <c r="AI59" s="281"/>
      <c r="AJ59" s="281"/>
      <c r="AK59" s="281"/>
      <c r="AL59" s="281"/>
      <c r="AM59" s="281"/>
      <c r="AN59" s="281"/>
      <c r="AO59" s="281"/>
      <c r="AP59" s="281"/>
      <c r="AQ59" s="281"/>
      <c r="AR59" s="281"/>
      <c r="AS59" s="281"/>
      <c r="AT59" s="281"/>
      <c r="AU59" s="281"/>
      <c r="AV59" s="281"/>
      <c r="AW59" s="755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</row>
    <row r="60" spans="1:99" ht="16.5" customHeight="1">
      <c r="AW60" s="406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</row>
    <row r="61" spans="1:99" ht="15" customHeight="1">
      <c r="B61" s="1209" t="s">
        <v>406</v>
      </c>
      <c r="C61" s="1209"/>
      <c r="D61" s="1209"/>
      <c r="E61" s="1209"/>
      <c r="F61" s="1209"/>
      <c r="G61" s="1209"/>
      <c r="H61" s="1209"/>
      <c r="I61" s="1209"/>
      <c r="J61" s="1209"/>
      <c r="K61" s="1249" t="str">
        <f>G4</f>
        <v/>
      </c>
      <c r="L61" s="1249"/>
      <c r="M61" s="1249"/>
      <c r="N61" s="1249"/>
      <c r="O61" s="1249"/>
      <c r="P61" s="1249"/>
      <c r="Q61" s="1249"/>
      <c r="R61" s="1249"/>
      <c r="S61" s="1249"/>
      <c r="V61" s="1211"/>
      <c r="W61" s="1211"/>
      <c r="X61" s="1211"/>
      <c r="Y61" s="1211"/>
      <c r="Z61" s="1211"/>
      <c r="AA61" s="1211"/>
      <c r="AB61" s="1211"/>
      <c r="AC61" s="1211"/>
      <c r="AD61" s="1211"/>
      <c r="AE61" s="1211"/>
      <c r="AF61" s="1211"/>
      <c r="AG61" s="1211"/>
      <c r="AI61" s="460"/>
      <c r="AJ61" s="460"/>
      <c r="AK61" s="460"/>
      <c r="AW61" s="406"/>
      <c r="AX61"/>
      <c r="AY61"/>
      <c r="AZ61"/>
    </row>
    <row r="62" spans="1:99" ht="18.75" customHeight="1">
      <c r="B62" s="1210" t="s">
        <v>408</v>
      </c>
      <c r="C62" s="1210"/>
      <c r="D62" s="1210"/>
      <c r="E62" s="1210"/>
      <c r="F62" s="1210"/>
      <c r="G62" s="1210"/>
      <c r="H62" s="1210"/>
      <c r="V62" s="1211"/>
      <c r="W62" s="1211"/>
      <c r="X62" s="1211"/>
      <c r="Y62" s="1211"/>
      <c r="Z62" s="1211"/>
      <c r="AA62" s="1211"/>
      <c r="AB62" s="1211"/>
      <c r="AC62" s="1211"/>
      <c r="AD62" s="1211"/>
      <c r="AE62" s="1211"/>
      <c r="AF62" s="1211"/>
      <c r="AG62" s="1211"/>
      <c r="AH62" s="410"/>
      <c r="AI62" s="410"/>
      <c r="AJ62" s="410"/>
      <c r="AK62" s="410"/>
      <c r="AL62" s="410"/>
      <c r="AM62" s="410"/>
      <c r="AN62" s="410"/>
      <c r="AO62" s="410"/>
      <c r="AP62" s="410"/>
      <c r="AU62" s="63"/>
      <c r="AW62" s="406"/>
      <c r="AX62"/>
      <c r="AY62"/>
      <c r="AZ62"/>
    </row>
    <row r="63" spans="1:99" ht="24" customHeight="1">
      <c r="V63" s="1212"/>
      <c r="W63" s="1212"/>
      <c r="X63" s="1212"/>
      <c r="Y63" s="1212"/>
      <c r="Z63" s="1212"/>
      <c r="AA63" s="1212"/>
      <c r="AB63" s="1212"/>
      <c r="AC63" s="1212"/>
      <c r="AD63" s="1212"/>
      <c r="AE63" s="1212"/>
      <c r="AF63" s="1212"/>
      <c r="AG63" s="1212"/>
      <c r="AU63" s="63"/>
      <c r="AW63" s="406"/>
      <c r="AX63"/>
      <c r="AY63"/>
      <c r="AZ63"/>
      <c r="BY63" s="468"/>
      <c r="BZ63" s="468"/>
      <c r="CA63" s="468"/>
      <c r="CB63" s="468"/>
      <c r="CC63" s="468"/>
      <c r="CD63" s="468"/>
      <c r="CE63" s="468"/>
      <c r="CF63" s="468"/>
      <c r="CG63" s="468"/>
      <c r="CH63" s="468"/>
      <c r="CI63" s="468"/>
      <c r="CJ63" s="468"/>
      <c r="CK63" s="468"/>
      <c r="CL63" s="468"/>
      <c r="CM63" s="468"/>
    </row>
    <row r="64" spans="1:99" ht="32.25" customHeight="1">
      <c r="A64" s="1"/>
      <c r="B64" s="1252" t="str">
        <f>'Registo Calibração'!$N$10</f>
        <v/>
      </c>
      <c r="C64" s="1252"/>
      <c r="D64" s="1252"/>
      <c r="E64" s="1252"/>
      <c r="F64" s="1252"/>
      <c r="G64" s="1252"/>
      <c r="H64" s="1252"/>
      <c r="I64" s="1252"/>
      <c r="J64" s="1252"/>
      <c r="K64" s="1252"/>
      <c r="L64" s="1252"/>
      <c r="M64" s="1252"/>
      <c r="N64" s="1252"/>
      <c r="O64" s="1252"/>
      <c r="P64" s="1252"/>
      <c r="Q64" s="1252"/>
      <c r="R64" s="1252"/>
      <c r="S64" s="1252"/>
      <c r="T64" s="1252"/>
      <c r="U64" s="1252"/>
      <c r="V64" s="1252"/>
      <c r="W64" s="1252"/>
      <c r="X64" s="1252"/>
      <c r="Y64" s="1252"/>
      <c r="Z64" s="1252"/>
      <c r="AA64" s="1252"/>
      <c r="AB64" s="1252"/>
      <c r="AC64" s="1252"/>
      <c r="AD64" s="1252"/>
      <c r="AE64" s="1252"/>
      <c r="AF64" s="1252"/>
      <c r="AG64" s="1251" t="str">
        <f>'Registo Calibração'!$Q$10</f>
        <v/>
      </c>
      <c r="AH64" s="1251"/>
      <c r="AI64" s="1251"/>
      <c r="AJ64" s="1251"/>
      <c r="AK64" s="1251"/>
      <c r="AL64" s="1251"/>
      <c r="AM64" s="1251"/>
      <c r="AN64" s="1251"/>
      <c r="AO64" s="1250" t="s">
        <v>407</v>
      </c>
      <c r="AP64" s="1250"/>
      <c r="AQ64" s="1250"/>
      <c r="AR64" s="1250"/>
      <c r="AS64" s="1250"/>
      <c r="AT64" s="1250"/>
      <c r="AU64" s="1250"/>
      <c r="AV64" s="1250"/>
      <c r="AW64" s="427"/>
      <c r="AX64"/>
      <c r="AY64"/>
      <c r="AZ64"/>
      <c r="BA64" s="90"/>
      <c r="BB64" s="90"/>
      <c r="CA64" s="468"/>
      <c r="CB64" s="468"/>
      <c r="CC64" s="468"/>
      <c r="CD64" s="468"/>
      <c r="CE64" s="468"/>
      <c r="CF64" s="468"/>
      <c r="CG64" s="468"/>
      <c r="CH64" s="468"/>
      <c r="CI64" s="468"/>
      <c r="CJ64" s="468"/>
      <c r="CK64" s="468"/>
      <c r="CL64" s="468"/>
      <c r="CM64" s="468"/>
      <c r="CN64"/>
      <c r="CO64"/>
      <c r="CP64"/>
      <c r="CQ64"/>
    </row>
    <row r="65" spans="1:190" ht="5.25" customHeight="1">
      <c r="O65" s="411"/>
      <c r="P65" s="411"/>
      <c r="Q65" s="411"/>
      <c r="R65" s="411"/>
      <c r="S65" s="411"/>
      <c r="T65" s="411"/>
      <c r="U65" s="411"/>
      <c r="V65" s="411"/>
      <c r="W65" s="411"/>
      <c r="X65" s="411"/>
      <c r="Y65" s="409"/>
      <c r="Z65" s="409"/>
      <c r="AA65" s="409"/>
      <c r="AB65" s="409"/>
      <c r="AW65" s="406"/>
      <c r="AX65"/>
      <c r="AY65"/>
      <c r="AZ65"/>
      <c r="BA65"/>
      <c r="BB65"/>
      <c r="BC65"/>
      <c r="BD65"/>
      <c r="BE65"/>
      <c r="BF65"/>
      <c r="BG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</row>
    <row r="66" spans="1:190" s="418" customFormat="1" ht="18" customHeight="1">
      <c r="B66" s="417" t="s">
        <v>357</v>
      </c>
      <c r="F66" s="433"/>
      <c r="G66" s="433" t="s">
        <v>394</v>
      </c>
      <c r="O66" s="423" t="str">
        <f>IF('Registo Calibração'!$C$7="","",'Registo Calibração'!$C$7)</f>
        <v/>
      </c>
      <c r="P66" s="424"/>
      <c r="Q66" s="424"/>
      <c r="R66" s="424"/>
      <c r="S66" s="424"/>
      <c r="T66" s="424"/>
      <c r="U66" s="424"/>
      <c r="V66" s="424"/>
      <c r="W66" s="424"/>
      <c r="X66" s="424"/>
      <c r="Y66" s="424"/>
      <c r="AT66" s="405"/>
      <c r="AU66" s="405"/>
      <c r="AV66" s="419"/>
      <c r="AW66" s="406"/>
      <c r="CR66" s="415"/>
      <c r="CS66" s="415"/>
      <c r="CT66" s="415"/>
      <c r="CU66" s="415"/>
      <c r="CV66" s="415"/>
      <c r="CW66" s="415"/>
      <c r="CX66" s="415"/>
      <c r="CY66" s="415"/>
      <c r="CZ66" s="415"/>
      <c r="DA66" s="415"/>
      <c r="DB66" s="415"/>
      <c r="DC66" s="415"/>
      <c r="DD66" s="415"/>
      <c r="DE66" s="415"/>
      <c r="DF66" s="415"/>
      <c r="DG66" s="415"/>
      <c r="DH66" s="415"/>
      <c r="DI66" s="415"/>
      <c r="DJ66" s="415"/>
      <c r="DK66" s="415"/>
      <c r="DL66" s="415"/>
      <c r="DM66" s="415"/>
      <c r="DN66" s="415"/>
      <c r="DO66" s="415"/>
      <c r="DP66" s="415"/>
      <c r="DQ66" s="415"/>
      <c r="DR66" s="415"/>
      <c r="DS66" s="415"/>
      <c r="DT66" s="415"/>
      <c r="DU66" s="415"/>
      <c r="DV66" s="415"/>
      <c r="DW66" s="415"/>
      <c r="DX66" s="415"/>
      <c r="DY66" s="415"/>
      <c r="DZ66" s="415"/>
      <c r="EA66" s="415"/>
      <c r="EB66" s="415"/>
      <c r="EC66" s="415"/>
      <c r="ED66" s="415"/>
      <c r="EE66" s="415"/>
      <c r="EF66" s="415"/>
      <c r="EG66" s="415"/>
      <c r="EH66" s="415"/>
      <c r="EI66" s="415"/>
      <c r="EJ66" s="415"/>
      <c r="EK66" s="415"/>
      <c r="EL66" s="415"/>
      <c r="EM66" s="415"/>
      <c r="EN66" s="415"/>
      <c r="EO66" s="415"/>
      <c r="EP66" s="415"/>
      <c r="EQ66" s="415"/>
      <c r="ER66" s="415"/>
      <c r="ES66" s="415"/>
      <c r="ET66" s="415"/>
      <c r="EU66" s="415"/>
      <c r="EV66" s="415"/>
      <c r="EW66" s="415"/>
      <c r="EX66" s="415"/>
      <c r="EY66" s="415"/>
      <c r="EZ66" s="415"/>
      <c r="FA66" s="415"/>
      <c r="FB66" s="415"/>
      <c r="FC66" s="415"/>
      <c r="FD66" s="415"/>
      <c r="FE66" s="415"/>
      <c r="FF66" s="415"/>
      <c r="FG66" s="415"/>
      <c r="FH66" s="415"/>
      <c r="FI66" s="415"/>
      <c r="FJ66" s="415"/>
      <c r="FK66" s="420"/>
      <c r="FL66" s="420"/>
      <c r="FM66" s="420"/>
      <c r="FN66" s="420"/>
      <c r="FO66" s="420"/>
      <c r="FP66" s="420"/>
      <c r="FQ66" s="420"/>
      <c r="FR66" s="420"/>
      <c r="FS66" s="420"/>
      <c r="FT66" s="420"/>
      <c r="FU66" s="420"/>
      <c r="FV66" s="420"/>
      <c r="FW66" s="420"/>
      <c r="FX66" s="420"/>
      <c r="FY66" s="420"/>
      <c r="FZ66" s="420"/>
      <c r="GA66" s="420"/>
      <c r="GB66" s="420"/>
      <c r="GC66" s="420"/>
      <c r="GD66" s="420"/>
      <c r="GE66" s="420"/>
      <c r="GF66" s="420"/>
      <c r="GG66" s="420"/>
      <c r="GH66" s="420"/>
    </row>
    <row r="67" spans="1:190" ht="3" customHeight="1">
      <c r="B67" s="1217"/>
      <c r="C67" s="1217"/>
      <c r="D67" s="1217"/>
      <c r="E67" s="1217"/>
      <c r="F67" s="421"/>
      <c r="G67" s="421"/>
      <c r="H67" s="421"/>
      <c r="O67" s="421"/>
      <c r="P67" s="414"/>
      <c r="W67" s="449"/>
      <c r="X67" s="449"/>
      <c r="Y67" s="449"/>
      <c r="Z67" s="449"/>
      <c r="AW67" s="406"/>
      <c r="AX67"/>
      <c r="AY67"/>
      <c r="AZ67"/>
      <c r="BA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</row>
    <row r="68" spans="1:190" ht="15.75" customHeight="1">
      <c r="B68" s="417" t="s">
        <v>360</v>
      </c>
      <c r="F68" s="37" t="s">
        <v>393</v>
      </c>
      <c r="O68" s="423" t="str">
        <f>IF('Registo Calibração'!$C$8="","N/C",'Registo Calibração'!$C$8)</f>
        <v>N/C</v>
      </c>
      <c r="P68" s="87"/>
      <c r="Q68" s="425"/>
      <c r="R68" s="425"/>
      <c r="S68" s="425"/>
      <c r="T68" s="425"/>
      <c r="U68" s="425"/>
      <c r="V68" s="425"/>
      <c r="W68" s="425"/>
      <c r="X68" s="425"/>
      <c r="Y68" s="425"/>
      <c r="Z68" s="425"/>
      <c r="AX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</row>
    <row r="69" spans="1:190" ht="3.75" customHeight="1">
      <c r="B69" s="421"/>
      <c r="Z69" s="282"/>
      <c r="AX69"/>
      <c r="AY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</row>
    <row r="70" spans="1:190" ht="13.5" customHeight="1">
      <c r="B70" s="417" t="s">
        <v>361</v>
      </c>
      <c r="G70" s="415" t="s">
        <v>395</v>
      </c>
      <c r="O70" s="423" t="str">
        <f>IF('Registo Calibração'!$C$9="","N/C",'Registo Calibração'!$C$9)</f>
        <v>N/C</v>
      </c>
      <c r="P70" s="423"/>
      <c r="Q70" s="423"/>
      <c r="R70" s="423"/>
      <c r="S70" s="423"/>
      <c r="T70" s="423"/>
      <c r="U70" s="423"/>
      <c r="V70" s="423"/>
      <c r="W70" s="423"/>
      <c r="X70" s="423"/>
      <c r="Y70" s="423"/>
      <c r="AA70" s="462" t="s">
        <v>409</v>
      </c>
      <c r="AC70" s="463"/>
      <c r="AD70" s="463"/>
      <c r="AE70" s="463"/>
      <c r="AF70" s="463"/>
      <c r="AG70" s="463"/>
      <c r="AP70" s="1207">
        <f>'Registo Calibração'!$C$13</f>
        <v>0</v>
      </c>
      <c r="AQ70" s="1207"/>
      <c r="AR70" s="1207"/>
      <c r="AS70" s="1207"/>
      <c r="AT70" s="1207"/>
      <c r="AU70" s="1207"/>
      <c r="AV70" s="1205" t="str">
        <f>'Registo Calibração'!$AV$77</f>
        <v>g</v>
      </c>
      <c r="AW70" s="1205"/>
      <c r="AX70"/>
    </row>
    <row r="71" spans="1:190" ht="3" customHeight="1">
      <c r="B71" s="421"/>
      <c r="AA71" s="282"/>
      <c r="AG71" s="461"/>
      <c r="AH71" s="461"/>
      <c r="AI71" s="461"/>
      <c r="AJ71" s="461"/>
      <c r="AK71" s="461"/>
      <c r="AL71" s="461"/>
      <c r="AM71" s="461"/>
      <c r="AN71" s="461"/>
      <c r="AO71" s="461"/>
      <c r="AP71" s="461"/>
      <c r="AQ71" s="461"/>
      <c r="AR71" s="461"/>
      <c r="AS71" s="461"/>
      <c r="AV71" s="467"/>
      <c r="AW71" s="381"/>
      <c r="AX71" s="2"/>
      <c r="AY71"/>
    </row>
    <row r="72" spans="1:190" ht="15.75" customHeight="1">
      <c r="B72" s="417" t="s">
        <v>362</v>
      </c>
      <c r="C72" s="417"/>
      <c r="D72" s="417"/>
      <c r="E72" s="417"/>
      <c r="F72" s="417"/>
      <c r="G72" s="416" t="s">
        <v>396</v>
      </c>
      <c r="H72" s="417"/>
      <c r="O72" s="1198" t="str">
        <f>IF('Registo Calibração'!$C$10="","N/C",'Registo Calibração'!$C$10)</f>
        <v>N/C</v>
      </c>
      <c r="P72" s="1198"/>
      <c r="Q72" s="1198"/>
      <c r="R72" s="1198"/>
      <c r="S72" s="1198"/>
      <c r="T72" s="1198"/>
      <c r="U72" s="1198"/>
      <c r="V72" s="1198"/>
      <c r="W72" s="1198"/>
      <c r="X72" s="1198"/>
      <c r="Y72" s="1198"/>
      <c r="AA72" s="464" t="s">
        <v>415</v>
      </c>
      <c r="AB72" s="465"/>
      <c r="AC72" s="465"/>
      <c r="AD72" s="465"/>
      <c r="AE72" s="465"/>
      <c r="AF72" s="465"/>
      <c r="AG72" s="418"/>
      <c r="AH72" s="418"/>
      <c r="AI72" s="418"/>
      <c r="AJ72" s="418"/>
      <c r="AK72" s="418"/>
      <c r="AL72" s="418"/>
      <c r="AP72" s="1204" t="str">
        <f>FIXED('Registo Calibração'!$C$14,'Registo Calibração'!AI15)</f>
        <v>0</v>
      </c>
      <c r="AQ72" s="1204"/>
      <c r="AR72" s="1204"/>
      <c r="AS72" s="1204"/>
      <c r="AT72" s="1204"/>
      <c r="AU72" s="1204"/>
      <c r="AV72" s="1205" t="str">
        <f>'Registo Calibração'!$AV$77</f>
        <v>g</v>
      </c>
      <c r="AW72" s="1205"/>
      <c r="AX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/>
    </row>
    <row r="73" spans="1:190" ht="3" customHeight="1">
      <c r="B73" s="421"/>
      <c r="AA73" s="464"/>
      <c r="AO73" s="1204"/>
      <c r="AP73" s="1204"/>
      <c r="AQ73" s="1204"/>
      <c r="AR73" s="1204"/>
      <c r="AS73" s="1204"/>
      <c r="AT73" s="1204"/>
      <c r="AV73" s="466"/>
      <c r="AW73" s="466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</row>
    <row r="74" spans="1:190" ht="15.75" customHeight="1">
      <c r="B74" s="417" t="s">
        <v>363</v>
      </c>
      <c r="C74" s="417"/>
      <c r="D74" s="417"/>
      <c r="E74" s="417"/>
      <c r="F74" s="417"/>
      <c r="H74" s="422"/>
      <c r="I74" s="37" t="s">
        <v>397</v>
      </c>
      <c r="J74" s="422"/>
      <c r="K74" s="422"/>
      <c r="L74" s="422"/>
      <c r="M74" s="422"/>
      <c r="N74" s="422"/>
      <c r="O74" s="425" t="str">
        <f>IF('Registo Calibração'!$C$11="","------",'Registo Calibração'!$C$11)</f>
        <v>------</v>
      </c>
      <c r="AA74" s="464" t="str">
        <f>IF('Registo Calibração'!$E$14="","","Resolução de trabalho (dT):")</f>
        <v/>
      </c>
      <c r="AP74" s="1204" t="str">
        <f>IF('Registo Calibração'!$E$14="","",'Registo Calibração'!$E$14)</f>
        <v/>
      </c>
      <c r="AQ74" s="1204"/>
      <c r="AR74" s="1204"/>
      <c r="AS74" s="1204"/>
      <c r="AT74" s="1204"/>
      <c r="AU74" s="1204"/>
      <c r="AV74" s="1205" t="str">
        <f>IF('Registo Calibração'!$E$14="","",'Registo Calibração'!$AV$77)</f>
        <v/>
      </c>
      <c r="AW74" s="1205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</row>
    <row r="75" spans="1:190" ht="3" customHeight="1">
      <c r="A75" s="1"/>
      <c r="B75" s="426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427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</row>
    <row r="76" spans="1:190" ht="38.25" customHeight="1">
      <c r="AW76" s="406"/>
    </row>
    <row r="77" spans="1:190" s="47" customFormat="1" ht="18" customHeight="1">
      <c r="A77"/>
      <c r="B77" s="1221" t="s">
        <v>410</v>
      </c>
      <c r="C77" s="1221"/>
      <c r="D77" s="1221"/>
      <c r="E77" s="1221"/>
      <c r="F77" s="1221"/>
      <c r="G77" s="1221"/>
      <c r="H77" s="1221"/>
      <c r="I77" s="1221"/>
      <c r="J77" s="1221"/>
      <c r="K77" s="1221"/>
      <c r="L77" s="1221"/>
      <c r="M77" s="1221"/>
      <c r="N77" s="1221"/>
      <c r="O77" s="1221"/>
      <c r="P77" s="1221"/>
      <c r="Q77" s="1221"/>
      <c r="R77" s="1221"/>
      <c r="S77" s="1221"/>
      <c r="T77" s="1221"/>
      <c r="U77" s="1221"/>
      <c r="V77" s="1221"/>
      <c r="W77" s="1221"/>
      <c r="X77" s="1221"/>
      <c r="Y77" s="1221"/>
      <c r="Z77" s="1221"/>
      <c r="AA77" s="1221"/>
      <c r="AB77" s="1221"/>
      <c r="AC77" s="1221"/>
      <c r="AD77" s="1221"/>
      <c r="AE77" s="1221"/>
      <c r="AF77" s="1221"/>
      <c r="AG77" s="1221"/>
      <c r="AH77" s="1221"/>
      <c r="AI77" s="1221"/>
      <c r="AJ77" s="1221"/>
      <c r="AK77" s="1221"/>
      <c r="AL77" s="1221"/>
      <c r="AM77" s="1221"/>
      <c r="AN77" s="1221"/>
      <c r="AO77" s="1221"/>
      <c r="AP77" s="1221"/>
      <c r="AQ77" s="1221"/>
      <c r="AR77" s="1221"/>
      <c r="AS77" s="1221"/>
      <c r="AT77" s="1221"/>
      <c r="AU77" s="1221"/>
      <c r="AV77" s="1221"/>
      <c r="AW77" s="406"/>
      <c r="FK77" s="46"/>
      <c r="FL77" s="46"/>
      <c r="FM77" s="46"/>
      <c r="FN77" s="46"/>
      <c r="FO77" s="46"/>
      <c r="FP77" s="46"/>
      <c r="FQ77" s="46"/>
      <c r="FR77" s="46"/>
      <c r="FS77" s="46"/>
      <c r="FT77" s="46"/>
      <c r="FU77" s="46"/>
      <c r="FV77" s="46"/>
      <c r="FW77" s="46"/>
      <c r="FX77" s="46"/>
      <c r="FY77" s="46"/>
      <c r="FZ77" s="46"/>
      <c r="GA77" s="46"/>
      <c r="GB77" s="46"/>
      <c r="GC77" s="46"/>
      <c r="GD77" s="46"/>
      <c r="GE77" s="46"/>
      <c r="GF77" s="46"/>
      <c r="GG77" s="46"/>
      <c r="GH77" s="46"/>
    </row>
    <row r="78" spans="1:190" s="47" customFormat="1" ht="5.25" customHeigh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 s="406"/>
      <c r="FK78" s="46"/>
      <c r="FL78" s="46"/>
      <c r="FM78" s="46"/>
      <c r="FN78" s="46"/>
      <c r="FO78" s="46"/>
      <c r="FP78" s="46"/>
      <c r="FQ78" s="46"/>
      <c r="FR78" s="46"/>
      <c r="FS78" s="46"/>
      <c r="FT78" s="46"/>
      <c r="FU78" s="46"/>
      <c r="FV78" s="46"/>
      <c r="FW78" s="46"/>
      <c r="FX78" s="46"/>
      <c r="FY78" s="46"/>
      <c r="FZ78" s="46"/>
      <c r="GA78" s="46"/>
      <c r="GB78" s="46"/>
      <c r="GC78" s="46"/>
      <c r="GD78" s="46"/>
      <c r="GE78" s="46"/>
      <c r="GF78" s="46"/>
      <c r="GG78" s="46"/>
      <c r="GH78" s="46"/>
    </row>
    <row r="79" spans="1:190" s="47" customFormat="1" ht="17.25" customHeight="1">
      <c r="A79"/>
      <c r="B79" s="1216" t="s">
        <v>285</v>
      </c>
      <c r="C79" s="1216"/>
      <c r="D79" s="1216"/>
      <c r="E79" s="1216"/>
      <c r="F79" s="1216"/>
      <c r="G79" s="1216"/>
      <c r="H79" s="1216"/>
      <c r="I79" s="1216"/>
      <c r="J79" s="1216"/>
      <c r="K79" s="1216"/>
      <c r="L79" s="1206" t="str">
        <f>CONCATENATE("[ ",$AV$70," ]")</f>
        <v>[ g ]</v>
      </c>
      <c r="M79" s="1206"/>
      <c r="N79" s="1206"/>
      <c r="O79" s="1206"/>
      <c r="P79"/>
      <c r="Q79" s="1216" t="s">
        <v>411</v>
      </c>
      <c r="R79" s="1216"/>
      <c r="S79" s="1216"/>
      <c r="T79" s="1216"/>
      <c r="U79" s="1216"/>
      <c r="V79" s="1216"/>
      <c r="W79" s="1216"/>
      <c r="X79" s="1216"/>
      <c r="Y79" s="1216"/>
      <c r="Z79" s="1216"/>
      <c r="AA79" s="1216"/>
      <c r="AB79" s="1206" t="str">
        <f>CONCATENATE("[ ",$AV$70," ]")</f>
        <v>[ g ]</v>
      </c>
      <c r="AC79" s="1206"/>
      <c r="AD79" s="1206"/>
      <c r="AE79" s="1206"/>
      <c r="AF79"/>
      <c r="AG79" s="1216" t="s">
        <v>2</v>
      </c>
      <c r="AH79" s="1216"/>
      <c r="AI79" s="1216"/>
      <c r="AJ79" s="1216"/>
      <c r="AK79" s="1216"/>
      <c r="AL79" s="1216"/>
      <c r="AM79" s="1216"/>
      <c r="AN79" s="1216"/>
      <c r="AO79" s="1216"/>
      <c r="AP79" s="1216"/>
      <c r="AQ79" s="1216"/>
      <c r="AR79" s="1216"/>
      <c r="AS79" s="1206" t="str">
        <f>CONCATENATE("[ ",$AV$70," ]")</f>
        <v>[ g ]</v>
      </c>
      <c r="AT79" s="1206"/>
      <c r="AU79" s="1206"/>
      <c r="AV79" s="1206"/>
      <c r="FK79" s="46"/>
      <c r="FL79" s="46"/>
      <c r="FM79" s="46"/>
      <c r="FN79" s="46"/>
      <c r="FO79" s="46"/>
      <c r="FP79" s="46"/>
      <c r="FQ79" s="46"/>
      <c r="FR79" s="46"/>
      <c r="FS79" s="46"/>
      <c r="FT79" s="46"/>
      <c r="FU79" s="46"/>
      <c r="FV79" s="46"/>
      <c r="FW79" s="46"/>
      <c r="FX79" s="46"/>
      <c r="FY79" s="46"/>
      <c r="FZ79" s="46"/>
      <c r="GA79" s="46"/>
      <c r="GB79" s="46"/>
      <c r="GC79" s="46"/>
      <c r="GD79" s="46"/>
      <c r="GE79" s="46"/>
      <c r="GF79" s="46"/>
      <c r="GG79" s="46"/>
      <c r="GH79" s="46"/>
    </row>
    <row r="80" spans="1:190" s="47" customFormat="1" ht="16.5">
      <c r="A80"/>
      <c r="B80" s="1259" t="str">
        <f>IF('Registo Calibração'!F19&lt;&gt;"",'Registo Calibração'!C19,"------")</f>
        <v>------</v>
      </c>
      <c r="C80" s="1259"/>
      <c r="D80" s="1259"/>
      <c r="E80" s="1259"/>
      <c r="F80" s="1259"/>
      <c r="G80" s="1259"/>
      <c r="H80" s="1259"/>
      <c r="I80" s="1259"/>
      <c r="J80" s="1259"/>
      <c r="K80" s="1259"/>
      <c r="L80" s="1259"/>
      <c r="M80" s="1259"/>
      <c r="N80" s="1259"/>
      <c r="O80" s="1259"/>
      <c r="P80" s="469"/>
      <c r="Q80" s="1203" t="str">
        <f>'Registo Calibração'!E19</f>
        <v>------</v>
      </c>
      <c r="R80" s="1203"/>
      <c r="S80" s="1203"/>
      <c r="T80" s="1203"/>
      <c r="U80" s="1203"/>
      <c r="V80" s="1203"/>
      <c r="W80" s="1203"/>
      <c r="X80" s="1203"/>
      <c r="Y80" s="1203"/>
      <c r="Z80" s="1203"/>
      <c r="AA80" s="1203"/>
      <c r="AB80" s="1203"/>
      <c r="AC80" s="1203"/>
      <c r="AD80" s="1203"/>
      <c r="AE80" s="1203"/>
      <c r="AF80" s="761"/>
      <c r="AG80" s="1203" t="str">
        <f>IF('Registo Calibração'!F19&lt;&gt;"",'Registo Calibração'!G19,"------")</f>
        <v>------</v>
      </c>
      <c r="AH80" s="1203"/>
      <c r="AI80" s="1203"/>
      <c r="AJ80" s="1203"/>
      <c r="AK80" s="1203"/>
      <c r="AL80" s="1203"/>
      <c r="AM80" s="1203"/>
      <c r="AN80" s="1203"/>
      <c r="AO80" s="1203"/>
      <c r="AP80" s="1203"/>
      <c r="AQ80" s="1203"/>
      <c r="AR80" s="1203"/>
      <c r="AS80" s="1203"/>
      <c r="AT80" s="1203"/>
      <c r="AU80" s="1203"/>
      <c r="AV80" s="1203"/>
      <c r="AW80" s="406"/>
      <c r="FK80" s="46"/>
      <c r="FL80" s="46"/>
      <c r="FM80" s="46"/>
      <c r="FN80" s="46"/>
      <c r="FO80" s="46"/>
      <c r="FP80" s="46"/>
      <c r="FQ80" s="46"/>
      <c r="FR80" s="46"/>
      <c r="FS80" s="46"/>
      <c r="FT80" s="46"/>
      <c r="FU80" s="46"/>
      <c r="FV80" s="46"/>
      <c r="FW80" s="46"/>
      <c r="FX80" s="46"/>
      <c r="FY80" s="46"/>
      <c r="FZ80" s="46"/>
      <c r="GA80" s="46"/>
      <c r="GB80" s="46"/>
      <c r="GC80" s="46"/>
      <c r="GD80" s="46"/>
      <c r="GE80" s="46"/>
      <c r="GF80" s="46"/>
      <c r="GG80" s="46"/>
      <c r="GH80" s="46"/>
    </row>
    <row r="81" spans="1:190" s="47" customFormat="1" ht="16.5">
      <c r="A81"/>
      <c r="B81" s="1259" t="str">
        <f>IF('Registo Calibração'!F20&lt;&gt;"",'Registo Calibração'!C20,"------")</f>
        <v>------</v>
      </c>
      <c r="C81" s="1259"/>
      <c r="D81" s="1259"/>
      <c r="E81" s="1259"/>
      <c r="F81" s="1259"/>
      <c r="G81" s="1259"/>
      <c r="H81" s="1259"/>
      <c r="I81" s="1259"/>
      <c r="J81" s="1259"/>
      <c r="K81" s="1259"/>
      <c r="L81" s="1259"/>
      <c r="M81" s="1259"/>
      <c r="N81" s="1259"/>
      <c r="O81" s="1259"/>
      <c r="P81" s="469"/>
      <c r="Q81" s="1203" t="str">
        <f>'Registo Calibração'!E20</f>
        <v>------</v>
      </c>
      <c r="R81" s="1203"/>
      <c r="S81" s="1203"/>
      <c r="T81" s="1203"/>
      <c r="U81" s="1203"/>
      <c r="V81" s="1203"/>
      <c r="W81" s="1203"/>
      <c r="X81" s="1203"/>
      <c r="Y81" s="1203"/>
      <c r="Z81" s="1203"/>
      <c r="AA81" s="1203"/>
      <c r="AB81" s="1203"/>
      <c r="AC81" s="1203"/>
      <c r="AD81" s="1203"/>
      <c r="AE81" s="1203"/>
      <c r="AF81" s="761"/>
      <c r="AG81" s="1203" t="str">
        <f>IF('Registo Calibração'!F20&lt;&gt;"",'Registo Calibração'!G20,"------")</f>
        <v>------</v>
      </c>
      <c r="AH81" s="1203"/>
      <c r="AI81" s="1203"/>
      <c r="AJ81" s="1203"/>
      <c r="AK81" s="1203"/>
      <c r="AL81" s="1203"/>
      <c r="AM81" s="1203"/>
      <c r="AN81" s="1203"/>
      <c r="AO81" s="1203"/>
      <c r="AP81" s="1203"/>
      <c r="AQ81" s="1203"/>
      <c r="AR81" s="1203"/>
      <c r="AS81" s="1203"/>
      <c r="AT81" s="1203"/>
      <c r="AU81" s="1203"/>
      <c r="AV81" s="1203"/>
      <c r="AW81" s="406"/>
      <c r="FK81" s="46"/>
      <c r="FL81" s="46"/>
      <c r="FM81" s="46"/>
      <c r="FN81" s="46"/>
      <c r="FO81" s="46"/>
      <c r="FP81" s="46"/>
      <c r="FQ81" s="46"/>
      <c r="FR81" s="46"/>
      <c r="FS81" s="46"/>
      <c r="FT81" s="46"/>
      <c r="FU81" s="46"/>
      <c r="FV81" s="46"/>
      <c r="FW81" s="46"/>
      <c r="FX81" s="46"/>
      <c r="FY81" s="46"/>
      <c r="FZ81" s="46"/>
      <c r="GA81" s="46"/>
      <c r="GB81" s="46"/>
      <c r="GC81" s="46"/>
      <c r="GD81" s="46"/>
      <c r="GE81" s="46"/>
      <c r="GF81" s="46"/>
      <c r="GG81" s="46"/>
      <c r="GH81" s="46"/>
    </row>
    <row r="82" spans="1:190" s="47" customFormat="1" ht="5.25" customHeight="1">
      <c r="A82"/>
      <c r="B82"/>
      <c r="D82" s="469"/>
      <c r="E82" s="469"/>
      <c r="F82" s="469"/>
      <c r="G82" s="469"/>
      <c r="H82" s="469"/>
      <c r="I82" s="469"/>
      <c r="J82" s="469"/>
      <c r="K82" s="469"/>
      <c r="L82" s="469"/>
      <c r="M82" s="469"/>
      <c r="N82" s="469"/>
      <c r="O82" s="469"/>
      <c r="P82" s="469"/>
      <c r="Q82" s="469"/>
      <c r="S82" s="470"/>
      <c r="T82" s="470"/>
      <c r="U82" s="470"/>
      <c r="V82" s="470"/>
      <c r="W82" s="470"/>
      <c r="X82" s="470"/>
      <c r="Y82" s="470"/>
      <c r="Z82" s="470"/>
      <c r="AA82" s="470"/>
      <c r="AB82" s="470"/>
      <c r="AC82" s="470"/>
      <c r="AD82" s="470"/>
      <c r="AE82" s="470"/>
      <c r="AF82" s="470"/>
      <c r="AG82" s="470"/>
      <c r="AI82" s="470"/>
      <c r="AJ82" s="470"/>
      <c r="AK82" s="470"/>
      <c r="AL82" s="470"/>
      <c r="AM82" s="470"/>
      <c r="AN82" s="470"/>
      <c r="AO82" s="470"/>
      <c r="AP82" s="470"/>
      <c r="AQ82" s="470"/>
      <c r="AR82" s="470"/>
      <c r="AS82" s="470"/>
      <c r="AT82" s="470"/>
      <c r="AU82" s="470"/>
      <c r="AV82" s="470"/>
      <c r="AW82" s="406"/>
      <c r="FK82" s="46"/>
      <c r="FL82" s="46"/>
      <c r="FM82" s="46"/>
      <c r="FN82" s="46"/>
      <c r="FO82" s="46"/>
      <c r="FP82" s="46"/>
      <c r="FQ82" s="46"/>
      <c r="FR82" s="46"/>
      <c r="FS82" s="46"/>
      <c r="FT82" s="46"/>
      <c r="FU82" s="46"/>
      <c r="FV82" s="46"/>
      <c r="FW82" s="46"/>
      <c r="FX82" s="46"/>
      <c r="FY82" s="46"/>
      <c r="FZ82" s="46"/>
      <c r="GA82" s="46"/>
      <c r="GB82" s="46"/>
      <c r="GC82" s="46"/>
      <c r="GD82" s="46"/>
      <c r="GE82" s="46"/>
      <c r="GF82" s="46"/>
      <c r="GG82" s="46"/>
      <c r="GH82" s="46"/>
    </row>
    <row r="83" spans="1:190" s="47" customFormat="1" ht="11.1" customHeight="1">
      <c r="A83"/>
      <c r="B83" s="1192" t="str">
        <f>'Registo Calibração'!AI21</f>
        <v>Ensaio Prévio aplicável somente a equipamento com possibilidade de se aceder ao ajuste interno.</v>
      </c>
      <c r="C83" s="1192"/>
      <c r="D83" s="1192"/>
      <c r="E83" s="1192"/>
      <c r="F83" s="1192"/>
      <c r="G83" s="1192"/>
      <c r="H83" s="1192"/>
      <c r="I83" s="1192"/>
      <c r="J83" s="1192"/>
      <c r="K83" s="1192"/>
      <c r="L83" s="1192"/>
      <c r="M83" s="1192"/>
      <c r="N83" s="1192"/>
      <c r="O83" s="1192"/>
      <c r="P83" s="1192"/>
      <c r="Q83" s="1192"/>
      <c r="R83" s="1192"/>
      <c r="S83" s="1192"/>
      <c r="T83" s="1192"/>
      <c r="U83" s="1192"/>
      <c r="V83" s="1192"/>
      <c r="W83" s="1192"/>
      <c r="X83" s="1192"/>
      <c r="Y83" s="1192"/>
      <c r="Z83" s="1192"/>
      <c r="AA83" s="1192"/>
      <c r="AB83" s="1192"/>
      <c r="AC83" s="1192"/>
      <c r="AD83" s="1192"/>
      <c r="AE83" s="1192"/>
      <c r="AF83" s="1192"/>
      <c r="AG83" s="1192"/>
      <c r="AH83" s="1192"/>
      <c r="AI83" s="1192"/>
      <c r="AJ83" s="1192"/>
      <c r="AK83" s="1192"/>
      <c r="AL83" s="1192"/>
      <c r="AM83" s="1192"/>
      <c r="AN83" s="1192"/>
      <c r="AO83" s="1192"/>
      <c r="AP83" s="1192"/>
      <c r="AQ83" s="1192"/>
      <c r="AR83" s="1192"/>
      <c r="AS83" s="1192"/>
      <c r="AT83" s="1192"/>
      <c r="AU83" s="1192"/>
      <c r="AV83" s="1192"/>
      <c r="AW83" s="406"/>
      <c r="FK83" s="46"/>
      <c r="FL83" s="46"/>
      <c r="FM83" s="46"/>
      <c r="FN83" s="46"/>
      <c r="FO83" s="46"/>
      <c r="FP83" s="46"/>
      <c r="FQ83" s="46"/>
      <c r="FR83" s="46"/>
      <c r="FS83" s="46"/>
      <c r="FT83" s="46"/>
      <c r="FU83" s="46"/>
      <c r="FV83" s="46"/>
      <c r="FW83" s="46"/>
      <c r="FX83" s="46"/>
      <c r="FY83" s="46"/>
      <c r="FZ83" s="46"/>
      <c r="GA83" s="46"/>
      <c r="GB83" s="46"/>
      <c r="GC83" s="46"/>
      <c r="GD83" s="46"/>
      <c r="GE83" s="46"/>
      <c r="GF83" s="46"/>
      <c r="GG83" s="46"/>
      <c r="GH83" s="46"/>
    </row>
    <row r="84" spans="1:190" s="47" customFormat="1" ht="5.25" customHeight="1">
      <c r="A84"/>
      <c r="B84" s="1192"/>
      <c r="C84" s="1192"/>
      <c r="D84" s="1192"/>
      <c r="E84" s="1192"/>
      <c r="F84" s="1192"/>
      <c r="G84" s="1192"/>
      <c r="H84" s="1192"/>
      <c r="I84" s="1192"/>
      <c r="J84" s="1192"/>
      <c r="K84" s="1192"/>
      <c r="L84" s="1192"/>
      <c r="M84" s="1192"/>
      <c r="N84" s="1192"/>
      <c r="O84" s="1192"/>
      <c r="P84" s="1192"/>
      <c r="Q84" s="1192"/>
      <c r="R84" s="1192"/>
      <c r="S84" s="1192"/>
      <c r="T84" s="1192"/>
      <c r="U84" s="1192"/>
      <c r="V84" s="1192"/>
      <c r="W84" s="1192"/>
      <c r="X84" s="1192"/>
      <c r="Y84" s="1192"/>
      <c r="Z84" s="1192"/>
      <c r="AA84" s="1192"/>
      <c r="AB84" s="1192"/>
      <c r="AC84" s="1192"/>
      <c r="AD84" s="1192"/>
      <c r="AE84" s="1192"/>
      <c r="AF84" s="1192"/>
      <c r="AG84" s="1192"/>
      <c r="AH84" s="1192"/>
      <c r="AI84" s="1192"/>
      <c r="AJ84" s="1192"/>
      <c r="AK84" s="1192"/>
      <c r="AL84" s="1192"/>
      <c r="AM84" s="1192"/>
      <c r="AN84" s="1192"/>
      <c r="AO84" s="1192"/>
      <c r="AP84" s="1192"/>
      <c r="AQ84" s="1192"/>
      <c r="AR84" s="1192"/>
      <c r="AS84" s="1192"/>
      <c r="AT84" s="1192"/>
      <c r="AU84" s="1192"/>
      <c r="AV84" s="1192"/>
      <c r="AW84" s="406"/>
      <c r="FK84" s="46"/>
      <c r="FL84" s="46"/>
      <c r="FM84" s="46"/>
      <c r="FN84" s="46"/>
      <c r="FO84" s="46"/>
      <c r="FP84" s="46"/>
      <c r="FQ84" s="46"/>
      <c r="FR84" s="46"/>
      <c r="FS84" s="46"/>
      <c r="FT84" s="46"/>
      <c r="FU84" s="46"/>
      <c r="FV84" s="46"/>
      <c r="FW84" s="46"/>
      <c r="FX84" s="46"/>
      <c r="FY84" s="46"/>
      <c r="FZ84" s="46"/>
      <c r="GA84" s="46"/>
      <c r="GB84" s="46"/>
      <c r="GC84" s="46"/>
      <c r="GD84" s="46"/>
      <c r="GE84" s="46"/>
      <c r="GF84" s="46"/>
      <c r="GG84" s="46"/>
      <c r="GH84" s="46"/>
    </row>
    <row r="85" spans="1:190" s="47" customFormat="1" ht="33.75" customHeight="1">
      <c r="A85"/>
      <c r="B85" s="1192"/>
      <c r="C85" s="1192"/>
      <c r="D85" s="1192"/>
      <c r="E85" s="1192"/>
      <c r="F85" s="1192"/>
      <c r="G85" s="1192"/>
      <c r="H85" s="1192"/>
      <c r="I85" s="1192"/>
      <c r="J85" s="1192"/>
      <c r="K85" s="1192"/>
      <c r="L85" s="1192"/>
      <c r="M85" s="1192"/>
      <c r="N85" s="1192"/>
      <c r="O85" s="1192"/>
      <c r="P85" s="1192"/>
      <c r="Q85" s="1192"/>
      <c r="R85" s="1192"/>
      <c r="S85" s="1192"/>
      <c r="T85" s="1192"/>
      <c r="U85" s="1192"/>
      <c r="V85" s="1192"/>
      <c r="W85" s="1192"/>
      <c r="X85" s="1192"/>
      <c r="Y85" s="1192"/>
      <c r="Z85" s="1192"/>
      <c r="AA85" s="1192"/>
      <c r="AB85" s="1192"/>
      <c r="AC85" s="1192"/>
      <c r="AD85" s="1192"/>
      <c r="AE85" s="1192"/>
      <c r="AF85" s="1192"/>
      <c r="AG85" s="1192"/>
      <c r="AH85" s="1192"/>
      <c r="AI85" s="1192"/>
      <c r="AJ85" s="1192"/>
      <c r="AK85" s="1192"/>
      <c r="AL85" s="1192"/>
      <c r="AM85" s="1192"/>
      <c r="AN85" s="1192"/>
      <c r="AO85" s="1192"/>
      <c r="AP85" s="1192"/>
      <c r="AQ85" s="1192"/>
      <c r="AR85" s="1192"/>
      <c r="AS85" s="1192"/>
      <c r="AT85" s="1192"/>
      <c r="AU85" s="1192"/>
      <c r="AV85" s="1192"/>
      <c r="AW85" s="406"/>
      <c r="FK85" s="46"/>
      <c r="FL85" s="46"/>
      <c r="FM85" s="46"/>
      <c r="FN85" s="46"/>
      <c r="FO85" s="46"/>
      <c r="FP85" s="46"/>
      <c r="FQ85" s="46"/>
      <c r="FR85" s="46"/>
      <c r="FS85" s="46"/>
      <c r="FT85" s="46"/>
      <c r="FU85" s="46"/>
      <c r="FV85" s="46"/>
      <c r="FW85" s="46"/>
      <c r="FX85" s="46"/>
      <c r="FY85" s="46"/>
      <c r="FZ85" s="46"/>
      <c r="GA85" s="46"/>
      <c r="GB85" s="46"/>
      <c r="GC85" s="46"/>
      <c r="GD85" s="46"/>
      <c r="GE85" s="46"/>
      <c r="GF85" s="46"/>
      <c r="GG85" s="46"/>
      <c r="GH85" s="46"/>
    </row>
    <row r="86" spans="1:190" s="47" customFormat="1" ht="6" customHeight="1">
      <c r="A86"/>
      <c r="B86" s="473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 s="406"/>
      <c r="FK86" s="46"/>
      <c r="FL86" s="46"/>
      <c r="FM86" s="46"/>
      <c r="FN86" s="46"/>
      <c r="FO86" s="46"/>
      <c r="FP86" s="46"/>
      <c r="FQ86" s="46"/>
      <c r="FR86" s="46"/>
      <c r="FS86" s="46"/>
      <c r="FT86" s="46"/>
      <c r="FU86" s="46"/>
      <c r="FV86" s="46"/>
      <c r="FW86" s="46"/>
      <c r="FX86" s="46"/>
      <c r="FY86" s="46"/>
      <c r="FZ86" s="46"/>
      <c r="GA86" s="46"/>
      <c r="GB86" s="46"/>
      <c r="GC86" s="46"/>
      <c r="GD86" s="46"/>
      <c r="GE86" s="46"/>
      <c r="GF86" s="46"/>
      <c r="GG86" s="46"/>
      <c r="GH86" s="46"/>
    </row>
    <row r="87" spans="1:190" s="47" customFormat="1" ht="18" customHeight="1">
      <c r="A87"/>
      <c r="B87" s="1221" t="s">
        <v>417</v>
      </c>
      <c r="C87" s="1221"/>
      <c r="D87" s="1221"/>
      <c r="E87" s="1221"/>
      <c r="F87" s="1221"/>
      <c r="G87" s="1221"/>
      <c r="H87" s="1221"/>
      <c r="I87" s="1221"/>
      <c r="J87" s="1221"/>
      <c r="K87" s="1221"/>
      <c r="L87" s="1221"/>
      <c r="M87" s="1221"/>
      <c r="N87" s="1221"/>
      <c r="O87" s="1221"/>
      <c r="P87" s="1221"/>
      <c r="Q87" s="1221"/>
      <c r="R87" s="1221"/>
      <c r="S87" s="1221"/>
      <c r="T87" s="1221"/>
      <c r="U87" s="1221"/>
      <c r="V87" s="1221"/>
      <c r="W87" s="1221"/>
      <c r="X87" s="1221"/>
      <c r="Y87" s="1221"/>
      <c r="Z87" s="1221"/>
      <c r="AA87" s="1221"/>
      <c r="AB87" s="1221"/>
      <c r="AC87" s="1221"/>
      <c r="AD87" s="1221"/>
      <c r="AE87" s="1221"/>
      <c r="AF87" s="1221"/>
      <c r="AG87" s="1221"/>
      <c r="AH87" s="1221"/>
      <c r="AI87" s="1221"/>
      <c r="AJ87" s="1221"/>
      <c r="AK87" s="1221"/>
      <c r="AL87" s="1221"/>
      <c r="AM87" s="1221"/>
      <c r="AN87" s="1221"/>
      <c r="AO87" s="1221"/>
      <c r="AP87" s="1221"/>
      <c r="AQ87" s="1221"/>
      <c r="AR87" s="1221"/>
      <c r="AS87" s="1221"/>
      <c r="AT87" s="1221"/>
      <c r="AU87" s="1221"/>
      <c r="AV87" s="1221"/>
      <c r="AW87" s="406"/>
      <c r="FK87" s="46"/>
      <c r="FL87" s="46"/>
      <c r="FM87" s="46"/>
      <c r="FN87" s="46"/>
      <c r="FO87" s="46"/>
      <c r="FP87" s="46"/>
      <c r="FQ87" s="46"/>
      <c r="FR87" s="46"/>
      <c r="FS87" s="46"/>
      <c r="FT87" s="46"/>
      <c r="FU87" s="46"/>
      <c r="FV87" s="46"/>
      <c r="FW87" s="46"/>
      <c r="FX87" s="46"/>
      <c r="FY87" s="46"/>
      <c r="FZ87" s="46"/>
      <c r="GA87" s="46"/>
      <c r="GB87" s="46"/>
      <c r="GC87" s="46"/>
      <c r="GD87" s="46"/>
      <c r="GE87" s="46"/>
      <c r="GF87" s="46"/>
      <c r="GG87" s="46"/>
      <c r="GH87" s="46"/>
    </row>
    <row r="88" spans="1:190" s="47" customFormat="1" ht="10.5" customHeight="1">
      <c r="A88"/>
      <c r="B88" s="474"/>
      <c r="C88" s="474"/>
      <c r="D88" s="474"/>
      <c r="E88" s="474"/>
      <c r="F88" s="474"/>
      <c r="G88" s="474"/>
      <c r="H88" s="474"/>
      <c r="I88" s="474"/>
      <c r="J88" s="474"/>
      <c r="K88" s="474"/>
      <c r="L88" s="474"/>
      <c r="M88" s="474"/>
      <c r="N88" s="474"/>
      <c r="O88" s="474"/>
      <c r="P88" s="472"/>
      <c r="Q88" s="474"/>
      <c r="R88" s="474"/>
      <c r="S88" s="474"/>
      <c r="T88" s="474"/>
      <c r="U88" s="474"/>
      <c r="V88" s="474"/>
      <c r="W88" s="474"/>
      <c r="X88" s="474"/>
      <c r="Y88" s="474"/>
      <c r="Z88" s="474"/>
      <c r="AA88" s="474"/>
      <c r="AB88" s="474"/>
      <c r="AC88" s="474"/>
      <c r="AD88" s="474"/>
      <c r="AE88" s="474"/>
      <c r="AF88" s="474"/>
      <c r="AG88" s="474"/>
      <c r="AH88" s="474"/>
      <c r="AI88" s="474"/>
      <c r="AJ88" s="474"/>
      <c r="AK88" s="474"/>
      <c r="AL88" s="474"/>
      <c r="AM88" s="474"/>
      <c r="AN88" s="474"/>
      <c r="AO88" s="474"/>
      <c r="AP88" s="474"/>
      <c r="AQ88" s="474"/>
      <c r="AR88" s="474"/>
      <c r="AS88" s="474"/>
      <c r="AT88" s="474"/>
      <c r="AU88" s="474"/>
      <c r="AV88"/>
      <c r="AW88" s="406"/>
      <c r="FK88" s="46"/>
      <c r="FL88" s="46"/>
      <c r="FM88" s="46"/>
      <c r="FN88" s="46"/>
      <c r="FO88" s="46"/>
      <c r="FP88" s="46"/>
      <c r="FQ88" s="46"/>
      <c r="FR88" s="46"/>
      <c r="FS88" s="46"/>
      <c r="FT88" s="46"/>
      <c r="FU88" s="46"/>
      <c r="FV88" s="46"/>
      <c r="FW88" s="46"/>
      <c r="FX88" s="46"/>
      <c r="FY88" s="46"/>
      <c r="FZ88" s="46"/>
      <c r="GA88" s="46"/>
      <c r="GB88" s="46"/>
      <c r="GC88" s="46"/>
      <c r="GD88" s="46"/>
      <c r="GE88" s="46"/>
      <c r="GF88" s="46"/>
      <c r="GG88" s="46"/>
      <c r="GH88" s="46"/>
    </row>
    <row r="89" spans="1:190" s="47" customFormat="1" ht="17.25" customHeight="1">
      <c r="A89"/>
      <c r="B89" s="1216" t="s">
        <v>285</v>
      </c>
      <c r="C89" s="1216"/>
      <c r="D89" s="1216"/>
      <c r="E89" s="1216"/>
      <c r="F89" s="1216"/>
      <c r="G89" s="1216"/>
      <c r="H89" s="1216"/>
      <c r="I89" s="1216"/>
      <c r="J89" s="1216"/>
      <c r="K89" s="1216"/>
      <c r="L89" s="1206" t="str">
        <f>CONCATENATE("[ ",$AV$70," ]")</f>
        <v>[ g ]</v>
      </c>
      <c r="M89" s="1206"/>
      <c r="N89" s="1206"/>
      <c r="O89" s="1206"/>
      <c r="P89"/>
      <c r="Q89" s="1221" t="s">
        <v>1</v>
      </c>
      <c r="R89" s="1221"/>
      <c r="S89" s="1221"/>
      <c r="U89" s="1216" t="s">
        <v>411</v>
      </c>
      <c r="V89" s="1216"/>
      <c r="W89" s="1216"/>
      <c r="X89" s="1216"/>
      <c r="Y89" s="1216"/>
      <c r="Z89" s="1216"/>
      <c r="AA89" s="1216"/>
      <c r="AB89" s="1216"/>
      <c r="AC89" s="1216"/>
      <c r="AD89" s="1216"/>
      <c r="AE89" s="1216"/>
      <c r="AF89" s="1254" t="str">
        <f>CONCATENATE("[ ",$AV$70," ]")</f>
        <v>[ g ]</v>
      </c>
      <c r="AG89" s="1254"/>
      <c r="AH89" s="1254"/>
      <c r="AJ89" s="1221" t="s">
        <v>2</v>
      </c>
      <c r="AK89" s="1221"/>
      <c r="AL89" s="1221"/>
      <c r="AM89" s="1221"/>
      <c r="AN89" s="1221"/>
      <c r="AO89" s="1221"/>
      <c r="AP89" s="1221"/>
      <c r="AQ89" s="1221"/>
      <c r="AR89" s="1221"/>
      <c r="AS89" s="1221"/>
      <c r="AT89" s="1254" t="str">
        <f>CONCATENATE("[ ",$AV$70," ]")</f>
        <v>[ g ]</v>
      </c>
      <c r="AU89" s="1254"/>
      <c r="AV89" s="1254"/>
      <c r="FK89" s="46"/>
      <c r="FL89" s="46"/>
      <c r="FM89" s="46"/>
      <c r="FN89" s="46"/>
      <c r="FO89" s="46"/>
      <c r="FP89" s="46"/>
      <c r="FQ89" s="46"/>
      <c r="FR89" s="46"/>
      <c r="FS89" s="46"/>
      <c r="FT89" s="46"/>
      <c r="FU89" s="46"/>
      <c r="FV89" s="46"/>
      <c r="FW89" s="46"/>
      <c r="FX89" s="46"/>
      <c r="FY89" s="46"/>
      <c r="FZ89" s="46"/>
      <c r="GA89" s="46"/>
      <c r="GB89" s="46"/>
      <c r="GC89" s="46"/>
      <c r="GD89" s="46"/>
      <c r="GE89" s="46"/>
      <c r="GF89" s="46"/>
      <c r="GG89" s="46"/>
      <c r="GH89" s="46"/>
    </row>
    <row r="90" spans="1:190" s="47" customFormat="1" ht="4.5" customHeight="1" thickBot="1">
      <c r="A90"/>
      <c r="AV90"/>
      <c r="AW90" s="406"/>
      <c r="FK90" s="46"/>
      <c r="FL90" s="46"/>
      <c r="FM90" s="46"/>
      <c r="FN90" s="46"/>
      <c r="FO90" s="46"/>
      <c r="FP90" s="46"/>
      <c r="FQ90" s="46"/>
      <c r="FR90" s="46"/>
      <c r="FS90" s="46"/>
      <c r="FT90" s="46"/>
      <c r="FU90" s="46"/>
      <c r="FV90" s="46"/>
      <c r="FW90" s="46"/>
      <c r="FX90" s="46"/>
      <c r="FY90" s="46"/>
      <c r="FZ90" s="46"/>
      <c r="GA90" s="46"/>
      <c r="GB90" s="46"/>
      <c r="GC90" s="46"/>
      <c r="GD90" s="46"/>
      <c r="GE90" s="46"/>
      <c r="GF90" s="46"/>
      <c r="GG90" s="46"/>
      <c r="GH90" s="46"/>
    </row>
    <row r="91" spans="1:190" s="47" customFormat="1" ht="18" customHeight="1" thickBot="1">
      <c r="A91"/>
      <c r="F91" s="1231" t="str">
        <f>IF('Registo Calibração'!I23="","",IF('Registo Calibração'!I23&lt;1,FIXED('Registo Calibração'!I23,'Registo Calibração'!$AI$15,TRUE),'Registo Calibração'!I23))</f>
        <v/>
      </c>
      <c r="G91" s="1232"/>
      <c r="H91" s="1232"/>
      <c r="I91" s="1232"/>
      <c r="J91" s="1232"/>
      <c r="K91" s="1232"/>
      <c r="L91" s="1233"/>
      <c r="Q91" s="1199">
        <v>1</v>
      </c>
      <c r="R91" s="1199"/>
      <c r="S91" s="1199"/>
      <c r="U91" s="1222">
        <f>IF($F$91="",0,IF('Registo Calibração'!A26="-------",0,'Registo Calibração'!A26))</f>
        <v>0</v>
      </c>
      <c r="V91" s="1222"/>
      <c r="W91" s="1222"/>
      <c r="X91" s="1222"/>
      <c r="Y91" s="1222"/>
      <c r="Z91" s="1222"/>
      <c r="AA91" s="1222"/>
      <c r="AB91" s="1222"/>
      <c r="AC91" s="1222"/>
      <c r="AD91" s="1222"/>
      <c r="AE91" s="1222"/>
      <c r="AF91" s="1222"/>
      <c r="AG91" s="1222"/>
      <c r="AH91" s="1222"/>
      <c r="AJ91" s="1253" t="s">
        <v>418</v>
      </c>
      <c r="AK91" s="1222"/>
      <c r="AL91" s="1222"/>
      <c r="AM91" s="1222"/>
      <c r="AN91" s="1222"/>
      <c r="AO91" s="1222"/>
      <c r="AP91" s="1222"/>
      <c r="AQ91" s="1222"/>
      <c r="AR91" s="1222"/>
      <c r="AS91" s="1222"/>
      <c r="AT91" s="1222"/>
      <c r="AU91" s="1222"/>
      <c r="AV91"/>
      <c r="AW91" s="406"/>
      <c r="FK91" s="46"/>
      <c r="FL91" s="46"/>
      <c r="FM91" s="46"/>
      <c r="FN91" s="46"/>
      <c r="FO91" s="46"/>
      <c r="FP91" s="46"/>
      <c r="FQ91" s="46"/>
      <c r="FR91" s="46"/>
      <c r="FS91" s="46"/>
      <c r="FT91" s="46"/>
      <c r="FU91" s="46"/>
      <c r="FV91" s="46"/>
      <c r="FW91" s="46"/>
      <c r="FX91" s="46"/>
      <c r="FY91" s="46"/>
      <c r="FZ91" s="46"/>
      <c r="GA91" s="46"/>
      <c r="GB91" s="46"/>
      <c r="GC91" s="46"/>
      <c r="GD91" s="46"/>
      <c r="GE91" s="46"/>
      <c r="GF91" s="46"/>
      <c r="GG91" s="46"/>
      <c r="GH91" s="46"/>
    </row>
    <row r="92" spans="1:190" s="47" customFormat="1" ht="18" hidden="1" customHeight="1">
      <c r="A92"/>
      <c r="H92" s="47" t="s">
        <v>672</v>
      </c>
      <c r="Q92" s="1199">
        <v>2</v>
      </c>
      <c r="R92" s="1199"/>
      <c r="S92" s="1199"/>
      <c r="U92" s="1222">
        <f>IF($F$91="",0,IF('Registo Calibração'!B26="-------",0,'Registo Calibração'!B26))</f>
        <v>0</v>
      </c>
      <c r="V92" s="1222"/>
      <c r="W92" s="1222"/>
      <c r="X92" s="1222"/>
      <c r="Y92" s="1222"/>
      <c r="Z92" s="1222"/>
      <c r="AA92" s="1222"/>
      <c r="AB92" s="1222"/>
      <c r="AC92" s="1222"/>
      <c r="AD92" s="1222"/>
      <c r="AE92" s="1222"/>
      <c r="AF92" s="1222"/>
      <c r="AG92" s="1222"/>
      <c r="AH92" s="1222"/>
      <c r="AJ92" s="1218" t="str">
        <f>IF($F$91="","----------",FIXED(U92-$U$91,'Registo Calibração'!$AI$15))</f>
        <v>----------</v>
      </c>
      <c r="AK92" s="1218"/>
      <c r="AL92" s="1218"/>
      <c r="AM92" s="1218"/>
      <c r="AN92" s="1218"/>
      <c r="AO92" s="1218"/>
      <c r="AP92" s="1218"/>
      <c r="AQ92" s="1218"/>
      <c r="AR92" s="1218"/>
      <c r="AS92" s="1218"/>
      <c r="AT92" s="1218"/>
      <c r="AU92" s="1218"/>
      <c r="AV92"/>
      <c r="AW92" s="406"/>
      <c r="FK92" s="46"/>
      <c r="FL92" s="46"/>
      <c r="FM92" s="46"/>
      <c r="FN92" s="46"/>
      <c r="FO92" s="46"/>
      <c r="FP92" s="46"/>
      <c r="FQ92" s="46"/>
      <c r="FR92" s="46"/>
      <c r="FS92" s="46"/>
      <c r="FT92" s="46"/>
      <c r="FU92" s="46"/>
      <c r="FV92" s="46"/>
      <c r="FW92" s="46"/>
      <c r="FX92" s="46"/>
      <c r="FY92" s="46"/>
      <c r="FZ92" s="46"/>
      <c r="GA92" s="46"/>
      <c r="GB92" s="46"/>
      <c r="GC92" s="46"/>
      <c r="GD92" s="46"/>
      <c r="GE92" s="46"/>
      <c r="GF92" s="46"/>
      <c r="GG92" s="46"/>
      <c r="GH92" s="46"/>
    </row>
    <row r="93" spans="1:190" s="47" customFormat="1" ht="19.5" hidden="1" customHeight="1">
      <c r="A93"/>
      <c r="Q93" s="1199">
        <v>3</v>
      </c>
      <c r="R93" s="1199"/>
      <c r="S93" s="1199"/>
      <c r="U93" s="1222">
        <f>IF($F$91="",0,IF('Registo Calibração'!C26="-------",0,'Registo Calibração'!C26))</f>
        <v>0</v>
      </c>
      <c r="V93" s="1222"/>
      <c r="W93" s="1222"/>
      <c r="X93" s="1222"/>
      <c r="Y93" s="1222"/>
      <c r="Z93" s="1222"/>
      <c r="AA93" s="1222"/>
      <c r="AB93" s="1222"/>
      <c r="AC93" s="1222"/>
      <c r="AD93" s="1222"/>
      <c r="AE93" s="1222"/>
      <c r="AF93" s="1222"/>
      <c r="AG93" s="1222"/>
      <c r="AH93" s="1222"/>
      <c r="AJ93" s="1218" t="str">
        <f>IF($F$91="","----------",FIXED(U93-$U$91,'Registo Calibração'!$AI$15))</f>
        <v>----------</v>
      </c>
      <c r="AK93" s="1218"/>
      <c r="AL93" s="1218"/>
      <c r="AM93" s="1218"/>
      <c r="AN93" s="1218"/>
      <c r="AO93" s="1218"/>
      <c r="AP93" s="1218"/>
      <c r="AQ93" s="1218"/>
      <c r="AR93" s="1218"/>
      <c r="AS93" s="1218"/>
      <c r="AT93" s="1218"/>
      <c r="AU93" s="1218"/>
      <c r="AV93"/>
      <c r="AW93" s="406"/>
      <c r="FK93" s="46"/>
      <c r="FL93" s="46"/>
      <c r="FM93" s="46"/>
      <c r="FN93" s="46"/>
      <c r="FO93" s="46"/>
      <c r="FP93" s="46"/>
      <c r="FQ93" s="46"/>
      <c r="FR93" s="46"/>
      <c r="FS93" s="46"/>
      <c r="FT93" s="46"/>
      <c r="FU93" s="46"/>
      <c r="FV93" s="46"/>
      <c r="FW93" s="46"/>
      <c r="FX93" s="46"/>
      <c r="FY93" s="46"/>
      <c r="FZ93" s="46"/>
      <c r="GA93" s="46"/>
      <c r="GB93" s="46"/>
      <c r="GC93" s="46"/>
      <c r="GD93" s="46"/>
      <c r="GE93" s="46"/>
      <c r="GF93" s="46"/>
      <c r="GG93" s="46"/>
      <c r="GH93" s="46"/>
    </row>
    <row r="94" spans="1:190" s="47" customFormat="1" ht="22.5" hidden="1" customHeight="1">
      <c r="A94"/>
      <c r="Q94" s="1199">
        <v>4</v>
      </c>
      <c r="R94" s="1199"/>
      <c r="S94" s="1199"/>
      <c r="U94" s="1222">
        <f>IF($F$91="",0,IF('Registo Calibração'!D26="-------",0,'Registo Calibração'!D26))</f>
        <v>0</v>
      </c>
      <c r="V94" s="1222"/>
      <c r="W94" s="1222"/>
      <c r="X94" s="1222"/>
      <c r="Y94" s="1222"/>
      <c r="Z94" s="1222"/>
      <c r="AA94" s="1222"/>
      <c r="AB94" s="1222"/>
      <c r="AC94" s="1222"/>
      <c r="AD94" s="1222"/>
      <c r="AE94" s="1222"/>
      <c r="AF94" s="1222"/>
      <c r="AG94" s="1222"/>
      <c r="AH94" s="1222"/>
      <c r="AJ94" s="1218" t="str">
        <f>IF($F$91="","----------",FIXED(U94-$U$91,'Registo Calibração'!$AI$15))</f>
        <v>----------</v>
      </c>
      <c r="AK94" s="1218"/>
      <c r="AL94" s="1218"/>
      <c r="AM94" s="1218"/>
      <c r="AN94" s="1218"/>
      <c r="AO94" s="1218"/>
      <c r="AP94" s="1218"/>
      <c r="AQ94" s="1218"/>
      <c r="AR94" s="1218"/>
      <c r="AS94" s="1218"/>
      <c r="AT94" s="1218"/>
      <c r="AU94" s="1218"/>
      <c r="AV94"/>
      <c r="AW94" s="406"/>
      <c r="FK94" s="46"/>
      <c r="FL94" s="46"/>
      <c r="FM94" s="46"/>
      <c r="FN94" s="46"/>
      <c r="FO94" s="46"/>
      <c r="FP94" s="46"/>
      <c r="FQ94" s="46"/>
      <c r="FR94" s="46"/>
      <c r="FS94" s="46"/>
      <c r="FT94" s="46"/>
      <c r="FU94" s="46"/>
      <c r="FV94" s="46"/>
      <c r="FW94" s="46"/>
      <c r="FX94" s="46"/>
      <c r="FY94" s="46"/>
      <c r="FZ94" s="46"/>
      <c r="GA94" s="46"/>
      <c r="GB94" s="46"/>
      <c r="GC94" s="46"/>
      <c r="GD94" s="46"/>
      <c r="GE94" s="46"/>
      <c r="GF94" s="46"/>
      <c r="GG94" s="46"/>
      <c r="GH94" s="46"/>
    </row>
    <row r="95" spans="1:190" s="47" customFormat="1" ht="19.5" hidden="1" customHeight="1">
      <c r="A95"/>
      <c r="Q95" s="1199">
        <v>5</v>
      </c>
      <c r="R95" s="1199"/>
      <c r="S95" s="1199"/>
      <c r="U95" s="1222">
        <f>IF($F$91="",0,IF('Registo Calibração'!E26="-------",0,'Registo Calibração'!E26))</f>
        <v>0</v>
      </c>
      <c r="V95" s="1222"/>
      <c r="W95" s="1222"/>
      <c r="X95" s="1222"/>
      <c r="Y95" s="1222"/>
      <c r="Z95" s="1222"/>
      <c r="AA95" s="1222"/>
      <c r="AB95" s="1222"/>
      <c r="AC95" s="1222"/>
      <c r="AD95" s="1222"/>
      <c r="AE95" s="1222"/>
      <c r="AF95" s="1222"/>
      <c r="AG95" s="1222"/>
      <c r="AH95" s="1222"/>
      <c r="AJ95" s="1218" t="str">
        <f>IF($F$91="","----------",FIXED(U95-$U$91,'Registo Calibração'!$AI$15))</f>
        <v>----------</v>
      </c>
      <c r="AK95" s="1218"/>
      <c r="AL95" s="1218"/>
      <c r="AM95" s="1218"/>
      <c r="AN95" s="1218"/>
      <c r="AO95" s="1218"/>
      <c r="AP95" s="1218"/>
      <c r="AQ95" s="1218"/>
      <c r="AR95" s="1218"/>
      <c r="AS95" s="1218"/>
      <c r="AT95" s="1218"/>
      <c r="AU95" s="1218"/>
      <c r="AV95"/>
      <c r="AW95" s="406"/>
      <c r="FK95" s="46"/>
      <c r="FL95" s="46"/>
      <c r="FM95" s="46"/>
      <c r="FN95" s="46"/>
      <c r="FO95" s="46"/>
      <c r="FP95" s="46"/>
      <c r="FQ95" s="46"/>
      <c r="FR95" s="46"/>
      <c r="FS95" s="46"/>
      <c r="FT95" s="46"/>
      <c r="FU95" s="46"/>
      <c r="FV95" s="46"/>
      <c r="FW95" s="46"/>
      <c r="FX95" s="46"/>
      <c r="FY95" s="46"/>
      <c r="FZ95" s="46"/>
      <c r="GA95" s="46"/>
      <c r="GB95" s="46"/>
      <c r="GC95" s="46"/>
      <c r="GD95" s="46"/>
      <c r="GE95" s="46"/>
      <c r="GF95" s="46"/>
      <c r="GG95" s="46"/>
      <c r="GH95" s="46"/>
    </row>
    <row r="96" spans="1:190" s="47" customFormat="1" ht="15" hidden="1">
      <c r="A96"/>
      <c r="Q96" s="1199">
        <v>6</v>
      </c>
      <c r="R96" s="1199"/>
      <c r="S96" s="1199"/>
      <c r="U96" s="1222">
        <f>IF($F$91="",0,IF('Registo Calibração'!F26="-------",0,'Registo Calibração'!F26))</f>
        <v>0</v>
      </c>
      <c r="V96" s="1222"/>
      <c r="W96" s="1222"/>
      <c r="X96" s="1222"/>
      <c r="Y96" s="1222"/>
      <c r="Z96" s="1222"/>
      <c r="AA96" s="1222"/>
      <c r="AB96" s="1222"/>
      <c r="AC96" s="1222"/>
      <c r="AD96" s="1222"/>
      <c r="AE96" s="1222"/>
      <c r="AF96" s="1222"/>
      <c r="AG96" s="1222"/>
      <c r="AH96" s="1222"/>
      <c r="AJ96" s="1218" t="str">
        <f>IF($F$91="","----------",FIXED(U96-$U$91,'Registo Calibração'!$AI$15))</f>
        <v>----------</v>
      </c>
      <c r="AK96" s="1218"/>
      <c r="AL96" s="1218"/>
      <c r="AM96" s="1218"/>
      <c r="AN96" s="1218"/>
      <c r="AO96" s="1218"/>
      <c r="AP96" s="1218"/>
      <c r="AQ96" s="1218"/>
      <c r="AR96" s="1218"/>
      <c r="AS96" s="1218"/>
      <c r="AT96" s="1218"/>
      <c r="AU96" s="1218"/>
      <c r="AV96"/>
      <c r="AW96" s="406"/>
      <c r="FK96" s="46"/>
      <c r="FL96" s="46"/>
      <c r="FM96" s="46"/>
      <c r="FN96" s="46"/>
      <c r="FO96" s="46"/>
      <c r="FP96" s="46"/>
      <c r="FQ96" s="46"/>
      <c r="FR96" s="46"/>
      <c r="FS96" s="46"/>
      <c r="FT96" s="46"/>
      <c r="FU96" s="46"/>
      <c r="FV96" s="46"/>
      <c r="FW96" s="46"/>
      <c r="FX96" s="46"/>
      <c r="FY96" s="46"/>
      <c r="FZ96" s="46"/>
      <c r="GA96" s="46"/>
      <c r="GB96" s="46"/>
      <c r="GC96" s="46"/>
      <c r="GD96" s="46"/>
      <c r="GE96" s="46"/>
      <c r="GF96" s="46"/>
      <c r="GG96" s="46"/>
      <c r="GH96" s="46"/>
    </row>
    <row r="97" spans="1:190" s="47" customFormat="1" ht="15" hidden="1">
      <c r="A97"/>
      <c r="Q97" s="1199">
        <v>7</v>
      </c>
      <c r="R97" s="1199"/>
      <c r="S97" s="1199"/>
      <c r="U97" s="1222">
        <f>IF($F$91="",0,IF('Registo Calibração'!G26="-------",0,'Registo Calibração'!G26))</f>
        <v>0</v>
      </c>
      <c r="V97" s="1222"/>
      <c r="W97" s="1222"/>
      <c r="X97" s="1222"/>
      <c r="Y97" s="1222"/>
      <c r="Z97" s="1222"/>
      <c r="AA97" s="1222"/>
      <c r="AB97" s="1222"/>
      <c r="AC97" s="1222"/>
      <c r="AD97" s="1222"/>
      <c r="AE97" s="1222"/>
      <c r="AF97" s="1222"/>
      <c r="AG97" s="1222"/>
      <c r="AH97" s="1222"/>
      <c r="AJ97" s="1218" t="str">
        <f>IF($F$91="","----------",FIXED(U97-$U$91,'Registo Calibração'!$AI$15))</f>
        <v>----------</v>
      </c>
      <c r="AK97" s="1218"/>
      <c r="AL97" s="1218"/>
      <c r="AM97" s="1218"/>
      <c r="AN97" s="1218"/>
      <c r="AO97" s="1218"/>
      <c r="AP97" s="1218"/>
      <c r="AQ97" s="1218"/>
      <c r="AR97" s="1218"/>
      <c r="AS97" s="1218"/>
      <c r="AT97" s="1218"/>
      <c r="AU97" s="1218"/>
      <c r="AV97"/>
      <c r="AW97" s="406"/>
      <c r="FK97" s="46"/>
      <c r="FL97" s="46"/>
      <c r="FM97" s="46"/>
      <c r="FN97" s="46"/>
      <c r="FO97" s="46"/>
      <c r="FP97" s="46"/>
      <c r="FQ97" s="46"/>
      <c r="FR97" s="46"/>
      <c r="FS97" s="46"/>
      <c r="FT97" s="46"/>
      <c r="FU97" s="46"/>
      <c r="FV97" s="46"/>
      <c r="FW97" s="46"/>
      <c r="FX97" s="46"/>
      <c r="FY97" s="46"/>
      <c r="FZ97" s="46"/>
      <c r="GA97" s="46"/>
      <c r="GB97" s="46"/>
      <c r="GC97" s="46"/>
      <c r="GD97" s="46"/>
      <c r="GE97" s="46"/>
      <c r="GF97" s="46"/>
      <c r="GG97" s="46"/>
      <c r="GH97" s="46"/>
    </row>
    <row r="98" spans="1:190" s="47" customFormat="1" ht="15" hidden="1" customHeight="1">
      <c r="A98"/>
      <c r="Q98" s="1199">
        <v>8</v>
      </c>
      <c r="R98" s="1199"/>
      <c r="S98" s="1199"/>
      <c r="U98" s="1222">
        <f>IF($F$91="",0,IF('Registo Calibração'!H26="-------",0,'Registo Calibração'!H26))</f>
        <v>0</v>
      </c>
      <c r="V98" s="1222"/>
      <c r="W98" s="1222"/>
      <c r="X98" s="1222"/>
      <c r="Y98" s="1222"/>
      <c r="Z98" s="1222"/>
      <c r="AA98" s="1222"/>
      <c r="AB98" s="1222"/>
      <c r="AC98" s="1222"/>
      <c r="AD98" s="1222"/>
      <c r="AE98" s="1222"/>
      <c r="AF98" s="1222"/>
      <c r="AG98" s="1222"/>
      <c r="AH98" s="1222"/>
      <c r="AJ98" s="1218" t="str">
        <f>IF($F$91="","----------",FIXED(U98-$U$91,'Registo Calibração'!$AI$15))</f>
        <v>----------</v>
      </c>
      <c r="AK98" s="1218"/>
      <c r="AL98" s="1218"/>
      <c r="AM98" s="1218"/>
      <c r="AN98" s="1218"/>
      <c r="AO98" s="1218"/>
      <c r="AP98" s="1218"/>
      <c r="AQ98" s="1218"/>
      <c r="AR98" s="1218"/>
      <c r="AS98" s="1218"/>
      <c r="AT98" s="1218"/>
      <c r="AU98" s="1218"/>
      <c r="AV98"/>
      <c r="AW98" s="406"/>
      <c r="FK98" s="46"/>
      <c r="FL98" s="46"/>
      <c r="FM98" s="46"/>
      <c r="FN98" s="46"/>
      <c r="FO98" s="46"/>
      <c r="FP98" s="46"/>
      <c r="FQ98" s="46"/>
      <c r="FR98" s="46"/>
      <c r="FS98" s="46"/>
      <c r="FT98" s="46"/>
      <c r="FU98" s="46"/>
      <c r="FV98" s="46"/>
      <c r="FW98" s="46"/>
      <c r="FX98" s="46"/>
      <c r="FY98" s="46"/>
      <c r="FZ98" s="46"/>
      <c r="GA98" s="46"/>
      <c r="GB98" s="46"/>
      <c r="GC98" s="46"/>
      <c r="GD98" s="46"/>
      <c r="GE98" s="46"/>
      <c r="GF98" s="46"/>
      <c r="GG98" s="46"/>
      <c r="GH98" s="46"/>
    </row>
    <row r="99" spans="1:190" s="47" customFormat="1" ht="15" hidden="1">
      <c r="A99"/>
      <c r="Q99" s="1199">
        <v>9</v>
      </c>
      <c r="R99" s="1199"/>
      <c r="S99" s="1199"/>
      <c r="U99" s="1222">
        <f>IF($F$91="",0,IF('Registo Calibração'!I26="-------",0,'Registo Calibração'!I26))</f>
        <v>0</v>
      </c>
      <c r="V99" s="1222"/>
      <c r="W99" s="1222"/>
      <c r="X99" s="1222"/>
      <c r="Y99" s="1222"/>
      <c r="Z99" s="1222"/>
      <c r="AA99" s="1222"/>
      <c r="AB99" s="1222"/>
      <c r="AC99" s="1222"/>
      <c r="AD99" s="1222"/>
      <c r="AE99" s="1222"/>
      <c r="AF99" s="1222"/>
      <c r="AG99" s="1222"/>
      <c r="AH99" s="1222"/>
      <c r="AJ99" s="1218" t="str">
        <f>IF($F$91="","----------",FIXED(U99-$U$91,'Registo Calibração'!$AI$15))</f>
        <v>----------</v>
      </c>
      <c r="AK99" s="1218"/>
      <c r="AL99" s="1218"/>
      <c r="AM99" s="1218"/>
      <c r="AN99" s="1218"/>
      <c r="AO99" s="1218"/>
      <c r="AP99" s="1218"/>
      <c r="AQ99" s="1218"/>
      <c r="AR99" s="1218"/>
      <c r="AS99" s="1218"/>
      <c r="AT99" s="1218"/>
      <c r="AU99" s="1218"/>
      <c r="AV99"/>
      <c r="AW99" s="406"/>
      <c r="FK99" s="46"/>
      <c r="FL99" s="46"/>
      <c r="FM99" s="46"/>
      <c r="FN99" s="46"/>
      <c r="FO99" s="46"/>
      <c r="FP99" s="46"/>
      <c r="FQ99" s="46"/>
      <c r="FR99" s="46"/>
      <c r="FS99" s="46"/>
      <c r="FT99" s="46"/>
      <c r="FU99" s="46"/>
      <c r="FV99" s="46"/>
      <c r="FW99" s="46"/>
      <c r="FX99" s="46"/>
      <c r="FY99" s="46"/>
      <c r="FZ99" s="46"/>
      <c r="GA99" s="46"/>
      <c r="GB99" s="46"/>
      <c r="GC99" s="46"/>
      <c r="GD99" s="46"/>
      <c r="GE99" s="46"/>
      <c r="GF99" s="46"/>
      <c r="GG99" s="46"/>
      <c r="GH99" s="46"/>
    </row>
    <row r="100" spans="1:190" s="47" customFormat="1" ht="20.25" hidden="1" customHeight="1">
      <c r="Q100" s="1199">
        <v>10</v>
      </c>
      <c r="R100" s="1199"/>
      <c r="S100" s="1199"/>
      <c r="U100" s="1222">
        <f>IF($F$91="",0,IF('Registo Calibração'!J26="-------",0,'Registo Calibração'!J26))</f>
        <v>0</v>
      </c>
      <c r="V100" s="1222"/>
      <c r="W100" s="1222"/>
      <c r="X100" s="1222"/>
      <c r="Y100" s="1222"/>
      <c r="Z100" s="1222"/>
      <c r="AA100" s="1222"/>
      <c r="AB100" s="1222"/>
      <c r="AC100" s="1222"/>
      <c r="AD100" s="1222"/>
      <c r="AE100" s="1222"/>
      <c r="AF100" s="1222"/>
      <c r="AG100" s="1222"/>
      <c r="AH100" s="1222"/>
      <c r="AJ100" s="1218" t="str">
        <f>IF($F$91="","----------",FIXED(U100-$U$91,'Registo Calibração'!$AI$15))</f>
        <v>----------</v>
      </c>
      <c r="AK100" s="1218"/>
      <c r="AL100" s="1218"/>
      <c r="AM100" s="1218"/>
      <c r="AN100" s="1218"/>
      <c r="AO100" s="1218"/>
      <c r="AP100" s="1218"/>
      <c r="AQ100" s="1218"/>
      <c r="AR100" s="1218"/>
      <c r="AS100" s="1218"/>
      <c r="AT100" s="1218"/>
      <c r="AU100" s="1218"/>
      <c r="AW100" s="406"/>
      <c r="FK100" s="46"/>
      <c r="FL100" s="46"/>
      <c r="FM100" s="46"/>
      <c r="FN100" s="46"/>
      <c r="FO100" s="46"/>
      <c r="FP100" s="46"/>
      <c r="FQ100" s="46"/>
      <c r="FR100" s="46"/>
      <c r="FS100" s="46"/>
      <c r="FT100" s="46"/>
      <c r="FU100" s="46"/>
      <c r="FV100" s="46"/>
      <c r="FW100" s="46"/>
      <c r="FX100" s="46"/>
      <c r="FY100" s="46"/>
      <c r="FZ100" s="46"/>
      <c r="GA100" s="46"/>
      <c r="GB100" s="46"/>
      <c r="GC100" s="46"/>
      <c r="GD100" s="46"/>
      <c r="GE100" s="46"/>
      <c r="GF100" s="46"/>
      <c r="GG100" s="46"/>
      <c r="GH100" s="46"/>
    </row>
    <row r="101" spans="1:190" s="47" customFormat="1" ht="18" hidden="1" customHeight="1">
      <c r="Q101" s="1199">
        <v>11</v>
      </c>
      <c r="R101" s="1199"/>
      <c r="S101" s="1199"/>
      <c r="U101" s="1222">
        <f>IF($F$91="",0,IF('Registo Calibração'!K26="-------",0,'Registo Calibração'!K26))</f>
        <v>0</v>
      </c>
      <c r="V101" s="1222"/>
      <c r="W101" s="1222"/>
      <c r="X101" s="1222"/>
      <c r="Y101" s="1222"/>
      <c r="Z101" s="1222"/>
      <c r="AA101" s="1222"/>
      <c r="AB101" s="1222"/>
      <c r="AC101" s="1222"/>
      <c r="AD101" s="1222"/>
      <c r="AE101" s="1222"/>
      <c r="AF101" s="1222"/>
      <c r="AG101" s="1222"/>
      <c r="AH101" s="1222"/>
      <c r="AJ101" s="1218" t="str">
        <f>IF($F$91="","----------",FIXED(U101-$U$91,'Registo Calibração'!$AI$15))</f>
        <v>----------</v>
      </c>
      <c r="AK101" s="1218"/>
      <c r="AL101" s="1218"/>
      <c r="AM101" s="1218"/>
      <c r="AN101" s="1218"/>
      <c r="AO101" s="1218"/>
      <c r="AP101" s="1218"/>
      <c r="AQ101" s="1218"/>
      <c r="AR101" s="1218"/>
      <c r="AS101" s="1218"/>
      <c r="AT101" s="1218"/>
      <c r="AU101" s="1218"/>
      <c r="AW101" s="406"/>
      <c r="FK101" s="46"/>
      <c r="FL101" s="46"/>
      <c r="FM101" s="46"/>
      <c r="FN101" s="46"/>
      <c r="FO101" s="46"/>
      <c r="FP101" s="46"/>
      <c r="FQ101" s="46"/>
      <c r="FR101" s="46"/>
      <c r="FS101" s="46"/>
      <c r="FT101" s="46"/>
      <c r="FU101" s="46"/>
      <c r="FV101" s="46"/>
      <c r="FW101" s="46"/>
      <c r="FX101" s="46"/>
      <c r="FY101" s="46"/>
      <c r="FZ101" s="46"/>
      <c r="GA101" s="46"/>
      <c r="GB101" s="46"/>
      <c r="GC101" s="46"/>
      <c r="GD101" s="46"/>
      <c r="GE101" s="46"/>
      <c r="GF101" s="46"/>
      <c r="GG101" s="46"/>
      <c r="GH101" s="46"/>
    </row>
    <row r="102" spans="1:190" s="47" customFormat="1" ht="66" customHeight="1">
      <c r="A102" s="680"/>
      <c r="B102" s="1192" t="str">
        <f>IF($F$91="","Ensaio não aplicável.",CONCATENATE("O Erro de Excentricidade Máximo, calculado pela maior diferença de indicação entre cada posição e o centro (posição 1), para a carga considerada de ",'Registo Calibração'!I23," ",'Registo Calibração'!J23,", foi de ",'Registo Calibração'!L26," ",'Registo Calibração'!M26,"."," A posição do terminal de pesagem relativamente ao recetor de carga está indicada ao lado do esquema pela palavra 'Visor'."))</f>
        <v>Ensaio não aplicável.</v>
      </c>
      <c r="C102" s="1192"/>
      <c r="D102" s="1192"/>
      <c r="E102" s="1192"/>
      <c r="F102" s="1192"/>
      <c r="G102" s="1192"/>
      <c r="H102" s="1192"/>
      <c r="I102" s="1192"/>
      <c r="J102" s="1192"/>
      <c r="K102" s="1192"/>
      <c r="L102" s="1192"/>
      <c r="M102" s="1192"/>
      <c r="N102" s="1192"/>
      <c r="O102" s="1192"/>
      <c r="P102" s="1192"/>
      <c r="Q102" s="1192"/>
      <c r="R102" s="1192"/>
      <c r="S102" s="1192"/>
      <c r="T102" s="1192"/>
      <c r="U102" s="1192"/>
      <c r="V102" s="1192"/>
      <c r="W102" s="1192"/>
      <c r="X102" s="1192"/>
      <c r="Y102" s="1192"/>
      <c r="Z102" s="1192"/>
      <c r="AA102" s="1192"/>
      <c r="AB102" s="1192"/>
      <c r="AC102" s="1192"/>
      <c r="AD102" s="1192"/>
      <c r="AE102" s="1192"/>
      <c r="AF102" s="1192"/>
      <c r="AG102" s="1192"/>
      <c r="AH102" s="1192"/>
      <c r="AI102" s="1192"/>
      <c r="AJ102" s="1192"/>
      <c r="AK102" s="1192"/>
      <c r="AL102" s="1192"/>
      <c r="AM102" s="1192"/>
      <c r="AN102" s="1192"/>
      <c r="AO102" s="1192"/>
      <c r="AP102" s="1192"/>
      <c r="AQ102" s="1192"/>
      <c r="AR102" s="1192"/>
      <c r="AS102" s="1192"/>
      <c r="AT102" s="1192"/>
      <c r="AU102" s="1192"/>
      <c r="AV102" s="1192"/>
      <c r="AW102" s="406"/>
      <c r="FK102" s="46"/>
      <c r="FL102" s="46"/>
      <c r="FM102" s="46"/>
      <c r="FN102" s="46"/>
      <c r="FO102" s="46"/>
      <c r="FP102" s="46"/>
      <c r="FQ102" s="46"/>
      <c r="FR102" s="46"/>
      <c r="FS102" s="46"/>
      <c r="FT102" s="46"/>
      <c r="FU102" s="46"/>
      <c r="FV102" s="46"/>
      <c r="FW102" s="46"/>
      <c r="FX102" s="46"/>
      <c r="FY102" s="46"/>
      <c r="FZ102" s="46"/>
      <c r="GA102" s="46"/>
      <c r="GB102" s="46"/>
      <c r="GC102" s="46"/>
      <c r="GD102" s="46"/>
      <c r="GE102" s="46"/>
      <c r="GF102" s="46"/>
      <c r="GG102" s="46"/>
      <c r="GH102" s="46"/>
    </row>
    <row r="103" spans="1:190" s="47" customFormat="1" ht="4.5" customHeight="1">
      <c r="B103" s="473"/>
      <c r="C103" s="473"/>
      <c r="D103" s="473"/>
      <c r="E103" s="473"/>
      <c r="F103" s="473"/>
      <c r="G103" s="473"/>
      <c r="H103" s="473"/>
      <c r="I103" s="473"/>
      <c r="J103" s="473"/>
      <c r="K103" s="473"/>
      <c r="L103" s="473"/>
      <c r="M103" s="473"/>
      <c r="N103" s="473"/>
      <c r="O103" s="473"/>
      <c r="P103" s="473"/>
      <c r="Q103" s="473"/>
      <c r="R103" s="473"/>
      <c r="S103" s="473"/>
      <c r="T103" s="473"/>
      <c r="U103" s="473"/>
      <c r="V103" s="473"/>
      <c r="W103" s="473"/>
      <c r="X103" s="473"/>
      <c r="Y103" s="473"/>
      <c r="Z103" s="473"/>
      <c r="AA103" s="473"/>
      <c r="AB103" s="473"/>
      <c r="AC103" s="473"/>
      <c r="AD103" s="473"/>
      <c r="AE103" s="473"/>
      <c r="AF103" s="473"/>
      <c r="AG103" s="473"/>
      <c r="AH103" s="473"/>
      <c r="AI103" s="473"/>
      <c r="AJ103" s="473"/>
      <c r="AK103" s="473"/>
      <c r="AL103" s="473"/>
      <c r="AM103" s="473"/>
      <c r="AN103" s="473"/>
      <c r="AO103" s="473"/>
      <c r="AP103" s="473"/>
      <c r="AQ103" s="473"/>
      <c r="AR103" s="473"/>
      <c r="AS103" s="473"/>
      <c r="AT103" s="473"/>
      <c r="AU103" s="473"/>
      <c r="AW103" s="406"/>
      <c r="FK103" s="46"/>
      <c r="FL103" s="46"/>
      <c r="FM103" s="46"/>
      <c r="FN103" s="46"/>
      <c r="FO103" s="46"/>
      <c r="FP103" s="46"/>
      <c r="FQ103" s="46"/>
      <c r="FR103" s="46"/>
      <c r="FS103" s="46"/>
      <c r="FT103" s="46"/>
      <c r="FU103" s="46"/>
      <c r="FV103" s="46"/>
      <c r="FW103" s="46"/>
      <c r="FX103" s="46"/>
      <c r="FY103" s="46"/>
      <c r="FZ103" s="46"/>
      <c r="GA103" s="46"/>
      <c r="GB103" s="46"/>
      <c r="GC103" s="46"/>
      <c r="GD103" s="46"/>
      <c r="GE103" s="46"/>
      <c r="GF103" s="46"/>
      <c r="GG103" s="46"/>
      <c r="GH103" s="46"/>
    </row>
    <row r="104" spans="1:190" s="47" customFormat="1" ht="21" customHeight="1">
      <c r="B104" s="1221" t="s">
        <v>420</v>
      </c>
      <c r="C104" s="1221"/>
      <c r="D104" s="1221"/>
      <c r="E104" s="1221"/>
      <c r="F104" s="1221"/>
      <c r="G104" s="1221"/>
      <c r="H104" s="1221"/>
      <c r="I104" s="1221"/>
      <c r="J104" s="1221"/>
      <c r="K104" s="1221"/>
      <c r="L104" s="1221"/>
      <c r="M104" s="1221"/>
      <c r="N104" s="1221"/>
      <c r="O104" s="1221"/>
      <c r="P104" s="1221"/>
      <c r="Q104" s="1221"/>
      <c r="R104" s="1221"/>
      <c r="S104" s="1221"/>
      <c r="T104" s="1221"/>
      <c r="U104" s="1221"/>
      <c r="V104" s="1221"/>
      <c r="W104" s="1221"/>
      <c r="X104" s="1221"/>
      <c r="Y104" s="1221"/>
      <c r="Z104" s="1221"/>
      <c r="AA104" s="1221"/>
      <c r="AB104" s="1221"/>
      <c r="AC104" s="1221"/>
      <c r="AD104" s="1221"/>
      <c r="AE104" s="1221"/>
      <c r="AF104" s="1221"/>
      <c r="AG104" s="1221"/>
      <c r="AH104" s="1221"/>
      <c r="AI104" s="1221"/>
      <c r="AJ104" s="1221"/>
      <c r="AK104" s="1221"/>
      <c r="AL104" s="1221"/>
      <c r="AM104" s="1221"/>
      <c r="AN104" s="1221"/>
      <c r="AO104" s="1221"/>
      <c r="AP104" s="1221"/>
      <c r="AQ104" s="1221"/>
      <c r="AR104" s="1221"/>
      <c r="AS104" s="1221"/>
      <c r="AT104" s="1221"/>
      <c r="AU104" s="1221"/>
      <c r="AV104" s="1221"/>
      <c r="AW104" s="406"/>
      <c r="FK104" s="46"/>
      <c r="FL104" s="46"/>
      <c r="FM104" s="46"/>
      <c r="FN104" s="46"/>
      <c r="FO104" s="46"/>
      <c r="FP104" s="46"/>
      <c r="FQ104" s="46"/>
      <c r="FR104" s="46"/>
      <c r="FS104" s="46"/>
      <c r="FT104" s="46"/>
      <c r="FU104" s="46"/>
      <c r="FV104" s="46"/>
      <c r="FW104" s="46"/>
      <c r="FX104" s="46"/>
      <c r="FY104" s="46"/>
      <c r="FZ104" s="46"/>
      <c r="GA104" s="46"/>
      <c r="GB104" s="46"/>
      <c r="GC104" s="46"/>
      <c r="GD104" s="46"/>
      <c r="GE104" s="46"/>
      <c r="GF104" s="46"/>
      <c r="GG104" s="46"/>
      <c r="GH104" s="46"/>
    </row>
    <row r="105" spans="1:190" s="47" customFormat="1" ht="7.5" customHeight="1">
      <c r="B105" s="474"/>
      <c r="C105" s="474"/>
      <c r="D105" s="474"/>
      <c r="E105" s="474"/>
      <c r="F105" s="474"/>
      <c r="G105" s="474"/>
      <c r="H105" s="474"/>
      <c r="I105" s="474"/>
      <c r="J105" s="474"/>
      <c r="K105" s="474"/>
      <c r="L105" s="474"/>
      <c r="M105" s="64"/>
      <c r="N105" s="64"/>
      <c r="O105" s="474"/>
      <c r="P105" s="474"/>
      <c r="Q105" s="474"/>
      <c r="R105" s="474"/>
      <c r="S105" s="474"/>
      <c r="T105" s="474"/>
      <c r="U105" s="474"/>
      <c r="V105" s="474"/>
      <c r="W105" s="474"/>
      <c r="X105" s="474"/>
      <c r="Y105" s="474"/>
      <c r="Z105" s="474"/>
      <c r="AA105" s="474"/>
      <c r="AB105" s="474"/>
      <c r="AC105" s="474"/>
      <c r="AD105" s="474"/>
      <c r="AE105" s="474"/>
      <c r="AF105" s="474"/>
      <c r="AG105" s="474"/>
      <c r="AH105" s="474"/>
      <c r="AI105" s="474"/>
      <c r="AJ105" s="474"/>
      <c r="AK105" s="474"/>
      <c r="AL105" s="474"/>
      <c r="AM105" s="474"/>
      <c r="AN105" s="474"/>
      <c r="AO105" s="474"/>
      <c r="AP105" s="474"/>
      <c r="AQ105" s="474"/>
      <c r="AR105" s="474"/>
      <c r="AS105" s="474"/>
      <c r="AT105" s="474"/>
      <c r="AU105" s="474"/>
      <c r="AW105" s="406"/>
      <c r="FK105" s="46"/>
      <c r="FL105" s="46"/>
      <c r="FM105" s="46"/>
      <c r="FN105" s="46"/>
      <c r="FO105" s="46"/>
      <c r="FP105" s="46"/>
      <c r="FQ105" s="46"/>
      <c r="FR105" s="46"/>
      <c r="FS105" s="46"/>
      <c r="FT105" s="46"/>
      <c r="FU105" s="46"/>
      <c r="FV105" s="46"/>
      <c r="FW105" s="46"/>
      <c r="FX105" s="46"/>
      <c r="FY105" s="46"/>
      <c r="FZ105" s="46"/>
      <c r="GA105" s="46"/>
      <c r="GB105" s="46"/>
      <c r="GC105" s="46"/>
      <c r="GD105" s="46"/>
      <c r="GE105" s="46"/>
      <c r="GF105" s="46"/>
      <c r="GG105" s="46"/>
      <c r="GH105" s="46"/>
    </row>
    <row r="106" spans="1:190" s="47" customFormat="1" ht="16.5">
      <c r="B106" s="1221" t="s">
        <v>285</v>
      </c>
      <c r="C106" s="1221"/>
      <c r="D106" s="1221"/>
      <c r="E106" s="1221"/>
      <c r="F106" s="1221"/>
      <c r="G106" s="1221"/>
      <c r="H106" s="1221"/>
      <c r="I106" s="1221"/>
      <c r="J106" s="1221"/>
      <c r="K106" s="380"/>
      <c r="L106" s="1221" t="s">
        <v>411</v>
      </c>
      <c r="M106" s="1221"/>
      <c r="N106" s="1221"/>
      <c r="O106" s="1221"/>
      <c r="P106" s="1221"/>
      <c r="Q106" s="1221"/>
      <c r="R106" s="1221"/>
      <c r="S106" s="1221"/>
      <c r="T106" s="1221"/>
      <c r="U106" s="1221"/>
      <c r="V106" s="1221"/>
      <c r="W106" s="474"/>
      <c r="X106" s="1221" t="s">
        <v>2</v>
      </c>
      <c r="Y106" s="1221"/>
      <c r="Z106" s="1221"/>
      <c r="AA106" s="1221"/>
      <c r="AB106" s="1221"/>
      <c r="AC106" s="1221"/>
      <c r="AD106" s="1221"/>
      <c r="AE106" s="1221"/>
      <c r="AF106" s="1221"/>
      <c r="AG106" s="1221"/>
      <c r="AH106" s="470"/>
      <c r="AI106" s="1256" t="s">
        <v>421</v>
      </c>
      <c r="AJ106" s="1256"/>
      <c r="AK106" s="1256"/>
      <c r="AL106" s="474"/>
      <c r="AM106" s="1257" t="s">
        <v>6</v>
      </c>
      <c r="AN106" s="1257"/>
      <c r="AO106" s="1257"/>
      <c r="AP106" s="1257"/>
      <c r="AQ106" s="470"/>
      <c r="AR106" s="1257" t="s">
        <v>7</v>
      </c>
      <c r="AS106" s="1257"/>
      <c r="AT106" s="1257"/>
      <c r="AU106" s="1257"/>
      <c r="AV106" s="1257"/>
      <c r="AW106" s="406"/>
      <c r="BA106" s="1267"/>
      <c r="BB106" s="1267"/>
      <c r="BC106" s="1267"/>
      <c r="BD106" s="1267"/>
      <c r="BE106" s="1267"/>
      <c r="BF106" s="425"/>
      <c r="BG106" s="425"/>
      <c r="BH106" s="425"/>
      <c r="BI106" s="425"/>
      <c r="BJ106" s="818"/>
      <c r="BK106" s="1271"/>
      <c r="BL106" s="1271"/>
      <c r="BM106" s="1271"/>
      <c r="BN106" s="815"/>
      <c r="BO106" s="819"/>
      <c r="BP106" s="425"/>
      <c r="FK106" s="46"/>
      <c r="FL106" s="46"/>
      <c r="FM106" s="46"/>
      <c r="FN106" s="46"/>
      <c r="FO106" s="46"/>
      <c r="FP106" s="46"/>
      <c r="FQ106" s="46"/>
      <c r="FR106" s="46"/>
      <c r="FS106" s="46"/>
      <c r="FT106" s="46"/>
      <c r="FU106" s="46"/>
      <c r="FV106" s="46"/>
      <c r="FW106" s="46"/>
      <c r="FX106" s="46"/>
      <c r="FY106" s="46"/>
      <c r="FZ106" s="46"/>
      <c r="GA106" s="46"/>
      <c r="GB106" s="46"/>
      <c r="GC106" s="46"/>
      <c r="GD106" s="46"/>
      <c r="GE106" s="46"/>
      <c r="GF106" s="46"/>
      <c r="GG106" s="46"/>
      <c r="GH106" s="46"/>
    </row>
    <row r="107" spans="1:190" s="47" customFormat="1" ht="15.75" customHeight="1">
      <c r="B107" s="1255" t="str">
        <f>CONCATENATE("[ ",$AV$70," ]")</f>
        <v>[ g ]</v>
      </c>
      <c r="C107" s="1255"/>
      <c r="D107" s="1255"/>
      <c r="E107" s="1255"/>
      <c r="F107" s="1255"/>
      <c r="G107" s="1255"/>
      <c r="H107" s="1255"/>
      <c r="I107" s="1255"/>
      <c r="J107" s="1255"/>
      <c r="K107" s="476"/>
      <c r="L107" s="1255" t="str">
        <f>CONCATENATE("I ","[ ",$AV$70," ]")</f>
        <v>I [ g ]</v>
      </c>
      <c r="M107" s="1255"/>
      <c r="N107" s="1255"/>
      <c r="O107" s="1255"/>
      <c r="P107" s="1255"/>
      <c r="Q107" s="1255"/>
      <c r="R107" s="1255"/>
      <c r="S107" s="1255"/>
      <c r="T107" s="1255"/>
      <c r="U107" s="1255"/>
      <c r="V107" s="1255"/>
      <c r="W107" s="474"/>
      <c r="X107" s="1255" t="str">
        <f>CONCATENATE("E ","[ ",$AV$70," ]")</f>
        <v>E [ g ]</v>
      </c>
      <c r="Y107" s="1255"/>
      <c r="Z107" s="1255"/>
      <c r="AA107" s="1255"/>
      <c r="AB107" s="1255"/>
      <c r="AC107" s="1255"/>
      <c r="AD107" s="1255"/>
      <c r="AE107" s="1255"/>
      <c r="AF107" s="1255"/>
      <c r="AG107" s="1255"/>
      <c r="AH107" s="470"/>
      <c r="AI107" s="1256"/>
      <c r="AJ107" s="1256"/>
      <c r="AK107" s="1256"/>
      <c r="AL107" s="474"/>
      <c r="AM107" s="1257"/>
      <c r="AN107" s="1257"/>
      <c r="AO107" s="1257"/>
      <c r="AP107" s="1257"/>
      <c r="AQ107" s="470"/>
      <c r="AR107" s="1244" t="s">
        <v>422</v>
      </c>
      <c r="AS107" s="1245"/>
      <c r="AT107" s="1261" t="str">
        <f>CONCATENATE("[ ",$AV$70," ]")</f>
        <v>[ g ]</v>
      </c>
      <c r="AU107" s="1261"/>
      <c r="AV107" s="1261"/>
      <c r="AW107" s="406"/>
      <c r="BA107" s="1268"/>
      <c r="BB107" s="1269"/>
      <c r="BC107" s="1270"/>
      <c r="BD107" s="1270"/>
      <c r="BE107" s="1270"/>
      <c r="BF107" s="425"/>
      <c r="BG107" s="425"/>
      <c r="BH107" s="425"/>
      <c r="BI107" s="425"/>
      <c r="BJ107" s="1272"/>
      <c r="BK107" s="1266"/>
      <c r="BL107" s="1266"/>
      <c r="BM107" s="1266"/>
      <c r="BN107" s="1266"/>
      <c r="BO107" s="1266"/>
      <c r="BP107" s="425"/>
      <c r="FK107" s="46"/>
      <c r="FL107" s="46"/>
      <c r="FM107" s="46"/>
      <c r="FN107" s="46"/>
      <c r="FO107" s="46"/>
      <c r="FP107" s="46"/>
      <c r="FQ107" s="46"/>
      <c r="FR107" s="46"/>
      <c r="FS107" s="46"/>
      <c r="FT107" s="46"/>
      <c r="FU107" s="46"/>
      <c r="FV107" s="46"/>
      <c r="FW107" s="46"/>
      <c r="FX107" s="46"/>
      <c r="FY107" s="46"/>
      <c r="FZ107" s="46"/>
      <c r="GA107" s="46"/>
      <c r="GB107" s="46"/>
      <c r="GC107" s="46"/>
      <c r="GD107" s="46"/>
      <c r="GE107" s="46"/>
      <c r="GF107" s="46"/>
      <c r="GG107" s="46"/>
      <c r="GH107" s="46"/>
    </row>
    <row r="108" spans="1:190" s="47" customFormat="1" ht="11.1" hidden="1" customHeight="1">
      <c r="B108" s="476"/>
      <c r="C108" s="476"/>
      <c r="D108" s="476"/>
      <c r="E108" s="476"/>
      <c r="F108" s="476"/>
      <c r="G108" s="476"/>
      <c r="H108" s="476"/>
      <c r="I108" s="476"/>
      <c r="J108" s="476"/>
      <c r="K108" s="476"/>
      <c r="L108" s="476"/>
      <c r="M108" s="476"/>
      <c r="N108" s="476"/>
      <c r="O108" s="474"/>
      <c r="P108" s="474"/>
      <c r="Q108" s="474"/>
      <c r="R108" s="474"/>
      <c r="S108" s="474"/>
      <c r="T108" s="474"/>
      <c r="U108" s="474"/>
      <c r="V108" s="474"/>
      <c r="W108" s="474"/>
      <c r="X108" s="474"/>
      <c r="Y108" s="474"/>
      <c r="Z108" s="474"/>
      <c r="AA108" s="474"/>
      <c r="AB108" s="474"/>
      <c r="AC108" s="470"/>
      <c r="AD108" s="470"/>
      <c r="AE108" s="470"/>
      <c r="AF108" s="470"/>
      <c r="AG108" s="470"/>
      <c r="AH108" s="470"/>
      <c r="AI108" s="470"/>
      <c r="AJ108" s="470"/>
      <c r="AK108" s="470"/>
      <c r="AL108" s="470"/>
      <c r="AM108" s="470"/>
      <c r="AN108" s="470"/>
      <c r="AO108" s="470"/>
      <c r="AP108" s="470"/>
      <c r="AQ108" s="470"/>
      <c r="AR108" s="470"/>
      <c r="AS108" s="470"/>
      <c r="AW108" s="406"/>
      <c r="BA108" s="425"/>
      <c r="BB108" s="425"/>
      <c r="BC108" s="425"/>
      <c r="BD108" s="425"/>
      <c r="BE108" s="425"/>
      <c r="BF108" s="425"/>
      <c r="BG108" s="425"/>
      <c r="BH108" s="425"/>
      <c r="BI108" s="425"/>
      <c r="BJ108" s="1272"/>
      <c r="BK108" s="1266"/>
      <c r="BL108" s="1266"/>
      <c r="BM108" s="1266"/>
      <c r="BN108" s="1266"/>
      <c r="BO108" s="1266"/>
      <c r="BP108" s="425"/>
      <c r="FK108" s="46"/>
      <c r="FL108" s="46"/>
      <c r="FM108" s="46"/>
      <c r="FN108" s="46"/>
      <c r="FO108" s="46"/>
      <c r="FP108" s="46"/>
      <c r="FQ108" s="46"/>
      <c r="FR108" s="46"/>
      <c r="FS108" s="46"/>
      <c r="FT108" s="46"/>
      <c r="FU108" s="46"/>
      <c r="FV108" s="46"/>
      <c r="FW108" s="46"/>
      <c r="FX108" s="46"/>
      <c r="FY108" s="46"/>
      <c r="FZ108" s="46"/>
      <c r="GA108" s="46"/>
      <c r="GB108" s="46"/>
      <c r="GC108" s="46"/>
      <c r="GD108" s="46"/>
      <c r="GE108" s="46"/>
      <c r="GF108" s="46"/>
      <c r="GG108" s="46"/>
      <c r="GH108" s="46"/>
    </row>
    <row r="109" spans="1:190" s="47" customFormat="1" ht="15">
      <c r="B109" s="1223">
        <f>'Registo Calibração'!D31</f>
        <v>0</v>
      </c>
      <c r="C109" s="1223"/>
      <c r="D109" s="1223"/>
      <c r="E109" s="1223"/>
      <c r="F109" s="1223"/>
      <c r="G109" s="1223"/>
      <c r="H109" s="1223"/>
      <c r="I109" s="1223"/>
      <c r="J109" s="1223"/>
      <c r="K109" s="477"/>
      <c r="L109" s="1223" t="str">
        <f>'Registo Calibração'!H31</f>
        <v>0,0000000</v>
      </c>
      <c r="M109" s="1223"/>
      <c r="N109" s="1223"/>
      <c r="O109" s="1223"/>
      <c r="P109" s="1223"/>
      <c r="Q109" s="1223"/>
      <c r="R109" s="1223"/>
      <c r="S109" s="1223"/>
      <c r="T109" s="1223"/>
      <c r="U109" s="1223"/>
      <c r="V109" s="1223"/>
      <c r="W109" s="478"/>
      <c r="X109" s="1220" t="str">
        <f>'Registo Calibração'!I31</f>
        <v>0,0000000</v>
      </c>
      <c r="Y109" s="1220"/>
      <c r="Z109" s="1220"/>
      <c r="AA109" s="1220"/>
      <c r="AB109" s="1220"/>
      <c r="AC109" s="1220"/>
      <c r="AD109" s="1220"/>
      <c r="AE109" s="1220"/>
      <c r="AF109" s="1220"/>
      <c r="AG109" s="1220"/>
      <c r="AH109" s="479"/>
      <c r="AI109" s="1223" t="str">
        <f>'Registo Calibração'!J31</f>
        <v>&gt; 500</v>
      </c>
      <c r="AJ109" s="1220"/>
      <c r="AK109" s="1220"/>
      <c r="AL109" s="479"/>
      <c r="AM109" s="1219">
        <f>'Registo Calibração'!K31</f>
        <v>2</v>
      </c>
      <c r="AN109" s="1220"/>
      <c r="AO109" s="1220"/>
      <c r="AP109" s="1220"/>
      <c r="AQ109" s="479"/>
      <c r="AR109" s="1220" t="str">
        <f>'Registo Calibração'!L31</f>
        <v>0,0000000</v>
      </c>
      <c r="AS109" s="1220"/>
      <c r="AT109" s="1220"/>
      <c r="AU109" s="1220"/>
      <c r="AV109" s="1220"/>
      <c r="BA109" s="1262"/>
      <c r="BB109" s="1262"/>
      <c r="BC109" s="1262"/>
      <c r="BD109" s="1262"/>
      <c r="BE109" s="1262"/>
      <c r="BF109" s="425"/>
      <c r="BG109" s="425"/>
      <c r="BH109" s="425"/>
      <c r="BI109" s="813"/>
      <c r="BJ109" s="814"/>
      <c r="BK109" s="815"/>
      <c r="BL109" s="816"/>
      <c r="BM109" s="815"/>
      <c r="BN109" s="815"/>
      <c r="BO109" s="817"/>
      <c r="BP109" s="425"/>
      <c r="FK109" s="46"/>
      <c r="FL109" s="46"/>
      <c r="FM109" s="46"/>
      <c r="FN109" s="46"/>
      <c r="FO109" s="46"/>
      <c r="FP109" s="46"/>
      <c r="FQ109" s="46"/>
      <c r="FR109" s="46"/>
      <c r="FS109" s="46"/>
      <c r="FT109" s="46"/>
      <c r="FU109" s="46"/>
      <c r="FV109" s="46"/>
      <c r="FW109" s="46"/>
      <c r="FX109" s="46"/>
      <c r="FY109" s="46"/>
      <c r="FZ109" s="46"/>
      <c r="GA109" s="46"/>
      <c r="GB109" s="46"/>
      <c r="GC109" s="46"/>
      <c r="GD109" s="46"/>
      <c r="GE109" s="46"/>
      <c r="GF109" s="46"/>
      <c r="GG109" s="46"/>
      <c r="GH109" s="46"/>
    </row>
    <row r="110" spans="1:190" s="47" customFormat="1" ht="15" hidden="1">
      <c r="B110" s="1223" t="str">
        <f>'Registo Calibração'!D34</f>
        <v>0,0</v>
      </c>
      <c r="C110" s="1223"/>
      <c r="D110" s="1223"/>
      <c r="E110" s="1223"/>
      <c r="F110" s="1223"/>
      <c r="G110" s="1223"/>
      <c r="H110" s="1223"/>
      <c r="I110" s="1223"/>
      <c r="J110" s="1223"/>
      <c r="K110" s="477"/>
      <c r="L110" s="1223" t="str">
        <f>'Registo Calibração'!H36</f>
        <v>------</v>
      </c>
      <c r="M110" s="1223"/>
      <c r="N110" s="1223"/>
      <c r="O110" s="1223"/>
      <c r="P110" s="1223"/>
      <c r="Q110" s="1223"/>
      <c r="R110" s="1223"/>
      <c r="S110" s="1223"/>
      <c r="T110" s="1223"/>
      <c r="U110" s="1223"/>
      <c r="V110" s="1223"/>
      <c r="W110" s="478"/>
      <c r="X110" s="1224" t="str">
        <f>'Registo Calibração'!I36</f>
        <v>------</v>
      </c>
      <c r="Y110" s="1220"/>
      <c r="Z110" s="1220"/>
      <c r="AA110" s="1220"/>
      <c r="AB110" s="1220"/>
      <c r="AC110" s="1220"/>
      <c r="AD110" s="1220"/>
      <c r="AE110" s="1220"/>
      <c r="AF110" s="1220"/>
      <c r="AG110" s="1220"/>
      <c r="AH110" s="479"/>
      <c r="AI110" s="1223" t="str">
        <f>'Registo Calibração'!J36</f>
        <v>&gt; 500</v>
      </c>
      <c r="AJ110" s="1220"/>
      <c r="AK110" s="1220"/>
      <c r="AL110" s="479"/>
      <c r="AM110" s="1219" t="e">
        <f>'Registo Calibração'!K36</f>
        <v>#DIV/0!</v>
      </c>
      <c r="AN110" s="1220"/>
      <c r="AO110" s="1220"/>
      <c r="AP110" s="1220"/>
      <c r="AQ110" s="479"/>
      <c r="AR110" s="1224" t="str">
        <f>'Registo Calibração'!L36</f>
        <v>------</v>
      </c>
      <c r="AS110" s="1220"/>
      <c r="AT110" s="1220"/>
      <c r="AU110" s="1220"/>
      <c r="AV110" s="1220"/>
      <c r="AW110" s="406"/>
      <c r="BA110" s="1262"/>
      <c r="BB110" s="1262"/>
      <c r="BC110" s="1262"/>
      <c r="BD110" s="1262"/>
      <c r="BE110" s="1262"/>
      <c r="BF110" s="425"/>
      <c r="BG110" s="425"/>
      <c r="BH110" s="425"/>
      <c r="BI110" s="425"/>
      <c r="BJ110" s="814"/>
      <c r="BK110" s="815"/>
      <c r="BL110" s="816"/>
      <c r="BM110" s="815"/>
      <c r="BN110" s="815"/>
      <c r="BO110" s="817"/>
      <c r="BP110" s="425"/>
      <c r="FK110" s="46"/>
      <c r="FL110" s="46"/>
      <c r="FM110" s="46"/>
      <c r="FN110" s="46"/>
      <c r="FO110" s="46"/>
      <c r="FP110" s="46"/>
      <c r="FQ110" s="46"/>
      <c r="FR110" s="46"/>
      <c r="FS110" s="46"/>
      <c r="FT110" s="46"/>
      <c r="FU110" s="46"/>
      <c r="FV110" s="46"/>
      <c r="FW110" s="46"/>
      <c r="FX110" s="46"/>
      <c r="FY110" s="46"/>
      <c r="FZ110" s="46"/>
      <c r="GA110" s="46"/>
      <c r="GB110" s="46"/>
      <c r="GC110" s="46"/>
      <c r="GD110" s="46"/>
      <c r="GE110" s="46"/>
      <c r="GF110" s="46"/>
      <c r="GG110" s="46"/>
      <c r="GH110" s="46"/>
    </row>
    <row r="111" spans="1:190" s="47" customFormat="1" ht="15" hidden="1">
      <c r="B111" s="1223" t="str">
        <f>'Registo Calibração'!D39</f>
        <v>0,0</v>
      </c>
      <c r="C111" s="1223"/>
      <c r="D111" s="1223"/>
      <c r="E111" s="1223"/>
      <c r="F111" s="1223"/>
      <c r="G111" s="1223"/>
      <c r="H111" s="1223"/>
      <c r="I111" s="1223"/>
      <c r="J111" s="1223"/>
      <c r="K111" s="477"/>
      <c r="L111" s="1223" t="str">
        <f>'Registo Calibração'!H41</f>
        <v>------</v>
      </c>
      <c r="M111" s="1223"/>
      <c r="N111" s="1223"/>
      <c r="O111" s="1223"/>
      <c r="P111" s="1223"/>
      <c r="Q111" s="1223"/>
      <c r="R111" s="1223"/>
      <c r="S111" s="1223"/>
      <c r="T111" s="1223"/>
      <c r="U111" s="1223"/>
      <c r="V111" s="1223"/>
      <c r="W111" s="478"/>
      <c r="X111" s="1224" t="str">
        <f>'Registo Calibração'!I41</f>
        <v>------</v>
      </c>
      <c r="Y111" s="1220"/>
      <c r="Z111" s="1220"/>
      <c r="AA111" s="1220"/>
      <c r="AB111" s="1220"/>
      <c r="AC111" s="1220"/>
      <c r="AD111" s="1220"/>
      <c r="AE111" s="1220"/>
      <c r="AF111" s="1220"/>
      <c r="AG111" s="1220"/>
      <c r="AH111" s="479"/>
      <c r="AI111" s="1223" t="str">
        <f>'Registo Calibração'!J41</f>
        <v>&gt; 500</v>
      </c>
      <c r="AJ111" s="1220"/>
      <c r="AK111" s="1220"/>
      <c r="AL111" s="479"/>
      <c r="AM111" s="1219" t="e">
        <f>'Registo Calibração'!K41</f>
        <v>#DIV/0!</v>
      </c>
      <c r="AN111" s="1220"/>
      <c r="AO111" s="1220"/>
      <c r="AP111" s="1220"/>
      <c r="AQ111" s="479"/>
      <c r="AR111" s="1224" t="str">
        <f>'Registo Calibração'!L41</f>
        <v>------</v>
      </c>
      <c r="AS111" s="1220"/>
      <c r="AT111" s="1220"/>
      <c r="AU111" s="1220"/>
      <c r="AV111" s="1220"/>
      <c r="AW111" s="406"/>
      <c r="BA111" s="1262"/>
      <c r="BB111" s="1262"/>
      <c r="BC111" s="1262"/>
      <c r="BD111" s="1262"/>
      <c r="BE111" s="1262"/>
      <c r="BF111" s="425"/>
      <c r="BG111" s="425"/>
      <c r="BH111" s="425"/>
      <c r="BI111" s="425"/>
      <c r="BJ111" s="814"/>
      <c r="BK111" s="815"/>
      <c r="BL111" s="816"/>
      <c r="BM111" s="815"/>
      <c r="BN111" s="815"/>
      <c r="BO111" s="817"/>
      <c r="BP111" s="425"/>
      <c r="FK111" s="46"/>
      <c r="FL111" s="46"/>
      <c r="FM111" s="46"/>
      <c r="FN111" s="46"/>
      <c r="FO111" s="46"/>
      <c r="FP111" s="46"/>
      <c r="FQ111" s="46"/>
      <c r="FR111" s="46"/>
      <c r="FS111" s="46"/>
      <c r="FT111" s="46"/>
      <c r="FU111" s="46"/>
      <c r="FV111" s="46"/>
      <c r="FW111" s="46"/>
      <c r="FX111" s="46"/>
      <c r="FY111" s="46"/>
      <c r="FZ111" s="46"/>
      <c r="GA111" s="46"/>
      <c r="GB111" s="46"/>
      <c r="GC111" s="46"/>
      <c r="GD111" s="46"/>
      <c r="GE111" s="46"/>
      <c r="GF111" s="46"/>
      <c r="GG111" s="46"/>
      <c r="GH111" s="46"/>
    </row>
    <row r="112" spans="1:190" s="47" customFormat="1" ht="15" hidden="1">
      <c r="B112" s="1223" t="str">
        <f>'Registo Calibração'!D45</f>
        <v>0,0</v>
      </c>
      <c r="C112" s="1223"/>
      <c r="D112" s="1223"/>
      <c r="E112" s="1223"/>
      <c r="F112" s="1223"/>
      <c r="G112" s="1223"/>
      <c r="H112" s="1223"/>
      <c r="I112" s="1223"/>
      <c r="J112" s="1223"/>
      <c r="K112" s="477"/>
      <c r="L112" s="1223" t="str">
        <f>'Registo Calibração'!H47</f>
        <v>------</v>
      </c>
      <c r="M112" s="1223"/>
      <c r="N112" s="1223"/>
      <c r="O112" s="1223"/>
      <c r="P112" s="1223"/>
      <c r="Q112" s="1223"/>
      <c r="R112" s="1223"/>
      <c r="S112" s="1223"/>
      <c r="T112" s="1223"/>
      <c r="U112" s="1223"/>
      <c r="V112" s="1223"/>
      <c r="W112" s="478"/>
      <c r="X112" s="1224" t="str">
        <f>'Registo Calibração'!I47</f>
        <v>------</v>
      </c>
      <c r="Y112" s="1220"/>
      <c r="Z112" s="1220"/>
      <c r="AA112" s="1220"/>
      <c r="AB112" s="1220"/>
      <c r="AC112" s="1220"/>
      <c r="AD112" s="1220"/>
      <c r="AE112" s="1220"/>
      <c r="AF112" s="1220"/>
      <c r="AG112" s="1220"/>
      <c r="AH112" s="479"/>
      <c r="AI112" s="1223" t="str">
        <f>'Registo Calibração'!J47</f>
        <v>&gt; 500</v>
      </c>
      <c r="AJ112" s="1220"/>
      <c r="AK112" s="1220"/>
      <c r="AL112" s="479"/>
      <c r="AM112" s="1219" t="e">
        <f>'Registo Calibração'!K47</f>
        <v>#DIV/0!</v>
      </c>
      <c r="AN112" s="1220"/>
      <c r="AO112" s="1220"/>
      <c r="AP112" s="1220"/>
      <c r="AQ112" s="479"/>
      <c r="AR112" s="1224" t="str">
        <f>'Registo Calibração'!L47</f>
        <v>------</v>
      </c>
      <c r="AS112" s="1220"/>
      <c r="AT112" s="1220"/>
      <c r="AU112" s="1220"/>
      <c r="AV112" s="1220"/>
      <c r="AW112" s="406"/>
      <c r="BA112" s="1262"/>
      <c r="BB112" s="1262"/>
      <c r="BC112" s="1262"/>
      <c r="BD112" s="1262"/>
      <c r="BE112" s="1262"/>
      <c r="BF112" s="425"/>
      <c r="BG112" s="425"/>
      <c r="BH112" s="425"/>
      <c r="BI112" s="425"/>
      <c r="BJ112" s="814"/>
      <c r="BK112" s="815"/>
      <c r="BL112" s="816"/>
      <c r="BM112" s="815"/>
      <c r="BN112" s="815"/>
      <c r="BO112" s="817"/>
      <c r="BP112" s="425"/>
      <c r="FK112" s="46"/>
      <c r="FL112" s="46"/>
      <c r="FM112" s="46"/>
      <c r="FN112" s="46"/>
      <c r="FO112" s="46"/>
      <c r="FP112" s="46"/>
      <c r="FQ112" s="46"/>
      <c r="FR112" s="46"/>
      <c r="FS112" s="46"/>
      <c r="FT112" s="46"/>
      <c r="FU112" s="46"/>
      <c r="FV112" s="46"/>
      <c r="FW112" s="46"/>
      <c r="FX112" s="46"/>
      <c r="FY112" s="46"/>
      <c r="FZ112" s="46"/>
      <c r="GA112" s="46"/>
      <c r="GB112" s="46"/>
      <c r="GC112" s="46"/>
      <c r="GD112" s="46"/>
      <c r="GE112" s="46"/>
      <c r="GF112" s="46"/>
      <c r="GG112" s="46"/>
      <c r="GH112" s="46"/>
    </row>
    <row r="113" spans="1:190" s="47" customFormat="1" ht="15" hidden="1">
      <c r="B113" s="1223" t="str">
        <f>'Registo Calibração'!D51</f>
        <v>0,0</v>
      </c>
      <c r="C113" s="1223"/>
      <c r="D113" s="1223"/>
      <c r="E113" s="1223"/>
      <c r="F113" s="1223"/>
      <c r="G113" s="1223"/>
      <c r="H113" s="1223"/>
      <c r="I113" s="1223"/>
      <c r="J113" s="1223"/>
      <c r="K113" s="477"/>
      <c r="L113" s="1223" t="str">
        <f>'Registo Calibração'!H53</f>
        <v>------</v>
      </c>
      <c r="M113" s="1223"/>
      <c r="N113" s="1223"/>
      <c r="O113" s="1223"/>
      <c r="P113" s="1223"/>
      <c r="Q113" s="1223"/>
      <c r="R113" s="1223"/>
      <c r="S113" s="1223"/>
      <c r="T113" s="1223"/>
      <c r="U113" s="1223"/>
      <c r="V113" s="1223"/>
      <c r="W113" s="478"/>
      <c r="X113" s="1224" t="str">
        <f>'Registo Calibração'!I53</f>
        <v>------</v>
      </c>
      <c r="Y113" s="1220"/>
      <c r="Z113" s="1220"/>
      <c r="AA113" s="1220"/>
      <c r="AB113" s="1220"/>
      <c r="AC113" s="1220"/>
      <c r="AD113" s="1220"/>
      <c r="AE113" s="1220"/>
      <c r="AF113" s="1220"/>
      <c r="AG113" s="1220"/>
      <c r="AH113" s="479"/>
      <c r="AI113" s="1223" t="str">
        <f>'Registo Calibração'!J53</f>
        <v>&gt; 500</v>
      </c>
      <c r="AJ113" s="1220"/>
      <c r="AK113" s="1220"/>
      <c r="AL113" s="479"/>
      <c r="AM113" s="1219" t="e">
        <f>'Registo Calibração'!K53</f>
        <v>#DIV/0!</v>
      </c>
      <c r="AN113" s="1220"/>
      <c r="AO113" s="1220"/>
      <c r="AP113" s="1220"/>
      <c r="AQ113" s="479"/>
      <c r="AR113" s="1224" t="str">
        <f>'Registo Calibração'!L53</f>
        <v>------</v>
      </c>
      <c r="AS113" s="1220"/>
      <c r="AT113" s="1220"/>
      <c r="AU113" s="1220"/>
      <c r="AV113" s="1220"/>
      <c r="AW113" s="406"/>
      <c r="BA113" s="1262"/>
      <c r="BB113" s="1262"/>
      <c r="BC113" s="1262"/>
      <c r="BD113" s="1262"/>
      <c r="BE113" s="1262"/>
      <c r="BF113" s="425"/>
      <c r="BG113" s="425"/>
      <c r="BH113" s="425"/>
      <c r="BI113" s="425"/>
      <c r="BJ113" s="814"/>
      <c r="BK113" s="815"/>
      <c r="BL113" s="816"/>
      <c r="BM113" s="815"/>
      <c r="BN113" s="815"/>
      <c r="BO113" s="817"/>
      <c r="BP113" s="425"/>
      <c r="FK113" s="46"/>
      <c r="FL113" s="46"/>
      <c r="FM113" s="46"/>
      <c r="FN113" s="46"/>
      <c r="FO113" s="46"/>
      <c r="FP113" s="46"/>
      <c r="FQ113" s="46"/>
      <c r="FR113" s="46"/>
      <c r="FS113" s="46"/>
      <c r="FT113" s="46"/>
      <c r="FU113" s="46"/>
      <c r="FV113" s="46"/>
      <c r="FW113" s="46"/>
      <c r="FX113" s="46"/>
      <c r="FY113" s="46"/>
      <c r="FZ113" s="46"/>
      <c r="GA113" s="46"/>
      <c r="GB113" s="46"/>
      <c r="GC113" s="46"/>
      <c r="GD113" s="46"/>
      <c r="GE113" s="46"/>
      <c r="GF113" s="46"/>
      <c r="GG113" s="46"/>
      <c r="GH113" s="46"/>
    </row>
    <row r="114" spans="1:190" s="47" customFormat="1" ht="15" hidden="1">
      <c r="B114" s="1223" t="str">
        <f>'Registo Calibração'!D57</f>
        <v>0,0</v>
      </c>
      <c r="C114" s="1223"/>
      <c r="D114" s="1223"/>
      <c r="E114" s="1223"/>
      <c r="F114" s="1223"/>
      <c r="G114" s="1223"/>
      <c r="H114" s="1223"/>
      <c r="I114" s="1223"/>
      <c r="J114" s="1223"/>
      <c r="K114" s="477"/>
      <c r="L114" s="1223" t="str">
        <f>'Registo Calibração'!H59</f>
        <v>------</v>
      </c>
      <c r="M114" s="1223"/>
      <c r="N114" s="1223"/>
      <c r="O114" s="1223"/>
      <c r="P114" s="1223"/>
      <c r="Q114" s="1223"/>
      <c r="R114" s="1223"/>
      <c r="S114" s="1223"/>
      <c r="T114" s="1223"/>
      <c r="U114" s="1223"/>
      <c r="V114" s="1223"/>
      <c r="W114" s="478"/>
      <c r="X114" s="1224" t="str">
        <f>'Registo Calibração'!I59</f>
        <v>------</v>
      </c>
      <c r="Y114" s="1220"/>
      <c r="Z114" s="1220"/>
      <c r="AA114" s="1220"/>
      <c r="AB114" s="1220"/>
      <c r="AC114" s="1220"/>
      <c r="AD114" s="1220"/>
      <c r="AE114" s="1220"/>
      <c r="AF114" s="1220"/>
      <c r="AG114" s="1220"/>
      <c r="AH114" s="479"/>
      <c r="AI114" s="1223" t="str">
        <f>'Registo Calibração'!J59</f>
        <v>&gt; 500</v>
      </c>
      <c r="AJ114" s="1220"/>
      <c r="AK114" s="1220"/>
      <c r="AL114" s="479"/>
      <c r="AM114" s="1219" t="e">
        <f>'Registo Calibração'!K59</f>
        <v>#DIV/0!</v>
      </c>
      <c r="AN114" s="1220"/>
      <c r="AO114" s="1220"/>
      <c r="AP114" s="1220"/>
      <c r="AQ114" s="479"/>
      <c r="AR114" s="1224" t="str">
        <f>'Registo Calibração'!L59</f>
        <v>------</v>
      </c>
      <c r="AS114" s="1220"/>
      <c r="AT114" s="1220"/>
      <c r="AU114" s="1220"/>
      <c r="AV114" s="1220"/>
      <c r="AW114" s="406"/>
      <c r="BA114" s="1262"/>
      <c r="BB114" s="1262"/>
      <c r="BC114" s="1262"/>
      <c r="BD114" s="1262"/>
      <c r="BE114" s="1262"/>
      <c r="BF114" s="425"/>
      <c r="BG114" s="425"/>
      <c r="BH114" s="425"/>
      <c r="BI114" s="425"/>
      <c r="BJ114" s="814"/>
      <c r="BK114" s="815"/>
      <c r="BL114" s="816"/>
      <c r="BM114" s="815"/>
      <c r="BN114" s="815"/>
      <c r="BO114" s="817"/>
      <c r="BP114" s="425"/>
      <c r="FK114" s="46"/>
      <c r="FL114" s="46"/>
      <c r="FM114" s="46"/>
      <c r="FN114" s="46"/>
      <c r="FO114" s="46"/>
      <c r="FP114" s="46"/>
      <c r="FQ114" s="46"/>
      <c r="FR114" s="46"/>
      <c r="FS114" s="46"/>
      <c r="FT114" s="46"/>
      <c r="FU114" s="46"/>
      <c r="FV114" s="46"/>
      <c r="FW114" s="46"/>
      <c r="FX114" s="46"/>
      <c r="FY114" s="46"/>
      <c r="FZ114" s="46"/>
      <c r="GA114" s="46"/>
      <c r="GB114" s="46"/>
      <c r="GC114" s="46"/>
      <c r="GD114" s="46"/>
      <c r="GE114" s="46"/>
      <c r="GF114" s="46"/>
      <c r="GG114" s="46"/>
      <c r="GH114" s="46"/>
    </row>
    <row r="115" spans="1:190" s="47" customFormat="1" ht="15" hidden="1">
      <c r="B115" s="1223" t="str">
        <f>'Registo Calibração'!D63</f>
        <v>0,0</v>
      </c>
      <c r="C115" s="1223"/>
      <c r="D115" s="1223"/>
      <c r="E115" s="1223"/>
      <c r="F115" s="1223"/>
      <c r="G115" s="1223"/>
      <c r="H115" s="1223"/>
      <c r="I115" s="1223"/>
      <c r="J115" s="1223"/>
      <c r="K115" s="477"/>
      <c r="L115" s="1223" t="str">
        <f>'Registo Calibração'!H65</f>
        <v>------</v>
      </c>
      <c r="M115" s="1223"/>
      <c r="N115" s="1223"/>
      <c r="O115" s="1223"/>
      <c r="P115" s="1223"/>
      <c r="Q115" s="1223"/>
      <c r="R115" s="1223"/>
      <c r="S115" s="1223"/>
      <c r="T115" s="1223"/>
      <c r="U115" s="1223"/>
      <c r="V115" s="1223"/>
      <c r="W115" s="478"/>
      <c r="X115" s="1224" t="str">
        <f>'Registo Calibração'!I65</f>
        <v>-------</v>
      </c>
      <c r="Y115" s="1220"/>
      <c r="Z115" s="1220"/>
      <c r="AA115" s="1220"/>
      <c r="AB115" s="1220"/>
      <c r="AC115" s="1220"/>
      <c r="AD115" s="1220"/>
      <c r="AE115" s="1220"/>
      <c r="AF115" s="1220"/>
      <c r="AG115" s="1220"/>
      <c r="AH115" s="479"/>
      <c r="AI115" s="1223" t="str">
        <f>'Registo Calibração'!J65</f>
        <v>&gt; 500</v>
      </c>
      <c r="AJ115" s="1220"/>
      <c r="AK115" s="1220"/>
      <c r="AL115" s="479"/>
      <c r="AM115" s="1219" t="e">
        <f>'Registo Calibração'!K65</f>
        <v>#DIV/0!</v>
      </c>
      <c r="AN115" s="1220"/>
      <c r="AO115" s="1220"/>
      <c r="AP115" s="1220"/>
      <c r="AQ115" s="479"/>
      <c r="AR115" s="1224" t="str">
        <f>'Registo Calibração'!L65</f>
        <v>-------</v>
      </c>
      <c r="AS115" s="1220"/>
      <c r="AT115" s="1220"/>
      <c r="AU115" s="1220"/>
      <c r="AV115" s="1220"/>
      <c r="AW115" s="406"/>
      <c r="BA115" s="1262"/>
      <c r="BB115" s="1262"/>
      <c r="BC115" s="1262"/>
      <c r="BD115" s="1262"/>
      <c r="BE115" s="1262"/>
      <c r="BF115" s="425"/>
      <c r="BG115" s="425"/>
      <c r="BH115" s="425"/>
      <c r="BI115" s="425"/>
      <c r="BJ115" s="814"/>
      <c r="BK115" s="815"/>
      <c r="BL115" s="816"/>
      <c r="BM115" s="815"/>
      <c r="BN115" s="815"/>
      <c r="BO115" s="817"/>
      <c r="BP115" s="425"/>
      <c r="FK115" s="46"/>
      <c r="FL115" s="46"/>
      <c r="FM115" s="46"/>
      <c r="FN115" s="46"/>
      <c r="FO115" s="46"/>
      <c r="FP115" s="46"/>
      <c r="FQ115" s="46"/>
      <c r="FR115" s="46"/>
      <c r="FS115" s="46"/>
      <c r="FT115" s="46"/>
      <c r="FU115" s="46"/>
      <c r="FV115" s="46"/>
      <c r="FW115" s="46"/>
      <c r="FX115" s="46"/>
      <c r="FY115" s="46"/>
      <c r="FZ115" s="46"/>
      <c r="GA115" s="46"/>
      <c r="GB115" s="46"/>
      <c r="GC115" s="46"/>
      <c r="GD115" s="46"/>
      <c r="GE115" s="46"/>
      <c r="GF115" s="46"/>
      <c r="GG115" s="46"/>
      <c r="GH115" s="46"/>
    </row>
    <row r="116" spans="1:190" s="47" customFormat="1" ht="15" hidden="1">
      <c r="B116" s="1223" t="str">
        <f>'Registo Calibração'!D69</f>
        <v>0,0</v>
      </c>
      <c r="C116" s="1223"/>
      <c r="D116" s="1223"/>
      <c r="E116" s="1223"/>
      <c r="F116" s="1223"/>
      <c r="G116" s="1223"/>
      <c r="H116" s="1223"/>
      <c r="I116" s="1223"/>
      <c r="J116" s="1223"/>
      <c r="K116" s="477"/>
      <c r="L116" s="1223" t="str">
        <f>'Registo Calibração'!H71</f>
        <v>------</v>
      </c>
      <c r="M116" s="1223"/>
      <c r="N116" s="1223"/>
      <c r="O116" s="1223"/>
      <c r="P116" s="1223"/>
      <c r="Q116" s="1223"/>
      <c r="R116" s="1223"/>
      <c r="S116" s="1223"/>
      <c r="T116" s="1223"/>
      <c r="U116" s="1223"/>
      <c r="V116" s="1223"/>
      <c r="W116" s="478"/>
      <c r="X116" s="1224" t="str">
        <f>'Registo Calibração'!I71</f>
        <v>-------</v>
      </c>
      <c r="Y116" s="1220"/>
      <c r="Z116" s="1220"/>
      <c r="AA116" s="1220"/>
      <c r="AB116" s="1220"/>
      <c r="AC116" s="1220"/>
      <c r="AD116" s="1220"/>
      <c r="AE116" s="1220"/>
      <c r="AF116" s="1220"/>
      <c r="AG116" s="1220"/>
      <c r="AH116" s="479"/>
      <c r="AI116" s="1223" t="str">
        <f>'Registo Calibração'!J71</f>
        <v>&gt; 500</v>
      </c>
      <c r="AJ116" s="1220"/>
      <c r="AK116" s="1220"/>
      <c r="AL116" s="479"/>
      <c r="AM116" s="1219" t="e">
        <f>'Registo Calibração'!K71</f>
        <v>#DIV/0!</v>
      </c>
      <c r="AN116" s="1220"/>
      <c r="AO116" s="1220"/>
      <c r="AP116" s="1220"/>
      <c r="AQ116" s="479"/>
      <c r="AR116" s="1224" t="str">
        <f>'Registo Calibração'!L71</f>
        <v>-------</v>
      </c>
      <c r="AS116" s="1220"/>
      <c r="AT116" s="1220"/>
      <c r="AU116" s="1220"/>
      <c r="AV116" s="1220"/>
      <c r="AW116" s="406"/>
      <c r="BA116" s="1273"/>
      <c r="BB116" s="1273"/>
      <c r="BC116" s="1273"/>
      <c r="BD116" s="1273"/>
      <c r="BE116" s="1273"/>
      <c r="BF116" s="425"/>
      <c r="BG116" s="425"/>
      <c r="BH116" s="425"/>
      <c r="BI116" s="425"/>
      <c r="BJ116" s="814"/>
      <c r="BK116" s="815"/>
      <c r="BL116" s="816"/>
      <c r="BM116" s="815"/>
      <c r="BN116" s="815"/>
      <c r="BO116" s="817"/>
      <c r="BP116" s="425"/>
      <c r="FK116" s="46"/>
      <c r="FL116" s="46"/>
      <c r="FM116" s="46"/>
      <c r="FN116" s="46"/>
      <c r="FO116" s="46"/>
      <c r="FP116" s="46"/>
      <c r="FQ116" s="46"/>
      <c r="FR116" s="46"/>
      <c r="FS116" s="46"/>
      <c r="FT116" s="46"/>
      <c r="FU116" s="46"/>
      <c r="FV116" s="46"/>
      <c r="FW116" s="46"/>
      <c r="FX116" s="46"/>
      <c r="FY116" s="46"/>
      <c r="FZ116" s="46"/>
      <c r="GA116" s="46"/>
      <c r="GB116" s="46"/>
      <c r="GC116" s="46"/>
      <c r="GD116" s="46"/>
      <c r="GE116" s="46"/>
      <c r="GF116" s="46"/>
      <c r="GG116" s="46"/>
      <c r="GH116" s="46"/>
    </row>
    <row r="117" spans="1:190" s="47" customFormat="1" ht="15" hidden="1">
      <c r="B117" s="1223" t="str">
        <f>'Registo Calibração'!D75</f>
        <v>0,0</v>
      </c>
      <c r="C117" s="1223"/>
      <c r="D117" s="1223"/>
      <c r="E117" s="1223"/>
      <c r="F117" s="1223"/>
      <c r="G117" s="1223"/>
      <c r="H117" s="1223"/>
      <c r="I117" s="1223"/>
      <c r="J117" s="1223"/>
      <c r="K117" s="477"/>
      <c r="L117" s="1223" t="str">
        <f>'Registo Calibração'!H77</f>
        <v>------</v>
      </c>
      <c r="M117" s="1223"/>
      <c r="N117" s="1223"/>
      <c r="O117" s="1223"/>
      <c r="P117" s="1223"/>
      <c r="Q117" s="1223"/>
      <c r="R117" s="1223"/>
      <c r="S117" s="1223"/>
      <c r="T117" s="1223"/>
      <c r="U117" s="1223"/>
      <c r="V117" s="1223"/>
      <c r="W117" s="478"/>
      <c r="X117" s="1224" t="str">
        <f>'Registo Calibração'!I75</f>
        <v>-------</v>
      </c>
      <c r="Y117" s="1220"/>
      <c r="Z117" s="1220"/>
      <c r="AA117" s="1220"/>
      <c r="AB117" s="1220"/>
      <c r="AC117" s="1220"/>
      <c r="AD117" s="1220"/>
      <c r="AE117" s="1220"/>
      <c r="AF117" s="1220"/>
      <c r="AG117" s="1220"/>
      <c r="AH117" s="479"/>
      <c r="AI117" s="1223" t="str">
        <f>'Registo Calibração'!J75</f>
        <v>-------</v>
      </c>
      <c r="AJ117" s="1220"/>
      <c r="AK117" s="1220"/>
      <c r="AL117" s="479"/>
      <c r="AM117" s="1219" t="e">
        <f>'Registo Calibração'!K75</f>
        <v>#DIV/0!</v>
      </c>
      <c r="AN117" s="1220"/>
      <c r="AO117" s="1220"/>
      <c r="AP117" s="1220"/>
      <c r="AQ117" s="479"/>
      <c r="AR117" s="1224" t="str">
        <f>'Registo Calibração'!L77</f>
        <v>------</v>
      </c>
      <c r="AS117" s="1220"/>
      <c r="AT117" s="1220"/>
      <c r="AU117" s="1220"/>
      <c r="AV117" s="1220"/>
      <c r="AW117" s="406"/>
      <c r="BA117" s="1262" t="str">
        <f>IF(AND(B117&lt;= 51000,AR117&lt;=0.0042%*B117),0.0042%*B117,AR117)</f>
        <v>------</v>
      </c>
      <c r="BB117" s="1262"/>
      <c r="BC117" s="1262"/>
      <c r="BD117" s="1262"/>
      <c r="BE117" s="1262"/>
      <c r="BF117" s="425"/>
      <c r="BG117" s="425"/>
      <c r="BH117" s="425"/>
      <c r="BI117" s="425"/>
      <c r="BJ117" s="814"/>
      <c r="BK117" s="815"/>
      <c r="BL117" s="815"/>
      <c r="BM117" s="815"/>
      <c r="BN117" s="815"/>
      <c r="BO117" s="817"/>
      <c r="BP117" s="425"/>
      <c r="FK117" s="46"/>
      <c r="FL117" s="46"/>
      <c r="FM117" s="46"/>
      <c r="FN117" s="46"/>
      <c r="FO117" s="46"/>
      <c r="FP117" s="46"/>
      <c r="FQ117" s="46"/>
      <c r="FR117" s="46"/>
      <c r="FS117" s="46"/>
      <c r="FT117" s="46"/>
      <c r="FU117" s="46"/>
      <c r="FV117" s="46"/>
      <c r="FW117" s="46"/>
      <c r="FX117" s="46"/>
      <c r="FY117" s="46"/>
      <c r="FZ117" s="46"/>
      <c r="GA117" s="46"/>
      <c r="GB117" s="46"/>
      <c r="GC117" s="46"/>
      <c r="GD117" s="46"/>
      <c r="GE117" s="46"/>
      <c r="GF117" s="46"/>
      <c r="GG117" s="46"/>
      <c r="GH117" s="46"/>
    </row>
    <row r="118" spans="1:190" s="47" customFormat="1" ht="28.5" hidden="1" customHeight="1">
      <c r="A118" s="484"/>
      <c r="B118" s="485"/>
      <c r="C118" s="485"/>
      <c r="D118" s="485"/>
      <c r="E118" s="485"/>
      <c r="F118" s="485"/>
      <c r="G118" s="485"/>
      <c r="H118" s="485"/>
      <c r="I118" s="485"/>
      <c r="J118" s="485"/>
      <c r="K118" s="485"/>
      <c r="L118" s="485"/>
      <c r="M118" s="485"/>
      <c r="N118" s="485"/>
      <c r="O118" s="486"/>
      <c r="P118" s="486"/>
      <c r="Q118" s="486"/>
      <c r="R118" s="486"/>
      <c r="S118" s="486"/>
      <c r="T118" s="486"/>
      <c r="U118" s="486"/>
      <c r="V118" s="486"/>
      <c r="W118" s="486"/>
      <c r="X118" s="486"/>
      <c r="Y118" s="486"/>
      <c r="Z118" s="486"/>
      <c r="AA118" s="486"/>
      <c r="AB118" s="486"/>
      <c r="AC118" s="487"/>
      <c r="AD118" s="487"/>
      <c r="AE118" s="487"/>
      <c r="AF118" s="487"/>
      <c r="AG118" s="487"/>
      <c r="AH118" s="487"/>
      <c r="AI118" s="487"/>
      <c r="AJ118" s="487"/>
      <c r="AK118" s="487"/>
      <c r="AL118" s="487"/>
      <c r="AM118" s="487"/>
      <c r="AN118" s="487"/>
      <c r="AO118" s="487"/>
      <c r="AP118" s="487"/>
      <c r="AQ118" s="487"/>
      <c r="AR118" s="487"/>
      <c r="AS118" s="487"/>
      <c r="AT118" s="487"/>
      <c r="AU118" s="487"/>
      <c r="AV118" s="484"/>
      <c r="AW118" s="427"/>
      <c r="BA118" s="1262">
        <f>IF(AND(B118&lt;= 51000,AR118&lt;=0.0042%*B118),0.0042%*B118,AR118)</f>
        <v>0</v>
      </c>
      <c r="BB118" s="1262"/>
      <c r="BC118" s="1262"/>
      <c r="BD118" s="1262"/>
      <c r="BE118" s="1262"/>
      <c r="BF118" s="425"/>
      <c r="BG118" s="425"/>
      <c r="BH118" s="425"/>
      <c r="BI118" s="425"/>
      <c r="BJ118" s="814"/>
      <c r="BK118" s="815"/>
      <c r="BL118" s="425"/>
      <c r="BM118" s="425"/>
      <c r="BN118" s="425"/>
      <c r="BO118" s="425"/>
      <c r="BP118" s="425"/>
      <c r="FK118" s="46"/>
      <c r="FL118" s="46"/>
      <c r="FM118" s="46"/>
      <c r="FN118" s="46"/>
      <c r="FO118" s="46"/>
      <c r="FP118" s="46"/>
      <c r="FQ118" s="46"/>
      <c r="FR118" s="46"/>
      <c r="FS118" s="46"/>
      <c r="FT118" s="46"/>
      <c r="FU118" s="46"/>
      <c r="FV118" s="46"/>
      <c r="FW118" s="46"/>
      <c r="FX118" s="46"/>
      <c r="FY118" s="46"/>
      <c r="FZ118" s="46"/>
      <c r="GA118" s="46"/>
      <c r="GB118" s="46"/>
      <c r="GC118" s="46"/>
      <c r="GD118" s="46"/>
      <c r="GE118" s="46"/>
      <c r="GF118" s="46"/>
      <c r="GG118" s="46"/>
      <c r="GH118" s="46"/>
    </row>
    <row r="119" spans="1:190" s="47" customFormat="1" ht="33.75" customHeight="1">
      <c r="A119" s="762"/>
      <c r="B119" s="1258" t="str">
        <f>IF(AP74="","",CONCATENATE("Os ensaios foram realizados com uma resolução melhor que d ",", dT = ",AP74," ", AV74,", sendo as indicações obtidas através do “modo serviço”."))</f>
        <v/>
      </c>
      <c r="C119" s="1258"/>
      <c r="D119" s="1258"/>
      <c r="E119" s="1258"/>
      <c r="F119" s="1258"/>
      <c r="G119" s="1258"/>
      <c r="H119" s="1258"/>
      <c r="I119" s="1258"/>
      <c r="J119" s="1258"/>
      <c r="K119" s="1258"/>
      <c r="L119" s="1258"/>
      <c r="M119" s="1258"/>
      <c r="N119" s="1258"/>
      <c r="O119" s="1258"/>
      <c r="P119" s="1258"/>
      <c r="Q119" s="1258"/>
      <c r="R119" s="1258"/>
      <c r="S119" s="1258"/>
      <c r="T119" s="1258"/>
      <c r="U119" s="1258"/>
      <c r="V119" s="1258"/>
      <c r="W119" s="1258"/>
      <c r="X119" s="1258"/>
      <c r="Y119" s="1258"/>
      <c r="Z119" s="1258"/>
      <c r="AA119" s="1258"/>
      <c r="AB119" s="1258"/>
      <c r="AC119" s="1258"/>
      <c r="AD119" s="1258"/>
      <c r="AE119" s="1258"/>
      <c r="AF119" s="1258"/>
      <c r="AG119" s="1258"/>
      <c r="AH119" s="1258"/>
      <c r="AI119" s="1258"/>
      <c r="AJ119" s="1258"/>
      <c r="AK119" s="1258"/>
      <c r="AL119" s="1258"/>
      <c r="AM119" s="1258"/>
      <c r="AN119" s="1258"/>
      <c r="AO119" s="1258"/>
      <c r="AP119" s="1258"/>
      <c r="AQ119" s="1258"/>
      <c r="AR119" s="1258"/>
      <c r="AS119" s="1258"/>
      <c r="AT119" s="1258"/>
      <c r="AU119" s="1258"/>
      <c r="AV119" s="1258"/>
      <c r="AW119" s="755"/>
      <c r="BA119" s="1262"/>
      <c r="BB119" s="1262"/>
      <c r="BC119" s="1262"/>
      <c r="BD119" s="1262"/>
      <c r="BE119" s="1262"/>
      <c r="BF119" s="425"/>
      <c r="BG119" s="425"/>
      <c r="BH119" s="425"/>
      <c r="BI119" s="425"/>
      <c r="BJ119" s="814"/>
      <c r="BK119" s="815"/>
      <c r="BL119" s="425"/>
      <c r="BM119" s="425"/>
      <c r="BN119" s="425"/>
      <c r="BO119" s="425"/>
      <c r="BP119" s="425"/>
      <c r="FK119" s="46"/>
      <c r="FL119" s="46"/>
      <c r="FM119" s="46"/>
      <c r="FN119" s="46"/>
      <c r="FO119" s="46"/>
      <c r="FP119" s="46"/>
      <c r="FQ119" s="46"/>
      <c r="FR119" s="46"/>
      <c r="FS119" s="46"/>
      <c r="FT119" s="46"/>
      <c r="FU119" s="46"/>
      <c r="FV119" s="46"/>
      <c r="FW119" s="46"/>
      <c r="FX119" s="46"/>
      <c r="FY119" s="46"/>
      <c r="FZ119" s="46"/>
      <c r="GA119" s="46"/>
      <c r="GB119" s="46"/>
      <c r="GC119" s="46"/>
      <c r="GD119" s="46"/>
      <c r="GE119" s="46"/>
      <c r="GF119" s="46"/>
      <c r="GG119" s="46"/>
      <c r="GH119" s="46"/>
    </row>
    <row r="120" spans="1:190" ht="40.5" customHeight="1">
      <c r="A120" s="47"/>
      <c r="B120" s="1260" t="str">
        <f>IF('Registo Calibração'!AK3="Sim",CONCATENATE("Local de calibração: ",'Registo Calibração'!AI5),IF('Registo Calibração'!G5&lt;&gt;"",CONCATENATE("Local de calibração: ",'Registo Calibração'!G5," ",'Registo Calibração'!G6),CONCATENATE("Local de calibração: ",'Registo Calibração'!C5," ",'Registo Calibração'!C6)))</f>
        <v>Local de calibração: 0 0</v>
      </c>
      <c r="C120" s="1260"/>
      <c r="D120" s="1260"/>
      <c r="E120" s="1260"/>
      <c r="F120" s="1260"/>
      <c r="G120" s="1260"/>
      <c r="H120" s="1260"/>
      <c r="I120" s="1260"/>
      <c r="J120" s="1260"/>
      <c r="K120" s="1260"/>
      <c r="L120" s="1260"/>
      <c r="M120" s="1260"/>
      <c r="N120" s="1260"/>
      <c r="O120" s="1260"/>
      <c r="P120" s="1260"/>
      <c r="Q120" s="1260"/>
      <c r="R120" s="1260"/>
      <c r="S120" s="1260"/>
      <c r="T120" s="1260"/>
      <c r="U120" s="1260"/>
      <c r="V120" s="1260"/>
      <c r="W120" s="1260"/>
      <c r="X120" s="1260"/>
      <c r="Y120" s="1260"/>
      <c r="Z120" s="1260"/>
      <c r="AA120" s="1260"/>
      <c r="AB120" s="1260"/>
      <c r="AC120" s="1260"/>
      <c r="AD120" s="1260"/>
      <c r="AE120" s="1260"/>
      <c r="AF120" s="1260"/>
      <c r="AG120" s="1260"/>
      <c r="AH120" s="1260"/>
      <c r="AI120" s="1260"/>
      <c r="AJ120" s="1260"/>
      <c r="AK120" s="1260"/>
      <c r="AL120" s="1260"/>
      <c r="AM120" s="1260"/>
      <c r="AN120" s="1260"/>
      <c r="AO120" s="1260"/>
      <c r="AP120" s="1260"/>
      <c r="AQ120" s="1260"/>
      <c r="AR120" s="1260"/>
      <c r="AS120" s="1260"/>
      <c r="AT120" s="1260"/>
      <c r="AU120" s="1260"/>
      <c r="AV120" s="1260"/>
      <c r="AW120" s="406"/>
      <c r="BA120" s="705"/>
      <c r="BB120" s="705"/>
      <c r="BC120" s="705"/>
      <c r="BD120" s="705"/>
      <c r="BE120" s="705"/>
      <c r="BF120" s="705"/>
      <c r="BG120" s="705"/>
      <c r="BH120" s="705"/>
      <c r="BI120" s="705"/>
      <c r="BJ120" s="705"/>
      <c r="BK120" s="705"/>
      <c r="BL120" s="705"/>
      <c r="BM120" s="705"/>
      <c r="BN120" s="705"/>
      <c r="BO120" s="705"/>
      <c r="BP120" s="705"/>
    </row>
    <row r="121" spans="1:190" ht="30" customHeight="1">
      <c r="B121" s="455" t="s">
        <v>404</v>
      </c>
      <c r="C121" s="455"/>
      <c r="D121" s="455"/>
      <c r="E121" s="455"/>
      <c r="F121" s="455"/>
      <c r="G121" s="1213"/>
      <c r="H121" s="1213"/>
      <c r="I121" s="1213"/>
      <c r="J121" s="1213"/>
      <c r="K121" s="1213"/>
      <c r="L121" s="1213"/>
      <c r="M121" s="1213"/>
      <c r="N121" s="1213"/>
      <c r="O121" s="1213"/>
      <c r="P121" s="1213"/>
      <c r="Q121" s="1213"/>
      <c r="R121" s="1213"/>
      <c r="S121" s="1213"/>
      <c r="T121" s="1213"/>
      <c r="W121" s="455"/>
      <c r="X121" s="456" t="s">
        <v>405</v>
      </c>
      <c r="Y121" s="455"/>
      <c r="Z121" s="455"/>
      <c r="AA121" s="455"/>
      <c r="AB121" s="455"/>
      <c r="AC121" s="455"/>
      <c r="AD121" s="455"/>
      <c r="AE121" s="455"/>
      <c r="AF121" s="455"/>
      <c r="AG121" s="1215"/>
      <c r="AH121" s="1215"/>
      <c r="AI121" s="1215"/>
      <c r="AJ121" s="1215"/>
      <c r="AK121" s="1215"/>
      <c r="AL121" s="1215"/>
      <c r="AM121" s="1215"/>
      <c r="AN121" s="1215"/>
      <c r="AO121" s="1215"/>
      <c r="AP121" s="1215"/>
      <c r="AQ121" s="1215"/>
      <c r="AR121" s="1215"/>
      <c r="AS121" s="1215"/>
      <c r="AT121" s="1215"/>
    </row>
    <row r="122" spans="1:190" ht="19.5" customHeight="1">
      <c r="G122" s="34"/>
      <c r="H122" s="34"/>
      <c r="I122" s="1214" t="str">
        <f>VLOOKUP('Registo Calibração'!AV$112,'Registo Calibração'!AT$102:$AU$110,2)</f>
        <v>Vitor Rodrigues</v>
      </c>
      <c r="J122" s="1214"/>
      <c r="K122" s="1214"/>
      <c r="L122" s="1214"/>
      <c r="M122" s="1214"/>
      <c r="N122" s="1214"/>
      <c r="O122" s="1214"/>
      <c r="P122" s="1214"/>
      <c r="Q122" s="1214"/>
      <c r="R122" s="1214"/>
      <c r="S122" s="457"/>
      <c r="T122" s="457"/>
      <c r="U122" s="458"/>
      <c r="V122" s="458"/>
      <c r="W122" s="458"/>
      <c r="X122" s="458"/>
      <c r="Y122" s="458"/>
      <c r="Z122" s="458"/>
      <c r="AA122" s="458"/>
      <c r="AB122" s="458"/>
      <c r="AC122" s="458"/>
      <c r="AD122" s="458"/>
      <c r="AE122" s="458"/>
      <c r="AF122" s="458"/>
      <c r="AG122" s="457"/>
      <c r="AH122" s="457"/>
      <c r="AI122" s="1214" t="s">
        <v>96</v>
      </c>
      <c r="AJ122" s="1214"/>
      <c r="AK122" s="1214"/>
      <c r="AL122" s="1214"/>
      <c r="AM122" s="1214"/>
      <c r="AN122" s="1214"/>
      <c r="AO122" s="1214"/>
      <c r="AP122" s="1214"/>
      <c r="AQ122" s="1214"/>
      <c r="AR122" s="1214"/>
      <c r="AS122" s="34"/>
      <c r="AT122" s="34"/>
      <c r="AW122" s="406"/>
    </row>
    <row r="124" spans="1:190" ht="27" customHeight="1">
      <c r="A124" s="1246" t="s">
        <v>403</v>
      </c>
      <c r="B124" s="1246"/>
      <c r="C124" s="1246"/>
      <c r="D124" s="1246"/>
      <c r="E124" s="1246"/>
      <c r="F124" s="1246"/>
      <c r="G124" s="1246"/>
      <c r="H124" s="1246"/>
      <c r="I124" s="1246"/>
      <c r="J124" s="1246"/>
      <c r="K124" s="1246"/>
      <c r="L124" s="1246"/>
      <c r="M124" s="1246"/>
      <c r="N124" s="1246"/>
      <c r="O124" s="1246"/>
      <c r="P124" s="1246"/>
      <c r="Q124" s="1246"/>
      <c r="R124" s="1246"/>
      <c r="S124" s="1246"/>
      <c r="T124" s="1246"/>
      <c r="U124" s="1246"/>
      <c r="V124" s="1246"/>
      <c r="W124" s="1246"/>
      <c r="X124" s="1246"/>
      <c r="Y124" s="1246"/>
      <c r="Z124" s="1246"/>
      <c r="AA124" s="1246"/>
      <c r="AB124" s="1246"/>
      <c r="AC124" s="1246"/>
      <c r="AD124" s="1246"/>
      <c r="AE124" s="1246"/>
      <c r="AF124" s="1246"/>
      <c r="AG124" s="1246"/>
      <c r="AH124" s="1246"/>
      <c r="AI124" s="1246"/>
      <c r="AJ124" s="1246"/>
      <c r="AK124" s="1246"/>
      <c r="AL124" s="1246"/>
      <c r="AM124" s="1246"/>
      <c r="AN124" s="1246"/>
      <c r="AO124" s="1246"/>
      <c r="AP124" s="1246"/>
      <c r="AQ124" s="1246"/>
      <c r="AR124" s="1246"/>
      <c r="AS124" s="1246"/>
      <c r="AT124" s="1246"/>
      <c r="AU124" s="1246"/>
      <c r="AV124" s="1246"/>
      <c r="AW124" s="1246"/>
    </row>
    <row r="125" spans="1:190" ht="53.25" customHeight="1">
      <c r="A125" s="281"/>
      <c r="B125" s="281"/>
      <c r="C125" s="281"/>
      <c r="D125" s="281"/>
      <c r="E125" s="281"/>
      <c r="F125" s="281"/>
      <c r="G125" s="281"/>
      <c r="H125" s="281"/>
      <c r="I125" s="281"/>
      <c r="J125" s="281"/>
      <c r="K125" s="281"/>
      <c r="L125" s="281"/>
      <c r="M125" s="281"/>
      <c r="N125" s="281"/>
      <c r="O125" s="753"/>
      <c r="P125" s="753"/>
      <c r="Q125" s="753"/>
      <c r="R125" s="753"/>
      <c r="S125" s="753"/>
      <c r="T125" s="753"/>
      <c r="U125" s="753"/>
      <c r="V125" s="753"/>
      <c r="W125" s="753"/>
      <c r="X125" s="753"/>
      <c r="Y125" s="754"/>
      <c r="Z125" s="754"/>
      <c r="AA125" s="754"/>
      <c r="AB125" s="754"/>
      <c r="AC125" s="281"/>
      <c r="AD125" s="281"/>
      <c r="AE125" s="281"/>
      <c r="AF125" s="281"/>
      <c r="AG125" s="281"/>
      <c r="AH125" s="281"/>
      <c r="AI125" s="281"/>
      <c r="AJ125" s="281"/>
      <c r="AK125" s="281"/>
      <c r="AL125" s="281"/>
      <c r="AM125" s="281"/>
      <c r="AN125" s="281"/>
      <c r="AO125" s="281"/>
      <c r="AP125" s="281"/>
      <c r="AQ125" s="281"/>
      <c r="AR125" s="281"/>
      <c r="AS125" s="281"/>
      <c r="AT125" s="281"/>
      <c r="AU125" s="281"/>
      <c r="AV125" s="281"/>
      <c r="AW125" s="75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</row>
    <row r="116117" hidden="1"/>
  </sheetData>
  <mergeCells count="253">
    <mergeCell ref="B8:AF8"/>
    <mergeCell ref="AG8:AN8"/>
    <mergeCell ref="B9:AN9"/>
    <mergeCell ref="BN107:BN108"/>
    <mergeCell ref="BO107:BO108"/>
    <mergeCell ref="BA118:BE118"/>
    <mergeCell ref="BA119:BE119"/>
    <mergeCell ref="BA106:BE106"/>
    <mergeCell ref="BA107:BB107"/>
    <mergeCell ref="BC107:BE107"/>
    <mergeCell ref="BK106:BM106"/>
    <mergeCell ref="BJ107:BJ108"/>
    <mergeCell ref="BK107:BK108"/>
    <mergeCell ref="BL107:BL108"/>
    <mergeCell ref="BM107:BM108"/>
    <mergeCell ref="BA115:BE115"/>
    <mergeCell ref="BA116:BE116"/>
    <mergeCell ref="BA109:BE109"/>
    <mergeCell ref="BA110:BE110"/>
    <mergeCell ref="BA111:BE111"/>
    <mergeCell ref="BA112:BE112"/>
    <mergeCell ref="BA113:BE113"/>
    <mergeCell ref="BA114:BE114"/>
    <mergeCell ref="AR117:AV117"/>
    <mergeCell ref="BA117:BE117"/>
    <mergeCell ref="I122:R122"/>
    <mergeCell ref="AI122:AR122"/>
    <mergeCell ref="G121:T121"/>
    <mergeCell ref="AG121:AT121"/>
    <mergeCell ref="B114:J114"/>
    <mergeCell ref="L109:V109"/>
    <mergeCell ref="L110:V110"/>
    <mergeCell ref="L111:V111"/>
    <mergeCell ref="L112:V112"/>
    <mergeCell ref="L113:V113"/>
    <mergeCell ref="L114:V114"/>
    <mergeCell ref="AR110:AV110"/>
    <mergeCell ref="AR111:AV111"/>
    <mergeCell ref="AR112:AV112"/>
    <mergeCell ref="AI112:AK112"/>
    <mergeCell ref="AI113:AK113"/>
    <mergeCell ref="B117:J117"/>
    <mergeCell ref="L117:V117"/>
    <mergeCell ref="X117:AG117"/>
    <mergeCell ref="AI117:AK117"/>
    <mergeCell ref="AM117:AP117"/>
    <mergeCell ref="X114:AG114"/>
    <mergeCell ref="B113:J113"/>
    <mergeCell ref="A124:AW124"/>
    <mergeCell ref="B119:AV119"/>
    <mergeCell ref="B79:K79"/>
    <mergeCell ref="AG79:AR79"/>
    <mergeCell ref="B80:O80"/>
    <mergeCell ref="B81:O81"/>
    <mergeCell ref="AG80:AV80"/>
    <mergeCell ref="AG81:AV81"/>
    <mergeCell ref="AT89:AV89"/>
    <mergeCell ref="B89:K89"/>
    <mergeCell ref="AM109:AP109"/>
    <mergeCell ref="AM110:AP110"/>
    <mergeCell ref="AM111:AP111"/>
    <mergeCell ref="AM112:AP112"/>
    <mergeCell ref="AM113:AP113"/>
    <mergeCell ref="F91:L91"/>
    <mergeCell ref="Q95:S95"/>
    <mergeCell ref="AJ96:AU96"/>
    <mergeCell ref="B120:AV120"/>
    <mergeCell ref="U95:AH95"/>
    <mergeCell ref="AT107:AV107"/>
    <mergeCell ref="AJ99:AU99"/>
    <mergeCell ref="AR114:AV114"/>
    <mergeCell ref="B112:J112"/>
    <mergeCell ref="X109:AG109"/>
    <mergeCell ref="X110:AG110"/>
    <mergeCell ref="X111:AG111"/>
    <mergeCell ref="X112:AG112"/>
    <mergeCell ref="X113:AG113"/>
    <mergeCell ref="AI111:AK111"/>
    <mergeCell ref="B104:AV104"/>
    <mergeCell ref="B106:J106"/>
    <mergeCell ref="L106:V106"/>
    <mergeCell ref="B107:J107"/>
    <mergeCell ref="L107:V107"/>
    <mergeCell ref="X106:AG106"/>
    <mergeCell ref="X107:AG107"/>
    <mergeCell ref="AI106:AK107"/>
    <mergeCell ref="AI110:AK110"/>
    <mergeCell ref="B109:J109"/>
    <mergeCell ref="B110:J110"/>
    <mergeCell ref="AM106:AP107"/>
    <mergeCell ref="AR106:AV106"/>
    <mergeCell ref="B111:J111"/>
    <mergeCell ref="AI109:AK109"/>
    <mergeCell ref="AR113:AV113"/>
    <mergeCell ref="AJ100:AU100"/>
    <mergeCell ref="AI114:AK114"/>
    <mergeCell ref="AR107:AS107"/>
    <mergeCell ref="A58:AW58"/>
    <mergeCell ref="B55:AV55"/>
    <mergeCell ref="K61:S61"/>
    <mergeCell ref="AO64:AV64"/>
    <mergeCell ref="AI57:AR57"/>
    <mergeCell ref="AG64:AN64"/>
    <mergeCell ref="B64:AF64"/>
    <mergeCell ref="AJ97:AU97"/>
    <mergeCell ref="Q81:AE81"/>
    <mergeCell ref="B83:AV85"/>
    <mergeCell ref="B87:AV87"/>
    <mergeCell ref="L89:O89"/>
    <mergeCell ref="U91:AH91"/>
    <mergeCell ref="U92:AH92"/>
    <mergeCell ref="U93:AH93"/>
    <mergeCell ref="AJ91:AU91"/>
    <mergeCell ref="AJ92:AU92"/>
    <mergeCell ref="AJ93:AU93"/>
    <mergeCell ref="AJ89:AS89"/>
    <mergeCell ref="AF89:AH89"/>
    <mergeCell ref="U89:AE89"/>
    <mergeCell ref="Q89:S89"/>
    <mergeCell ref="BA52:CS55"/>
    <mergeCell ref="B25:Q25"/>
    <mergeCell ref="O30:U30"/>
    <mergeCell ref="O32:AV33"/>
    <mergeCell ref="B53:AV54"/>
    <mergeCell ref="AR28:AV28"/>
    <mergeCell ref="AR26:AV26"/>
    <mergeCell ref="AR30:AV30"/>
    <mergeCell ref="O45:V45"/>
    <mergeCell ref="O46:V46"/>
    <mergeCell ref="O47:V47"/>
    <mergeCell ref="O48:V48"/>
    <mergeCell ref="BA35:BJ35"/>
    <mergeCell ref="BA36:BJ36"/>
    <mergeCell ref="BA37:BJ37"/>
    <mergeCell ref="BA47:BJ47"/>
    <mergeCell ref="BA38:BJ38"/>
    <mergeCell ref="BA39:BJ39"/>
    <mergeCell ref="X44:AV44"/>
    <mergeCell ref="X45:AV45"/>
    <mergeCell ref="X46:AV46"/>
    <mergeCell ref="X47:AV47"/>
    <mergeCell ref="BA44:BJ44"/>
    <mergeCell ref="BA45:BJ45"/>
    <mergeCell ref="B4:F4"/>
    <mergeCell ref="B3:P3"/>
    <mergeCell ref="B5:E5"/>
    <mergeCell ref="B7:K7"/>
    <mergeCell ref="AO9:AV9"/>
    <mergeCell ref="G6:O6"/>
    <mergeCell ref="B6:F6"/>
    <mergeCell ref="X40:AV40"/>
    <mergeCell ref="O40:V40"/>
    <mergeCell ref="O35:V35"/>
    <mergeCell ref="X35:AV35"/>
    <mergeCell ref="O36:V36"/>
    <mergeCell ref="X36:AV36"/>
    <mergeCell ref="AK28:AP28"/>
    <mergeCell ref="AK26:AP26"/>
    <mergeCell ref="W2:AI3"/>
    <mergeCell ref="B2:S2"/>
    <mergeCell ref="G4:O4"/>
    <mergeCell ref="Y30:AJ30"/>
    <mergeCell ref="B12:E12"/>
    <mergeCell ref="Y28:AJ28"/>
    <mergeCell ref="W4:AI4"/>
    <mergeCell ref="AK30:AP30"/>
    <mergeCell ref="B116:J116"/>
    <mergeCell ref="L116:V116"/>
    <mergeCell ref="X116:AG116"/>
    <mergeCell ref="AI116:AK116"/>
    <mergeCell ref="AM116:AP116"/>
    <mergeCell ref="AR116:AV116"/>
    <mergeCell ref="B115:J115"/>
    <mergeCell ref="L115:V115"/>
    <mergeCell ref="X115:AG115"/>
    <mergeCell ref="AI115:AK115"/>
    <mergeCell ref="AM115:AP115"/>
    <mergeCell ref="AR115:AV115"/>
    <mergeCell ref="AJ101:AU101"/>
    <mergeCell ref="B102:AV102"/>
    <mergeCell ref="AM114:AP114"/>
    <mergeCell ref="AR109:AV109"/>
    <mergeCell ref="AV74:AW74"/>
    <mergeCell ref="B77:AV77"/>
    <mergeCell ref="Q98:S98"/>
    <mergeCell ref="Q99:S99"/>
    <mergeCell ref="Q101:S101"/>
    <mergeCell ref="U96:AH96"/>
    <mergeCell ref="U97:AH97"/>
    <mergeCell ref="U98:AH98"/>
    <mergeCell ref="U99:AH99"/>
    <mergeCell ref="U100:AH100"/>
    <mergeCell ref="U101:AH101"/>
    <mergeCell ref="Q93:S93"/>
    <mergeCell ref="Q96:S96"/>
    <mergeCell ref="Q97:S97"/>
    <mergeCell ref="Q100:S100"/>
    <mergeCell ref="AJ98:AU98"/>
    <mergeCell ref="Q94:S94"/>
    <mergeCell ref="U94:AH94"/>
    <mergeCell ref="AJ94:AU94"/>
    <mergeCell ref="AJ95:AU95"/>
    <mergeCell ref="AV72:AW72"/>
    <mergeCell ref="L79:O79"/>
    <mergeCell ref="AB79:AE79"/>
    <mergeCell ref="AS79:AV79"/>
    <mergeCell ref="O72:Y72"/>
    <mergeCell ref="AO73:AT73"/>
    <mergeCell ref="AP74:AU74"/>
    <mergeCell ref="AP70:AU70"/>
    <mergeCell ref="B52:AV52"/>
    <mergeCell ref="B61:J61"/>
    <mergeCell ref="B62:H62"/>
    <mergeCell ref="V61:AG62"/>
    <mergeCell ref="V63:AG63"/>
    <mergeCell ref="G56:T56"/>
    <mergeCell ref="I57:R57"/>
    <mergeCell ref="AG56:AT56"/>
    <mergeCell ref="Q79:AA79"/>
    <mergeCell ref="B67:E67"/>
    <mergeCell ref="Q91:S91"/>
    <mergeCell ref="Q92:S92"/>
    <mergeCell ref="BA46:BJ46"/>
    <mergeCell ref="N50:AV51"/>
    <mergeCell ref="O37:V37"/>
    <mergeCell ref="O38:V38"/>
    <mergeCell ref="O39:V39"/>
    <mergeCell ref="X37:AV37"/>
    <mergeCell ref="X38:AV38"/>
    <mergeCell ref="X39:AV39"/>
    <mergeCell ref="X41:AV41"/>
    <mergeCell ref="X42:AV42"/>
    <mergeCell ref="O42:V42"/>
    <mergeCell ref="O43:V43"/>
    <mergeCell ref="O44:V44"/>
    <mergeCell ref="O49:V49"/>
    <mergeCell ref="X49:AV49"/>
    <mergeCell ref="X48:AV48"/>
    <mergeCell ref="O41:V41"/>
    <mergeCell ref="BA40:BJ40"/>
    <mergeCell ref="X43:AV43"/>
    <mergeCell ref="Q80:AE80"/>
    <mergeCell ref="AP72:AU72"/>
    <mergeCell ref="AV70:AW70"/>
    <mergeCell ref="O22:AV22"/>
    <mergeCell ref="O23:AV23"/>
    <mergeCell ref="BA41:BJ41"/>
    <mergeCell ref="BA42:BJ42"/>
    <mergeCell ref="BA43:BJ43"/>
    <mergeCell ref="O24:AV24"/>
    <mergeCell ref="AY15:BF15"/>
    <mergeCell ref="AY16:BC16"/>
    <mergeCell ref="O17:Y17"/>
  </mergeCells>
  <phoneticPr fontId="0" type="noConversion"/>
  <printOptions horizontalCentered="1" verticalCentered="1"/>
  <pageMargins left="0.47244094488188981" right="0.35433070866141736" top="0.19685039370078741" bottom="0.35433070866141736" header="0" footer="0.23622047244094491"/>
  <pageSetup paperSize="9" scale="85" orientation="portrait" r:id="rId1"/>
  <headerFooter alignWithMargins="0">
    <oddFooter>&amp;L&amp;8ILAB 002.02</oddFooter>
  </headerFooter>
  <rowBreaks count="1" manualBreakCount="1">
    <brk id="59" max="48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02617-5AD5-4D45-BE19-A811BC3880BA}">
  <sheetPr codeName="Sheet13">
    <tabColor rgb="FF92D050"/>
  </sheetPr>
  <dimension ref="A1:GH190"/>
  <sheetViews>
    <sheetView showGridLines="0" view="pageBreakPreview" topLeftCell="A39" zoomScaleNormal="100" zoomScaleSheetLayoutView="100" workbookViewId="0">
      <selection activeCell="B101" sqref="B101:AV101"/>
    </sheetView>
  </sheetViews>
  <sheetFormatPr defaultRowHeight="12.75"/>
  <cols>
    <col min="1" max="1" width="2.28515625" customWidth="1"/>
    <col min="2" max="2" width="2.140625" customWidth="1"/>
    <col min="3" max="5" width="2" customWidth="1"/>
    <col min="6" max="6" width="1.85546875" customWidth="1"/>
    <col min="7" max="7" width="2.42578125" customWidth="1"/>
    <col min="8" max="8" width="2" customWidth="1"/>
    <col min="9" max="9" width="2.7109375" customWidth="1"/>
    <col min="10" max="10" width="2.42578125" customWidth="1"/>
    <col min="11" max="12" width="2" customWidth="1"/>
    <col min="13" max="13" width="2.28515625" customWidth="1"/>
    <col min="14" max="14" width="2.140625" customWidth="1"/>
    <col min="15" max="15" width="3" customWidth="1"/>
    <col min="16" max="16" width="2" customWidth="1"/>
    <col min="17" max="17" width="4.5703125" customWidth="1"/>
    <col min="18" max="18" width="2" customWidth="1"/>
    <col min="19" max="19" width="3.5703125" customWidth="1"/>
    <col min="20" max="26" width="2" customWidth="1"/>
    <col min="27" max="27" width="2.5703125" customWidth="1"/>
    <col min="28" max="33" width="2" customWidth="1"/>
    <col min="34" max="34" width="1.28515625" customWidth="1"/>
    <col min="35" max="35" width="1.85546875" customWidth="1"/>
    <col min="36" max="36" width="2" customWidth="1"/>
    <col min="37" max="37" width="3.140625" customWidth="1"/>
    <col min="38" max="38" width="1.140625" customWidth="1"/>
    <col min="39" max="39" width="1.5703125" customWidth="1"/>
    <col min="40" max="40" width="2" customWidth="1"/>
    <col min="41" max="41" width="1.28515625" customWidth="1"/>
    <col min="42" max="42" width="2.28515625" customWidth="1"/>
    <col min="43" max="43" width="1.42578125" customWidth="1"/>
    <col min="44" max="45" width="2" customWidth="1"/>
    <col min="46" max="46" width="3" customWidth="1"/>
    <col min="47" max="47" width="2.5703125" customWidth="1"/>
    <col min="48" max="48" width="1.42578125" customWidth="1"/>
    <col min="49" max="49" width="3.5703125" style="35" customWidth="1"/>
    <col min="50" max="95" width="2" style="37" customWidth="1"/>
    <col min="96" max="96" width="2.85546875" style="37" customWidth="1"/>
    <col min="97" max="166" width="2" style="37" customWidth="1"/>
    <col min="167" max="190" width="2" style="35" customWidth="1"/>
    <col min="191" max="210" width="2" customWidth="1"/>
  </cols>
  <sheetData>
    <row r="1" spans="1:190" ht="16.5" customHeight="1">
      <c r="AW1" s="412"/>
    </row>
    <row r="2" spans="1:190" ht="21.75" customHeight="1">
      <c r="A2" s="1287" t="s">
        <v>351</v>
      </c>
      <c r="B2" s="1287"/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1287"/>
      <c r="O2" s="1287"/>
      <c r="P2" s="1287"/>
      <c r="Q2" s="1287"/>
      <c r="R2" s="1287"/>
      <c r="S2" s="1287"/>
      <c r="T2" s="1287"/>
      <c r="U2" s="1287"/>
      <c r="V2" s="1287"/>
      <c r="W2" s="460"/>
      <c r="X2" s="460"/>
      <c r="Y2" s="460"/>
      <c r="Z2" s="1211"/>
      <c r="AA2" s="1211"/>
      <c r="AB2" s="1211"/>
      <c r="AC2" s="1211"/>
      <c r="AD2" s="1211"/>
      <c r="AE2" s="1211"/>
      <c r="AF2" s="1211"/>
      <c r="AG2" s="1211"/>
      <c r="AH2" s="1211"/>
      <c r="AI2" s="1211"/>
      <c r="AJ2" s="1211"/>
      <c r="AK2" s="1211"/>
      <c r="AU2" s="407"/>
      <c r="AV2" s="407"/>
      <c r="AW2" s="413"/>
    </row>
    <row r="3" spans="1:190" ht="14.25" customHeight="1">
      <c r="A3" s="1210" t="s">
        <v>352</v>
      </c>
      <c r="B3" s="1210"/>
      <c r="C3" s="1210"/>
      <c r="D3" s="1210"/>
      <c r="E3" s="1210"/>
      <c r="F3" s="1210"/>
      <c r="G3" s="1210"/>
      <c r="H3" s="1210"/>
      <c r="I3" s="1210"/>
      <c r="J3" s="1210"/>
      <c r="K3" s="1210"/>
      <c r="L3" s="1210"/>
      <c r="M3" s="1210"/>
      <c r="N3" s="1210"/>
      <c r="O3" s="1210"/>
      <c r="P3" s="410"/>
      <c r="Q3" s="410"/>
      <c r="R3" s="410"/>
      <c r="S3" s="410"/>
      <c r="T3" s="410"/>
      <c r="U3" s="410"/>
      <c r="V3" s="410"/>
      <c r="W3" s="410"/>
      <c r="X3" s="410"/>
      <c r="Y3" s="410"/>
      <c r="Z3" s="1211"/>
      <c r="AA3" s="1211"/>
      <c r="AB3" s="1211"/>
      <c r="AC3" s="1211"/>
      <c r="AD3" s="1211"/>
      <c r="AE3" s="1211"/>
      <c r="AF3" s="1211"/>
      <c r="AG3" s="1211"/>
      <c r="AH3" s="1211"/>
      <c r="AI3" s="1211"/>
      <c r="AJ3" s="1211"/>
      <c r="AK3" s="1211"/>
      <c r="AU3" s="407"/>
      <c r="AV3" s="407"/>
      <c r="AW3" s="413"/>
      <c r="AX3"/>
      <c r="AY3"/>
      <c r="AZ3"/>
      <c r="BA3"/>
      <c r="BB3"/>
      <c r="BC3"/>
      <c r="BD3"/>
      <c r="CH3"/>
      <c r="CI3"/>
      <c r="CJ3"/>
      <c r="CK3"/>
      <c r="CL3"/>
      <c r="CM3"/>
      <c r="CN3"/>
      <c r="CO3"/>
      <c r="CP3"/>
      <c r="CQ3"/>
    </row>
    <row r="4" spans="1:190" ht="15.75" customHeight="1">
      <c r="A4" s="1225" t="s">
        <v>354</v>
      </c>
      <c r="B4" s="1225"/>
      <c r="C4" s="1225"/>
      <c r="D4" s="1225"/>
      <c r="E4" s="1225"/>
      <c r="F4" s="1236" t="str">
        <f>'Registo Calibração'!$G$2</f>
        <v/>
      </c>
      <c r="G4" s="1236"/>
      <c r="H4" s="1236"/>
      <c r="I4" s="1236"/>
      <c r="J4" s="1236"/>
      <c r="K4" s="1236"/>
      <c r="L4" s="1236"/>
      <c r="M4" s="1236"/>
      <c r="N4" s="1236"/>
      <c r="Z4" s="1212"/>
      <c r="AA4" s="1212"/>
      <c r="AB4" s="1212"/>
      <c r="AC4" s="1212"/>
      <c r="AD4" s="1212"/>
      <c r="AE4" s="1212"/>
      <c r="AF4" s="1212"/>
      <c r="AG4" s="1212"/>
      <c r="AH4" s="1212"/>
      <c r="AI4" s="1212"/>
      <c r="AJ4" s="1212"/>
      <c r="AK4" s="1212"/>
      <c r="AW4" s="406"/>
      <c r="AX4"/>
      <c r="AY4"/>
      <c r="AZ4"/>
      <c r="BA4"/>
      <c r="BB4"/>
      <c r="BC4"/>
      <c r="BD4"/>
      <c r="CH4"/>
      <c r="CI4"/>
      <c r="CJ4"/>
      <c r="CK4"/>
      <c r="CL4"/>
      <c r="CM4"/>
      <c r="CN4"/>
      <c r="CO4"/>
      <c r="CP4"/>
      <c r="CQ4"/>
    </row>
    <row r="5" spans="1:190" ht="14.25" customHeight="1">
      <c r="A5" s="1226" t="s">
        <v>353</v>
      </c>
      <c r="B5" s="1226"/>
      <c r="C5" s="1226"/>
      <c r="D5" s="1226"/>
      <c r="E5" s="408"/>
      <c r="F5" s="409"/>
      <c r="G5" s="409"/>
      <c r="H5" s="409"/>
      <c r="I5" s="409"/>
      <c r="J5" s="409"/>
      <c r="K5" s="409"/>
      <c r="L5" s="409"/>
      <c r="M5" s="409"/>
      <c r="N5" s="409"/>
      <c r="AW5" s="406"/>
      <c r="AX5"/>
      <c r="AY5"/>
      <c r="AZ5"/>
      <c r="BA5"/>
      <c r="BB5"/>
      <c r="BC5"/>
      <c r="BD5"/>
      <c r="CH5"/>
      <c r="CI5"/>
      <c r="CJ5"/>
      <c r="CK5"/>
      <c r="CL5"/>
      <c r="CM5"/>
      <c r="CN5"/>
      <c r="CO5"/>
      <c r="CP5"/>
      <c r="CQ5"/>
    </row>
    <row r="6" spans="1:190" ht="16.5" customHeight="1">
      <c r="A6" s="1225" t="s">
        <v>402</v>
      </c>
      <c r="B6" s="1225"/>
      <c r="C6" s="1225"/>
      <c r="D6" s="1225"/>
      <c r="E6" s="1225"/>
      <c r="F6" s="1229">
        <f ca="1">TODAY()</f>
        <v>44811</v>
      </c>
      <c r="G6" s="1225"/>
      <c r="H6" s="1225"/>
      <c r="I6" s="1225"/>
      <c r="J6" s="1225"/>
      <c r="K6" s="1225"/>
      <c r="L6" s="1225"/>
      <c r="M6" s="1225"/>
      <c r="N6" s="1225"/>
      <c r="AW6" s="406"/>
      <c r="AX6"/>
      <c r="AY6"/>
      <c r="AZ6"/>
      <c r="BA6"/>
      <c r="BB6"/>
      <c r="BC6"/>
      <c r="BD6"/>
      <c r="CH6"/>
      <c r="CI6"/>
      <c r="CJ6"/>
      <c r="CK6"/>
      <c r="CL6"/>
      <c r="CM6"/>
      <c r="CN6"/>
      <c r="CO6"/>
      <c r="CP6"/>
      <c r="CQ6"/>
    </row>
    <row r="7" spans="1:190" ht="14.25" customHeight="1">
      <c r="A7" s="1227" t="s">
        <v>401</v>
      </c>
      <c r="B7" s="1227"/>
      <c r="C7" s="1227"/>
      <c r="D7" s="1227"/>
      <c r="E7" s="1227"/>
      <c r="F7" s="1227"/>
      <c r="G7" s="1227"/>
      <c r="H7" s="1227"/>
      <c r="I7" s="1227"/>
      <c r="J7" s="1227"/>
      <c r="K7" s="409"/>
      <c r="L7" s="409"/>
      <c r="M7" s="409"/>
      <c r="N7" s="409"/>
      <c r="AW7" s="406"/>
      <c r="AX7"/>
      <c r="AY7"/>
      <c r="AZ7"/>
      <c r="BA7"/>
      <c r="BB7"/>
      <c r="BC7"/>
      <c r="BD7"/>
      <c r="CH7"/>
      <c r="CI7"/>
      <c r="CJ7"/>
      <c r="CK7"/>
      <c r="CL7"/>
      <c r="CM7"/>
      <c r="CN7"/>
      <c r="CO7"/>
      <c r="CP7"/>
      <c r="CQ7"/>
    </row>
    <row r="8" spans="1:190" ht="20.25" customHeight="1">
      <c r="B8" s="1288" t="str">
        <f>'Registo Calibração'!$N$10</f>
        <v/>
      </c>
      <c r="C8" s="1288"/>
      <c r="D8" s="1288"/>
      <c r="E8" s="1288"/>
      <c r="F8" s="1288"/>
      <c r="G8" s="1288"/>
      <c r="H8" s="1288"/>
      <c r="I8" s="1288"/>
      <c r="J8" s="1288"/>
      <c r="K8" s="1288"/>
      <c r="L8" s="1288"/>
      <c r="M8" s="1288"/>
      <c r="N8" s="1288"/>
      <c r="O8" s="1288"/>
      <c r="P8" s="1288"/>
      <c r="Q8" s="1288"/>
      <c r="R8" s="1288"/>
      <c r="S8" s="1288"/>
      <c r="T8" s="1288"/>
      <c r="U8" s="1288"/>
      <c r="V8" s="1288"/>
      <c r="W8" s="1288"/>
      <c r="X8" s="1288"/>
      <c r="Y8" s="1288"/>
      <c r="Z8" s="1288"/>
      <c r="AA8" s="1288"/>
      <c r="AB8" s="1288"/>
      <c r="AC8" s="1288"/>
      <c r="AD8" s="1288"/>
      <c r="AE8" s="1289" t="str">
        <f>'Registo Calibração'!$Q$10</f>
        <v/>
      </c>
      <c r="AF8" s="1289"/>
      <c r="AG8" s="1289"/>
      <c r="AH8" s="1289"/>
      <c r="AI8" s="1289"/>
      <c r="AJ8" s="1289"/>
      <c r="AK8" s="1289"/>
      <c r="AL8" s="1289"/>
      <c r="AO8" s="1228" t="s">
        <v>431</v>
      </c>
      <c r="AP8" s="1228"/>
      <c r="AQ8" s="1228"/>
      <c r="AR8" s="1228"/>
      <c r="AS8" s="1228"/>
      <c r="AT8" s="1228"/>
      <c r="AU8" s="1228"/>
      <c r="AV8" s="1228"/>
      <c r="AW8" s="406"/>
      <c r="AX8"/>
      <c r="AY8"/>
      <c r="AZ8"/>
      <c r="CJ8"/>
      <c r="CK8"/>
      <c r="CL8"/>
      <c r="CM8"/>
      <c r="CN8"/>
      <c r="CO8"/>
      <c r="CP8"/>
      <c r="CQ8"/>
    </row>
    <row r="9" spans="1:190" ht="5.25" customHeight="1">
      <c r="A9" s="281"/>
      <c r="B9" s="281"/>
      <c r="C9" s="281"/>
      <c r="D9" s="281"/>
      <c r="E9" s="281"/>
      <c r="F9" s="281"/>
      <c r="G9" s="281"/>
      <c r="H9" s="281"/>
      <c r="I9" s="281"/>
      <c r="J9" s="281"/>
      <c r="K9" s="281"/>
      <c r="L9" s="281"/>
      <c r="M9" s="281"/>
      <c r="N9" s="281"/>
      <c r="O9" s="753"/>
      <c r="P9" s="753"/>
      <c r="Q9" s="753"/>
      <c r="R9" s="753"/>
      <c r="S9" s="753"/>
      <c r="T9" s="753"/>
      <c r="U9" s="753"/>
      <c r="V9" s="753"/>
      <c r="W9" s="753"/>
      <c r="X9" s="753"/>
      <c r="Y9" s="754"/>
      <c r="Z9" s="754"/>
      <c r="AA9" s="754"/>
      <c r="AB9" s="754"/>
      <c r="AC9" s="281"/>
      <c r="AD9" s="281"/>
      <c r="AE9" s="281"/>
      <c r="AF9" s="281"/>
      <c r="AG9" s="281"/>
      <c r="AH9" s="281"/>
      <c r="AI9" s="281"/>
      <c r="AJ9" s="281"/>
      <c r="AK9" s="281"/>
      <c r="AL9" s="281"/>
      <c r="AM9" s="281"/>
      <c r="AN9" s="281"/>
      <c r="AO9" s="281"/>
      <c r="AP9" s="281"/>
      <c r="AQ9" s="281"/>
      <c r="AR9" s="281"/>
      <c r="AS9" s="281"/>
      <c r="AT9" s="281"/>
      <c r="AU9" s="281"/>
      <c r="AV9" s="281"/>
      <c r="AW9" s="755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</row>
    <row r="10" spans="1:190" s="418" customFormat="1" ht="36" customHeight="1">
      <c r="B10" s="429" t="s">
        <v>357</v>
      </c>
      <c r="C10"/>
      <c r="D10"/>
      <c r="E10"/>
      <c r="F10" s="845"/>
      <c r="G10" s="845" t="s">
        <v>394</v>
      </c>
      <c r="H10"/>
      <c r="I10"/>
      <c r="J10"/>
      <c r="K10"/>
      <c r="L10"/>
      <c r="M10"/>
      <c r="N10"/>
      <c r="O10" s="425" t="str">
        <f>IF('Registo Calibração'!$C$7="","",'Registo Calibração'!$C$7)</f>
        <v/>
      </c>
      <c r="P10" s="87"/>
      <c r="Q10" s="87"/>
      <c r="R10" s="87"/>
      <c r="S10" s="87"/>
      <c r="T10" s="424"/>
      <c r="U10" s="424"/>
      <c r="V10" s="424"/>
      <c r="W10" s="424"/>
      <c r="X10" s="424"/>
      <c r="Y10" s="424"/>
      <c r="AT10" s="405"/>
      <c r="AU10" s="405"/>
      <c r="AV10" s="419"/>
      <c r="AW10" s="406"/>
      <c r="CR10" s="415"/>
      <c r="CS10" s="415"/>
      <c r="CT10" s="415"/>
      <c r="CU10" s="415"/>
      <c r="CV10" s="415"/>
      <c r="CW10" s="415"/>
      <c r="CX10" s="415"/>
      <c r="CY10" s="415"/>
      <c r="CZ10" s="415"/>
      <c r="DA10" s="415"/>
      <c r="DB10" s="415"/>
      <c r="DC10" s="415"/>
      <c r="DD10" s="415"/>
      <c r="DE10" s="415"/>
      <c r="DF10" s="415"/>
      <c r="DG10" s="415"/>
      <c r="DH10" s="415"/>
      <c r="DI10" s="415"/>
      <c r="DJ10" s="415"/>
      <c r="DK10" s="415"/>
      <c r="DL10" s="415"/>
      <c r="DM10" s="415"/>
      <c r="DN10" s="415"/>
      <c r="DO10" s="415"/>
      <c r="DP10" s="415"/>
      <c r="DQ10" s="415"/>
      <c r="DR10" s="415"/>
      <c r="DS10" s="415"/>
      <c r="DT10" s="415"/>
      <c r="DU10" s="415"/>
      <c r="DV10" s="415"/>
      <c r="DW10" s="415"/>
      <c r="DX10" s="415"/>
      <c r="DY10" s="415"/>
      <c r="DZ10" s="415"/>
      <c r="EA10" s="415"/>
      <c r="EB10" s="415"/>
      <c r="EC10" s="415"/>
      <c r="ED10" s="415"/>
      <c r="EE10" s="415"/>
      <c r="EF10" s="415"/>
      <c r="EG10" s="415"/>
      <c r="EH10" s="415"/>
      <c r="EI10" s="415"/>
      <c r="EJ10" s="415"/>
      <c r="EK10" s="415"/>
      <c r="EL10" s="415"/>
      <c r="EM10" s="415"/>
      <c r="EN10" s="415"/>
      <c r="EO10" s="415"/>
      <c r="EP10" s="415"/>
      <c r="EQ10" s="415"/>
      <c r="ER10" s="415"/>
      <c r="ES10" s="415"/>
      <c r="ET10" s="415"/>
      <c r="EU10" s="415"/>
      <c r="EV10" s="415"/>
      <c r="EW10" s="415"/>
      <c r="EX10" s="415"/>
      <c r="EY10" s="415"/>
      <c r="EZ10" s="415"/>
      <c r="FA10" s="415"/>
      <c r="FB10" s="415"/>
      <c r="FC10" s="415"/>
      <c r="FD10" s="415"/>
      <c r="FE10" s="415"/>
      <c r="FF10" s="415"/>
      <c r="FG10" s="415"/>
      <c r="FH10" s="415"/>
      <c r="FI10" s="415"/>
      <c r="FJ10" s="415"/>
      <c r="FK10" s="420"/>
      <c r="FL10" s="420"/>
      <c r="FM10" s="420"/>
      <c r="FN10" s="420"/>
      <c r="FO10" s="420"/>
      <c r="FP10" s="420"/>
      <c r="FQ10" s="420"/>
      <c r="FR10" s="420"/>
      <c r="FS10" s="420"/>
      <c r="FT10" s="420"/>
      <c r="FU10" s="420"/>
      <c r="FV10" s="420"/>
      <c r="FW10" s="420"/>
      <c r="FX10" s="420"/>
      <c r="FY10" s="420"/>
      <c r="FZ10" s="420"/>
      <c r="GA10" s="420"/>
      <c r="GB10" s="420"/>
      <c r="GC10" s="420"/>
      <c r="GD10" s="420"/>
      <c r="GE10" s="420"/>
      <c r="GF10" s="420"/>
      <c r="GG10" s="420"/>
      <c r="GH10" s="420"/>
    </row>
    <row r="11" spans="1:190" ht="3" customHeight="1">
      <c r="B11" s="1217"/>
      <c r="C11" s="1217"/>
      <c r="D11" s="1217"/>
      <c r="E11" s="1217"/>
      <c r="F11" s="421"/>
      <c r="G11" s="421"/>
      <c r="H11" s="421"/>
      <c r="O11" s="421"/>
      <c r="P11" s="414"/>
      <c r="W11" s="449"/>
      <c r="X11" s="449"/>
      <c r="Y11" s="449"/>
      <c r="Z11" s="449"/>
      <c r="AW11" s="406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</row>
    <row r="12" spans="1:190" ht="15.75" customHeight="1">
      <c r="B12" s="417" t="s">
        <v>360</v>
      </c>
      <c r="F12" s="37" t="s">
        <v>393</v>
      </c>
      <c r="O12" s="423" t="str">
        <f>IF('Registo Calibração'!$C$8="","N/C",'Registo Calibração'!$C$8)</f>
        <v>N/C</v>
      </c>
      <c r="P12" s="87"/>
      <c r="Q12" s="425"/>
      <c r="R12" s="425"/>
      <c r="S12" s="425"/>
      <c r="T12" s="425"/>
      <c r="U12" s="425"/>
      <c r="V12" s="425"/>
      <c r="W12" s="425"/>
      <c r="X12" s="425"/>
      <c r="Y12" s="425"/>
      <c r="Z12" s="425"/>
      <c r="AA12" s="425"/>
      <c r="AB12" s="425"/>
      <c r="AC12" s="425"/>
      <c r="AD12" s="425"/>
      <c r="AE12" s="425"/>
      <c r="AF12" s="425"/>
      <c r="AW12" s="406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</row>
    <row r="13" spans="1:190" ht="3.75" customHeight="1">
      <c r="B13" s="421"/>
      <c r="Z13" s="282"/>
      <c r="AA13" s="282"/>
      <c r="AW13" s="406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</row>
    <row r="14" spans="1:190" ht="13.5" customHeight="1">
      <c r="B14" s="417" t="s">
        <v>361</v>
      </c>
      <c r="G14" s="415" t="s">
        <v>395</v>
      </c>
      <c r="O14" s="423" t="str">
        <f>IF('Registo Calibração'!$C$9="","N/C",'Registo Calibração'!$C$9)</f>
        <v>N/C</v>
      </c>
      <c r="P14" s="423"/>
      <c r="Q14" s="423"/>
      <c r="R14" s="423"/>
      <c r="S14" s="423"/>
      <c r="T14" s="423"/>
      <c r="U14" s="423"/>
      <c r="V14" s="423"/>
      <c r="W14" s="423"/>
      <c r="X14" s="423"/>
      <c r="Y14" s="423"/>
      <c r="Z14" s="423"/>
      <c r="AA14" s="423"/>
      <c r="AB14" s="423"/>
      <c r="AW14" s="406"/>
      <c r="AX14"/>
      <c r="AY14" s="1195"/>
      <c r="AZ14" s="1196"/>
      <c r="BA14" s="1196"/>
      <c r="BB14" s="1196"/>
      <c r="BC14" s="1196"/>
      <c r="BD14" s="1196"/>
      <c r="BE14" s="1196"/>
      <c r="BF14" s="1196"/>
    </row>
    <row r="15" spans="1:190" ht="3" customHeight="1">
      <c r="B15" s="421"/>
      <c r="AW15" s="406"/>
      <c r="AX15" s="2"/>
      <c r="AY15" s="1197"/>
      <c r="AZ15" s="1197"/>
      <c r="BA15" s="1197"/>
      <c r="BB15" s="1197"/>
      <c r="BC15" s="1197"/>
    </row>
    <row r="16" spans="1:190" ht="15.75" customHeight="1">
      <c r="B16" s="417" t="s">
        <v>362</v>
      </c>
      <c r="C16" s="417"/>
      <c r="D16" s="417"/>
      <c r="E16" s="417"/>
      <c r="F16" s="417"/>
      <c r="G16" s="416" t="s">
        <v>396</v>
      </c>
      <c r="H16" s="417"/>
      <c r="O16" s="1198" t="str">
        <f>IF('Registo Calibração'!$C$10="","N/C",'Registo Calibração'!$C$10)</f>
        <v>N/C</v>
      </c>
      <c r="P16" s="1198"/>
      <c r="Q16" s="1198"/>
      <c r="R16" s="1198"/>
      <c r="S16" s="1198"/>
      <c r="T16" s="1198"/>
      <c r="U16" s="1198"/>
      <c r="V16" s="1198"/>
      <c r="W16" s="1198"/>
      <c r="X16" s="1198"/>
      <c r="Y16" s="1198"/>
      <c r="AW16" s="406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/>
    </row>
    <row r="17" spans="1:190" ht="3" customHeight="1">
      <c r="B17" s="421"/>
      <c r="AW17" s="406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</row>
    <row r="18" spans="1:190" ht="15.75" customHeight="1">
      <c r="B18" s="417" t="s">
        <v>363</v>
      </c>
      <c r="C18" s="417"/>
      <c r="D18" s="417"/>
      <c r="E18" s="417"/>
      <c r="F18" s="417"/>
      <c r="H18" s="422"/>
      <c r="I18" s="37" t="s">
        <v>397</v>
      </c>
      <c r="J18" s="422"/>
      <c r="K18" s="422"/>
      <c r="L18" s="422"/>
      <c r="M18" s="422"/>
      <c r="N18" s="422"/>
      <c r="O18" s="425" t="str">
        <f>IF('Registo Calibração'!$C$11="","------",'Registo Calibração'!$C$11)</f>
        <v>------</v>
      </c>
      <c r="AW18" s="406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</row>
    <row r="19" spans="1:190" ht="3" customHeight="1">
      <c r="A19" s="1"/>
      <c r="B19" s="426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427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</row>
    <row r="20" spans="1:190" ht="3" customHeight="1">
      <c r="AW20" s="406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</row>
    <row r="21" spans="1:190" ht="27" customHeight="1">
      <c r="B21" s="429" t="s">
        <v>365</v>
      </c>
      <c r="J21" s="47"/>
      <c r="K21" s="47"/>
      <c r="L21" s="47"/>
      <c r="M21" s="47"/>
      <c r="N21" s="47"/>
      <c r="O21" s="1198">
        <f>'Registo Calibração'!C4</f>
        <v>0</v>
      </c>
      <c r="P21" s="1198"/>
      <c r="Q21" s="1198"/>
      <c r="R21" s="1198"/>
      <c r="S21" s="1198"/>
      <c r="T21" s="1198"/>
      <c r="U21" s="1198"/>
      <c r="V21" s="1198"/>
      <c r="W21" s="1198"/>
      <c r="X21" s="1198"/>
      <c r="Y21" s="1198"/>
      <c r="Z21" s="1198"/>
      <c r="AA21" s="1198"/>
      <c r="AB21" s="1198"/>
      <c r="AC21" s="1198"/>
      <c r="AD21" s="1198"/>
      <c r="AE21" s="1198"/>
      <c r="AF21" s="1198"/>
      <c r="AG21" s="1198"/>
      <c r="AH21" s="1198"/>
      <c r="AI21" s="1198"/>
      <c r="AJ21" s="1198"/>
      <c r="AK21" s="1198"/>
      <c r="AL21" s="1198"/>
      <c r="AM21" s="1198"/>
      <c r="AN21" s="1198"/>
      <c r="AO21" s="1198"/>
      <c r="AP21" s="1198"/>
      <c r="AQ21" s="1198"/>
      <c r="AR21" s="1198"/>
      <c r="AS21" s="1198"/>
      <c r="AT21" s="1198"/>
      <c r="AU21" s="1198"/>
      <c r="AV21" s="1198"/>
      <c r="AW21" s="406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</row>
    <row r="22" spans="1:190" ht="18.75" customHeight="1">
      <c r="B22" s="421" t="s">
        <v>366</v>
      </c>
      <c r="J22" s="450"/>
      <c r="K22" s="450"/>
      <c r="L22" s="450"/>
      <c r="M22" s="450"/>
      <c r="N22" s="450"/>
      <c r="O22" s="1192" t="str">
        <f>IF('Registo Calibração'!C5="","------",'Registo Calibração'!C5)</f>
        <v>------</v>
      </c>
      <c r="P22" s="1192"/>
      <c r="Q22" s="1192"/>
      <c r="R22" s="1192"/>
      <c r="S22" s="1192"/>
      <c r="T22" s="1192"/>
      <c r="U22" s="1192"/>
      <c r="V22" s="1192"/>
      <c r="W22" s="1192"/>
      <c r="X22" s="1192"/>
      <c r="Y22" s="1192"/>
      <c r="Z22" s="1192"/>
      <c r="AA22" s="1192"/>
      <c r="AB22" s="1192"/>
      <c r="AC22" s="1192"/>
      <c r="AD22" s="1192"/>
      <c r="AE22" s="1192"/>
      <c r="AF22" s="1192"/>
      <c r="AG22" s="1192"/>
      <c r="AH22" s="1192"/>
      <c r="AI22" s="1192"/>
      <c r="AJ22" s="1192"/>
      <c r="AK22" s="1192"/>
      <c r="AL22" s="1192"/>
      <c r="AM22" s="1192"/>
      <c r="AN22" s="1192"/>
      <c r="AO22" s="1192"/>
      <c r="AP22" s="1192"/>
      <c r="AQ22" s="1192"/>
      <c r="AR22" s="1192"/>
      <c r="AS22" s="1192"/>
      <c r="AT22" s="1192"/>
      <c r="AU22" s="1192"/>
      <c r="AV22" s="1192"/>
      <c r="AW22" s="450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</row>
    <row r="23" spans="1:190" ht="15.75">
      <c r="B23" s="1"/>
      <c r="C23" s="431"/>
      <c r="D23" s="431"/>
      <c r="E23" s="431"/>
      <c r="F23" s="431"/>
      <c r="G23" s="431"/>
      <c r="H23" s="431"/>
      <c r="I23" s="1"/>
      <c r="J23" s="451"/>
      <c r="K23" s="451"/>
      <c r="L23" s="451"/>
      <c r="M23" s="451"/>
      <c r="N23" s="451"/>
      <c r="O23" s="1194" t="str">
        <f>IF('Registo Calibração'!C6="","------",'Registo Calibração'!C6)</f>
        <v>------</v>
      </c>
      <c r="P23" s="1194"/>
      <c r="Q23" s="1194"/>
      <c r="R23" s="1194"/>
      <c r="S23" s="1194"/>
      <c r="T23" s="1194"/>
      <c r="U23" s="1194"/>
      <c r="V23" s="1194"/>
      <c r="W23" s="1194"/>
      <c r="X23" s="1194"/>
      <c r="Y23" s="1194"/>
      <c r="Z23" s="1194"/>
      <c r="AA23" s="1194"/>
      <c r="AB23" s="1194"/>
      <c r="AC23" s="1194"/>
      <c r="AD23" s="1194"/>
      <c r="AE23" s="1194"/>
      <c r="AF23" s="1194"/>
      <c r="AG23" s="1194"/>
      <c r="AH23" s="1194"/>
      <c r="AI23" s="1194"/>
      <c r="AJ23" s="1194"/>
      <c r="AK23" s="1194"/>
      <c r="AL23" s="1194"/>
      <c r="AM23" s="1194"/>
      <c r="AN23" s="1194"/>
      <c r="AO23" s="1194"/>
      <c r="AP23" s="1194"/>
      <c r="AQ23" s="1194"/>
      <c r="AR23" s="1194"/>
      <c r="AS23" s="1194"/>
      <c r="AT23" s="1194"/>
      <c r="AU23" s="1194"/>
      <c r="AV23" s="1194"/>
      <c r="AW23" s="451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</row>
    <row r="24" spans="1:190" ht="19.5" customHeight="1">
      <c r="A24" s="281"/>
      <c r="B24" s="1240" t="s">
        <v>370</v>
      </c>
      <c r="C24" s="1240"/>
      <c r="D24" s="1240"/>
      <c r="E24" s="1240"/>
      <c r="F24" s="1240"/>
      <c r="G24" s="1240"/>
      <c r="H24" s="1240"/>
      <c r="I24" s="1240"/>
      <c r="J24" s="1240"/>
      <c r="K24" s="1240"/>
      <c r="L24" s="1240"/>
      <c r="M24" s="1240"/>
      <c r="N24" s="1240"/>
      <c r="O24" s="1240"/>
      <c r="P24" s="1240"/>
      <c r="Q24" s="1240"/>
      <c r="V24" s="430"/>
      <c r="AW24" s="406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</row>
    <row r="25" spans="1:190" s="4" customFormat="1" ht="12.75" customHeight="1" thickBot="1">
      <c r="A25"/>
      <c r="B25" s="421" t="s">
        <v>371</v>
      </c>
      <c r="U25"/>
      <c r="AK25" s="1021" t="s">
        <v>679</v>
      </c>
      <c r="AL25" s="1021"/>
      <c r="AM25" s="1021"/>
      <c r="AN25" s="1021"/>
      <c r="AO25" s="1021"/>
      <c r="AP25" s="1021"/>
      <c r="AR25" s="1021" t="s">
        <v>165</v>
      </c>
      <c r="AS25" s="1021"/>
      <c r="AT25" s="1021"/>
      <c r="AU25" s="1021"/>
      <c r="AV25" s="1021"/>
      <c r="AW25" s="406"/>
      <c r="AX25"/>
      <c r="AY25"/>
      <c r="AZ25"/>
      <c r="BA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 s="44"/>
      <c r="CS25" s="44"/>
      <c r="CT25" s="44"/>
      <c r="CU25" s="44"/>
      <c r="CV25" s="44"/>
      <c r="CW25" s="44"/>
      <c r="CX25" s="44"/>
      <c r="CY25" s="44"/>
      <c r="CZ25" s="44"/>
      <c r="DA25" s="44"/>
      <c r="DB25" s="44"/>
      <c r="DC25" s="44"/>
      <c r="DD25" s="44"/>
      <c r="DE25" s="44"/>
      <c r="DF25" s="44"/>
      <c r="DG25" s="44"/>
      <c r="DH25" s="44"/>
      <c r="DI25" s="44"/>
      <c r="DJ25" s="44"/>
      <c r="DK25" s="44"/>
      <c r="DL25" s="44"/>
      <c r="DM25" s="44"/>
      <c r="DN25" s="44"/>
      <c r="DO25" s="44"/>
      <c r="DP25" s="44"/>
      <c r="DQ25" s="44"/>
      <c r="DR25" s="44"/>
      <c r="DS25" s="44"/>
      <c r="DT25" s="44"/>
      <c r="DU25" s="44"/>
      <c r="DV25" s="44"/>
      <c r="DW25" s="44"/>
      <c r="DX25" s="44"/>
      <c r="DY25" s="44"/>
      <c r="DZ25" s="44"/>
      <c r="EA25" s="44"/>
      <c r="EB25" s="44"/>
      <c r="EC25" s="44"/>
      <c r="ED25" s="44"/>
      <c r="EE25" s="44"/>
      <c r="EF25" s="44"/>
      <c r="EG25" s="44"/>
      <c r="EH25" s="44"/>
      <c r="EI25" s="44"/>
      <c r="EJ25" s="44"/>
      <c r="EK25" s="44"/>
      <c r="EL25" s="44"/>
      <c r="EM25" s="44"/>
      <c r="EN25" s="44"/>
      <c r="EO25" s="44"/>
      <c r="EP25" s="44"/>
      <c r="EQ25" s="44"/>
      <c r="ER25" s="44"/>
      <c r="ES25" s="44"/>
      <c r="ET25" s="44"/>
      <c r="EU25" s="44"/>
      <c r="EV25" s="44"/>
      <c r="EW25" s="44"/>
      <c r="EX25" s="44"/>
      <c r="EY25" s="44"/>
      <c r="EZ25" s="44"/>
      <c r="FA25" s="44"/>
      <c r="FB25" s="44"/>
      <c r="FC25" s="44"/>
      <c r="FD25" s="44"/>
      <c r="FE25" s="44"/>
      <c r="FF25" s="44"/>
      <c r="FG25" s="44"/>
      <c r="FH25" s="44"/>
      <c r="FI25" s="44"/>
      <c r="FJ25" s="44"/>
      <c r="FK25" s="36"/>
      <c r="FL25" s="36"/>
      <c r="FM25" s="36"/>
      <c r="FN25" s="36"/>
      <c r="FO25" s="36"/>
      <c r="FP25" s="36"/>
      <c r="FQ25" s="36"/>
      <c r="FR25" s="36"/>
      <c r="FS25" s="36"/>
      <c r="FT25" s="36"/>
      <c r="FU25" s="36"/>
      <c r="FV25" s="36"/>
      <c r="FW25" s="36"/>
      <c r="FX25" s="36"/>
      <c r="FY25" s="36"/>
      <c r="FZ25" s="36"/>
      <c r="GA25" s="36"/>
      <c r="GB25" s="36"/>
      <c r="GC25" s="36"/>
      <c r="GD25" s="36"/>
      <c r="GE25" s="36"/>
      <c r="GF25" s="36"/>
      <c r="GG25" s="36"/>
      <c r="GH25" s="36"/>
    </row>
    <row r="26" spans="1:190" ht="3.75" hidden="1" customHeight="1" thickBot="1">
      <c r="V26" s="37"/>
      <c r="Y26" s="430"/>
      <c r="Z26" s="430"/>
      <c r="AA26" s="37"/>
      <c r="AB26" s="37"/>
      <c r="AC26" s="37"/>
      <c r="AD26" s="37"/>
      <c r="AE26" s="37"/>
      <c r="AF26" s="37"/>
      <c r="AG26" s="37"/>
      <c r="AH26" s="37"/>
      <c r="AI26" s="37"/>
      <c r="AQ26" s="432"/>
      <c r="AW26" s="406"/>
      <c r="AX26"/>
      <c r="AY26"/>
      <c r="AZ26"/>
      <c r="BA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</row>
    <row r="27" spans="1:190" ht="15.75" customHeight="1" thickBot="1">
      <c r="B27" s="428" t="s">
        <v>673</v>
      </c>
      <c r="C27" s="90"/>
      <c r="D27" s="90"/>
      <c r="E27" s="90"/>
      <c r="F27" s="90"/>
      <c r="G27" s="90"/>
      <c r="H27" s="90"/>
      <c r="O27" s="37" t="s">
        <v>675</v>
      </c>
      <c r="Y27" s="1237" t="s">
        <v>372</v>
      </c>
      <c r="Z27" s="1237"/>
      <c r="AA27" s="1237"/>
      <c r="AB27" s="1237"/>
      <c r="AC27" s="1237"/>
      <c r="AD27" s="1237"/>
      <c r="AE27" s="1237"/>
      <c r="AF27" s="1237"/>
      <c r="AG27" s="1237"/>
      <c r="AH27" s="1237"/>
      <c r="AI27" s="1237"/>
      <c r="AJ27" s="1237"/>
      <c r="AK27" s="1231" t="str">
        <f>CONCATENATE(FIXED('Registo Calibração'!$K$13,1)," ± 1")</f>
        <v>0,0 ± 1</v>
      </c>
      <c r="AL27" s="1232"/>
      <c r="AM27" s="1232"/>
      <c r="AN27" s="1232"/>
      <c r="AO27" s="1232"/>
      <c r="AP27" s="1233"/>
      <c r="AQ27" s="4"/>
      <c r="AR27" s="1231" t="str">
        <f>CONCATENATE(FIXED('Registo Calibração'!$L$13,1)," ± 1")</f>
        <v>0,0 ± 1</v>
      </c>
      <c r="AS27" s="1232"/>
      <c r="AT27" s="1232"/>
      <c r="AU27" s="1232"/>
      <c r="AV27" s="1233"/>
      <c r="AW27" s="406"/>
      <c r="AX27"/>
      <c r="AY27"/>
      <c r="AZ27"/>
      <c r="BA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</row>
    <row r="28" spans="1:190" ht="10.5" customHeight="1" thickBot="1">
      <c r="B28" s="433" t="s">
        <v>373</v>
      </c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W28" s="406"/>
      <c r="AX28"/>
      <c r="AY28"/>
      <c r="AZ28"/>
      <c r="BA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</row>
    <row r="29" spans="1:190" ht="15.75" customHeight="1" thickBot="1">
      <c r="B29" s="417" t="s">
        <v>368</v>
      </c>
      <c r="M29" s="452"/>
      <c r="N29" s="452"/>
      <c r="O29" s="1241" t="str">
        <f>IF('Registo Calibração'!C3="","",'Registo Calibração'!C3)</f>
        <v/>
      </c>
      <c r="P29" s="1241"/>
      <c r="Q29" s="1241"/>
      <c r="R29" s="1241"/>
      <c r="S29" s="1241"/>
      <c r="T29" s="1241"/>
      <c r="U29" s="1241"/>
      <c r="Y29" s="1237" t="s">
        <v>166</v>
      </c>
      <c r="Z29" s="1237"/>
      <c r="AA29" s="1237"/>
      <c r="AB29" s="1237"/>
      <c r="AC29" s="1237"/>
      <c r="AD29" s="1237"/>
      <c r="AE29" s="1237"/>
      <c r="AF29" s="1237"/>
      <c r="AG29" s="1237"/>
      <c r="AH29" s="1237"/>
      <c r="AI29" s="1237"/>
      <c r="AJ29" s="1237"/>
      <c r="AK29" s="1231" t="str">
        <f>CONCATENATE(FIXED('Registo Calibração'!$K$14,1)," ± 5")</f>
        <v>0,0 ± 5</v>
      </c>
      <c r="AL29" s="1232"/>
      <c r="AM29" s="1232"/>
      <c r="AN29" s="1232"/>
      <c r="AO29" s="1232"/>
      <c r="AP29" s="1233"/>
      <c r="AR29" s="1231" t="str">
        <f>CONCATENATE(FIXED('Registo Calibração'!$L$14,1)," ± 5")</f>
        <v>0,0 ± 5</v>
      </c>
      <c r="AS29" s="1232"/>
      <c r="AT29" s="1232"/>
      <c r="AU29" s="1232"/>
      <c r="AV29" s="1233"/>
      <c r="AW29" s="406"/>
      <c r="AX29"/>
      <c r="AY29"/>
      <c r="AZ29"/>
      <c r="BA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</row>
    <row r="30" spans="1:190" ht="12.75" customHeight="1">
      <c r="B30" s="433" t="s">
        <v>369</v>
      </c>
      <c r="C30" s="90"/>
      <c r="D30" s="90"/>
      <c r="E30" s="90"/>
      <c r="F30" s="90"/>
      <c r="G30" s="90"/>
      <c r="H30" s="90"/>
      <c r="AW30" s="406"/>
      <c r="AX30"/>
      <c r="AY30"/>
      <c r="AZ30"/>
      <c r="BA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</row>
    <row r="31" spans="1:190" ht="19.5" customHeight="1">
      <c r="B31" s="429" t="s">
        <v>376</v>
      </c>
      <c r="O31" s="1192" t="s">
        <v>478</v>
      </c>
      <c r="P31" s="1192"/>
      <c r="Q31" s="1192"/>
      <c r="R31" s="1192"/>
      <c r="S31" s="1192"/>
      <c r="T31" s="1192"/>
      <c r="U31" s="1192"/>
      <c r="V31" s="1192"/>
      <c r="W31" s="1192"/>
      <c r="X31" s="1192"/>
      <c r="Y31" s="1192"/>
      <c r="Z31" s="1192"/>
      <c r="AA31" s="1192"/>
      <c r="AB31" s="1192"/>
      <c r="AC31" s="1192"/>
      <c r="AD31" s="1192"/>
      <c r="AE31" s="1192"/>
      <c r="AF31" s="1192"/>
      <c r="AG31" s="1192"/>
      <c r="AH31" s="1192"/>
      <c r="AI31" s="1192"/>
      <c r="AJ31" s="1192"/>
      <c r="AK31" s="1192"/>
      <c r="AL31" s="1192"/>
      <c r="AM31" s="1192"/>
      <c r="AN31" s="1192"/>
      <c r="AO31" s="1192"/>
      <c r="AP31" s="1192"/>
      <c r="AQ31" s="1192"/>
      <c r="AR31" s="1192"/>
      <c r="AS31" s="1192"/>
      <c r="AT31" s="1192"/>
      <c r="AU31" s="1192"/>
      <c r="AV31" s="1192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</row>
    <row r="32" spans="1:190">
      <c r="B32" s="433" t="s">
        <v>398</v>
      </c>
      <c r="O32" s="1192"/>
      <c r="P32" s="1192"/>
      <c r="Q32" s="1192"/>
      <c r="R32" s="1192"/>
      <c r="S32" s="1192"/>
      <c r="T32" s="1192"/>
      <c r="U32" s="1192"/>
      <c r="V32" s="1192"/>
      <c r="W32" s="1192"/>
      <c r="X32" s="1192"/>
      <c r="Y32" s="1192"/>
      <c r="Z32" s="1192"/>
      <c r="AA32" s="1192"/>
      <c r="AB32" s="1192"/>
      <c r="AC32" s="1192"/>
      <c r="AD32" s="1192"/>
      <c r="AE32" s="1192"/>
      <c r="AF32" s="1192"/>
      <c r="AG32" s="1192"/>
      <c r="AH32" s="1192"/>
      <c r="AI32" s="1192"/>
      <c r="AJ32" s="1192"/>
      <c r="AK32" s="1192"/>
      <c r="AL32" s="1192"/>
      <c r="AM32" s="1192"/>
      <c r="AN32" s="1192"/>
      <c r="AO32" s="1192"/>
      <c r="AP32" s="1192"/>
      <c r="AQ32" s="1192"/>
      <c r="AR32" s="1192"/>
      <c r="AS32" s="1192"/>
      <c r="AT32" s="1192"/>
      <c r="AU32" s="1192"/>
      <c r="AV32" s="1192"/>
    </row>
    <row r="33" spans="1:99" ht="6.75" customHeight="1">
      <c r="C33" s="453"/>
      <c r="D33" s="453"/>
      <c r="E33" s="453"/>
      <c r="F33" s="453"/>
      <c r="G33" s="453"/>
      <c r="H33" s="453"/>
      <c r="I33" s="453"/>
      <c r="J33" s="453"/>
      <c r="K33" s="453"/>
      <c r="L33" s="453"/>
      <c r="M33" s="453"/>
      <c r="N33" s="453"/>
      <c r="O33" s="453"/>
      <c r="P33" s="453"/>
      <c r="Q33" s="453"/>
      <c r="R33" s="453"/>
      <c r="S33" s="453"/>
      <c r="T33" s="453"/>
      <c r="U33" s="453"/>
      <c r="V33" s="453"/>
      <c r="W33" s="453"/>
      <c r="X33" s="453"/>
      <c r="Y33" s="453"/>
      <c r="Z33" s="453"/>
      <c r="AA33" s="453"/>
      <c r="AB33" s="453"/>
      <c r="AC33" s="453"/>
      <c r="AD33" s="453"/>
      <c r="AE33" s="453"/>
      <c r="AF33" s="453"/>
      <c r="AG33" s="453"/>
      <c r="AH33" s="453"/>
      <c r="AI33" s="453"/>
      <c r="AJ33" s="453"/>
      <c r="AK33" s="453"/>
      <c r="AL33" s="453"/>
      <c r="AM33" s="453"/>
      <c r="AN33" s="453"/>
      <c r="AO33" s="453"/>
      <c r="AP33" s="453"/>
      <c r="AQ33" s="453"/>
      <c r="AR33" s="453"/>
      <c r="AS33" s="453"/>
      <c r="AT33" s="453"/>
      <c r="AU33" s="453"/>
      <c r="AV33" s="453"/>
      <c r="AW33" s="453"/>
      <c r="AX33"/>
      <c r="AY33"/>
      <c r="AZ33"/>
      <c r="BA33"/>
      <c r="BB33" s="450"/>
      <c r="BC33" s="450"/>
      <c r="BD33" s="450"/>
      <c r="BE33" s="450"/>
      <c r="BF33" s="450"/>
      <c r="BG33" s="450"/>
      <c r="BH33" s="450"/>
      <c r="BI33" s="450"/>
      <c r="BJ33" s="450"/>
      <c r="BK33" s="450"/>
      <c r="BL33" s="450"/>
      <c r="BM33" s="450"/>
      <c r="BN33" s="450"/>
      <c r="BO33" s="450"/>
      <c r="BP33" s="450"/>
      <c r="BQ33" s="450"/>
      <c r="BR33" s="450"/>
      <c r="BS33" s="450"/>
      <c r="BT33" s="450"/>
      <c r="BU33" s="450"/>
      <c r="BV33" s="450"/>
      <c r="BW33" s="450"/>
      <c r="BX33" s="450"/>
      <c r="BY33" s="450"/>
      <c r="BZ33" s="450"/>
      <c r="CA33" s="450"/>
      <c r="CB33" s="450"/>
      <c r="CC33" s="450"/>
      <c r="CD33" s="450"/>
      <c r="CE33" s="450"/>
      <c r="CF33" s="450"/>
      <c r="CG33" s="450"/>
      <c r="CH33" s="450"/>
      <c r="CI33" s="450"/>
      <c r="CJ33" s="450"/>
      <c r="CK33" s="450"/>
      <c r="CL33" s="450"/>
      <c r="CM33" s="450"/>
      <c r="CN33" s="450"/>
      <c r="CO33" s="450"/>
      <c r="CP33" s="450"/>
      <c r="CQ33" s="450"/>
      <c r="CR33" s="450"/>
      <c r="CS33" s="450"/>
      <c r="CT33" s="450"/>
      <c r="CU33" s="450"/>
    </row>
    <row r="34" spans="1:99" ht="15.75">
      <c r="O34" s="1230" t="s">
        <v>375</v>
      </c>
      <c r="P34" s="1230"/>
      <c r="Q34" s="1230"/>
      <c r="R34" s="1230"/>
      <c r="S34" s="1230"/>
      <c r="T34" s="1230"/>
      <c r="U34" s="1230"/>
      <c r="V34" s="1230"/>
      <c r="W34" s="90"/>
      <c r="X34" s="1230" t="s">
        <v>374</v>
      </c>
      <c r="Y34" s="1230"/>
      <c r="Z34" s="1230"/>
      <c r="AA34" s="1230"/>
      <c r="AB34" s="1230"/>
      <c r="AC34" s="1230"/>
      <c r="AD34" s="1230"/>
      <c r="AE34" s="1230"/>
      <c r="AF34" s="1230"/>
      <c r="AG34" s="1230"/>
      <c r="AH34" s="1230"/>
      <c r="AI34" s="1230"/>
      <c r="AJ34" s="1230"/>
      <c r="AK34" s="1230"/>
      <c r="AL34" s="1230"/>
      <c r="AM34" s="1230"/>
      <c r="AN34" s="1230"/>
      <c r="AO34" s="1230"/>
      <c r="AP34" s="1230"/>
      <c r="AQ34" s="1230"/>
      <c r="AR34" s="1230"/>
      <c r="AS34" s="1230"/>
      <c r="AT34" s="1230"/>
      <c r="AU34" s="1230"/>
      <c r="AV34" s="1230"/>
      <c r="AW34" s="406"/>
      <c r="AX34"/>
      <c r="AY34"/>
      <c r="AZ34"/>
      <c r="BA34" s="1243" t="s">
        <v>376</v>
      </c>
      <c r="BB34" s="1243"/>
      <c r="BC34" s="1243"/>
      <c r="BD34" s="1243"/>
      <c r="BE34" s="1243"/>
      <c r="BF34" s="1243"/>
      <c r="BG34" s="1243"/>
      <c r="BH34" s="1243"/>
      <c r="BI34" s="1243"/>
      <c r="BJ34" s="1243"/>
      <c r="CI34" s="450"/>
      <c r="CJ34" s="450"/>
      <c r="CK34" s="450"/>
      <c r="CL34" s="450"/>
      <c r="CM34" s="450"/>
      <c r="CN34" s="450"/>
      <c r="CO34" s="450"/>
      <c r="CP34" s="450"/>
      <c r="CQ34" s="450"/>
      <c r="CR34" s="450"/>
      <c r="CS34" s="450"/>
    </row>
    <row r="35" spans="1:99" ht="15.75">
      <c r="O35" s="867" t="str">
        <f>IF('Registo Calibração'!AT6="","",'Registo Calibração'!AV6)</f>
        <v/>
      </c>
      <c r="P35" s="867"/>
      <c r="Q35" s="867"/>
      <c r="R35" s="867"/>
      <c r="S35" s="867"/>
      <c r="T35" s="867"/>
      <c r="U35" s="867"/>
      <c r="V35" s="867"/>
      <c r="W35" s="90"/>
      <c r="X35" s="1201" t="str">
        <f>IF('Registo Calibração'!AT6="","",'Registo Calibração'!AW6)</f>
        <v/>
      </c>
      <c r="Y35" s="1201"/>
      <c r="Z35" s="1201"/>
      <c r="AA35" s="1201"/>
      <c r="AB35" s="1201"/>
      <c r="AC35" s="1201"/>
      <c r="AD35" s="1201"/>
      <c r="AE35" s="1201"/>
      <c r="AF35" s="1201"/>
      <c r="AG35" s="1201"/>
      <c r="AH35" s="1201"/>
      <c r="AI35" s="1201"/>
      <c r="AJ35" s="1201"/>
      <c r="AK35" s="1201"/>
      <c r="AL35" s="1201"/>
      <c r="AM35" s="1201"/>
      <c r="AN35" s="1201"/>
      <c r="AO35" s="1201"/>
      <c r="AP35" s="1201"/>
      <c r="AQ35" s="1201"/>
      <c r="AR35" s="1201"/>
      <c r="AS35" s="1201"/>
      <c r="AT35" s="1201"/>
      <c r="AU35" s="1201"/>
      <c r="AV35" s="1201"/>
      <c r="AW35" s="406"/>
      <c r="AX35"/>
      <c r="AY35"/>
      <c r="AZ35"/>
      <c r="BA35" s="1193" t="str">
        <f>IF('Registo Calibração'!AT6="","",'Registo Calibração'!AX6)</f>
        <v/>
      </c>
      <c r="BB35" s="1193"/>
      <c r="BC35" s="1193"/>
      <c r="BD35" s="1193"/>
      <c r="BE35" s="1193"/>
      <c r="BF35" s="1193"/>
      <c r="BG35" s="1193"/>
      <c r="BH35" s="1193"/>
      <c r="BI35" s="1193"/>
      <c r="BJ35" s="1193"/>
      <c r="CI35" s="450"/>
      <c r="CJ35" s="450"/>
      <c r="CK35" s="450"/>
      <c r="CL35" s="450"/>
      <c r="CM35" s="450"/>
      <c r="CN35" s="450"/>
      <c r="CO35" s="450"/>
      <c r="CP35" s="450"/>
      <c r="CQ35" s="450"/>
      <c r="CR35" s="450"/>
      <c r="CS35" s="450"/>
    </row>
    <row r="36" spans="1:99" ht="15.75" hidden="1">
      <c r="O36" s="867" t="str">
        <f>IF('Registo Calibração'!AT7="","",'Registo Calibração'!AV7)</f>
        <v/>
      </c>
      <c r="P36" s="867"/>
      <c r="Q36" s="867"/>
      <c r="R36" s="867"/>
      <c r="S36" s="867"/>
      <c r="T36" s="867"/>
      <c r="U36" s="867"/>
      <c r="V36" s="867"/>
      <c r="W36" s="90"/>
      <c r="X36" s="1201" t="str">
        <f>IF('Registo Calibração'!AT7="","",'Registo Calibração'!AW7)</f>
        <v/>
      </c>
      <c r="Y36" s="1201"/>
      <c r="Z36" s="1201"/>
      <c r="AA36" s="1201"/>
      <c r="AB36" s="1201"/>
      <c r="AC36" s="1201"/>
      <c r="AD36" s="1201"/>
      <c r="AE36" s="1201"/>
      <c r="AF36" s="1201"/>
      <c r="AG36" s="1201"/>
      <c r="AH36" s="1201"/>
      <c r="AI36" s="1201"/>
      <c r="AJ36" s="1201"/>
      <c r="AK36" s="1201"/>
      <c r="AL36" s="1201"/>
      <c r="AM36" s="1201"/>
      <c r="AN36" s="1201"/>
      <c r="AO36" s="1201"/>
      <c r="AP36" s="1201"/>
      <c r="AQ36" s="1201"/>
      <c r="AR36" s="1201"/>
      <c r="AS36" s="1201"/>
      <c r="AT36" s="1201"/>
      <c r="AU36" s="1201"/>
      <c r="AV36" s="1201"/>
      <c r="AW36" s="406"/>
      <c r="AX36"/>
      <c r="AY36"/>
      <c r="AZ36"/>
      <c r="BA36" s="1193" t="str">
        <f>IF('Registo Calibração'!AT7="","",'Registo Calibração'!AX7)</f>
        <v/>
      </c>
      <c r="BB36" s="1193"/>
      <c r="BC36" s="1193"/>
      <c r="BD36" s="1193"/>
      <c r="BE36" s="1193"/>
      <c r="BF36" s="1193"/>
      <c r="BG36" s="1193"/>
      <c r="BH36" s="1193"/>
      <c r="BI36" s="1193"/>
      <c r="BJ36" s="1193"/>
      <c r="CI36" s="450"/>
      <c r="CJ36" s="450"/>
      <c r="CK36" s="450"/>
      <c r="CL36" s="450"/>
      <c r="CM36" s="450"/>
      <c r="CN36" s="450"/>
      <c r="CO36" s="450"/>
      <c r="CP36" s="450"/>
      <c r="CQ36" s="450"/>
      <c r="CR36" s="450"/>
      <c r="CS36" s="450"/>
    </row>
    <row r="37" spans="1:99" ht="15.75" hidden="1">
      <c r="O37" s="869" t="str">
        <f>IF('Registo Calibração'!AT8="","",'Registo Calibração'!AV8)</f>
        <v/>
      </c>
      <c r="P37" s="869"/>
      <c r="Q37" s="869"/>
      <c r="R37" s="869"/>
      <c r="S37" s="869"/>
      <c r="T37" s="869"/>
      <c r="U37" s="869"/>
      <c r="V37" s="869"/>
      <c r="W37" s="448"/>
      <c r="X37" s="1201" t="str">
        <f>IF('Registo Calibração'!AT8="","",'Registo Calibração'!AW8)</f>
        <v/>
      </c>
      <c r="Y37" s="1201"/>
      <c r="Z37" s="1201"/>
      <c r="AA37" s="1201"/>
      <c r="AB37" s="1201"/>
      <c r="AC37" s="1201"/>
      <c r="AD37" s="1201"/>
      <c r="AE37" s="1201"/>
      <c r="AF37" s="1201"/>
      <c r="AG37" s="1201"/>
      <c r="AH37" s="1201"/>
      <c r="AI37" s="1201"/>
      <c r="AJ37" s="1201"/>
      <c r="AK37" s="1201"/>
      <c r="AL37" s="1201"/>
      <c r="AM37" s="1201"/>
      <c r="AN37" s="1201"/>
      <c r="AO37" s="1201"/>
      <c r="AP37" s="1201"/>
      <c r="AQ37" s="1201"/>
      <c r="AR37" s="1201"/>
      <c r="AS37" s="1201"/>
      <c r="AT37" s="1201"/>
      <c r="AU37" s="1201"/>
      <c r="AV37" s="1201"/>
      <c r="AW37" s="406"/>
      <c r="AX37"/>
      <c r="AY37"/>
      <c r="AZ37"/>
      <c r="BA37" s="1193" t="str">
        <f>IF('Registo Calibração'!AT8="","",'Registo Calibração'!AX8)</f>
        <v/>
      </c>
      <c r="BB37" s="1193"/>
      <c r="BC37" s="1193"/>
      <c r="BD37" s="1193"/>
      <c r="BE37" s="1193"/>
      <c r="BF37" s="1193"/>
      <c r="BG37" s="1193"/>
      <c r="BH37" s="1193"/>
      <c r="BI37" s="1193"/>
      <c r="BJ37" s="1193"/>
      <c r="CI37" s="450"/>
      <c r="CJ37" s="450"/>
      <c r="CK37" s="450"/>
      <c r="CL37" s="450"/>
      <c r="CM37" s="450"/>
      <c r="CN37" s="450"/>
      <c r="CO37" s="450"/>
      <c r="CP37" s="450"/>
      <c r="CQ37" s="450"/>
      <c r="CR37" s="450"/>
      <c r="CS37" s="450"/>
    </row>
    <row r="38" spans="1:99" ht="15.75" hidden="1">
      <c r="O38" s="869" t="str">
        <f>IF('Registo Calibração'!AT9="","",'Registo Calibração'!AV9)</f>
        <v/>
      </c>
      <c r="P38" s="869"/>
      <c r="Q38" s="869"/>
      <c r="R38" s="869"/>
      <c r="S38" s="869"/>
      <c r="T38" s="869"/>
      <c r="U38" s="869"/>
      <c r="V38" s="869"/>
      <c r="W38" s="90"/>
      <c r="X38" s="1201" t="str">
        <f>IF('Registo Calibração'!AT9="","",'Registo Calibração'!AW9)</f>
        <v/>
      </c>
      <c r="Y38" s="1201"/>
      <c r="Z38" s="1201"/>
      <c r="AA38" s="1201"/>
      <c r="AB38" s="1201"/>
      <c r="AC38" s="1201"/>
      <c r="AD38" s="1201"/>
      <c r="AE38" s="1201"/>
      <c r="AF38" s="1201"/>
      <c r="AG38" s="1201"/>
      <c r="AH38" s="1201"/>
      <c r="AI38" s="1201"/>
      <c r="AJ38" s="1201"/>
      <c r="AK38" s="1201"/>
      <c r="AL38" s="1201"/>
      <c r="AM38" s="1201"/>
      <c r="AN38" s="1201"/>
      <c r="AO38" s="1201"/>
      <c r="AP38" s="1201"/>
      <c r="AQ38" s="1201"/>
      <c r="AR38" s="1201"/>
      <c r="AS38" s="1201"/>
      <c r="AT38" s="1201"/>
      <c r="AU38" s="1201"/>
      <c r="AV38" s="1201"/>
      <c r="AW38" s="406"/>
      <c r="AX38"/>
      <c r="AY38"/>
      <c r="AZ38"/>
      <c r="BA38" s="1193" t="str">
        <f>IF('Registo Calibração'!AT9="","",'Registo Calibração'!AX9)</f>
        <v/>
      </c>
      <c r="BB38" s="1193"/>
      <c r="BC38" s="1193"/>
      <c r="BD38" s="1193"/>
      <c r="BE38" s="1193"/>
      <c r="BF38" s="1193"/>
      <c r="BG38" s="1193"/>
      <c r="BH38" s="1193"/>
      <c r="BI38" s="1193"/>
      <c r="BJ38" s="1193"/>
      <c r="CI38" s="450"/>
      <c r="CJ38" s="450"/>
      <c r="CK38" s="450"/>
      <c r="CL38" s="450"/>
      <c r="CM38" s="450"/>
      <c r="CN38" s="450"/>
      <c r="CO38" s="450"/>
      <c r="CP38" s="450"/>
      <c r="CQ38" s="450"/>
      <c r="CR38" s="450"/>
      <c r="CS38" s="450"/>
    </row>
    <row r="39" spans="1:99" ht="15.75">
      <c r="O39" s="869" t="str">
        <f>IF('Registo Calibração'!AT10="","",'Registo Calibração'!AV10)</f>
        <v/>
      </c>
      <c r="P39" s="869"/>
      <c r="Q39" s="869"/>
      <c r="R39" s="869"/>
      <c r="S39" s="869"/>
      <c r="T39" s="869"/>
      <c r="U39" s="869"/>
      <c r="V39" s="869"/>
      <c r="W39" s="90"/>
      <c r="X39" s="1201" t="str">
        <f>IF('Registo Calibração'!AT10="","",'Registo Calibração'!AW10)</f>
        <v/>
      </c>
      <c r="Y39" s="1201"/>
      <c r="Z39" s="1201"/>
      <c r="AA39" s="1201"/>
      <c r="AB39" s="1201"/>
      <c r="AC39" s="1201"/>
      <c r="AD39" s="1201"/>
      <c r="AE39" s="1201"/>
      <c r="AF39" s="1201"/>
      <c r="AG39" s="1201"/>
      <c r="AH39" s="1201"/>
      <c r="AI39" s="1201"/>
      <c r="AJ39" s="1201"/>
      <c r="AK39" s="1201"/>
      <c r="AL39" s="1201"/>
      <c r="AM39" s="1201"/>
      <c r="AN39" s="1201"/>
      <c r="AO39" s="1201"/>
      <c r="AP39" s="1201"/>
      <c r="AQ39" s="1201"/>
      <c r="AR39" s="1201"/>
      <c r="AS39" s="1201"/>
      <c r="AT39" s="1201"/>
      <c r="AU39" s="1201"/>
      <c r="AV39" s="1201"/>
      <c r="AW39" s="406"/>
      <c r="BA39" s="1193" t="str">
        <f>IF('Registo Calibração'!AT10="","",'Registo Calibração'!AX10)</f>
        <v/>
      </c>
      <c r="BB39" s="1193"/>
      <c r="BC39" s="1193"/>
      <c r="BD39" s="1193"/>
      <c r="BE39" s="1193"/>
      <c r="BF39" s="1193"/>
      <c r="BG39" s="1193"/>
      <c r="BH39" s="1193"/>
      <c r="BI39" s="1193"/>
      <c r="BJ39" s="1193"/>
      <c r="CI39" s="450"/>
      <c r="CJ39" s="450"/>
      <c r="CK39" s="450"/>
      <c r="CL39" s="450"/>
      <c r="CM39" s="450"/>
      <c r="CN39" s="450"/>
      <c r="CO39" s="450"/>
      <c r="CP39" s="450"/>
      <c r="CQ39" s="450"/>
      <c r="CR39" s="450"/>
      <c r="CS39" s="450"/>
    </row>
    <row r="40" spans="1:99" ht="27" customHeight="1">
      <c r="O40" s="1202" t="str">
        <f>IF('Registo Calibração'!AT11="","",'Registo Calibração'!AV11)</f>
        <v/>
      </c>
      <c r="P40" s="1202"/>
      <c r="Q40" s="1202"/>
      <c r="R40" s="1202"/>
      <c r="S40" s="1202"/>
      <c r="T40" s="1202"/>
      <c r="U40" s="1202"/>
      <c r="V40" s="1202"/>
      <c r="W40" s="90"/>
      <c r="X40" s="1201" t="str">
        <f>IF('Registo Calibração'!AT11="","",'Registo Calibração'!AW11)</f>
        <v/>
      </c>
      <c r="Y40" s="1201"/>
      <c r="Z40" s="1201"/>
      <c r="AA40" s="1201"/>
      <c r="AB40" s="1201"/>
      <c r="AC40" s="1201"/>
      <c r="AD40" s="1201"/>
      <c r="AE40" s="1201"/>
      <c r="AF40" s="1201"/>
      <c r="AG40" s="1201"/>
      <c r="AH40" s="1201"/>
      <c r="AI40" s="1201"/>
      <c r="AJ40" s="1201"/>
      <c r="AK40" s="1201"/>
      <c r="AL40" s="1201"/>
      <c r="AM40" s="1201"/>
      <c r="AN40" s="1201"/>
      <c r="AO40" s="1201"/>
      <c r="AP40" s="1201"/>
      <c r="AQ40" s="1201"/>
      <c r="AR40" s="1201"/>
      <c r="AS40" s="1201"/>
      <c r="AT40" s="1201"/>
      <c r="AU40" s="1201"/>
      <c r="AV40" s="1201"/>
      <c r="AW40" s="406"/>
      <c r="BA40" s="1193" t="str">
        <f>IF('Registo Calibração'!AT11="","",'Registo Calibração'!AX11)</f>
        <v/>
      </c>
      <c r="BB40" s="1193"/>
      <c r="BC40" s="1193"/>
      <c r="BD40" s="1193"/>
      <c r="BE40" s="1193"/>
      <c r="BF40" s="1193"/>
      <c r="BG40" s="1193"/>
      <c r="BH40" s="1193"/>
      <c r="BI40" s="1193"/>
      <c r="BJ40" s="1193"/>
      <c r="CI40" s="450"/>
      <c r="CJ40" s="450"/>
      <c r="CK40" s="450"/>
      <c r="CL40" s="450"/>
      <c r="CM40" s="450"/>
      <c r="CN40" s="450"/>
      <c r="CO40" s="450"/>
      <c r="CP40" s="450"/>
      <c r="CQ40" s="450"/>
      <c r="CR40" s="450"/>
      <c r="CS40" s="450"/>
    </row>
    <row r="41" spans="1:99" ht="15.75">
      <c r="O41" s="869" t="str">
        <f>IF('Registo Calibração'!AT12="","",'Registo Calibração'!AV12)</f>
        <v/>
      </c>
      <c r="P41" s="869"/>
      <c r="Q41" s="869"/>
      <c r="R41" s="869"/>
      <c r="S41" s="869"/>
      <c r="T41" s="869"/>
      <c r="U41" s="869"/>
      <c r="V41" s="869"/>
      <c r="W41" s="90"/>
      <c r="X41" s="1201" t="str">
        <f>IF('Registo Calibração'!AT12="","",'Registo Calibração'!AW12)</f>
        <v/>
      </c>
      <c r="Y41" s="1201"/>
      <c r="Z41" s="1201"/>
      <c r="AA41" s="1201"/>
      <c r="AB41" s="1201"/>
      <c r="AC41" s="1201"/>
      <c r="AD41" s="1201"/>
      <c r="AE41" s="1201"/>
      <c r="AF41" s="1201"/>
      <c r="AG41" s="1201"/>
      <c r="AH41" s="1201"/>
      <c r="AI41" s="1201"/>
      <c r="AJ41" s="1201"/>
      <c r="AK41" s="1201"/>
      <c r="AL41" s="1201"/>
      <c r="AM41" s="1201"/>
      <c r="AN41" s="1201"/>
      <c r="AO41" s="1201"/>
      <c r="AP41" s="1201"/>
      <c r="AQ41" s="1201"/>
      <c r="AR41" s="1201"/>
      <c r="AS41" s="1201"/>
      <c r="AT41" s="1201"/>
      <c r="AU41" s="1201"/>
      <c r="AV41" s="1201"/>
      <c r="AW41" s="406"/>
      <c r="BA41" s="1193" t="str">
        <f>IF('Registo Calibração'!AT12="","",'Registo Calibração'!AX12)</f>
        <v/>
      </c>
      <c r="BB41" s="1193"/>
      <c r="BC41" s="1193"/>
      <c r="BD41" s="1193"/>
      <c r="BE41" s="1193"/>
      <c r="BF41" s="1193"/>
      <c r="BG41" s="1193"/>
      <c r="BH41" s="1193"/>
      <c r="BI41" s="1193"/>
      <c r="BJ41" s="1193"/>
      <c r="CI41" s="450"/>
      <c r="CJ41" s="450"/>
      <c r="CK41" s="450"/>
      <c r="CL41" s="450"/>
      <c r="CM41" s="450"/>
      <c r="CN41" s="450"/>
      <c r="CO41" s="450"/>
      <c r="CP41" s="450"/>
      <c r="CQ41" s="450"/>
      <c r="CR41" s="450"/>
      <c r="CS41" s="450"/>
    </row>
    <row r="42" spans="1:99" ht="15.75">
      <c r="O42" s="869" t="str">
        <f>IF('Registo Calibração'!AT13="","",'Registo Calibração'!AV13)</f>
        <v/>
      </c>
      <c r="P42" s="869"/>
      <c r="Q42" s="869"/>
      <c r="R42" s="869"/>
      <c r="S42" s="869"/>
      <c r="T42" s="869"/>
      <c r="U42" s="869"/>
      <c r="V42" s="869"/>
      <c r="W42" s="90"/>
      <c r="X42" s="1201" t="str">
        <f>IF('Registo Calibração'!AT13="","",'Registo Calibração'!AW13)</f>
        <v/>
      </c>
      <c r="Y42" s="1201"/>
      <c r="Z42" s="1201"/>
      <c r="AA42" s="1201"/>
      <c r="AB42" s="1201"/>
      <c r="AC42" s="1201"/>
      <c r="AD42" s="1201"/>
      <c r="AE42" s="1201"/>
      <c r="AF42" s="1201"/>
      <c r="AG42" s="1201"/>
      <c r="AH42" s="1201"/>
      <c r="AI42" s="1201"/>
      <c r="AJ42" s="1201"/>
      <c r="AK42" s="1201"/>
      <c r="AL42" s="1201"/>
      <c r="AM42" s="1201"/>
      <c r="AN42" s="1201"/>
      <c r="AO42" s="1201"/>
      <c r="AP42" s="1201"/>
      <c r="AQ42" s="1201"/>
      <c r="AR42" s="1201"/>
      <c r="AS42" s="1201"/>
      <c r="AT42" s="1201"/>
      <c r="AU42" s="1201"/>
      <c r="AV42" s="1201"/>
      <c r="AW42" s="406"/>
      <c r="BA42" s="1193" t="str">
        <f>IF('Registo Calibração'!AT13="","",'Registo Calibração'!AX13)</f>
        <v/>
      </c>
      <c r="BB42" s="1193"/>
      <c r="BC42" s="1193"/>
      <c r="BD42" s="1193"/>
      <c r="BE42" s="1193"/>
      <c r="BF42" s="1193"/>
      <c r="BG42" s="1193"/>
      <c r="BH42" s="1193"/>
      <c r="BI42" s="1193"/>
      <c r="BJ42" s="1193"/>
      <c r="CI42" s="450"/>
      <c r="CJ42" s="450"/>
      <c r="CK42" s="450"/>
      <c r="CL42" s="450"/>
      <c r="CM42" s="450"/>
      <c r="CN42" s="450"/>
      <c r="CO42" s="450"/>
      <c r="CP42" s="450"/>
      <c r="CQ42" s="450"/>
      <c r="CR42" s="450"/>
      <c r="CS42" s="450"/>
    </row>
    <row r="43" spans="1:99" ht="15.75" hidden="1">
      <c r="O43" s="869" t="str">
        <f>IF('Registo Calibração'!AT14="","",'Registo Calibração'!AV14)</f>
        <v/>
      </c>
      <c r="P43" s="869"/>
      <c r="Q43" s="869"/>
      <c r="R43" s="869"/>
      <c r="S43" s="869"/>
      <c r="T43" s="869"/>
      <c r="U43" s="869"/>
      <c r="V43" s="869"/>
      <c r="W43" s="90"/>
      <c r="X43" s="1201" t="str">
        <f>IF('Registo Calibração'!AT14="","",'Registo Calibração'!AW14)</f>
        <v/>
      </c>
      <c r="Y43" s="1201"/>
      <c r="Z43" s="1201"/>
      <c r="AA43" s="1201"/>
      <c r="AB43" s="1201"/>
      <c r="AC43" s="1201"/>
      <c r="AD43" s="1201"/>
      <c r="AE43" s="1201"/>
      <c r="AF43" s="1201"/>
      <c r="AG43" s="1201"/>
      <c r="AH43" s="1201"/>
      <c r="AI43" s="1201"/>
      <c r="AJ43" s="1201"/>
      <c r="AK43" s="1201"/>
      <c r="AL43" s="1201"/>
      <c r="AM43" s="1201"/>
      <c r="AN43" s="1201"/>
      <c r="AO43" s="1201"/>
      <c r="AP43" s="1201"/>
      <c r="AQ43" s="1201"/>
      <c r="AR43" s="1201"/>
      <c r="AS43" s="1201"/>
      <c r="AT43" s="1201"/>
      <c r="AU43" s="1201"/>
      <c r="AV43" s="1201"/>
      <c r="AW43" s="406"/>
      <c r="AX43"/>
      <c r="AY43"/>
      <c r="AZ43"/>
      <c r="BA43" s="1193" t="str">
        <f>IF('Registo Calibração'!AT14="","",'Registo Calibração'!AX14)</f>
        <v/>
      </c>
      <c r="BB43" s="1193"/>
      <c r="BC43" s="1193"/>
      <c r="BD43" s="1193"/>
      <c r="BE43" s="1193"/>
      <c r="BF43" s="1193"/>
      <c r="BG43" s="1193"/>
      <c r="BH43" s="1193"/>
      <c r="BI43" s="1193"/>
      <c r="BJ43" s="1193"/>
      <c r="CI43" s="450"/>
      <c r="CJ43" s="450"/>
      <c r="CK43" s="450"/>
      <c r="CL43" s="450"/>
      <c r="CM43" s="450"/>
      <c r="CN43" s="450"/>
      <c r="CO43" s="450"/>
      <c r="CP43" s="450"/>
      <c r="CQ43" s="450"/>
      <c r="CR43" s="450"/>
      <c r="CS43" s="450"/>
    </row>
    <row r="44" spans="1:99" ht="29.25" hidden="1" customHeight="1">
      <c r="O44" s="869" t="str">
        <f>IF('Registo Calibração'!AT15="","",'Registo Calibração'!AV15)</f>
        <v/>
      </c>
      <c r="P44" s="869"/>
      <c r="Q44" s="869"/>
      <c r="R44" s="869"/>
      <c r="S44" s="869"/>
      <c r="T44" s="869"/>
      <c r="U44" s="869"/>
      <c r="V44" s="869"/>
      <c r="W44" s="90"/>
      <c r="X44" s="1201" t="str">
        <f>IF('Registo Calibração'!AT15="","",'Registo Calibração'!AW15)</f>
        <v/>
      </c>
      <c r="Y44" s="1201"/>
      <c r="Z44" s="1201"/>
      <c r="AA44" s="1201"/>
      <c r="AB44" s="1201"/>
      <c r="AC44" s="1201"/>
      <c r="AD44" s="1201"/>
      <c r="AE44" s="1201"/>
      <c r="AF44" s="1201"/>
      <c r="AG44" s="1201"/>
      <c r="AH44" s="1201"/>
      <c r="AI44" s="1201"/>
      <c r="AJ44" s="1201"/>
      <c r="AK44" s="1201"/>
      <c r="AL44" s="1201"/>
      <c r="AM44" s="1201"/>
      <c r="AN44" s="1201"/>
      <c r="AO44" s="1201"/>
      <c r="AP44" s="1201"/>
      <c r="AQ44" s="1201"/>
      <c r="AR44" s="1201"/>
      <c r="AS44" s="1201"/>
      <c r="AT44" s="1201"/>
      <c r="AU44" s="1201"/>
      <c r="AV44" s="1201"/>
      <c r="AW44" s="406"/>
      <c r="AX44"/>
      <c r="AY44"/>
      <c r="AZ44"/>
      <c r="BA44" s="1193" t="str">
        <f>IF('Registo Calibração'!AT15="","",'Registo Calibração'!AX15)</f>
        <v/>
      </c>
      <c r="BB44" s="1193"/>
      <c r="BC44" s="1193"/>
      <c r="BD44" s="1193"/>
      <c r="BE44" s="1193"/>
      <c r="BF44" s="1193"/>
      <c r="BG44" s="1193"/>
      <c r="BH44" s="1193"/>
      <c r="BI44" s="1193"/>
      <c r="BJ44" s="1193"/>
      <c r="CI44" s="450"/>
      <c r="CJ44" s="450"/>
      <c r="CK44" s="450"/>
      <c r="CL44" s="450"/>
      <c r="CM44" s="450"/>
      <c r="CN44" s="450"/>
      <c r="CO44" s="450"/>
      <c r="CP44" s="450"/>
      <c r="CQ44" s="450"/>
      <c r="CR44" s="450"/>
      <c r="CS44" s="450"/>
    </row>
    <row r="45" spans="1:99" ht="15.75">
      <c r="O45" s="869" t="str">
        <f>IF('Registo Calibração'!AT16="","",'Registo Calibração'!AV16)</f>
        <v/>
      </c>
      <c r="P45" s="869"/>
      <c r="Q45" s="869"/>
      <c r="R45" s="869"/>
      <c r="S45" s="869"/>
      <c r="T45" s="869"/>
      <c r="U45" s="869"/>
      <c r="V45" s="869"/>
      <c r="W45" s="90"/>
      <c r="X45" s="1201" t="str">
        <f>IF('Registo Calibração'!AT16="","",'Registo Calibração'!AW16)</f>
        <v/>
      </c>
      <c r="Y45" s="1201"/>
      <c r="Z45" s="1201"/>
      <c r="AA45" s="1201"/>
      <c r="AB45" s="1201"/>
      <c r="AC45" s="1201"/>
      <c r="AD45" s="1201"/>
      <c r="AE45" s="1201"/>
      <c r="AF45" s="1201"/>
      <c r="AG45" s="1201"/>
      <c r="AH45" s="1201"/>
      <c r="AI45" s="1201"/>
      <c r="AJ45" s="1201"/>
      <c r="AK45" s="1201"/>
      <c r="AL45" s="1201"/>
      <c r="AM45" s="1201"/>
      <c r="AN45" s="1201"/>
      <c r="AO45" s="1201"/>
      <c r="AP45" s="1201"/>
      <c r="AQ45" s="1201"/>
      <c r="AR45" s="1201"/>
      <c r="AS45" s="1201"/>
      <c r="AT45" s="1201"/>
      <c r="AU45" s="1201"/>
      <c r="AV45" s="1201"/>
      <c r="AW45" s="406"/>
      <c r="AX45"/>
      <c r="AY45"/>
      <c r="AZ45"/>
      <c r="BA45" s="1193" t="str">
        <f>IF('Registo Calibração'!AT16="","",'Registo Calibração'!AX16)</f>
        <v/>
      </c>
      <c r="BB45" s="1193"/>
      <c r="BC45" s="1193"/>
      <c r="BD45" s="1193"/>
      <c r="BE45" s="1193"/>
      <c r="BF45" s="1193"/>
      <c r="BG45" s="1193"/>
      <c r="BH45" s="1193"/>
      <c r="BI45" s="1193"/>
      <c r="BJ45" s="1193"/>
      <c r="CI45" s="450"/>
      <c r="CJ45" s="450"/>
      <c r="CK45" s="450"/>
      <c r="CL45" s="450"/>
      <c r="CM45" s="450"/>
      <c r="CN45" s="450"/>
      <c r="CO45" s="450"/>
      <c r="CP45" s="450"/>
      <c r="CQ45" s="450"/>
      <c r="CR45" s="450"/>
      <c r="CS45" s="450"/>
    </row>
    <row r="46" spans="1:99" ht="15.75">
      <c r="A46" s="4"/>
      <c r="O46" s="869" t="str">
        <f>IF('Registo Calibração'!AT17="","",'Registo Calibração'!AV17)</f>
        <v/>
      </c>
      <c r="P46" s="869"/>
      <c r="Q46" s="869"/>
      <c r="R46" s="869"/>
      <c r="S46" s="869"/>
      <c r="T46" s="869"/>
      <c r="U46" s="869"/>
      <c r="V46" s="869"/>
      <c r="W46" s="90"/>
      <c r="X46" s="1201" t="str">
        <f>IF('Registo Calibração'!AT17="","",'Registo Calibração'!AW17)</f>
        <v/>
      </c>
      <c r="Y46" s="1201"/>
      <c r="Z46" s="1201"/>
      <c r="AA46" s="1201"/>
      <c r="AB46" s="1201"/>
      <c r="AC46" s="1201"/>
      <c r="AD46" s="1201"/>
      <c r="AE46" s="1201"/>
      <c r="AF46" s="1201"/>
      <c r="AG46" s="1201"/>
      <c r="AH46" s="1201"/>
      <c r="AI46" s="1201"/>
      <c r="AJ46" s="1201"/>
      <c r="AK46" s="1201"/>
      <c r="AL46" s="1201"/>
      <c r="AM46" s="1201"/>
      <c r="AN46" s="1201"/>
      <c r="AO46" s="1201"/>
      <c r="AP46" s="1201"/>
      <c r="AQ46" s="1201"/>
      <c r="AR46" s="1201"/>
      <c r="AS46" s="1201"/>
      <c r="AT46" s="1201"/>
      <c r="AU46" s="1201"/>
      <c r="AV46" s="1201"/>
      <c r="AW46" s="406"/>
      <c r="AX46"/>
      <c r="AY46"/>
      <c r="AZ46"/>
      <c r="BA46" s="1193" t="str">
        <f>IF('Registo Calibração'!AT17="","",'Registo Calibração'!AX17)</f>
        <v/>
      </c>
      <c r="BB46" s="1193"/>
      <c r="BC46" s="1193"/>
      <c r="BD46" s="1193"/>
      <c r="BE46" s="1193"/>
      <c r="BF46" s="1193"/>
      <c r="BG46" s="1193"/>
      <c r="BH46" s="1193"/>
      <c r="BI46" s="1193"/>
      <c r="BJ46" s="1193"/>
      <c r="CI46" s="450"/>
      <c r="CJ46" s="450"/>
      <c r="CK46" s="450"/>
      <c r="CL46" s="450"/>
      <c r="CM46" s="450"/>
      <c r="CN46" s="450"/>
      <c r="CO46" s="450"/>
      <c r="CP46" s="450"/>
      <c r="CQ46" s="450"/>
      <c r="CR46" s="450"/>
      <c r="CS46" s="450"/>
    </row>
    <row r="47" spans="1:99" ht="29.25" customHeight="1">
      <c r="O47" s="1202" t="str">
        <f>IF('Registo Calibração'!AT18="","",'Registo Calibração'!AV18)</f>
        <v/>
      </c>
      <c r="P47" s="1202"/>
      <c r="Q47" s="1202"/>
      <c r="R47" s="1202"/>
      <c r="S47" s="1202"/>
      <c r="T47" s="1202"/>
      <c r="U47" s="1202"/>
      <c r="V47" s="1202"/>
      <c r="W47" s="90"/>
      <c r="X47" s="1201" t="str">
        <f>IF('Registo Calibração'!AT18="","",'Registo Calibração'!AW18)</f>
        <v/>
      </c>
      <c r="Y47" s="1201"/>
      <c r="Z47" s="1201"/>
      <c r="AA47" s="1201"/>
      <c r="AB47" s="1201"/>
      <c r="AC47" s="1201"/>
      <c r="AD47" s="1201"/>
      <c r="AE47" s="1201"/>
      <c r="AF47" s="1201"/>
      <c r="AG47" s="1201"/>
      <c r="AH47" s="1201"/>
      <c r="AI47" s="1201"/>
      <c r="AJ47" s="1201"/>
      <c r="AK47" s="1201"/>
      <c r="AL47" s="1201"/>
      <c r="AM47" s="1201"/>
      <c r="AN47" s="1201"/>
      <c r="AO47" s="1201"/>
      <c r="AP47" s="1201"/>
      <c r="AQ47" s="1201"/>
      <c r="AR47" s="1201"/>
      <c r="AS47" s="1201"/>
      <c r="AT47" s="1201"/>
      <c r="AU47" s="1201"/>
      <c r="AV47" s="1201"/>
      <c r="AW47" s="406"/>
      <c r="AX47"/>
      <c r="AY47"/>
      <c r="AZ47"/>
      <c r="BA47" s="454"/>
      <c r="BB47" s="454"/>
      <c r="BC47" s="454"/>
      <c r="BD47" s="454"/>
      <c r="BE47" s="454"/>
      <c r="BF47" s="454"/>
      <c r="BG47" s="454"/>
      <c r="BH47" s="454"/>
      <c r="BI47" s="454"/>
      <c r="BJ47" s="454"/>
    </row>
    <row r="48" spans="1:99" ht="3" customHeight="1">
      <c r="AW48" s="406"/>
      <c r="AX48"/>
      <c r="AY48"/>
      <c r="AZ48"/>
      <c r="BA48"/>
      <c r="BB48" s="450"/>
    </row>
    <row r="49" spans="1:99" ht="15.75" customHeight="1">
      <c r="B49" s="428" t="s">
        <v>399</v>
      </c>
      <c r="E49" s="90"/>
      <c r="F49" s="90"/>
      <c r="G49" s="90"/>
      <c r="H49" s="90"/>
      <c r="I49" s="90"/>
      <c r="J49" s="90"/>
      <c r="K49" s="90"/>
      <c r="L49" s="90"/>
      <c r="M49" s="90"/>
      <c r="N49" s="1200" t="str">
        <f>'Cert 1Esc até 8P'!N50</f>
        <v>A incerteza expandida de medição apresentada, é indicada como a incerteza padrão da medição, multiplicada por um fator de cobertura "k" tal, que a probabilidade de cobertura corresponde a aproximadamente 95%. A incerteza foi calculada de acordo com o Doc. EA-4/02."</v>
      </c>
      <c r="O49" s="1200"/>
      <c r="P49" s="1200"/>
      <c r="Q49" s="1200"/>
      <c r="R49" s="1200"/>
      <c r="S49" s="1200"/>
      <c r="T49" s="1200"/>
      <c r="U49" s="1200"/>
      <c r="V49" s="1200"/>
      <c r="W49" s="1200"/>
      <c r="X49" s="1200"/>
      <c r="Y49" s="1200"/>
      <c r="Z49" s="1200"/>
      <c r="AA49" s="1200"/>
      <c r="AB49" s="1200"/>
      <c r="AC49" s="1200"/>
      <c r="AD49" s="1200"/>
      <c r="AE49" s="1200"/>
      <c r="AF49" s="1200"/>
      <c r="AG49" s="1200"/>
      <c r="AH49" s="1200"/>
      <c r="AI49" s="1200"/>
      <c r="AJ49" s="1200"/>
      <c r="AK49" s="1200"/>
      <c r="AL49" s="1200"/>
      <c r="AM49" s="1200"/>
      <c r="AN49" s="1200"/>
      <c r="AO49" s="1200"/>
      <c r="AP49" s="1200"/>
      <c r="AQ49" s="1200"/>
      <c r="AR49" s="1200"/>
      <c r="AS49" s="1200"/>
      <c r="AT49" s="1200"/>
      <c r="AU49" s="1200"/>
      <c r="AV49" s="1200"/>
      <c r="AX49"/>
      <c r="AY49"/>
      <c r="AZ49"/>
      <c r="BA49"/>
      <c r="BB49" s="450"/>
      <c r="BC49" s="450"/>
      <c r="BD49" s="450"/>
      <c r="BE49" s="450"/>
      <c r="BF49" s="450"/>
      <c r="BG49" s="450"/>
      <c r="BH49" s="450"/>
      <c r="BI49" s="450"/>
      <c r="BJ49" s="450"/>
      <c r="BK49" s="450"/>
      <c r="BL49" s="450"/>
      <c r="BM49" s="450"/>
      <c r="BN49" s="450"/>
      <c r="BO49" s="450"/>
      <c r="BP49" s="450"/>
      <c r="BQ49" s="450"/>
      <c r="BR49" s="450"/>
      <c r="BS49" s="450"/>
      <c r="BT49" s="450"/>
      <c r="BU49" s="450"/>
      <c r="BV49" s="450"/>
      <c r="BW49" s="450"/>
      <c r="BX49" s="450"/>
      <c r="BY49" s="450"/>
      <c r="BZ49" s="450"/>
      <c r="CA49" s="450"/>
      <c r="CB49" s="450"/>
      <c r="CC49" s="450"/>
      <c r="CD49" s="450"/>
      <c r="CE49" s="450"/>
      <c r="CF49" s="450"/>
      <c r="CG49" s="450"/>
      <c r="CH49" s="450"/>
      <c r="CI49" s="450"/>
      <c r="CJ49" s="450"/>
      <c r="CK49" s="450"/>
      <c r="CL49" s="450"/>
      <c r="CM49" s="450"/>
      <c r="CN49" s="450"/>
      <c r="CO49" s="450"/>
      <c r="CP49" s="450"/>
      <c r="CQ49" s="450"/>
      <c r="CR49" s="450"/>
      <c r="CS49" s="450"/>
      <c r="CT49" s="450"/>
      <c r="CU49" s="450"/>
    </row>
    <row r="50" spans="1:99" ht="48" customHeight="1">
      <c r="B50" s="421" t="s">
        <v>400</v>
      </c>
      <c r="E50" s="90"/>
      <c r="F50" s="90"/>
      <c r="G50" s="90"/>
      <c r="H50" s="90"/>
      <c r="I50" s="90"/>
      <c r="J50" s="90"/>
      <c r="K50" s="90"/>
      <c r="L50" s="90"/>
      <c r="M50" s="90"/>
      <c r="N50" s="1200"/>
      <c r="O50" s="1200"/>
      <c r="P50" s="1200"/>
      <c r="Q50" s="1200"/>
      <c r="R50" s="1200"/>
      <c r="S50" s="1200"/>
      <c r="T50" s="1200"/>
      <c r="U50" s="1200"/>
      <c r="V50" s="1200"/>
      <c r="W50" s="1200"/>
      <c r="X50" s="1200"/>
      <c r="Y50" s="1200"/>
      <c r="Z50" s="1200"/>
      <c r="AA50" s="1200"/>
      <c r="AB50" s="1200"/>
      <c r="AC50" s="1200"/>
      <c r="AD50" s="1200"/>
      <c r="AE50" s="1200"/>
      <c r="AF50" s="1200"/>
      <c r="AG50" s="1200"/>
      <c r="AH50" s="1200"/>
      <c r="AI50" s="1200"/>
      <c r="AJ50" s="1200"/>
      <c r="AK50" s="1200"/>
      <c r="AL50" s="1200"/>
      <c r="AM50" s="1200"/>
      <c r="AN50" s="1200"/>
      <c r="AO50" s="1200"/>
      <c r="AP50" s="1200"/>
      <c r="AQ50" s="1200"/>
      <c r="AR50" s="1200"/>
      <c r="AS50" s="1200"/>
      <c r="AT50" s="1200"/>
      <c r="AU50" s="1200"/>
      <c r="AV50" s="1200"/>
      <c r="AX50"/>
      <c r="AY50"/>
      <c r="AZ50"/>
      <c r="BA50"/>
      <c r="BB50" s="450"/>
    </row>
    <row r="51" spans="1:99" ht="15.75" customHeight="1">
      <c r="B51" s="1208" t="str">
        <f>IF('Registo Calibração'!AI5="","",'Registo Calibração'!AI5)</f>
        <v/>
      </c>
      <c r="C51" s="1208"/>
      <c r="D51" s="1208"/>
      <c r="E51" s="1208"/>
      <c r="F51" s="1208"/>
      <c r="G51" s="1208"/>
      <c r="H51" s="1208"/>
      <c r="I51" s="1208"/>
      <c r="J51" s="1208"/>
      <c r="K51" s="1208"/>
      <c r="L51" s="1208"/>
      <c r="M51" s="1208"/>
      <c r="N51" s="1208"/>
      <c r="O51" s="1208"/>
      <c r="P51" s="1208"/>
      <c r="Q51" s="1208"/>
      <c r="R51" s="1208"/>
      <c r="S51" s="1208"/>
      <c r="T51" s="1208"/>
      <c r="U51" s="1208"/>
      <c r="V51" s="1208"/>
      <c r="W51" s="1208"/>
      <c r="X51" s="1208"/>
      <c r="Y51" s="1208"/>
      <c r="Z51" s="1208"/>
      <c r="AA51" s="1208"/>
      <c r="AB51" s="1208"/>
      <c r="AC51" s="1208"/>
      <c r="AD51" s="1208"/>
      <c r="AE51" s="1208"/>
      <c r="AF51" s="1208"/>
      <c r="AG51" s="1208"/>
      <c r="AH51" s="1208"/>
      <c r="AI51" s="1208"/>
      <c r="AJ51" s="1208"/>
      <c r="AK51" s="1208"/>
      <c r="AL51" s="1208"/>
      <c r="AM51" s="1208"/>
      <c r="AN51" s="1208"/>
      <c r="AO51" s="1208"/>
      <c r="AP51" s="1208"/>
      <c r="AQ51" s="1208"/>
      <c r="AR51" s="1208"/>
      <c r="AS51" s="1208"/>
      <c r="AT51" s="1208"/>
      <c r="AU51" s="1208"/>
      <c r="AV51" s="1208"/>
      <c r="AW51" s="406"/>
      <c r="AX51"/>
      <c r="AY51"/>
      <c r="AZ51"/>
      <c r="BA51" s="1239"/>
      <c r="BB51" s="1239"/>
      <c r="BC51" s="1239"/>
      <c r="BD51" s="1239"/>
      <c r="BE51" s="1239"/>
      <c r="BF51" s="1239"/>
      <c r="BG51" s="1239"/>
      <c r="BH51" s="1239"/>
      <c r="BI51" s="1239"/>
      <c r="BJ51" s="1239"/>
      <c r="BK51" s="1239"/>
      <c r="BL51" s="1239"/>
      <c r="BM51" s="1239"/>
      <c r="BN51" s="1239"/>
      <c r="BO51" s="1239"/>
      <c r="BP51" s="1239"/>
      <c r="BQ51" s="1239"/>
      <c r="BR51" s="1239"/>
      <c r="BS51" s="1239"/>
      <c r="BT51" s="1239"/>
      <c r="BU51" s="1239"/>
      <c r="BV51" s="1239"/>
      <c r="BW51" s="1239"/>
      <c r="BX51" s="1239"/>
      <c r="BY51" s="1239"/>
      <c r="BZ51" s="1239"/>
      <c r="CA51" s="1239"/>
      <c r="CB51" s="1239"/>
      <c r="CC51" s="1239"/>
      <c r="CD51" s="1239"/>
      <c r="CE51" s="1239"/>
      <c r="CF51" s="1239"/>
      <c r="CG51" s="1239"/>
      <c r="CH51" s="1239"/>
      <c r="CI51" s="1239"/>
      <c r="CJ51" s="1239"/>
      <c r="CK51" s="1239"/>
      <c r="CL51" s="1239"/>
      <c r="CM51" s="1239"/>
      <c r="CN51" s="1239"/>
      <c r="CO51" s="1239"/>
      <c r="CP51" s="1239"/>
      <c r="CQ51" s="1239"/>
      <c r="CR51" s="1239"/>
      <c r="CS51" s="1239"/>
    </row>
    <row r="52" spans="1:99" ht="12.75" customHeight="1">
      <c r="B52" s="1242" t="str">
        <f>'Registo Calibração'!AI9</f>
        <v/>
      </c>
      <c r="C52" s="1242"/>
      <c r="D52" s="1242"/>
      <c r="E52" s="1242"/>
      <c r="F52" s="1242"/>
      <c r="G52" s="1242"/>
      <c r="H52" s="1242"/>
      <c r="I52" s="1242"/>
      <c r="J52" s="1242"/>
      <c r="K52" s="1242"/>
      <c r="L52" s="1242"/>
      <c r="M52" s="1242"/>
      <c r="N52" s="1242"/>
      <c r="O52" s="1242"/>
      <c r="P52" s="1242"/>
      <c r="Q52" s="1242"/>
      <c r="R52" s="1242"/>
      <c r="S52" s="1242"/>
      <c r="T52" s="1242"/>
      <c r="U52" s="1242"/>
      <c r="V52" s="1242"/>
      <c r="W52" s="1242"/>
      <c r="X52" s="1242"/>
      <c r="Y52" s="1242"/>
      <c r="Z52" s="1242"/>
      <c r="AA52" s="1242"/>
      <c r="AB52" s="1242"/>
      <c r="AC52" s="1242"/>
      <c r="AD52" s="1242"/>
      <c r="AE52" s="1242"/>
      <c r="AF52" s="1242"/>
      <c r="AG52" s="1242"/>
      <c r="AH52" s="1242"/>
      <c r="AI52" s="1242"/>
      <c r="AJ52" s="1242"/>
      <c r="AK52" s="1242"/>
      <c r="AL52" s="1242"/>
      <c r="AM52" s="1242"/>
      <c r="AN52" s="1242"/>
      <c r="AO52" s="1242"/>
      <c r="AP52" s="1242"/>
      <c r="AQ52" s="1242"/>
      <c r="AR52" s="1242"/>
      <c r="AS52" s="1242"/>
      <c r="AT52" s="1242"/>
      <c r="AU52" s="1242"/>
      <c r="AV52" s="1242"/>
      <c r="AW52" s="406"/>
      <c r="AX52"/>
      <c r="AY52"/>
      <c r="AZ52"/>
      <c r="BA52" s="1239"/>
      <c r="BB52" s="1239"/>
      <c r="BC52" s="1239"/>
      <c r="BD52" s="1239"/>
      <c r="BE52" s="1239"/>
      <c r="BF52" s="1239"/>
      <c r="BG52" s="1239"/>
      <c r="BH52" s="1239"/>
      <c r="BI52" s="1239"/>
      <c r="BJ52" s="1239"/>
      <c r="BK52" s="1239"/>
      <c r="BL52" s="1239"/>
      <c r="BM52" s="1239"/>
      <c r="BN52" s="1239"/>
      <c r="BO52" s="1239"/>
      <c r="BP52" s="1239"/>
      <c r="BQ52" s="1239"/>
      <c r="BR52" s="1239"/>
      <c r="BS52" s="1239"/>
      <c r="BT52" s="1239"/>
      <c r="BU52" s="1239"/>
      <c r="BV52" s="1239"/>
      <c r="BW52" s="1239"/>
      <c r="BX52" s="1239"/>
      <c r="BY52" s="1239"/>
      <c r="BZ52" s="1239"/>
      <c r="CA52" s="1239"/>
      <c r="CB52" s="1239"/>
      <c r="CC52" s="1239"/>
      <c r="CD52" s="1239"/>
      <c r="CE52" s="1239"/>
      <c r="CF52" s="1239"/>
      <c r="CG52" s="1239"/>
      <c r="CH52" s="1239"/>
      <c r="CI52" s="1239"/>
      <c r="CJ52" s="1239"/>
      <c r="CK52" s="1239"/>
      <c r="CL52" s="1239"/>
      <c r="CM52" s="1239"/>
      <c r="CN52" s="1239"/>
      <c r="CO52" s="1239"/>
      <c r="CP52" s="1239"/>
      <c r="CQ52" s="1239"/>
      <c r="CR52" s="1239"/>
      <c r="CS52" s="1239"/>
    </row>
    <row r="53" spans="1:99" ht="18" customHeight="1">
      <c r="B53" s="1242"/>
      <c r="C53" s="1242"/>
      <c r="D53" s="1242"/>
      <c r="E53" s="1242"/>
      <c r="F53" s="1242"/>
      <c r="G53" s="1242"/>
      <c r="H53" s="1242"/>
      <c r="I53" s="1242"/>
      <c r="J53" s="1242"/>
      <c r="K53" s="1242"/>
      <c r="L53" s="1242"/>
      <c r="M53" s="1242"/>
      <c r="N53" s="1242"/>
      <c r="O53" s="1242"/>
      <c r="P53" s="1242"/>
      <c r="Q53" s="1242"/>
      <c r="R53" s="1242"/>
      <c r="S53" s="1242"/>
      <c r="T53" s="1242"/>
      <c r="U53" s="1242"/>
      <c r="V53" s="1242"/>
      <c r="W53" s="1242"/>
      <c r="X53" s="1242"/>
      <c r="Y53" s="1242"/>
      <c r="Z53" s="1242"/>
      <c r="AA53" s="1242"/>
      <c r="AB53" s="1242"/>
      <c r="AC53" s="1242"/>
      <c r="AD53" s="1242"/>
      <c r="AE53" s="1242"/>
      <c r="AF53" s="1242"/>
      <c r="AG53" s="1242"/>
      <c r="AH53" s="1242"/>
      <c r="AI53" s="1242"/>
      <c r="AJ53" s="1242"/>
      <c r="AK53" s="1242"/>
      <c r="AL53" s="1242"/>
      <c r="AM53" s="1242"/>
      <c r="AN53" s="1242"/>
      <c r="AO53" s="1242"/>
      <c r="AP53" s="1242"/>
      <c r="AQ53" s="1242"/>
      <c r="AR53" s="1242"/>
      <c r="AS53" s="1242"/>
      <c r="AT53" s="1242"/>
      <c r="AU53" s="1242"/>
      <c r="AV53" s="1242"/>
      <c r="AW53" s="406"/>
      <c r="AX53"/>
      <c r="AY53"/>
      <c r="AZ53"/>
      <c r="BA53" s="1239"/>
      <c r="BB53" s="1239"/>
      <c r="BC53" s="1239"/>
      <c r="BD53" s="1239"/>
      <c r="BE53" s="1239"/>
      <c r="BF53" s="1239"/>
      <c r="BG53" s="1239"/>
      <c r="BH53" s="1239"/>
      <c r="BI53" s="1239"/>
      <c r="BJ53" s="1239"/>
      <c r="BK53" s="1239"/>
      <c r="BL53" s="1239"/>
      <c r="BM53" s="1239"/>
      <c r="BN53" s="1239"/>
      <c r="BO53" s="1239"/>
      <c r="BP53" s="1239"/>
      <c r="BQ53" s="1239"/>
      <c r="BR53" s="1239"/>
      <c r="BS53" s="1239"/>
      <c r="BT53" s="1239"/>
      <c r="BU53" s="1239"/>
      <c r="BV53" s="1239"/>
      <c r="BW53" s="1239"/>
      <c r="BX53" s="1239"/>
      <c r="BY53" s="1239"/>
      <c r="BZ53" s="1239"/>
      <c r="CA53" s="1239"/>
      <c r="CB53" s="1239"/>
      <c r="CC53" s="1239"/>
      <c r="CD53" s="1239"/>
      <c r="CE53" s="1239"/>
      <c r="CF53" s="1239"/>
      <c r="CG53" s="1239"/>
      <c r="CH53" s="1239"/>
      <c r="CI53" s="1239"/>
      <c r="CJ53" s="1239"/>
      <c r="CK53" s="1239"/>
      <c r="CL53" s="1239"/>
      <c r="CM53" s="1239"/>
      <c r="CN53" s="1239"/>
      <c r="CO53" s="1239"/>
      <c r="CP53" s="1239"/>
      <c r="CQ53" s="1239"/>
      <c r="CR53" s="1239"/>
      <c r="CS53" s="1239"/>
    </row>
    <row r="54" spans="1:99" ht="27.75" customHeight="1">
      <c r="B54" s="1285" t="s">
        <v>445</v>
      </c>
      <c r="C54" s="1286"/>
      <c r="D54" s="1286"/>
      <c r="E54" s="1286"/>
      <c r="F54" s="1286"/>
      <c r="G54" s="1286"/>
      <c r="H54" s="1286"/>
      <c r="I54" s="1286"/>
      <c r="J54" s="1286"/>
      <c r="K54" s="1286"/>
      <c r="L54" s="1286"/>
      <c r="M54" s="1286"/>
      <c r="N54" s="1286"/>
      <c r="O54" s="1286"/>
      <c r="P54" s="1286"/>
      <c r="Q54" s="1286"/>
      <c r="R54" s="1286"/>
      <c r="S54" s="1286"/>
      <c r="T54" s="1286"/>
      <c r="U54" s="1286"/>
      <c r="V54" s="1286"/>
      <c r="W54" s="1286"/>
      <c r="X54" s="1286"/>
      <c r="Y54" s="1286"/>
      <c r="Z54" s="1286"/>
      <c r="AA54" s="1286"/>
      <c r="AB54" s="1286"/>
      <c r="AC54" s="1286"/>
      <c r="AD54" s="1286"/>
      <c r="AE54" s="1286"/>
      <c r="AF54" s="1286"/>
      <c r="AG54" s="1286"/>
      <c r="AH54" s="1286"/>
      <c r="AI54" s="1286"/>
      <c r="AJ54" s="1286"/>
      <c r="AK54" s="1286"/>
      <c r="AL54" s="1286"/>
      <c r="AM54" s="1286"/>
      <c r="AN54" s="1286"/>
      <c r="AO54" s="1286"/>
      <c r="AP54" s="1286"/>
      <c r="AQ54" s="1286"/>
      <c r="AR54" s="1286"/>
      <c r="AS54" s="1286"/>
      <c r="AT54" s="1286"/>
      <c r="AU54" s="1286"/>
      <c r="AV54" s="1286"/>
      <c r="AW54" s="459"/>
      <c r="AX54"/>
      <c r="AY54"/>
      <c r="AZ54"/>
      <c r="BA54" s="1239"/>
      <c r="BB54" s="1239"/>
      <c r="BC54" s="1239"/>
      <c r="BD54" s="1239"/>
      <c r="BE54" s="1239"/>
      <c r="BF54" s="1239"/>
      <c r="BG54" s="1239"/>
      <c r="BH54" s="1239"/>
      <c r="BI54" s="1239"/>
      <c r="BJ54" s="1239"/>
      <c r="BK54" s="1239"/>
      <c r="BL54" s="1239"/>
      <c r="BM54" s="1239"/>
      <c r="BN54" s="1239"/>
      <c r="BO54" s="1239"/>
      <c r="BP54" s="1239"/>
      <c r="BQ54" s="1239"/>
      <c r="BR54" s="1239"/>
      <c r="BS54" s="1239"/>
      <c r="BT54" s="1239"/>
      <c r="BU54" s="1239"/>
      <c r="BV54" s="1239"/>
      <c r="BW54" s="1239"/>
      <c r="BX54" s="1239"/>
      <c r="BY54" s="1239"/>
      <c r="BZ54" s="1239"/>
      <c r="CA54" s="1239"/>
      <c r="CB54" s="1239"/>
      <c r="CC54" s="1239"/>
      <c r="CD54" s="1239"/>
      <c r="CE54" s="1239"/>
      <c r="CF54" s="1239"/>
      <c r="CG54" s="1239"/>
      <c r="CH54" s="1239"/>
      <c r="CI54" s="1239"/>
      <c r="CJ54" s="1239"/>
      <c r="CK54" s="1239"/>
      <c r="CL54" s="1239"/>
      <c r="CM54" s="1239"/>
      <c r="CN54" s="1239"/>
      <c r="CO54" s="1239"/>
      <c r="CP54" s="1239"/>
      <c r="CQ54" s="1239"/>
      <c r="CR54" s="1239"/>
      <c r="CS54" s="1239"/>
      <c r="CT54" s="450"/>
      <c r="CU54" s="450"/>
    </row>
    <row r="55" spans="1:99" ht="53.25" customHeight="1">
      <c r="B55" s="455" t="s">
        <v>404</v>
      </c>
      <c r="C55" s="455"/>
      <c r="D55" s="455"/>
      <c r="E55" s="455"/>
      <c r="F55" s="455"/>
      <c r="G55" s="1213"/>
      <c r="H55" s="1213"/>
      <c r="I55" s="1213"/>
      <c r="J55" s="1213"/>
      <c r="K55" s="1213"/>
      <c r="L55" s="1213"/>
      <c r="M55" s="1213"/>
      <c r="N55" s="1213"/>
      <c r="O55" s="1213"/>
      <c r="P55" s="1213"/>
      <c r="Q55" s="1213"/>
      <c r="R55" s="1213"/>
      <c r="S55" s="1213"/>
      <c r="T55" s="1213"/>
      <c r="W55" s="455"/>
      <c r="X55" s="456" t="s">
        <v>405</v>
      </c>
      <c r="Y55" s="455"/>
      <c r="Z55" s="455"/>
      <c r="AA55" s="455"/>
      <c r="AB55" s="455"/>
      <c r="AC55" s="455"/>
      <c r="AD55" s="455"/>
      <c r="AE55" s="455"/>
      <c r="AF55" s="455"/>
      <c r="AG55" s="1215"/>
      <c r="AH55" s="1215"/>
      <c r="AI55" s="1215"/>
      <c r="AJ55" s="1215"/>
      <c r="AK55" s="1215"/>
      <c r="AL55" s="1215"/>
      <c r="AM55" s="1215"/>
      <c r="AN55" s="1215"/>
      <c r="AO55" s="1215"/>
      <c r="AP55" s="1215"/>
      <c r="AQ55" s="1215"/>
      <c r="AR55" s="1215"/>
      <c r="AS55" s="1215"/>
      <c r="AT55" s="1215"/>
      <c r="AX55"/>
      <c r="AY55"/>
      <c r="AZ55"/>
      <c r="BA55"/>
      <c r="BB55" s="450"/>
      <c r="BC55" s="450"/>
      <c r="BD55" s="450"/>
      <c r="BE55" s="450"/>
      <c r="BF55" s="450"/>
      <c r="BG55" s="450"/>
      <c r="BH55" s="450"/>
      <c r="BI55" s="450"/>
      <c r="BJ55" s="450"/>
      <c r="BK55" s="450"/>
      <c r="BL55" s="450"/>
      <c r="BM55" s="450"/>
      <c r="BN55" s="450"/>
      <c r="BO55" s="450"/>
      <c r="BP55" s="450"/>
      <c r="BQ55" s="450"/>
      <c r="BR55" s="450"/>
      <c r="BS55" s="450"/>
      <c r="BT55" s="450"/>
      <c r="BU55" s="450"/>
      <c r="BV55" s="450"/>
      <c r="BW55" s="450"/>
      <c r="BX55" s="450"/>
      <c r="BY55" s="450"/>
      <c r="BZ55" s="450"/>
      <c r="CA55" s="450"/>
      <c r="CB55" s="450"/>
      <c r="CC55" s="450"/>
      <c r="CD55" s="450"/>
      <c r="CE55" s="450"/>
      <c r="CF55" s="450"/>
      <c r="CG55" s="450"/>
      <c r="CH55" s="450"/>
      <c r="CI55" s="450"/>
      <c r="CJ55" s="450"/>
      <c r="CK55" s="450"/>
      <c r="CL55" s="450"/>
      <c r="CM55" s="450"/>
      <c r="CN55" s="450"/>
      <c r="CO55" s="450"/>
      <c r="CP55" s="450"/>
      <c r="CQ55" s="450"/>
      <c r="CR55" s="450"/>
      <c r="CS55" s="450"/>
      <c r="CT55" s="450"/>
      <c r="CU55" s="450"/>
    </row>
    <row r="56" spans="1:99" ht="18.75" customHeight="1">
      <c r="G56" s="34"/>
      <c r="H56" s="34"/>
      <c r="I56" s="1214" t="str">
        <f>VLOOKUP('Registo Calibração'!AV$112,'Registo Calibração'!AT$102:$AU$110,2)</f>
        <v>Vitor Rodrigues</v>
      </c>
      <c r="J56" s="1214"/>
      <c r="K56" s="1214"/>
      <c r="L56" s="1214"/>
      <c r="M56" s="1214"/>
      <c r="N56" s="1214"/>
      <c r="O56" s="1214"/>
      <c r="P56" s="1214"/>
      <c r="Q56" s="1214"/>
      <c r="R56" s="1214"/>
      <c r="S56" s="457"/>
      <c r="T56" s="457"/>
      <c r="U56" s="458"/>
      <c r="V56" s="458"/>
      <c r="W56" s="458"/>
      <c r="X56" s="458"/>
      <c r="Y56" s="458"/>
      <c r="Z56" s="458"/>
      <c r="AA56" s="458"/>
      <c r="AB56" s="458"/>
      <c r="AC56" s="458"/>
      <c r="AD56" s="458"/>
      <c r="AE56" s="458"/>
      <c r="AF56" s="458"/>
      <c r="AG56" s="457"/>
      <c r="AH56" s="457"/>
      <c r="AI56" s="1214" t="s">
        <v>96</v>
      </c>
      <c r="AJ56" s="1214"/>
      <c r="AK56" s="1214"/>
      <c r="AL56" s="1214"/>
      <c r="AM56" s="1214"/>
      <c r="AN56" s="1214"/>
      <c r="AO56" s="1214"/>
      <c r="AP56" s="1214"/>
      <c r="AQ56" s="1214"/>
      <c r="AR56" s="1214"/>
      <c r="AS56" s="34"/>
      <c r="AT56" s="34"/>
      <c r="AW56" s="406"/>
      <c r="AX56"/>
      <c r="AY56"/>
      <c r="AZ56"/>
    </row>
    <row r="57" spans="1:99" ht="44.25" customHeight="1">
      <c r="A57" s="1274" t="s">
        <v>469</v>
      </c>
      <c r="B57" s="1274"/>
      <c r="C57" s="1274"/>
      <c r="D57" s="1274"/>
      <c r="E57" s="1274"/>
      <c r="F57" s="1274"/>
      <c r="G57" s="1274"/>
      <c r="H57" s="1274"/>
      <c r="I57" s="1274"/>
      <c r="J57" s="1274"/>
      <c r="K57" s="1274"/>
      <c r="L57" s="1274"/>
      <c r="M57" s="1274"/>
      <c r="N57" s="1274"/>
      <c r="O57" s="1274"/>
      <c r="P57" s="1274"/>
      <c r="Q57" s="1274"/>
      <c r="R57" s="1274"/>
      <c r="S57" s="1274"/>
      <c r="T57" s="1274"/>
      <c r="U57" s="1274"/>
      <c r="V57" s="1274"/>
      <c r="W57" s="1274"/>
      <c r="X57" s="1274"/>
      <c r="Y57" s="1274"/>
      <c r="Z57" s="1274"/>
      <c r="AA57" s="1274"/>
      <c r="AB57" s="1274"/>
      <c r="AC57" s="1274"/>
      <c r="AD57" s="1274"/>
      <c r="AE57" s="1274"/>
      <c r="AF57" s="1274"/>
      <c r="AG57" s="1274"/>
      <c r="AH57" s="1274"/>
      <c r="AI57" s="1274"/>
      <c r="AJ57" s="1274"/>
      <c r="AK57" s="1274"/>
      <c r="AL57" s="1274"/>
      <c r="AM57" s="1274"/>
      <c r="AN57" s="1274"/>
      <c r="AO57" s="1274"/>
      <c r="AP57" s="1274"/>
      <c r="AQ57" s="1274"/>
      <c r="AR57" s="1274"/>
      <c r="AS57" s="1274"/>
      <c r="AT57" s="1274"/>
      <c r="AU57" s="1274"/>
      <c r="AV57" s="1274"/>
      <c r="AW57" s="1274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</row>
    <row r="58" spans="1:99" ht="53.25" customHeight="1">
      <c r="A58" s="281"/>
      <c r="B58" s="281"/>
      <c r="C58" s="281"/>
      <c r="D58" s="281"/>
      <c r="E58" s="281"/>
      <c r="F58" s="281"/>
      <c r="G58" s="281"/>
      <c r="H58" s="281"/>
      <c r="I58" s="281"/>
      <c r="J58" s="281"/>
      <c r="K58" s="281"/>
      <c r="L58" s="281"/>
      <c r="M58" s="281"/>
      <c r="N58" s="281"/>
      <c r="O58" s="753"/>
      <c r="P58" s="753"/>
      <c r="Q58" s="753"/>
      <c r="R58" s="753"/>
      <c r="S58" s="753"/>
      <c r="T58" s="753"/>
      <c r="U58" s="753"/>
      <c r="V58" s="753"/>
      <c r="W58" s="753"/>
      <c r="X58" s="753"/>
      <c r="Y58" s="754"/>
      <c r="Z58" s="754"/>
      <c r="AA58" s="754"/>
      <c r="AB58" s="754"/>
      <c r="AC58" s="281"/>
      <c r="AD58" s="281"/>
      <c r="AE58" s="281"/>
      <c r="AF58" s="281"/>
      <c r="AG58" s="281"/>
      <c r="AH58" s="281"/>
      <c r="AI58" s="281"/>
      <c r="AJ58" s="281"/>
      <c r="AK58" s="281"/>
      <c r="AL58" s="281"/>
      <c r="AM58" s="281"/>
      <c r="AN58" s="281"/>
      <c r="AO58" s="281"/>
      <c r="AP58" s="281"/>
      <c r="AQ58" s="281"/>
      <c r="AR58" s="281"/>
      <c r="AS58" s="281"/>
      <c r="AT58" s="281"/>
      <c r="AU58" s="281"/>
      <c r="AV58" s="281"/>
      <c r="AW58" s="755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</row>
    <row r="59" spans="1:99" ht="16.5" customHeight="1">
      <c r="AW59" s="406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</row>
    <row r="60" spans="1:99" ht="15.75" customHeight="1">
      <c r="A60" s="1209" t="s">
        <v>406</v>
      </c>
      <c r="B60" s="1209"/>
      <c r="C60" s="1209"/>
      <c r="D60" s="1209"/>
      <c r="E60" s="1209"/>
      <c r="F60" s="1209"/>
      <c r="G60" s="1209"/>
      <c r="H60" s="1209"/>
      <c r="I60" s="1209"/>
      <c r="J60" s="1209"/>
      <c r="K60" s="1249" t="str">
        <f>$F$4</f>
        <v/>
      </c>
      <c r="L60" s="1249"/>
      <c r="M60" s="1249"/>
      <c r="N60" s="1249"/>
      <c r="O60" s="1249"/>
      <c r="P60" s="1249"/>
      <c r="Q60" s="1249"/>
      <c r="R60" s="1249"/>
      <c r="S60" s="1249"/>
      <c r="Z60" s="1211"/>
      <c r="AA60" s="1211"/>
      <c r="AB60" s="1211"/>
      <c r="AC60" s="1211"/>
      <c r="AD60" s="1211"/>
      <c r="AE60" s="1211"/>
      <c r="AF60" s="1211"/>
      <c r="AG60" s="1211"/>
      <c r="AH60" s="1211"/>
      <c r="AI60" s="1211"/>
      <c r="AJ60" s="1211"/>
      <c r="AK60" s="1211"/>
      <c r="AW60" s="406"/>
      <c r="AX60"/>
      <c r="AY60"/>
      <c r="AZ60"/>
    </row>
    <row r="61" spans="1:99" ht="14.25" customHeight="1">
      <c r="A61" s="1210" t="s">
        <v>408</v>
      </c>
      <c r="B61" s="1210"/>
      <c r="C61" s="1210"/>
      <c r="D61" s="1210"/>
      <c r="E61" s="1210"/>
      <c r="F61" s="1210"/>
      <c r="K61" s="756"/>
      <c r="Z61" s="1211"/>
      <c r="AA61" s="1211"/>
      <c r="AB61" s="1211"/>
      <c r="AC61" s="1211"/>
      <c r="AD61" s="1211"/>
      <c r="AE61" s="1211"/>
      <c r="AF61" s="1211"/>
      <c r="AG61" s="1211"/>
      <c r="AH61" s="1211"/>
      <c r="AI61" s="1211"/>
      <c r="AJ61" s="1211"/>
      <c r="AK61" s="1211"/>
      <c r="AL61" s="410"/>
      <c r="AM61" s="410"/>
      <c r="AN61" s="410"/>
      <c r="AO61" s="410"/>
      <c r="AP61" s="410"/>
      <c r="AU61" s="63"/>
      <c r="AW61" s="406"/>
      <c r="AX61"/>
      <c r="AY61"/>
      <c r="AZ61"/>
    </row>
    <row r="62" spans="1:99" ht="37.5" customHeight="1">
      <c r="B62" s="756"/>
      <c r="C62" s="756"/>
      <c r="D62" s="756"/>
      <c r="E62" s="756"/>
      <c r="F62" s="756"/>
      <c r="G62" s="756"/>
      <c r="H62" s="756"/>
      <c r="I62" s="756"/>
      <c r="J62" s="756"/>
      <c r="K62" s="756"/>
      <c r="Z62" s="1212"/>
      <c r="AA62" s="1212"/>
      <c r="AB62" s="1212"/>
      <c r="AC62" s="1212"/>
      <c r="AD62" s="1212"/>
      <c r="AE62" s="1212"/>
      <c r="AF62" s="1212"/>
      <c r="AG62" s="1212"/>
      <c r="AH62" s="1212"/>
      <c r="AI62" s="1212"/>
      <c r="AJ62" s="1212"/>
      <c r="AK62" s="1212"/>
      <c r="AU62" s="63"/>
      <c r="AW62" s="406"/>
      <c r="AX62"/>
      <c r="AY62"/>
      <c r="AZ62"/>
      <c r="BY62" s="468"/>
      <c r="BZ62" s="468"/>
      <c r="CA62" s="468"/>
      <c r="CB62" s="468"/>
      <c r="CC62" s="468"/>
      <c r="CD62" s="468"/>
      <c r="CE62" s="468"/>
      <c r="CF62" s="468"/>
      <c r="CG62" s="468"/>
      <c r="CH62" s="468"/>
      <c r="CI62" s="468"/>
      <c r="CJ62" s="468"/>
      <c r="CK62" s="468"/>
      <c r="CL62" s="468"/>
      <c r="CM62" s="468"/>
    </row>
    <row r="63" spans="1:99" ht="21.75" customHeight="1">
      <c r="A63" s="1"/>
      <c r="B63" s="1279" t="str">
        <f>'Registo Calibração'!$N$10</f>
        <v/>
      </c>
      <c r="C63" s="1279"/>
      <c r="D63" s="1279"/>
      <c r="E63" s="1279"/>
      <c r="F63" s="1279"/>
      <c r="G63" s="1279"/>
      <c r="H63" s="1279"/>
      <c r="I63" s="1279"/>
      <c r="J63" s="1279"/>
      <c r="K63" s="1279"/>
      <c r="L63" s="1279"/>
      <c r="M63" s="1279"/>
      <c r="N63" s="1279"/>
      <c r="O63" s="1279"/>
      <c r="P63" s="1279"/>
      <c r="Q63" s="1279"/>
      <c r="R63" s="1279"/>
      <c r="S63" s="1279"/>
      <c r="T63" s="1279"/>
      <c r="U63" s="1279"/>
      <c r="V63" s="1279"/>
      <c r="W63" s="1279"/>
      <c r="X63" s="1279"/>
      <c r="Y63" s="1279"/>
      <c r="Z63" s="1279"/>
      <c r="AA63" s="1279"/>
      <c r="AB63" s="1279"/>
      <c r="AC63" s="1279"/>
      <c r="AD63" s="1279"/>
      <c r="AE63" s="1280" t="str">
        <f>'Registo Calibração'!$Q$10</f>
        <v/>
      </c>
      <c r="AF63" s="1280"/>
      <c r="AG63" s="1280"/>
      <c r="AH63" s="1280"/>
      <c r="AI63" s="1280"/>
      <c r="AJ63" s="1280"/>
      <c r="AK63" s="1280"/>
      <c r="AL63" s="1280"/>
      <c r="AM63" s="1"/>
      <c r="AN63" s="1"/>
      <c r="AO63" s="1250" t="s">
        <v>432</v>
      </c>
      <c r="AP63" s="1250"/>
      <c r="AQ63" s="1250"/>
      <c r="AR63" s="1250"/>
      <c r="AS63" s="1250"/>
      <c r="AT63" s="1250"/>
      <c r="AU63" s="1250"/>
      <c r="AV63" s="1250"/>
      <c r="AW63" s="427"/>
      <c r="AX63"/>
      <c r="AY63"/>
      <c r="AZ63"/>
      <c r="BA63" s="90"/>
      <c r="BB63" s="90"/>
      <c r="CA63" s="468"/>
      <c r="CB63" s="468"/>
      <c r="CC63" s="468"/>
      <c r="CD63" s="468"/>
      <c r="CE63" s="468"/>
      <c r="CF63" s="468"/>
      <c r="CG63" s="468"/>
      <c r="CH63" s="468"/>
      <c r="CI63" s="468"/>
      <c r="CJ63" s="468"/>
      <c r="CK63" s="468"/>
      <c r="CL63" s="468"/>
      <c r="CM63" s="468"/>
      <c r="CN63"/>
      <c r="CO63"/>
      <c r="CP63"/>
      <c r="CQ63"/>
    </row>
    <row r="64" spans="1:99" ht="5.25" hidden="1" customHeight="1">
      <c r="O64" s="411"/>
      <c r="P64" s="411"/>
      <c r="Q64" s="411"/>
      <c r="R64" s="411"/>
      <c r="S64" s="411"/>
      <c r="T64" s="411"/>
      <c r="U64" s="411"/>
      <c r="V64" s="411"/>
      <c r="W64" s="411"/>
      <c r="X64" s="411"/>
      <c r="Y64" s="409"/>
      <c r="Z64" s="409"/>
      <c r="AA64" s="409"/>
      <c r="AB64" s="409"/>
      <c r="AW64" s="406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</row>
    <row r="65" spans="1:190" s="418" customFormat="1" ht="36" customHeight="1">
      <c r="B65" s="429" t="s">
        <v>357</v>
      </c>
      <c r="F65" s="433"/>
      <c r="G65" s="845" t="s">
        <v>394</v>
      </c>
      <c r="O65" s="425" t="str">
        <f>IF('Registo Calibração'!$C$7="","",'Registo Calibração'!$C$7)</f>
        <v/>
      </c>
      <c r="P65" s="424"/>
      <c r="Q65" s="424"/>
      <c r="R65" s="424"/>
      <c r="S65" s="424"/>
      <c r="T65" s="424"/>
      <c r="U65" s="424"/>
      <c r="V65" s="424"/>
      <c r="W65" s="424"/>
      <c r="X65" s="424"/>
      <c r="Y65" s="424"/>
      <c r="AT65" s="405"/>
      <c r="AU65" s="405"/>
      <c r="AV65" s="419"/>
      <c r="AW65" s="406"/>
      <c r="CR65" s="415"/>
      <c r="CS65" s="415"/>
      <c r="CT65" s="415"/>
      <c r="CU65" s="415"/>
      <c r="CV65" s="415"/>
      <c r="CW65" s="415"/>
      <c r="CX65" s="415"/>
      <c r="CY65" s="415"/>
      <c r="CZ65" s="415"/>
      <c r="DA65" s="415"/>
      <c r="DB65" s="415"/>
      <c r="DC65" s="415"/>
      <c r="DD65" s="415"/>
      <c r="DE65" s="415"/>
      <c r="DF65" s="415"/>
      <c r="DG65" s="415"/>
      <c r="DH65" s="415"/>
      <c r="DI65" s="415"/>
      <c r="DJ65" s="415"/>
      <c r="DK65" s="415"/>
      <c r="DL65" s="415"/>
      <c r="DM65" s="415"/>
      <c r="DN65" s="415"/>
      <c r="DO65" s="415"/>
      <c r="DP65" s="415"/>
      <c r="DQ65" s="415"/>
      <c r="DR65" s="415"/>
      <c r="DS65" s="415"/>
      <c r="DT65" s="415"/>
      <c r="DU65" s="415"/>
      <c r="DV65" s="415"/>
      <c r="DW65" s="415"/>
      <c r="DX65" s="415"/>
      <c r="DY65" s="415"/>
      <c r="DZ65" s="415"/>
      <c r="EA65" s="415"/>
      <c r="EB65" s="415"/>
      <c r="EC65" s="415"/>
      <c r="ED65" s="415"/>
      <c r="EE65" s="415"/>
      <c r="EF65" s="415"/>
      <c r="EG65" s="415"/>
      <c r="EH65" s="415"/>
      <c r="EI65" s="415"/>
      <c r="EJ65" s="415"/>
      <c r="EK65" s="415"/>
      <c r="EL65" s="415"/>
      <c r="EM65" s="415"/>
      <c r="EN65" s="415"/>
      <c r="EO65" s="415"/>
      <c r="EP65" s="415"/>
      <c r="EQ65" s="415"/>
      <c r="ER65" s="415"/>
      <c r="ES65" s="415"/>
      <c r="ET65" s="415"/>
      <c r="EU65" s="415"/>
      <c r="EV65" s="415"/>
      <c r="EW65" s="415"/>
      <c r="EX65" s="415"/>
      <c r="EY65" s="415"/>
      <c r="EZ65" s="415"/>
      <c r="FA65" s="415"/>
      <c r="FB65" s="415"/>
      <c r="FC65" s="415"/>
      <c r="FD65" s="415"/>
      <c r="FE65" s="415"/>
      <c r="FF65" s="415"/>
      <c r="FG65" s="415"/>
      <c r="FH65" s="415"/>
      <c r="FI65" s="415"/>
      <c r="FJ65" s="415"/>
      <c r="FK65" s="420"/>
      <c r="FL65" s="420"/>
      <c r="FM65" s="420"/>
      <c r="FN65" s="420"/>
      <c r="FO65" s="420"/>
      <c r="FP65" s="420"/>
      <c r="FQ65" s="420"/>
      <c r="FR65" s="420"/>
      <c r="FS65" s="420"/>
      <c r="FT65" s="420"/>
      <c r="FU65" s="420"/>
      <c r="FV65" s="420"/>
      <c r="FW65" s="420"/>
      <c r="FX65" s="420"/>
      <c r="FY65" s="420"/>
      <c r="FZ65" s="420"/>
      <c r="GA65" s="420"/>
      <c r="GB65" s="420"/>
      <c r="GC65" s="420"/>
      <c r="GD65" s="420"/>
      <c r="GE65" s="420"/>
      <c r="GF65" s="420"/>
      <c r="GG65" s="420"/>
      <c r="GH65" s="420"/>
    </row>
    <row r="66" spans="1:190" ht="3" hidden="1" customHeight="1">
      <c r="B66" s="1217"/>
      <c r="C66" s="1217"/>
      <c r="D66" s="1217"/>
      <c r="E66" s="1217"/>
      <c r="F66" s="421"/>
      <c r="G66" s="421"/>
      <c r="H66" s="421"/>
      <c r="O66" s="421"/>
      <c r="P66" s="414"/>
      <c r="W66" s="449"/>
      <c r="X66" s="449"/>
      <c r="Y66" s="449"/>
      <c r="Z66" s="449"/>
      <c r="AW66" s="406"/>
      <c r="AX66"/>
      <c r="AY66"/>
      <c r="AZ66"/>
      <c r="BA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</row>
    <row r="67" spans="1:190" ht="15.75" customHeight="1">
      <c r="B67" s="417" t="s">
        <v>360</v>
      </c>
      <c r="F67" s="37" t="s">
        <v>393</v>
      </c>
      <c r="O67" s="423" t="str">
        <f>IF('Registo Calibração'!$C$8="","N/C",'Registo Calibração'!$C$8)</f>
        <v>N/C</v>
      </c>
      <c r="P67" s="87"/>
      <c r="Q67" s="425"/>
      <c r="R67" s="425"/>
      <c r="S67" s="425"/>
      <c r="T67" s="425"/>
      <c r="U67" s="425"/>
      <c r="V67" s="425"/>
      <c r="W67" s="425"/>
      <c r="X67" s="425"/>
      <c r="Y67" s="425"/>
      <c r="Z67" s="425"/>
      <c r="AX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</row>
    <row r="68" spans="1:190" ht="3.75" hidden="1" customHeight="1">
      <c r="B68" s="421"/>
      <c r="Z68" s="282"/>
      <c r="AX68"/>
      <c r="AY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</row>
    <row r="69" spans="1:190" ht="13.5" customHeight="1">
      <c r="B69" s="417" t="s">
        <v>361</v>
      </c>
      <c r="G69" s="415" t="s">
        <v>395</v>
      </c>
      <c r="O69" s="423" t="str">
        <f>IF('Registo Calibração'!$C$9="","N/C",'Registo Calibração'!$C$9)</f>
        <v>N/C</v>
      </c>
      <c r="P69" s="423"/>
      <c r="Q69" s="423"/>
      <c r="R69" s="423"/>
      <c r="S69" s="423"/>
      <c r="T69" s="423"/>
      <c r="U69" s="423"/>
      <c r="V69" s="423"/>
      <c r="W69" s="423"/>
      <c r="X69" s="423"/>
      <c r="Y69" s="423"/>
      <c r="AA69" s="462" t="s">
        <v>427</v>
      </c>
      <c r="AC69" s="463"/>
      <c r="AD69" s="463"/>
      <c r="AE69" s="463"/>
      <c r="AF69" s="463"/>
      <c r="AG69" s="463"/>
      <c r="AP69" s="1207">
        <f>'Registo Calibração'!$C$13</f>
        <v>0</v>
      </c>
      <c r="AQ69" s="1207"/>
      <c r="AR69" s="1207"/>
      <c r="AS69" s="1207"/>
      <c r="AT69" s="1207"/>
      <c r="AU69" s="1207"/>
      <c r="AV69" s="1205" t="str">
        <f>'Registo Calibração'!$AV$77</f>
        <v>g</v>
      </c>
      <c r="AW69" s="1205"/>
      <c r="AX69"/>
    </row>
    <row r="70" spans="1:190" ht="3" hidden="1" customHeight="1">
      <c r="B70" s="421"/>
      <c r="AA70" s="282"/>
      <c r="AG70" s="461"/>
      <c r="AH70" s="461"/>
      <c r="AI70" s="461"/>
      <c r="AJ70" s="461"/>
      <c r="AK70" s="461"/>
      <c r="AL70" s="461"/>
      <c r="AM70" s="461"/>
      <c r="AN70" s="461"/>
      <c r="AO70" s="461"/>
      <c r="AP70" s="461"/>
      <c r="AQ70" s="461"/>
      <c r="AR70" s="461"/>
      <c r="AS70" s="461"/>
      <c r="AV70" s="467"/>
      <c r="AW70" s="381"/>
      <c r="AX70" s="2"/>
      <c r="AY70"/>
    </row>
    <row r="71" spans="1:190" ht="15.75" customHeight="1">
      <c r="B71" s="417" t="s">
        <v>362</v>
      </c>
      <c r="C71" s="417"/>
      <c r="D71" s="417"/>
      <c r="E71" s="417"/>
      <c r="F71" s="417"/>
      <c r="G71" s="416" t="s">
        <v>396</v>
      </c>
      <c r="H71" s="417"/>
      <c r="O71" s="1198" t="str">
        <f>IF('Registo Calibração'!$C$10="","N/C",'Registo Calibração'!$C$10)</f>
        <v>N/C</v>
      </c>
      <c r="P71" s="1198"/>
      <c r="Q71" s="1198"/>
      <c r="R71" s="1198"/>
      <c r="S71" s="1198"/>
      <c r="T71" s="1198"/>
      <c r="U71" s="1198"/>
      <c r="V71" s="1198"/>
      <c r="W71" s="1198"/>
      <c r="X71" s="1198"/>
      <c r="Y71" s="1198"/>
      <c r="AA71" s="464" t="s">
        <v>428</v>
      </c>
      <c r="AB71" s="465"/>
      <c r="AC71" s="465"/>
      <c r="AD71" s="465"/>
      <c r="AE71" s="465"/>
      <c r="AF71" s="465"/>
      <c r="AG71" s="418"/>
      <c r="AH71" s="418"/>
      <c r="AI71" s="418"/>
      <c r="AJ71" s="418"/>
      <c r="AK71" s="418"/>
      <c r="AL71" s="418"/>
      <c r="AP71" s="1204" t="str">
        <f>FIXED('Registo Calibração'!$C$14,'Registo Calibração'!AI15)</f>
        <v>0</v>
      </c>
      <c r="AQ71" s="1204"/>
      <c r="AR71" s="1204"/>
      <c r="AS71" s="1204"/>
      <c r="AT71" s="1204"/>
      <c r="AU71" s="1204"/>
      <c r="AV71" s="1205" t="str">
        <f>'Registo Calibração'!$AV$77</f>
        <v>g</v>
      </c>
      <c r="AW71" s="1205"/>
      <c r="AX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/>
    </row>
    <row r="72" spans="1:190" ht="3" hidden="1" customHeight="1">
      <c r="B72" s="421"/>
      <c r="AA72" s="464"/>
      <c r="AO72" s="1204"/>
      <c r="AP72" s="1204"/>
      <c r="AQ72" s="1204"/>
      <c r="AR72" s="1204"/>
      <c r="AS72" s="1204"/>
      <c r="AT72" s="1204"/>
      <c r="AV72" s="466"/>
      <c r="AW72" s="466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</row>
    <row r="73" spans="1:190" ht="15.75" customHeight="1">
      <c r="B73" s="417" t="s">
        <v>363</v>
      </c>
      <c r="C73" s="417"/>
      <c r="D73" s="417"/>
      <c r="E73" s="417"/>
      <c r="F73" s="417"/>
      <c r="H73" s="422"/>
      <c r="I73" s="37" t="s">
        <v>397</v>
      </c>
      <c r="J73" s="422"/>
      <c r="K73" s="422"/>
      <c r="L73" s="422"/>
      <c r="M73" s="422"/>
      <c r="N73" s="422"/>
      <c r="O73" s="425" t="str">
        <f>IF('Registo Calibração'!$C$11="","------",'Registo Calibração'!$C$11)</f>
        <v>------</v>
      </c>
      <c r="AA73" s="464" t="str">
        <f>IF('Registo Calibração'!$E$14="","","Resolução de trabalho (dT):")</f>
        <v/>
      </c>
      <c r="AP73" s="1204" t="str">
        <f>IF('Registo Calibração'!$E$14="","",'Registo Calibração'!$E$14)</f>
        <v/>
      </c>
      <c r="AQ73" s="1204"/>
      <c r="AR73" s="1204"/>
      <c r="AS73" s="1204"/>
      <c r="AT73" s="1204"/>
      <c r="AU73" s="1204"/>
      <c r="AV73" s="1205" t="str">
        <f>IF('Registo Calibração'!$E$14="","",'Registo Calibração'!$AV$77)</f>
        <v/>
      </c>
      <c r="AW73" s="1205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</row>
    <row r="74" spans="1:190" ht="3" hidden="1" customHeight="1">
      <c r="A74" s="1"/>
      <c r="B74" s="426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427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</row>
    <row r="75" spans="1:190" ht="11.1" hidden="1" customHeight="1">
      <c r="AW75" s="406"/>
    </row>
    <row r="76" spans="1:190" s="47" customFormat="1" ht="18" customHeight="1">
      <c r="A76"/>
      <c r="B76" s="1221" t="s">
        <v>410</v>
      </c>
      <c r="C76" s="1221"/>
      <c r="D76" s="1221"/>
      <c r="E76" s="1221"/>
      <c r="F76" s="1221"/>
      <c r="G76" s="1221"/>
      <c r="H76" s="1221"/>
      <c r="I76" s="1221"/>
      <c r="J76" s="1221"/>
      <c r="K76" s="1221"/>
      <c r="L76" s="1221"/>
      <c r="M76" s="1221"/>
      <c r="N76" s="1221"/>
      <c r="O76" s="1221"/>
      <c r="P76" s="1221"/>
      <c r="Q76" s="1221"/>
      <c r="R76" s="1221"/>
      <c r="S76" s="1221"/>
      <c r="T76" s="1221"/>
      <c r="U76" s="1221"/>
      <c r="V76" s="1221"/>
      <c r="W76" s="1221"/>
      <c r="X76" s="1221"/>
      <c r="Y76" s="1221"/>
      <c r="Z76" s="1221"/>
      <c r="AA76" s="1221"/>
      <c r="AB76" s="1221"/>
      <c r="AC76" s="1221"/>
      <c r="AD76" s="1221"/>
      <c r="AE76" s="1221"/>
      <c r="AF76" s="1221"/>
      <c r="AG76" s="1221"/>
      <c r="AH76" s="1221"/>
      <c r="AI76" s="1221"/>
      <c r="AJ76" s="1221"/>
      <c r="AK76" s="1221"/>
      <c r="AL76" s="1221"/>
      <c r="AM76" s="1221"/>
      <c r="AN76" s="1221"/>
      <c r="AO76" s="1221"/>
      <c r="AP76" s="1221"/>
      <c r="AQ76" s="1221"/>
      <c r="AR76" s="1221"/>
      <c r="AS76" s="1221"/>
      <c r="AT76" s="1221"/>
      <c r="AU76" s="1221"/>
      <c r="AV76" s="1221"/>
      <c r="AW76" s="406"/>
      <c r="FK76" s="46"/>
      <c r="FL76" s="46"/>
      <c r="FM76" s="46"/>
      <c r="FN76" s="46"/>
      <c r="FO76" s="46"/>
      <c r="FP76" s="46"/>
      <c r="FQ76" s="46"/>
      <c r="FR76" s="46"/>
      <c r="FS76" s="46"/>
      <c r="FT76" s="46"/>
      <c r="FU76" s="46"/>
      <c r="FV76" s="46"/>
      <c r="FW76" s="46"/>
      <c r="FX76" s="46"/>
      <c r="FY76" s="46"/>
      <c r="FZ76" s="46"/>
      <c r="GA76" s="46"/>
      <c r="GB76" s="46"/>
      <c r="GC76" s="46"/>
      <c r="GD76" s="46"/>
      <c r="GE76" s="46"/>
      <c r="GF76" s="46"/>
      <c r="GG76" s="46"/>
      <c r="GH76" s="46"/>
    </row>
    <row r="77" spans="1:190" s="47" customFormat="1" ht="8.25" customHeigh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 s="406"/>
      <c r="FK77" s="46"/>
      <c r="FL77" s="46"/>
      <c r="FM77" s="46"/>
      <c r="FN77" s="46"/>
      <c r="FO77" s="46"/>
      <c r="FP77" s="46"/>
      <c r="FQ77" s="46"/>
      <c r="FR77" s="46"/>
      <c r="FS77" s="46"/>
      <c r="FT77" s="46"/>
      <c r="FU77" s="46"/>
      <c r="FV77" s="46"/>
      <c r="FW77" s="46"/>
      <c r="FX77" s="46"/>
      <c r="FY77" s="46"/>
      <c r="FZ77" s="46"/>
      <c r="GA77" s="46"/>
      <c r="GB77" s="46"/>
      <c r="GC77" s="46"/>
      <c r="GD77" s="46"/>
      <c r="GE77" s="46"/>
      <c r="GF77" s="46"/>
      <c r="GG77" s="46"/>
      <c r="GH77" s="46"/>
    </row>
    <row r="78" spans="1:190" s="47" customFormat="1" ht="17.25" customHeight="1">
      <c r="A78"/>
      <c r="B78" s="1216" t="s">
        <v>285</v>
      </c>
      <c r="C78" s="1216"/>
      <c r="D78" s="1216"/>
      <c r="E78" s="1216"/>
      <c r="F78" s="1216"/>
      <c r="G78" s="1216"/>
      <c r="H78" s="1216"/>
      <c r="I78" s="1216"/>
      <c r="J78" s="1216"/>
      <c r="K78" s="1216"/>
      <c r="L78" s="1206" t="str">
        <f>CONCATENATE("[ ",$AV$69," ]")</f>
        <v>[ g ]</v>
      </c>
      <c r="M78" s="1206"/>
      <c r="N78" s="1206"/>
      <c r="O78" s="1206"/>
      <c r="P78"/>
      <c r="Q78" s="1216" t="s">
        <v>411</v>
      </c>
      <c r="R78" s="1216"/>
      <c r="S78" s="1216"/>
      <c r="T78" s="1216"/>
      <c r="U78" s="1216"/>
      <c r="V78" s="1216"/>
      <c r="W78" s="1216"/>
      <c r="X78" s="1216"/>
      <c r="Y78" s="1216"/>
      <c r="Z78" s="1216"/>
      <c r="AA78" s="1216"/>
      <c r="AB78" s="1206" t="str">
        <f>CONCATENATE("[ ",$AV$69," ]")</f>
        <v>[ g ]</v>
      </c>
      <c r="AC78" s="1206"/>
      <c r="AD78" s="1206"/>
      <c r="AE78" s="1206"/>
      <c r="AF78"/>
      <c r="AG78" s="1216" t="s">
        <v>2</v>
      </c>
      <c r="AH78" s="1216"/>
      <c r="AI78" s="1216"/>
      <c r="AJ78" s="1216"/>
      <c r="AK78" s="1216"/>
      <c r="AL78" s="1216"/>
      <c r="AM78" s="1216"/>
      <c r="AN78" s="1216"/>
      <c r="AO78" s="1216"/>
      <c r="AP78" s="1216"/>
      <c r="AQ78" s="1216"/>
      <c r="AR78" s="1216"/>
      <c r="AS78" s="1206" t="str">
        <f>CONCATENATE("[ ",$AV$69," ]")</f>
        <v>[ g ]</v>
      </c>
      <c r="AT78" s="1206"/>
      <c r="AU78" s="1206"/>
      <c r="AV78" s="1206"/>
      <c r="FK78" s="46"/>
      <c r="FL78" s="46"/>
      <c r="FM78" s="46"/>
      <c r="FN78" s="46"/>
      <c r="FO78" s="46"/>
      <c r="FP78" s="46"/>
      <c r="FQ78" s="46"/>
      <c r="FR78" s="46"/>
      <c r="FS78" s="46"/>
      <c r="FT78" s="46"/>
      <c r="FU78" s="46"/>
      <c r="FV78" s="46"/>
      <c r="FW78" s="46"/>
      <c r="FX78" s="46"/>
      <c r="FY78" s="46"/>
      <c r="FZ78" s="46"/>
      <c r="GA78" s="46"/>
      <c r="GB78" s="46"/>
      <c r="GC78" s="46"/>
      <c r="GD78" s="46"/>
      <c r="GE78" s="46"/>
      <c r="GF78" s="46"/>
      <c r="GG78" s="46"/>
      <c r="GH78" s="46"/>
    </row>
    <row r="79" spans="1:190" s="47" customFormat="1" ht="16.5">
      <c r="A79"/>
      <c r="B79" s="1275" t="str">
        <f>IF('Registo Calibração'!F19&lt;&gt;"",'Registo Calibração'!C19,"------")</f>
        <v>------</v>
      </c>
      <c r="C79" s="1275"/>
      <c r="D79" s="1275"/>
      <c r="E79" s="1275"/>
      <c r="F79" s="1275"/>
      <c r="G79" s="1275"/>
      <c r="H79" s="1275"/>
      <c r="I79" s="1275"/>
      <c r="J79" s="1275"/>
      <c r="K79" s="1275"/>
      <c r="L79" s="1275"/>
      <c r="M79" s="1275"/>
      <c r="N79" s="1275"/>
      <c r="O79" s="1275"/>
      <c r="P79" s="469"/>
      <c r="Q79" s="1276" t="str">
        <f>'Registo Calibração'!E19</f>
        <v>------</v>
      </c>
      <c r="R79" s="1276"/>
      <c r="S79" s="1276"/>
      <c r="T79" s="1276"/>
      <c r="U79" s="1276"/>
      <c r="V79" s="1276"/>
      <c r="W79" s="1276"/>
      <c r="X79" s="1276"/>
      <c r="Y79" s="1276"/>
      <c r="Z79" s="1276"/>
      <c r="AA79" s="1276"/>
      <c r="AB79" s="1276"/>
      <c r="AC79" s="1276"/>
      <c r="AD79" s="1276"/>
      <c r="AE79" s="1276"/>
      <c r="AF79" s="475"/>
      <c r="AG79" s="1276" t="str">
        <f>IF('Registo Calibração'!F19&lt;&gt;"",'Registo Calibração'!G19,"------")</f>
        <v>------</v>
      </c>
      <c r="AH79" s="1276"/>
      <c r="AI79" s="1276"/>
      <c r="AJ79" s="1276"/>
      <c r="AK79" s="1276"/>
      <c r="AL79" s="1276"/>
      <c r="AM79" s="1276"/>
      <c r="AN79" s="1276"/>
      <c r="AO79" s="1276"/>
      <c r="AP79" s="1276"/>
      <c r="AQ79" s="1276"/>
      <c r="AR79" s="1276"/>
      <c r="AS79" s="1276"/>
      <c r="AT79" s="1276"/>
      <c r="AU79" s="1276"/>
      <c r="AV79" s="1276"/>
      <c r="AW79" s="406"/>
      <c r="FK79" s="46"/>
      <c r="FL79" s="46"/>
      <c r="FM79" s="46"/>
      <c r="FN79" s="46"/>
      <c r="FO79" s="46"/>
      <c r="FP79" s="46"/>
      <c r="FQ79" s="46"/>
      <c r="FR79" s="46"/>
      <c r="FS79" s="46"/>
      <c r="FT79" s="46"/>
      <c r="FU79" s="46"/>
      <c r="FV79" s="46"/>
      <c r="FW79" s="46"/>
      <c r="FX79" s="46"/>
      <c r="FY79" s="46"/>
      <c r="FZ79" s="46"/>
      <c r="GA79" s="46"/>
      <c r="GB79" s="46"/>
      <c r="GC79" s="46"/>
      <c r="GD79" s="46"/>
      <c r="GE79" s="46"/>
      <c r="GF79" s="46"/>
      <c r="GG79" s="46"/>
      <c r="GH79" s="46"/>
    </row>
    <row r="80" spans="1:190" s="47" customFormat="1" ht="16.5">
      <c r="A80"/>
      <c r="B80" s="1275" t="str">
        <f>IF('Registo Calibração'!F20&lt;&gt;"",'Registo Calibração'!C20,"------")</f>
        <v>------</v>
      </c>
      <c r="C80" s="1275"/>
      <c r="D80" s="1275"/>
      <c r="E80" s="1275"/>
      <c r="F80" s="1275"/>
      <c r="G80" s="1275"/>
      <c r="H80" s="1275"/>
      <c r="I80" s="1275"/>
      <c r="J80" s="1275"/>
      <c r="K80" s="1275"/>
      <c r="L80" s="1275"/>
      <c r="M80" s="1275"/>
      <c r="N80" s="1275"/>
      <c r="O80" s="1275"/>
      <c r="P80" s="469"/>
      <c r="Q80" s="1276" t="str">
        <f>'Registo Calibração'!E20</f>
        <v>------</v>
      </c>
      <c r="R80" s="1276"/>
      <c r="S80" s="1276"/>
      <c r="T80" s="1276"/>
      <c r="U80" s="1276"/>
      <c r="V80" s="1276"/>
      <c r="W80" s="1276"/>
      <c r="X80" s="1276"/>
      <c r="Y80" s="1276"/>
      <c r="Z80" s="1276"/>
      <c r="AA80" s="1276"/>
      <c r="AB80" s="1276"/>
      <c r="AC80" s="1276"/>
      <c r="AD80" s="1276"/>
      <c r="AE80" s="1276"/>
      <c r="AF80" s="475"/>
      <c r="AG80" s="1276" t="str">
        <f>IF('Registo Calibração'!F20&lt;&gt;"",'Registo Calibração'!G20,"------")</f>
        <v>------</v>
      </c>
      <c r="AH80" s="1276"/>
      <c r="AI80" s="1276"/>
      <c r="AJ80" s="1276"/>
      <c r="AK80" s="1276"/>
      <c r="AL80" s="1276"/>
      <c r="AM80" s="1276"/>
      <c r="AN80" s="1276"/>
      <c r="AO80" s="1276"/>
      <c r="AP80" s="1276"/>
      <c r="AQ80" s="1276"/>
      <c r="AR80" s="1276"/>
      <c r="AS80" s="1276"/>
      <c r="AT80" s="1276"/>
      <c r="AU80" s="1276"/>
      <c r="AV80" s="1276"/>
      <c r="AW80" s="406"/>
      <c r="FK80" s="46"/>
      <c r="FL80" s="46"/>
      <c r="FM80" s="46"/>
      <c r="FN80" s="46"/>
      <c r="FO80" s="46"/>
      <c r="FP80" s="46"/>
      <c r="FQ80" s="46"/>
      <c r="FR80" s="46"/>
      <c r="FS80" s="46"/>
      <c r="FT80" s="46"/>
      <c r="FU80" s="46"/>
      <c r="FV80" s="46"/>
      <c r="FW80" s="46"/>
      <c r="FX80" s="46"/>
      <c r="FY80" s="46"/>
      <c r="FZ80" s="46"/>
      <c r="GA80" s="46"/>
      <c r="GB80" s="46"/>
      <c r="GC80" s="46"/>
      <c r="GD80" s="46"/>
      <c r="GE80" s="46"/>
      <c r="GF80" s="46"/>
      <c r="GG80" s="46"/>
      <c r="GH80" s="46"/>
    </row>
    <row r="81" spans="1:190" s="47" customFormat="1" ht="5.25" hidden="1" customHeight="1">
      <c r="A81"/>
      <c r="B81"/>
      <c r="D81" s="469"/>
      <c r="E81" s="469"/>
      <c r="F81" s="469"/>
      <c r="G81" s="469"/>
      <c r="H81" s="469"/>
      <c r="I81" s="469"/>
      <c r="J81" s="469"/>
      <c r="K81" s="469"/>
      <c r="L81" s="469"/>
      <c r="M81" s="469"/>
      <c r="N81" s="469"/>
      <c r="O81" s="469"/>
      <c r="P81" s="469"/>
      <c r="Q81" s="469"/>
      <c r="S81" s="470"/>
      <c r="T81" s="470"/>
      <c r="U81" s="470"/>
      <c r="V81" s="470"/>
      <c r="W81" s="470"/>
      <c r="X81" s="470"/>
      <c r="Y81" s="470"/>
      <c r="Z81" s="470"/>
      <c r="AA81" s="470"/>
      <c r="AB81" s="470"/>
      <c r="AC81" s="470"/>
      <c r="AD81" s="470"/>
      <c r="AE81" s="470"/>
      <c r="AF81" s="470"/>
      <c r="AG81" s="470"/>
      <c r="AI81" s="470"/>
      <c r="AJ81" s="470"/>
      <c r="AK81" s="470"/>
      <c r="AL81" s="470"/>
      <c r="AM81" s="470"/>
      <c r="AN81" s="470"/>
      <c r="AO81" s="470"/>
      <c r="AP81" s="470"/>
      <c r="AQ81" s="470"/>
      <c r="AR81" s="470"/>
      <c r="AS81" s="470"/>
      <c r="AT81" s="470"/>
      <c r="AU81" s="470"/>
      <c r="AV81" s="470"/>
      <c r="AW81" s="406"/>
      <c r="FK81" s="46"/>
      <c r="FL81" s="46"/>
      <c r="FM81" s="46"/>
      <c r="FN81" s="46"/>
      <c r="FO81" s="46"/>
      <c r="FP81" s="46"/>
      <c r="FQ81" s="46"/>
      <c r="FR81" s="46"/>
      <c r="FS81" s="46"/>
      <c r="FT81" s="46"/>
      <c r="FU81" s="46"/>
      <c r="FV81" s="46"/>
      <c r="FW81" s="46"/>
      <c r="FX81" s="46"/>
      <c r="FY81" s="46"/>
      <c r="FZ81" s="46"/>
      <c r="GA81" s="46"/>
      <c r="GB81" s="46"/>
      <c r="GC81" s="46"/>
      <c r="GD81" s="46"/>
      <c r="GE81" s="46"/>
      <c r="GF81" s="46"/>
      <c r="GG81" s="46"/>
      <c r="GH81" s="46"/>
    </row>
    <row r="82" spans="1:190" s="47" customFormat="1" ht="45.75" customHeight="1">
      <c r="A82"/>
      <c r="B82" s="1192" t="str">
        <f>'Registo Calibração'!AI21</f>
        <v>Ensaio Prévio aplicável somente a equipamento com possibilidade de se aceder ao ajuste interno.</v>
      </c>
      <c r="C82" s="1192"/>
      <c r="D82" s="1192"/>
      <c r="E82" s="1192"/>
      <c r="F82" s="1192"/>
      <c r="G82" s="1192"/>
      <c r="H82" s="1192"/>
      <c r="I82" s="1192"/>
      <c r="J82" s="1192"/>
      <c r="K82" s="1192"/>
      <c r="L82" s="1192"/>
      <c r="M82" s="1192"/>
      <c r="N82" s="1192"/>
      <c r="O82" s="1192"/>
      <c r="P82" s="1192"/>
      <c r="Q82" s="1192"/>
      <c r="R82" s="1192"/>
      <c r="S82" s="1192"/>
      <c r="T82" s="1192"/>
      <c r="U82" s="1192"/>
      <c r="V82" s="1192"/>
      <c r="W82" s="1192"/>
      <c r="X82" s="1192"/>
      <c r="Y82" s="1192"/>
      <c r="Z82" s="1192"/>
      <c r="AA82" s="1192"/>
      <c r="AB82" s="1192"/>
      <c r="AC82" s="1192"/>
      <c r="AD82" s="1192"/>
      <c r="AE82" s="1192"/>
      <c r="AF82" s="1192"/>
      <c r="AG82" s="1192"/>
      <c r="AH82" s="1192"/>
      <c r="AI82" s="1192"/>
      <c r="AJ82" s="1192"/>
      <c r="AK82" s="1192"/>
      <c r="AL82" s="1192"/>
      <c r="AM82" s="1192"/>
      <c r="AN82" s="1192"/>
      <c r="AO82" s="1192"/>
      <c r="AP82" s="1192"/>
      <c r="AQ82" s="1192"/>
      <c r="AR82" s="1192"/>
      <c r="AS82" s="1192"/>
      <c r="AT82" s="1192"/>
      <c r="AU82" s="1192"/>
      <c r="AV82" s="1192"/>
      <c r="AW82" s="406"/>
      <c r="FK82" s="46"/>
      <c r="FL82" s="46"/>
      <c r="FM82" s="46"/>
      <c r="FN82" s="46"/>
      <c r="FO82" s="46"/>
      <c r="FP82" s="46"/>
      <c r="FQ82" s="46"/>
      <c r="FR82" s="46"/>
      <c r="FS82" s="46"/>
      <c r="FT82" s="46"/>
      <c r="FU82" s="46"/>
      <c r="FV82" s="46"/>
      <c r="FW82" s="46"/>
      <c r="FX82" s="46"/>
      <c r="FY82" s="46"/>
      <c r="FZ82" s="46"/>
      <c r="GA82" s="46"/>
      <c r="GB82" s="46"/>
      <c r="GC82" s="46"/>
      <c r="GD82" s="46"/>
      <c r="GE82" s="46"/>
      <c r="GF82" s="46"/>
      <c r="GG82" s="46"/>
      <c r="GH82" s="46"/>
    </row>
    <row r="83" spans="1:190" s="47" customFormat="1" ht="11.1" hidden="1" customHeight="1">
      <c r="A83"/>
      <c r="B83" s="1192"/>
      <c r="C83" s="1192"/>
      <c r="D83" s="1192"/>
      <c r="E83" s="1192"/>
      <c r="F83" s="1192"/>
      <c r="G83" s="1192"/>
      <c r="H83" s="1192"/>
      <c r="I83" s="1192"/>
      <c r="J83" s="1192"/>
      <c r="K83" s="1192"/>
      <c r="L83" s="1192"/>
      <c r="M83" s="1192"/>
      <c r="N83" s="1192"/>
      <c r="O83" s="1192"/>
      <c r="P83" s="1192"/>
      <c r="Q83" s="1192"/>
      <c r="R83" s="1192"/>
      <c r="S83" s="1192"/>
      <c r="T83" s="1192"/>
      <c r="U83" s="1192"/>
      <c r="V83" s="1192"/>
      <c r="W83" s="1192"/>
      <c r="X83" s="1192"/>
      <c r="Y83" s="1192"/>
      <c r="Z83" s="1192"/>
      <c r="AA83" s="1192"/>
      <c r="AB83" s="1192"/>
      <c r="AC83" s="1192"/>
      <c r="AD83" s="1192"/>
      <c r="AE83" s="1192"/>
      <c r="AF83" s="1192"/>
      <c r="AG83" s="1192"/>
      <c r="AH83" s="1192"/>
      <c r="AI83" s="1192"/>
      <c r="AJ83" s="1192"/>
      <c r="AK83" s="1192"/>
      <c r="AL83" s="1192"/>
      <c r="AM83" s="1192"/>
      <c r="AN83" s="1192"/>
      <c r="AO83" s="1192"/>
      <c r="AP83" s="1192"/>
      <c r="AQ83" s="1192"/>
      <c r="AR83" s="1192"/>
      <c r="AS83" s="1192"/>
      <c r="AT83" s="1192"/>
      <c r="AU83" s="1192"/>
      <c r="AV83" s="1192"/>
      <c r="AW83" s="406"/>
      <c r="FK83" s="46"/>
      <c r="FL83" s="46"/>
      <c r="FM83" s="46"/>
      <c r="FN83" s="46"/>
      <c r="FO83" s="46"/>
      <c r="FP83" s="46"/>
      <c r="FQ83" s="46"/>
      <c r="FR83" s="46"/>
      <c r="FS83" s="46"/>
      <c r="FT83" s="46"/>
      <c r="FU83" s="46"/>
      <c r="FV83" s="46"/>
      <c r="FW83" s="46"/>
      <c r="FX83" s="46"/>
      <c r="FY83" s="46"/>
      <c r="FZ83" s="46"/>
      <c r="GA83" s="46"/>
      <c r="GB83" s="46"/>
      <c r="GC83" s="46"/>
      <c r="GD83" s="46"/>
      <c r="GE83" s="46"/>
      <c r="GF83" s="46"/>
      <c r="GG83" s="46"/>
      <c r="GH83" s="46"/>
    </row>
    <row r="84" spans="1:190" s="47" customFormat="1" ht="11.1" hidden="1" customHeight="1">
      <c r="A84"/>
      <c r="B84" s="1192"/>
      <c r="C84" s="1192"/>
      <c r="D84" s="1192"/>
      <c r="E84" s="1192"/>
      <c r="F84" s="1192"/>
      <c r="G84" s="1192"/>
      <c r="H84" s="1192"/>
      <c r="I84" s="1192"/>
      <c r="J84" s="1192"/>
      <c r="K84" s="1192"/>
      <c r="L84" s="1192"/>
      <c r="M84" s="1192"/>
      <c r="N84" s="1192"/>
      <c r="O84" s="1192"/>
      <c r="P84" s="1192"/>
      <c r="Q84" s="1192"/>
      <c r="R84" s="1192"/>
      <c r="S84" s="1192"/>
      <c r="T84" s="1192"/>
      <c r="U84" s="1192"/>
      <c r="V84" s="1192"/>
      <c r="W84" s="1192"/>
      <c r="X84" s="1192"/>
      <c r="Y84" s="1192"/>
      <c r="Z84" s="1192"/>
      <c r="AA84" s="1192"/>
      <c r="AB84" s="1192"/>
      <c r="AC84" s="1192"/>
      <c r="AD84" s="1192"/>
      <c r="AE84" s="1192"/>
      <c r="AF84" s="1192"/>
      <c r="AG84" s="1192"/>
      <c r="AH84" s="1192"/>
      <c r="AI84" s="1192"/>
      <c r="AJ84" s="1192"/>
      <c r="AK84" s="1192"/>
      <c r="AL84" s="1192"/>
      <c r="AM84" s="1192"/>
      <c r="AN84" s="1192"/>
      <c r="AO84" s="1192"/>
      <c r="AP84" s="1192"/>
      <c r="AQ84" s="1192"/>
      <c r="AR84" s="1192"/>
      <c r="AS84" s="1192"/>
      <c r="AT84" s="1192"/>
      <c r="AU84" s="1192"/>
      <c r="AV84" s="1192"/>
      <c r="AW84" s="406"/>
      <c r="FK84" s="46"/>
      <c r="FL84" s="46"/>
      <c r="FM84" s="46"/>
      <c r="FN84" s="46"/>
      <c r="FO84" s="46"/>
      <c r="FP84" s="46"/>
      <c r="FQ84" s="46"/>
      <c r="FR84" s="46"/>
      <c r="FS84" s="46"/>
      <c r="FT84" s="46"/>
      <c r="FU84" s="46"/>
      <c r="FV84" s="46"/>
      <c r="FW84" s="46"/>
      <c r="FX84" s="46"/>
      <c r="FY84" s="46"/>
      <c r="FZ84" s="46"/>
      <c r="GA84" s="46"/>
      <c r="GB84" s="46"/>
      <c r="GC84" s="46"/>
      <c r="GD84" s="46"/>
      <c r="GE84" s="46"/>
      <c r="GF84" s="46"/>
      <c r="GG84" s="46"/>
      <c r="GH84" s="46"/>
    </row>
    <row r="85" spans="1:190" s="47" customFormat="1" ht="12" customHeight="1">
      <c r="A85"/>
      <c r="B85" s="473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 s="406"/>
      <c r="FK85" s="46"/>
      <c r="FL85" s="46"/>
      <c r="FM85" s="46"/>
      <c r="FN85" s="46"/>
      <c r="FO85" s="46"/>
      <c r="FP85" s="46"/>
      <c r="FQ85" s="46"/>
      <c r="FR85" s="46"/>
      <c r="FS85" s="46"/>
      <c r="FT85" s="46"/>
      <c r="FU85" s="46"/>
      <c r="FV85" s="46"/>
      <c r="FW85" s="46"/>
      <c r="FX85" s="46"/>
      <c r="FY85" s="46"/>
      <c r="FZ85" s="46"/>
      <c r="GA85" s="46"/>
      <c r="GB85" s="46"/>
      <c r="GC85" s="46"/>
      <c r="GD85" s="46"/>
      <c r="GE85" s="46"/>
      <c r="GF85" s="46"/>
      <c r="GG85" s="46"/>
      <c r="GH85" s="46"/>
    </row>
    <row r="86" spans="1:190" s="47" customFormat="1" ht="18" customHeight="1">
      <c r="A86"/>
      <c r="B86" s="1221" t="s">
        <v>417</v>
      </c>
      <c r="C86" s="1221"/>
      <c r="D86" s="1221"/>
      <c r="E86" s="1221"/>
      <c r="F86" s="1221"/>
      <c r="G86" s="1221"/>
      <c r="H86" s="1221"/>
      <c r="I86" s="1221"/>
      <c r="J86" s="1221"/>
      <c r="K86" s="1221"/>
      <c r="L86" s="1221"/>
      <c r="M86" s="1221"/>
      <c r="N86" s="1221"/>
      <c r="O86" s="1221"/>
      <c r="P86" s="1221"/>
      <c r="Q86" s="1221"/>
      <c r="R86" s="1221"/>
      <c r="S86" s="1221"/>
      <c r="T86" s="1221"/>
      <c r="U86" s="1221"/>
      <c r="V86" s="1221"/>
      <c r="W86" s="1221"/>
      <c r="X86" s="1221"/>
      <c r="Y86" s="1221"/>
      <c r="Z86" s="1221"/>
      <c r="AA86" s="1221"/>
      <c r="AB86" s="1221"/>
      <c r="AC86" s="1221"/>
      <c r="AD86" s="1221"/>
      <c r="AE86" s="1221"/>
      <c r="AF86" s="1221"/>
      <c r="AG86" s="1221"/>
      <c r="AH86" s="1221"/>
      <c r="AI86" s="1221"/>
      <c r="AJ86" s="1221"/>
      <c r="AK86" s="1221"/>
      <c r="AL86" s="1221"/>
      <c r="AM86" s="1221"/>
      <c r="AN86" s="1221"/>
      <c r="AO86" s="1221"/>
      <c r="AP86" s="1221"/>
      <c r="AQ86" s="1221"/>
      <c r="AR86" s="1221"/>
      <c r="AS86" s="1221"/>
      <c r="AT86" s="1221"/>
      <c r="AU86" s="1221"/>
      <c r="AV86" s="1221"/>
      <c r="AW86" s="406"/>
      <c r="FK86" s="46"/>
      <c r="FL86" s="46"/>
      <c r="FM86" s="46"/>
      <c r="FN86" s="46"/>
      <c r="FO86" s="46"/>
      <c r="FP86" s="46"/>
      <c r="FQ86" s="46"/>
      <c r="FR86" s="46"/>
      <c r="FS86" s="46"/>
      <c r="FT86" s="46"/>
      <c r="FU86" s="46"/>
      <c r="FV86" s="46"/>
      <c r="FW86" s="46"/>
      <c r="FX86" s="46"/>
      <c r="FY86" s="46"/>
      <c r="FZ86" s="46"/>
      <c r="GA86" s="46"/>
      <c r="GB86" s="46"/>
      <c r="GC86" s="46"/>
      <c r="GD86" s="46"/>
      <c r="GE86" s="46"/>
      <c r="GF86" s="46"/>
      <c r="GG86" s="46"/>
      <c r="GH86" s="46"/>
    </row>
    <row r="87" spans="1:190" s="47" customFormat="1" ht="7.5" customHeight="1">
      <c r="A87"/>
      <c r="B87" s="474"/>
      <c r="C87" s="474"/>
      <c r="D87" s="474"/>
      <c r="E87" s="474"/>
      <c r="F87" s="474"/>
      <c r="G87" s="474"/>
      <c r="H87" s="474"/>
      <c r="I87" s="474"/>
      <c r="J87" s="474"/>
      <c r="K87" s="474"/>
      <c r="L87" s="474"/>
      <c r="M87" s="474"/>
      <c r="N87" s="474"/>
      <c r="O87" s="474"/>
      <c r="P87" s="472"/>
      <c r="Q87" s="474"/>
      <c r="R87" s="474"/>
      <c r="S87" s="474"/>
      <c r="T87" s="474"/>
      <c r="U87" s="474"/>
      <c r="V87" s="474"/>
      <c r="W87" s="474"/>
      <c r="X87" s="474"/>
      <c r="Y87" s="474"/>
      <c r="Z87" s="474"/>
      <c r="AA87" s="474"/>
      <c r="AB87" s="474"/>
      <c r="AC87" s="474"/>
      <c r="AD87" s="474"/>
      <c r="AE87" s="474"/>
      <c r="AF87" s="474"/>
      <c r="AG87" s="474"/>
      <c r="AH87" s="474"/>
      <c r="AI87" s="474"/>
      <c r="AJ87" s="474"/>
      <c r="AK87" s="474"/>
      <c r="AL87" s="474"/>
      <c r="AM87" s="474"/>
      <c r="AN87" s="474"/>
      <c r="AO87" s="474"/>
      <c r="AP87" s="474"/>
      <c r="AQ87" s="474"/>
      <c r="AR87" s="474"/>
      <c r="AS87" s="474"/>
      <c r="AT87" s="474"/>
      <c r="AU87" s="474"/>
      <c r="AV87"/>
      <c r="AW87" s="406"/>
      <c r="FK87" s="46"/>
      <c r="FL87" s="46"/>
      <c r="FM87" s="46"/>
      <c r="FN87" s="46"/>
      <c r="FO87" s="46"/>
      <c r="FP87" s="46"/>
      <c r="FQ87" s="46"/>
      <c r="FR87" s="46"/>
      <c r="FS87" s="46"/>
      <c r="FT87" s="46"/>
      <c r="FU87" s="46"/>
      <c r="FV87" s="46"/>
      <c r="FW87" s="46"/>
      <c r="FX87" s="46"/>
      <c r="FY87" s="46"/>
      <c r="FZ87" s="46"/>
      <c r="GA87" s="46"/>
      <c r="GB87" s="46"/>
      <c r="GC87" s="46"/>
      <c r="GD87" s="46"/>
      <c r="GE87" s="46"/>
      <c r="GF87" s="46"/>
      <c r="GG87" s="46"/>
      <c r="GH87" s="46"/>
    </row>
    <row r="88" spans="1:190" s="47" customFormat="1" ht="17.25" customHeight="1">
      <c r="A88"/>
      <c r="B88" s="1216" t="s">
        <v>285</v>
      </c>
      <c r="C88" s="1216"/>
      <c r="D88" s="1216"/>
      <c r="E88" s="1216"/>
      <c r="F88" s="1216"/>
      <c r="G88" s="1216"/>
      <c r="H88" s="1216"/>
      <c r="I88" s="1216"/>
      <c r="J88" s="1216"/>
      <c r="K88" s="1216"/>
      <c r="L88" s="1206" t="str">
        <f>CONCATENATE("[ ",$AV$69," ]")</f>
        <v>[ g ]</v>
      </c>
      <c r="M88" s="1206"/>
      <c r="N88" s="1206"/>
      <c r="O88" s="1206"/>
      <c r="P88"/>
      <c r="Q88" s="1221" t="s">
        <v>1</v>
      </c>
      <c r="R88" s="1221"/>
      <c r="S88" s="1221"/>
      <c r="U88" s="1216" t="s">
        <v>411</v>
      </c>
      <c r="V88" s="1216"/>
      <c r="W88" s="1216"/>
      <c r="X88" s="1216"/>
      <c r="Y88" s="1216"/>
      <c r="Z88" s="1216"/>
      <c r="AA88" s="1216"/>
      <c r="AB88" s="1216"/>
      <c r="AC88" s="1216"/>
      <c r="AD88" s="1216"/>
      <c r="AE88" s="1216"/>
      <c r="AF88" s="1254" t="str">
        <f>CONCATENATE("[ ",$AV$69," ]")</f>
        <v>[ g ]</v>
      </c>
      <c r="AG88" s="1254"/>
      <c r="AH88" s="1254"/>
      <c r="AJ88" s="1221" t="s">
        <v>2</v>
      </c>
      <c r="AK88" s="1221"/>
      <c r="AL88" s="1221"/>
      <c r="AM88" s="1221"/>
      <c r="AN88" s="1221"/>
      <c r="AO88" s="1221"/>
      <c r="AP88" s="1221"/>
      <c r="AQ88" s="1221"/>
      <c r="AR88" s="1221"/>
      <c r="AS88" s="1221"/>
      <c r="AT88" s="1254" t="str">
        <f>CONCATENATE("[ ",$AV$69," ]")</f>
        <v>[ g ]</v>
      </c>
      <c r="AU88" s="1254"/>
      <c r="AV88" s="1254"/>
      <c r="FK88" s="46"/>
      <c r="FL88" s="46"/>
      <c r="FM88" s="46"/>
      <c r="FN88" s="46"/>
      <c r="FO88" s="46"/>
      <c r="FP88" s="46"/>
      <c r="FQ88" s="46"/>
      <c r="FR88" s="46"/>
      <c r="FS88" s="46"/>
      <c r="FT88" s="46"/>
      <c r="FU88" s="46"/>
      <c r="FV88" s="46"/>
      <c r="FW88" s="46"/>
      <c r="FX88" s="46"/>
      <c r="FY88" s="46"/>
      <c r="FZ88" s="46"/>
      <c r="GA88" s="46"/>
      <c r="GB88" s="46"/>
      <c r="GC88" s="46"/>
      <c r="GD88" s="46"/>
      <c r="GE88" s="46"/>
      <c r="GF88" s="46"/>
      <c r="GG88" s="46"/>
      <c r="GH88" s="46"/>
    </row>
    <row r="89" spans="1:190" s="47" customFormat="1" ht="8.25" customHeight="1" thickBot="1">
      <c r="A89"/>
      <c r="AV89"/>
      <c r="AW89" s="406"/>
      <c r="FK89" s="46"/>
      <c r="FL89" s="46"/>
      <c r="FM89" s="46"/>
      <c r="FN89" s="46"/>
      <c r="FO89" s="46"/>
      <c r="FP89" s="46"/>
      <c r="FQ89" s="46"/>
      <c r="FR89" s="46"/>
      <c r="FS89" s="46"/>
      <c r="FT89" s="46"/>
      <c r="FU89" s="46"/>
      <c r="FV89" s="46"/>
      <c r="FW89" s="46"/>
      <c r="FX89" s="46"/>
      <c r="FY89" s="46"/>
      <c r="FZ89" s="46"/>
      <c r="GA89" s="46"/>
      <c r="GB89" s="46"/>
      <c r="GC89" s="46"/>
      <c r="GD89" s="46"/>
      <c r="GE89" s="46"/>
      <c r="GF89" s="46"/>
      <c r="GG89" s="46"/>
      <c r="GH89" s="46"/>
    </row>
    <row r="90" spans="1:190" s="47" customFormat="1" ht="22.5" customHeight="1" thickBot="1">
      <c r="A90"/>
      <c r="C90" s="479"/>
      <c r="D90" s="479"/>
      <c r="E90" s="1282" t="str">
        <f>IF(AND('Registo Calibração'!$I$23="",'2º MR-MI'!$I$23=""),"",IF(AND('2º MR-MI'!$I$23&lt;&gt;0,'2º MR-MI'!$I$23&lt;1),FIXED('2º MR-MI'!$I$23,'2º MR-MI'!$AI$15,TRUE),IF(AND('Registo Calibração'!$I$23&lt;&gt;0,'2º MR-MI'!$I$23=""),'Registo Calibração'!$I$23,'2º MR-MI'!$I$23)))</f>
        <v/>
      </c>
      <c r="F90" s="1283"/>
      <c r="G90" s="1283"/>
      <c r="H90" s="1283"/>
      <c r="I90" s="1283"/>
      <c r="J90" s="1283"/>
      <c r="K90" s="1283"/>
      <c r="L90" s="1284"/>
      <c r="M90" s="479"/>
      <c r="N90" s="479"/>
      <c r="O90" s="479"/>
      <c r="Q90" s="1199">
        <v>1</v>
      </c>
      <c r="R90" s="1199"/>
      <c r="S90" s="1199"/>
      <c r="U90" s="1222">
        <f>IF($E$90="",0,IF(AND('Registo Calibração'!$I$23="",'2º MR-MI'!A26="-------"),0,IF(AND('Registo Calibração'!$I$23="",'2º MR-MI'!$I$23&lt;&gt;0),'2º MR-MI'!A26,'Registo Calibração'!A26)))</f>
        <v>0</v>
      </c>
      <c r="V90" s="1222"/>
      <c r="W90" s="1222"/>
      <c r="X90" s="1222"/>
      <c r="Y90" s="1222"/>
      <c r="Z90" s="1222"/>
      <c r="AA90" s="1222"/>
      <c r="AB90" s="1222"/>
      <c r="AC90" s="1222"/>
      <c r="AD90" s="1222"/>
      <c r="AE90" s="1222"/>
      <c r="AF90" s="1222"/>
      <c r="AG90" s="1222"/>
      <c r="AH90" s="1222"/>
      <c r="AJ90" s="1253" t="s">
        <v>418</v>
      </c>
      <c r="AK90" s="1222"/>
      <c r="AL90" s="1222"/>
      <c r="AM90" s="1222"/>
      <c r="AN90" s="1222"/>
      <c r="AO90" s="1222"/>
      <c r="AP90" s="1222"/>
      <c r="AQ90" s="1222"/>
      <c r="AR90" s="1222"/>
      <c r="AS90" s="1222"/>
      <c r="AT90" s="1222"/>
      <c r="AU90" s="1222"/>
      <c r="AV90"/>
      <c r="AW90" s="406"/>
      <c r="FK90" s="46"/>
      <c r="FL90" s="46"/>
      <c r="FM90" s="46"/>
      <c r="FN90" s="46"/>
      <c r="FO90" s="46"/>
      <c r="FP90" s="46"/>
      <c r="FQ90" s="46"/>
      <c r="FR90" s="46"/>
      <c r="FS90" s="46"/>
      <c r="FT90" s="46"/>
      <c r="FU90" s="46"/>
      <c r="FV90" s="46"/>
      <c r="FW90" s="46"/>
      <c r="FX90" s="46"/>
      <c r="FY90" s="46"/>
      <c r="FZ90" s="46"/>
      <c r="GA90" s="46"/>
      <c r="GB90" s="46"/>
      <c r="GC90" s="46"/>
      <c r="GD90" s="46"/>
      <c r="GE90" s="46"/>
      <c r="GF90" s="46"/>
      <c r="GG90" s="46"/>
      <c r="GH90" s="46"/>
    </row>
    <row r="91" spans="1:190" s="47" customFormat="1" ht="22.5" customHeight="1">
      <c r="A91"/>
      <c r="H91" s="47" t="s">
        <v>672</v>
      </c>
      <c r="Q91" s="1199">
        <v>2</v>
      </c>
      <c r="R91" s="1199"/>
      <c r="S91" s="1199"/>
      <c r="U91" s="1222">
        <f>IF($E$90="",0,IF(AND('Registo Calibração'!$I$23="",'2º MR-MI'!B26="-------"),0,IF(AND('Registo Calibração'!$I$23="",'2º MR-MI'!$I$23&lt;&gt;0),'2º MR-MI'!B26,'Registo Calibração'!B26)))</f>
        <v>0</v>
      </c>
      <c r="V91" s="1222"/>
      <c r="W91" s="1222"/>
      <c r="X91" s="1222"/>
      <c r="Y91" s="1222"/>
      <c r="Z91" s="1222"/>
      <c r="AA91" s="1222"/>
      <c r="AB91" s="1222"/>
      <c r="AC91" s="1222"/>
      <c r="AD91" s="1222"/>
      <c r="AE91" s="1222"/>
      <c r="AF91" s="1222"/>
      <c r="AG91" s="1222"/>
      <c r="AH91" s="1222"/>
      <c r="AJ91" s="1218" t="str">
        <f>IF($E$90="","----------",FIXED(U91-$U$90,'Registo Calibração'!$AI$15))</f>
        <v>----------</v>
      </c>
      <c r="AK91" s="1218"/>
      <c r="AL91" s="1218"/>
      <c r="AM91" s="1218"/>
      <c r="AN91" s="1218"/>
      <c r="AO91" s="1218"/>
      <c r="AP91" s="1218"/>
      <c r="AQ91" s="1218"/>
      <c r="AR91" s="1218"/>
      <c r="AS91" s="1218"/>
      <c r="AT91" s="1218"/>
      <c r="AU91" s="1218"/>
      <c r="AV91"/>
      <c r="AW91" s="406"/>
      <c r="FK91" s="46"/>
      <c r="FL91" s="46"/>
      <c r="FM91" s="46"/>
      <c r="FN91" s="46"/>
      <c r="FO91" s="46"/>
      <c r="FP91" s="46"/>
      <c r="FQ91" s="46"/>
      <c r="FR91" s="46"/>
      <c r="FS91" s="46"/>
      <c r="FT91" s="46"/>
      <c r="FU91" s="46"/>
      <c r="FV91" s="46"/>
      <c r="FW91" s="46"/>
      <c r="FX91" s="46"/>
      <c r="FY91" s="46"/>
      <c r="FZ91" s="46"/>
      <c r="GA91" s="46"/>
      <c r="GB91" s="46"/>
      <c r="GC91" s="46"/>
      <c r="GD91" s="46"/>
      <c r="GE91" s="46"/>
      <c r="GF91" s="46"/>
      <c r="GG91" s="46"/>
      <c r="GH91" s="46"/>
    </row>
    <row r="92" spans="1:190" s="47" customFormat="1" ht="22.5" customHeight="1">
      <c r="A92"/>
      <c r="Q92" s="1199">
        <v>3</v>
      </c>
      <c r="R92" s="1199"/>
      <c r="S92" s="1199"/>
      <c r="U92" s="1222">
        <f>IF($E$90="",0,IF(AND('Registo Calibração'!$I$23="",'2º MR-MI'!C26="-------"),0,IF(AND('Registo Calibração'!$I$23="",'2º MR-MI'!$I$23&lt;&gt;0),'2º MR-MI'!C26,'Registo Calibração'!C26)))</f>
        <v>0</v>
      </c>
      <c r="V92" s="1222"/>
      <c r="W92" s="1222"/>
      <c r="X92" s="1222"/>
      <c r="Y92" s="1222"/>
      <c r="Z92" s="1222"/>
      <c r="AA92" s="1222"/>
      <c r="AB92" s="1222"/>
      <c r="AC92" s="1222"/>
      <c r="AD92" s="1222"/>
      <c r="AE92" s="1222"/>
      <c r="AF92" s="1222"/>
      <c r="AG92" s="1222"/>
      <c r="AH92" s="1222"/>
      <c r="AJ92" s="1218" t="str">
        <f>IF($E$90="","----------",FIXED(U92-$U$90,'Registo Calibração'!$AI$15))</f>
        <v>----------</v>
      </c>
      <c r="AK92" s="1218"/>
      <c r="AL92" s="1218"/>
      <c r="AM92" s="1218"/>
      <c r="AN92" s="1218"/>
      <c r="AO92" s="1218"/>
      <c r="AP92" s="1218"/>
      <c r="AQ92" s="1218"/>
      <c r="AR92" s="1218"/>
      <c r="AS92" s="1218"/>
      <c r="AT92" s="1218"/>
      <c r="AU92" s="1218"/>
      <c r="AV92"/>
      <c r="AW92" s="406"/>
      <c r="FK92" s="46"/>
      <c r="FL92" s="46"/>
      <c r="FM92" s="46"/>
      <c r="FN92" s="46"/>
      <c r="FO92" s="46"/>
      <c r="FP92" s="46"/>
      <c r="FQ92" s="46"/>
      <c r="FR92" s="46"/>
      <c r="FS92" s="46"/>
      <c r="FT92" s="46"/>
      <c r="FU92" s="46"/>
      <c r="FV92" s="46"/>
      <c r="FW92" s="46"/>
      <c r="FX92" s="46"/>
      <c r="FY92" s="46"/>
      <c r="FZ92" s="46"/>
      <c r="GA92" s="46"/>
      <c r="GB92" s="46"/>
      <c r="GC92" s="46"/>
      <c r="GD92" s="46"/>
      <c r="GE92" s="46"/>
      <c r="GF92" s="46"/>
      <c r="GG92" s="46"/>
      <c r="GH92" s="46"/>
    </row>
    <row r="93" spans="1:190" s="47" customFormat="1" ht="22.5" customHeight="1">
      <c r="A93"/>
      <c r="Q93" s="1199">
        <v>4</v>
      </c>
      <c r="R93" s="1199"/>
      <c r="S93" s="1199"/>
      <c r="U93" s="1222">
        <f>IF($E$90="",0,IF(AND('Registo Calibração'!$I$23="",'2º MR-MI'!D26="-------"),0,IF(AND('Registo Calibração'!$I$23="",'2º MR-MI'!$I$23&lt;&gt;0),'2º MR-MI'!D26,'Registo Calibração'!D26)))</f>
        <v>0</v>
      </c>
      <c r="V93" s="1222"/>
      <c r="W93" s="1222"/>
      <c r="X93" s="1222"/>
      <c r="Y93" s="1222"/>
      <c r="Z93" s="1222"/>
      <c r="AA93" s="1222"/>
      <c r="AB93" s="1222"/>
      <c r="AC93" s="1222"/>
      <c r="AD93" s="1222"/>
      <c r="AE93" s="1222"/>
      <c r="AF93" s="1222"/>
      <c r="AG93" s="1222"/>
      <c r="AH93" s="1222"/>
      <c r="AJ93" s="1218" t="str">
        <f>IF($E$90="","----------",FIXED(U93-$U$90,'Registo Calibração'!$AI$15))</f>
        <v>----------</v>
      </c>
      <c r="AK93" s="1218"/>
      <c r="AL93" s="1218"/>
      <c r="AM93" s="1218"/>
      <c r="AN93" s="1218"/>
      <c r="AO93" s="1218"/>
      <c r="AP93" s="1218"/>
      <c r="AQ93" s="1218"/>
      <c r="AR93" s="1218"/>
      <c r="AS93" s="1218"/>
      <c r="AT93" s="1218"/>
      <c r="AU93" s="1218"/>
      <c r="AV93"/>
      <c r="AW93" s="406"/>
      <c r="FK93" s="46"/>
      <c r="FL93" s="46"/>
      <c r="FM93" s="46"/>
      <c r="FN93" s="46"/>
      <c r="FO93" s="46"/>
      <c r="FP93" s="46"/>
      <c r="FQ93" s="46"/>
      <c r="FR93" s="46"/>
      <c r="FS93" s="46"/>
      <c r="FT93" s="46"/>
      <c r="FU93" s="46"/>
      <c r="FV93" s="46"/>
      <c r="FW93" s="46"/>
      <c r="FX93" s="46"/>
      <c r="FY93" s="46"/>
      <c r="FZ93" s="46"/>
      <c r="GA93" s="46"/>
      <c r="GB93" s="46"/>
      <c r="GC93" s="46"/>
      <c r="GD93" s="46"/>
      <c r="GE93" s="46"/>
      <c r="GF93" s="46"/>
      <c r="GG93" s="46"/>
      <c r="GH93" s="46"/>
    </row>
    <row r="94" spans="1:190" s="47" customFormat="1" ht="22.5" customHeight="1">
      <c r="A94"/>
      <c r="Q94" s="1199">
        <v>5</v>
      </c>
      <c r="R94" s="1199"/>
      <c r="S94" s="1199"/>
      <c r="U94" s="1222">
        <f>IF($E$90="",0,IF(AND('Registo Calibração'!$I$23="",'2º MR-MI'!E26="-------"),0,IF(AND('Registo Calibração'!$I$23="",'2º MR-MI'!$I$23&lt;&gt;0),'2º MR-MI'!E26,'Registo Calibração'!E26)))</f>
        <v>0</v>
      </c>
      <c r="V94" s="1222"/>
      <c r="W94" s="1222"/>
      <c r="X94" s="1222"/>
      <c r="Y94" s="1222"/>
      <c r="Z94" s="1222"/>
      <c r="AA94" s="1222"/>
      <c r="AB94" s="1222"/>
      <c r="AC94" s="1222"/>
      <c r="AD94" s="1222"/>
      <c r="AE94" s="1222"/>
      <c r="AF94" s="1222"/>
      <c r="AG94" s="1222"/>
      <c r="AH94" s="1222"/>
      <c r="AJ94" s="1218" t="str">
        <f>IF($E$90="","----------",FIXED(U94-$U$90,'Registo Calibração'!$AI$15))</f>
        <v>----------</v>
      </c>
      <c r="AK94" s="1218"/>
      <c r="AL94" s="1218"/>
      <c r="AM94" s="1218"/>
      <c r="AN94" s="1218"/>
      <c r="AO94" s="1218"/>
      <c r="AP94" s="1218"/>
      <c r="AQ94" s="1218"/>
      <c r="AR94" s="1218"/>
      <c r="AS94" s="1218"/>
      <c r="AT94" s="1218"/>
      <c r="AU94" s="1218"/>
      <c r="AV94"/>
      <c r="AW94" s="406"/>
      <c r="FK94" s="46"/>
      <c r="FL94" s="46"/>
      <c r="FM94" s="46"/>
      <c r="FN94" s="46"/>
      <c r="FO94" s="46"/>
      <c r="FP94" s="46"/>
      <c r="FQ94" s="46"/>
      <c r="FR94" s="46"/>
      <c r="FS94" s="46"/>
      <c r="FT94" s="46"/>
      <c r="FU94" s="46"/>
      <c r="FV94" s="46"/>
      <c r="FW94" s="46"/>
      <c r="FX94" s="46"/>
      <c r="FY94" s="46"/>
      <c r="FZ94" s="46"/>
      <c r="GA94" s="46"/>
      <c r="GB94" s="46"/>
      <c r="GC94" s="46"/>
      <c r="GD94" s="46"/>
      <c r="GE94" s="46"/>
      <c r="GF94" s="46"/>
      <c r="GG94" s="46"/>
      <c r="GH94" s="46"/>
    </row>
    <row r="95" spans="1:190" s="47" customFormat="1" ht="15" hidden="1" customHeight="1">
      <c r="Q95" s="1199">
        <v>6</v>
      </c>
      <c r="R95" s="1199"/>
      <c r="S95" s="1199"/>
      <c r="U95" s="1222">
        <f>IF($E$90="",0,IF(AND('Registo Calibração'!$I$23="",'2º MR-MI'!F26="-------"),0,IF(AND('Registo Calibração'!$I$23="",'2º MR-MI'!$I$23&lt;&gt;0),'2º MR-MI'!F26,'Registo Calibração'!F26)))</f>
        <v>0</v>
      </c>
      <c r="V95" s="1222"/>
      <c r="W95" s="1222"/>
      <c r="X95" s="1222"/>
      <c r="Y95" s="1222"/>
      <c r="Z95" s="1222"/>
      <c r="AA95" s="1222"/>
      <c r="AB95" s="1222"/>
      <c r="AC95" s="1222"/>
      <c r="AD95" s="1222"/>
      <c r="AE95" s="1222"/>
      <c r="AF95" s="1222"/>
      <c r="AG95" s="1222"/>
      <c r="AH95" s="1222"/>
      <c r="AJ95" s="1218" t="str">
        <f>IF($E$90="","----------",FIXED(U95-$U$90,'Registo Calibração'!$AI$15))</f>
        <v>----------</v>
      </c>
      <c r="AK95" s="1218"/>
      <c r="AL95" s="1218"/>
      <c r="AM95" s="1218"/>
      <c r="AN95" s="1218"/>
      <c r="AO95" s="1218"/>
      <c r="AP95" s="1218"/>
      <c r="AQ95" s="1218"/>
      <c r="AR95" s="1218"/>
      <c r="AS95" s="1218"/>
      <c r="AT95" s="1218"/>
      <c r="AU95" s="1218"/>
      <c r="AW95" s="406"/>
      <c r="FK95" s="46"/>
      <c r="FL95" s="46"/>
      <c r="FM95" s="46"/>
      <c r="FN95" s="46"/>
      <c r="FO95" s="46"/>
      <c r="FP95" s="46"/>
      <c r="FQ95" s="46"/>
      <c r="FR95" s="46"/>
      <c r="FS95" s="46"/>
      <c r="FT95" s="46"/>
      <c r="FU95" s="46"/>
      <c r="FV95" s="46"/>
      <c r="FW95" s="46"/>
      <c r="FX95" s="46"/>
      <c r="FY95" s="46"/>
      <c r="FZ95" s="46"/>
      <c r="GA95" s="46"/>
      <c r="GB95" s="46"/>
      <c r="GC95" s="46"/>
      <c r="GD95" s="46"/>
      <c r="GE95" s="46"/>
      <c r="GF95" s="46"/>
      <c r="GG95" s="46"/>
      <c r="GH95" s="46"/>
    </row>
    <row r="96" spans="1:190" s="47" customFormat="1" ht="15" hidden="1">
      <c r="Q96" s="1199">
        <v>7</v>
      </c>
      <c r="R96" s="1199"/>
      <c r="S96" s="1199"/>
      <c r="U96" s="1222">
        <f>IF($E$90="",0,IF(AND('Registo Calibração'!$I$23="",'2º MR-MI'!G26="-------"),0,IF(AND('Registo Calibração'!$I$23="",'2º MR-MI'!$I$23&lt;&gt;0),'2º MR-MI'!G26,'Registo Calibração'!G26)))</f>
        <v>0</v>
      </c>
      <c r="V96" s="1222"/>
      <c r="W96" s="1222"/>
      <c r="X96" s="1222"/>
      <c r="Y96" s="1222"/>
      <c r="Z96" s="1222"/>
      <c r="AA96" s="1222"/>
      <c r="AB96" s="1222"/>
      <c r="AC96" s="1222"/>
      <c r="AD96" s="1222"/>
      <c r="AE96" s="1222"/>
      <c r="AF96" s="1222"/>
      <c r="AG96" s="1222"/>
      <c r="AH96" s="1222"/>
      <c r="AJ96" s="1218" t="str">
        <f>IF($E$90="","----------",FIXED(U96-$U$90,'Registo Calibração'!$AI$15))</f>
        <v>----------</v>
      </c>
      <c r="AK96" s="1218"/>
      <c r="AL96" s="1218"/>
      <c r="AM96" s="1218"/>
      <c r="AN96" s="1218"/>
      <c r="AO96" s="1218"/>
      <c r="AP96" s="1218"/>
      <c r="AQ96" s="1218"/>
      <c r="AR96" s="1218"/>
      <c r="AS96" s="1218"/>
      <c r="AT96" s="1218"/>
      <c r="AU96" s="1218"/>
      <c r="AW96" s="406"/>
      <c r="FK96" s="46"/>
      <c r="FL96" s="46"/>
      <c r="FM96" s="46"/>
      <c r="FN96" s="46"/>
      <c r="FO96" s="46"/>
      <c r="FP96" s="46"/>
      <c r="FQ96" s="46"/>
      <c r="FR96" s="46"/>
      <c r="FS96" s="46"/>
      <c r="FT96" s="46"/>
      <c r="FU96" s="46"/>
      <c r="FV96" s="46"/>
      <c r="FW96" s="46"/>
      <c r="FX96" s="46"/>
      <c r="FY96" s="46"/>
      <c r="FZ96" s="46"/>
      <c r="GA96" s="46"/>
      <c r="GB96" s="46"/>
      <c r="GC96" s="46"/>
      <c r="GD96" s="46"/>
      <c r="GE96" s="46"/>
      <c r="GF96" s="46"/>
      <c r="GG96" s="46"/>
      <c r="GH96" s="46"/>
    </row>
    <row r="97" spans="2:190" s="47" customFormat="1" ht="15" hidden="1" customHeight="1">
      <c r="Q97" s="1199">
        <v>8</v>
      </c>
      <c r="R97" s="1199"/>
      <c r="S97" s="1199"/>
      <c r="U97" s="1222">
        <f>IF($E$90="",0,IF(AND('Registo Calibração'!$I$23="",'2º MR-MI'!H26="-------"),0,IF(AND('Registo Calibração'!$I$23="",'2º MR-MI'!$I$23&lt;&gt;0),'2º MR-MI'!H26,'Registo Calibração'!H26)))</f>
        <v>0</v>
      </c>
      <c r="V97" s="1222"/>
      <c r="W97" s="1222"/>
      <c r="X97" s="1222"/>
      <c r="Y97" s="1222"/>
      <c r="Z97" s="1222"/>
      <c r="AA97" s="1222"/>
      <c r="AB97" s="1222"/>
      <c r="AC97" s="1222"/>
      <c r="AD97" s="1222"/>
      <c r="AE97" s="1222"/>
      <c r="AF97" s="1222"/>
      <c r="AG97" s="1222"/>
      <c r="AH97" s="1222"/>
      <c r="AJ97" s="1218" t="str">
        <f>IF($E$90="","----------",FIXED(U97-$U$90,'Registo Calibração'!$AI$15))</f>
        <v>----------</v>
      </c>
      <c r="AK97" s="1218"/>
      <c r="AL97" s="1218"/>
      <c r="AM97" s="1218"/>
      <c r="AN97" s="1218"/>
      <c r="AO97" s="1218"/>
      <c r="AP97" s="1218"/>
      <c r="AQ97" s="1218"/>
      <c r="AR97" s="1218"/>
      <c r="AS97" s="1218"/>
      <c r="AT97" s="1218"/>
      <c r="AU97" s="1218"/>
      <c r="AW97" s="406"/>
      <c r="FK97" s="46"/>
      <c r="FL97" s="46"/>
      <c r="FM97" s="46"/>
      <c r="FN97" s="46"/>
      <c r="FO97" s="46"/>
      <c r="FP97" s="46"/>
      <c r="FQ97" s="46"/>
      <c r="FR97" s="46"/>
      <c r="FS97" s="46"/>
      <c r="FT97" s="46"/>
      <c r="FU97" s="46"/>
      <c r="FV97" s="46"/>
      <c r="FW97" s="46"/>
      <c r="FX97" s="46"/>
      <c r="FY97" s="46"/>
      <c r="FZ97" s="46"/>
      <c r="GA97" s="46"/>
      <c r="GB97" s="46"/>
      <c r="GC97" s="46"/>
      <c r="GD97" s="46"/>
      <c r="GE97" s="46"/>
      <c r="GF97" s="46"/>
      <c r="GG97" s="46"/>
      <c r="GH97" s="46"/>
    </row>
    <row r="98" spans="2:190" s="47" customFormat="1" ht="15" hidden="1">
      <c r="Q98" s="1199">
        <v>9</v>
      </c>
      <c r="R98" s="1199"/>
      <c r="S98" s="1199"/>
      <c r="U98" s="1222">
        <f>IF($E$90="",0,IF(AND('Registo Calibração'!$I$23="",'2º MR-MI'!I26="-------"),0,IF(AND('Registo Calibração'!$I$23="",'2º MR-MI'!$I$23&lt;&gt;0),'2º MR-MI'!I26,'Registo Calibração'!I26)))</f>
        <v>0</v>
      </c>
      <c r="V98" s="1222"/>
      <c r="W98" s="1222"/>
      <c r="X98" s="1222"/>
      <c r="Y98" s="1222"/>
      <c r="Z98" s="1222"/>
      <c r="AA98" s="1222"/>
      <c r="AB98" s="1222"/>
      <c r="AC98" s="1222"/>
      <c r="AD98" s="1222"/>
      <c r="AE98" s="1222"/>
      <c r="AF98" s="1222"/>
      <c r="AG98" s="1222"/>
      <c r="AH98" s="1222"/>
      <c r="AJ98" s="1218" t="str">
        <f>IF($E$90="","----------",FIXED(U98-$U$90,'Registo Calibração'!$AI$15))</f>
        <v>----------</v>
      </c>
      <c r="AK98" s="1218"/>
      <c r="AL98" s="1218"/>
      <c r="AM98" s="1218"/>
      <c r="AN98" s="1218"/>
      <c r="AO98" s="1218"/>
      <c r="AP98" s="1218"/>
      <c r="AQ98" s="1218"/>
      <c r="AR98" s="1218"/>
      <c r="AS98" s="1218"/>
      <c r="AT98" s="1218"/>
      <c r="AU98" s="1218"/>
      <c r="AW98" s="406"/>
      <c r="FK98" s="46"/>
      <c r="FL98" s="46"/>
      <c r="FM98" s="46"/>
      <c r="FN98" s="46"/>
      <c r="FO98" s="46"/>
      <c r="FP98" s="46"/>
      <c r="FQ98" s="46"/>
      <c r="FR98" s="46"/>
      <c r="FS98" s="46"/>
      <c r="FT98" s="46"/>
      <c r="FU98" s="46"/>
      <c r="FV98" s="46"/>
      <c r="FW98" s="46"/>
      <c r="FX98" s="46"/>
      <c r="FY98" s="46"/>
      <c r="FZ98" s="46"/>
      <c r="GA98" s="46"/>
      <c r="GB98" s="46"/>
      <c r="GC98" s="46"/>
      <c r="GD98" s="46"/>
      <c r="GE98" s="46"/>
      <c r="GF98" s="46"/>
      <c r="GG98" s="46"/>
      <c r="GH98" s="46"/>
    </row>
    <row r="99" spans="2:190" s="47" customFormat="1" ht="15" hidden="1" customHeight="1">
      <c r="Q99" s="1199">
        <v>10</v>
      </c>
      <c r="R99" s="1199"/>
      <c r="S99" s="1199"/>
      <c r="U99" s="1222">
        <f>IF($E$90="",0,IF(AND('Registo Calibração'!$I$23="",'2º MR-MI'!J26="-------"),0,IF(AND('Registo Calibração'!$I$23="",'2º MR-MI'!$I$23&lt;&gt;0),'2º MR-MI'!J26,'Registo Calibração'!J26)))</f>
        <v>0</v>
      </c>
      <c r="V99" s="1222"/>
      <c r="W99" s="1222"/>
      <c r="X99" s="1222"/>
      <c r="Y99" s="1222"/>
      <c r="Z99" s="1222"/>
      <c r="AA99" s="1222"/>
      <c r="AB99" s="1222"/>
      <c r="AC99" s="1222"/>
      <c r="AD99" s="1222"/>
      <c r="AE99" s="1222"/>
      <c r="AF99" s="1222"/>
      <c r="AG99" s="1222"/>
      <c r="AH99" s="1222"/>
      <c r="AJ99" s="1218" t="str">
        <f>IF($E$90="","----------",FIXED(U99-$U$90,'Registo Calibração'!$AI$15))</f>
        <v>----------</v>
      </c>
      <c r="AK99" s="1218"/>
      <c r="AL99" s="1218"/>
      <c r="AM99" s="1218"/>
      <c r="AN99" s="1218"/>
      <c r="AO99" s="1218"/>
      <c r="AP99" s="1218"/>
      <c r="AQ99" s="1218"/>
      <c r="AR99" s="1218"/>
      <c r="AS99" s="1218"/>
      <c r="AT99" s="1218"/>
      <c r="AU99" s="1218"/>
      <c r="AW99" s="406"/>
      <c r="FK99" s="46"/>
      <c r="FL99" s="46"/>
      <c r="FM99" s="46"/>
      <c r="FN99" s="46"/>
      <c r="FO99" s="46"/>
      <c r="FP99" s="46"/>
      <c r="FQ99" s="46"/>
      <c r="FR99" s="46"/>
      <c r="FS99" s="46"/>
      <c r="FT99" s="46"/>
      <c r="FU99" s="46"/>
      <c r="FV99" s="46"/>
      <c r="FW99" s="46"/>
      <c r="FX99" s="46"/>
      <c r="FY99" s="46"/>
      <c r="FZ99" s="46"/>
      <c r="GA99" s="46"/>
      <c r="GB99" s="46"/>
      <c r="GC99" s="46"/>
      <c r="GD99" s="46"/>
      <c r="GE99" s="46"/>
      <c r="GF99" s="46"/>
      <c r="GG99" s="46"/>
      <c r="GH99" s="46"/>
    </row>
    <row r="100" spans="2:190" s="47" customFormat="1" ht="15" hidden="1">
      <c r="Q100" s="1199">
        <v>11</v>
      </c>
      <c r="R100" s="1199"/>
      <c r="S100" s="1199"/>
      <c r="U100" s="1222">
        <f>IF($E$90="",0,IF(AND('Registo Calibração'!$I$23="",'2º MR-MI'!K26="-------"),0,IF(AND('Registo Calibração'!$I$23="",'2º MR-MI'!$I$23&lt;&gt;0),'2º MR-MI'!K26,'Registo Calibração'!K26)))</f>
        <v>0</v>
      </c>
      <c r="V100" s="1222"/>
      <c r="W100" s="1222"/>
      <c r="X100" s="1222"/>
      <c r="Y100" s="1222"/>
      <c r="Z100" s="1222"/>
      <c r="AA100" s="1222"/>
      <c r="AB100" s="1222"/>
      <c r="AC100" s="1222"/>
      <c r="AD100" s="1222"/>
      <c r="AE100" s="1222"/>
      <c r="AF100" s="1222"/>
      <c r="AG100" s="1222"/>
      <c r="AH100" s="1222"/>
      <c r="AJ100" s="1218" t="str">
        <f>IF($E$90="","----------",FIXED(U100-$U$90,'Registo Calibração'!$AI$15))</f>
        <v>----------</v>
      </c>
      <c r="AK100" s="1218"/>
      <c r="AL100" s="1218"/>
      <c r="AM100" s="1218"/>
      <c r="AN100" s="1218"/>
      <c r="AO100" s="1218"/>
      <c r="AP100" s="1218"/>
      <c r="AQ100" s="1218"/>
      <c r="AR100" s="1218"/>
      <c r="AS100" s="1218"/>
      <c r="AT100" s="1218"/>
      <c r="AU100" s="1218"/>
      <c r="AW100" s="406"/>
      <c r="FK100" s="46"/>
      <c r="FL100" s="46"/>
      <c r="FM100" s="46"/>
      <c r="FN100" s="46"/>
      <c r="FO100" s="46"/>
      <c r="FP100" s="46"/>
      <c r="FQ100" s="46"/>
      <c r="FR100" s="46"/>
      <c r="FS100" s="46"/>
      <c r="FT100" s="46"/>
      <c r="FU100" s="46"/>
      <c r="FV100" s="46"/>
      <c r="FW100" s="46"/>
      <c r="FX100" s="46"/>
      <c r="FY100" s="46"/>
      <c r="FZ100" s="46"/>
      <c r="GA100" s="46"/>
      <c r="GB100" s="46"/>
      <c r="GC100" s="46"/>
      <c r="GD100" s="46"/>
      <c r="GE100" s="46"/>
      <c r="GF100" s="46"/>
      <c r="GG100" s="46"/>
      <c r="GH100" s="46"/>
    </row>
    <row r="101" spans="2:190" s="47" customFormat="1" ht="55.5" customHeight="1">
      <c r="B101" s="1192" t="str">
        <f>IF($E$90="", "Ensaio não aplicável.",CONCATENATE("O Erro de Excentricidade Máximo, calculado pela maior diferença de indicação entre cada posição e o centro (posição 1), para a carga considerada de ",E90," ",'2º MR-MI'!J23,", foi de ",IF('2º MR-MI'!L26="",CONCATENATE('Registo Calibração'!L26," ",'Registo Calibração'!M26,"."," A posição do terminal de pesagem relativamente ao recetor de carga está indicada ao lado do esquema pela palavra 'Visor'."),CONCATENATE('2º MR-MI'!L26," ",'2º MR-MI'!M26,"."," A posição do terminal de pesagem relativamente ao recetor de carga está indicada ao lado do esquema pela palavra 'Visor'."))))</f>
        <v>Ensaio não aplicável.</v>
      </c>
      <c r="C101" s="1192"/>
      <c r="D101" s="1192"/>
      <c r="E101" s="1192"/>
      <c r="F101" s="1192"/>
      <c r="G101" s="1192"/>
      <c r="H101" s="1192"/>
      <c r="I101" s="1192"/>
      <c r="J101" s="1192"/>
      <c r="K101" s="1192"/>
      <c r="L101" s="1192"/>
      <c r="M101" s="1192"/>
      <c r="N101" s="1192"/>
      <c r="O101" s="1192"/>
      <c r="P101" s="1192"/>
      <c r="Q101" s="1192"/>
      <c r="R101" s="1192"/>
      <c r="S101" s="1192"/>
      <c r="T101" s="1192"/>
      <c r="U101" s="1192"/>
      <c r="V101" s="1192"/>
      <c r="W101" s="1192"/>
      <c r="X101" s="1192"/>
      <c r="Y101" s="1192"/>
      <c r="Z101" s="1192"/>
      <c r="AA101" s="1192"/>
      <c r="AB101" s="1192"/>
      <c r="AC101" s="1192"/>
      <c r="AD101" s="1192"/>
      <c r="AE101" s="1192"/>
      <c r="AF101" s="1192"/>
      <c r="AG101" s="1192"/>
      <c r="AH101" s="1192"/>
      <c r="AI101" s="1192"/>
      <c r="AJ101" s="1192"/>
      <c r="AK101" s="1192"/>
      <c r="AL101" s="1192"/>
      <c r="AM101" s="1192"/>
      <c r="AN101" s="1192"/>
      <c r="AO101" s="1192"/>
      <c r="AP101" s="1192"/>
      <c r="AQ101" s="1192"/>
      <c r="AR101" s="1192"/>
      <c r="AS101" s="1192"/>
      <c r="AT101" s="1192"/>
      <c r="AU101" s="1192"/>
      <c r="AV101" s="1192"/>
      <c r="AW101" s="406"/>
      <c r="FK101" s="46"/>
      <c r="FL101" s="46"/>
      <c r="FM101" s="46"/>
      <c r="FN101" s="46"/>
      <c r="FO101" s="46"/>
      <c r="FP101" s="46"/>
      <c r="FQ101" s="46"/>
      <c r="FR101" s="46"/>
      <c r="FS101" s="46"/>
      <c r="FT101" s="46"/>
      <c r="FU101" s="46"/>
      <c r="FV101" s="46"/>
      <c r="FW101" s="46"/>
      <c r="FX101" s="46"/>
      <c r="FY101" s="46"/>
      <c r="FZ101" s="46"/>
      <c r="GA101" s="46"/>
      <c r="GB101" s="46"/>
      <c r="GC101" s="46"/>
      <c r="GD101" s="46"/>
      <c r="GE101" s="46"/>
      <c r="GF101" s="46"/>
      <c r="GG101" s="46"/>
      <c r="GH101" s="46"/>
    </row>
    <row r="102" spans="2:190" s="47" customFormat="1" ht="7.5" customHeight="1">
      <c r="B102" s="473"/>
      <c r="C102" s="473"/>
      <c r="D102" s="473"/>
      <c r="E102" s="473"/>
      <c r="F102" s="473"/>
      <c r="G102" s="473"/>
      <c r="H102" s="473"/>
      <c r="I102" s="473"/>
      <c r="J102" s="473"/>
      <c r="K102" s="473"/>
      <c r="L102" s="473"/>
      <c r="M102" s="473"/>
      <c r="N102" s="473"/>
      <c r="O102" s="473"/>
      <c r="P102" s="473"/>
      <c r="Q102" s="473"/>
      <c r="R102" s="473"/>
      <c r="S102" s="473"/>
      <c r="T102" s="473"/>
      <c r="U102" s="473"/>
      <c r="V102" s="473"/>
      <c r="W102" s="473"/>
      <c r="X102" s="473"/>
      <c r="Y102" s="473"/>
      <c r="Z102" s="473"/>
      <c r="AA102" s="473"/>
      <c r="AB102" s="473"/>
      <c r="AC102" s="473"/>
      <c r="AD102" s="473"/>
      <c r="AE102" s="473"/>
      <c r="AF102" s="473"/>
      <c r="AG102" s="473"/>
      <c r="AH102" s="473"/>
      <c r="AI102" s="473"/>
      <c r="AJ102" s="473"/>
      <c r="AK102" s="473"/>
      <c r="AL102" s="473"/>
      <c r="AM102" s="473"/>
      <c r="AN102" s="473"/>
      <c r="AO102" s="473"/>
      <c r="AP102" s="473"/>
      <c r="AQ102" s="473"/>
      <c r="AR102" s="473"/>
      <c r="AS102" s="473"/>
      <c r="AT102" s="473"/>
      <c r="AU102" s="473"/>
      <c r="AW102" s="406"/>
      <c r="FK102" s="46"/>
      <c r="FL102" s="46"/>
      <c r="FM102" s="46"/>
      <c r="FN102" s="46"/>
      <c r="FO102" s="46"/>
      <c r="FP102" s="46"/>
      <c r="FQ102" s="46"/>
      <c r="FR102" s="46"/>
      <c r="FS102" s="46"/>
      <c r="FT102" s="46"/>
      <c r="FU102" s="46"/>
      <c r="FV102" s="46"/>
      <c r="FW102" s="46"/>
      <c r="FX102" s="46"/>
      <c r="FY102" s="46"/>
      <c r="FZ102" s="46"/>
      <c r="GA102" s="46"/>
      <c r="GB102" s="46"/>
      <c r="GC102" s="46"/>
      <c r="GD102" s="46"/>
      <c r="GE102" s="46"/>
      <c r="GF102" s="46"/>
      <c r="GG102" s="46"/>
      <c r="GH102" s="46"/>
    </row>
    <row r="103" spans="2:190" s="47" customFormat="1" ht="14.25" customHeight="1">
      <c r="B103" s="1221" t="s">
        <v>420</v>
      </c>
      <c r="C103" s="1221"/>
      <c r="D103" s="1221"/>
      <c r="E103" s="1221"/>
      <c r="F103" s="1221"/>
      <c r="G103" s="1221"/>
      <c r="H103" s="1221"/>
      <c r="I103" s="1221"/>
      <c r="J103" s="1221"/>
      <c r="K103" s="1221"/>
      <c r="L103" s="1221"/>
      <c r="M103" s="1221"/>
      <c r="N103" s="1221"/>
      <c r="O103" s="1221"/>
      <c r="P103" s="1221"/>
      <c r="Q103" s="1221"/>
      <c r="R103" s="1221"/>
      <c r="S103" s="1221"/>
      <c r="T103" s="1221"/>
      <c r="U103" s="1221"/>
      <c r="V103" s="1221"/>
      <c r="W103" s="1221"/>
      <c r="X103" s="1221"/>
      <c r="Y103" s="1221"/>
      <c r="Z103" s="1221"/>
      <c r="AA103" s="1221"/>
      <c r="AB103" s="1221"/>
      <c r="AC103" s="1221"/>
      <c r="AD103" s="1221"/>
      <c r="AE103" s="1221"/>
      <c r="AF103" s="1221"/>
      <c r="AG103" s="1221"/>
      <c r="AH103" s="1221"/>
      <c r="AI103" s="1221"/>
      <c r="AJ103" s="1221"/>
      <c r="AK103" s="1221"/>
      <c r="AL103" s="1221"/>
      <c r="AM103" s="1221"/>
      <c r="AN103" s="1221"/>
      <c r="AO103" s="1221"/>
      <c r="AP103" s="1221"/>
      <c r="AQ103" s="1221"/>
      <c r="AR103" s="1221"/>
      <c r="AS103" s="1221"/>
      <c r="AT103" s="1221"/>
      <c r="AU103" s="1221"/>
      <c r="AV103" s="1221"/>
      <c r="AW103" s="406"/>
      <c r="FK103" s="46"/>
      <c r="FL103" s="46"/>
      <c r="FM103" s="46"/>
      <c r="FN103" s="46"/>
      <c r="FO103" s="46"/>
      <c r="FP103" s="46"/>
      <c r="FQ103" s="46"/>
      <c r="FR103" s="46"/>
      <c r="FS103" s="46"/>
      <c r="FT103" s="46"/>
      <c r="FU103" s="46"/>
      <c r="FV103" s="46"/>
      <c r="FW103" s="46"/>
      <c r="FX103" s="46"/>
      <c r="FY103" s="46"/>
      <c r="FZ103" s="46"/>
      <c r="GA103" s="46"/>
      <c r="GB103" s="46"/>
      <c r="GC103" s="46"/>
      <c r="GD103" s="46"/>
      <c r="GE103" s="46"/>
      <c r="GF103" s="46"/>
      <c r="GG103" s="46"/>
      <c r="GH103" s="46"/>
    </row>
    <row r="104" spans="2:190" s="47" customFormat="1" ht="6" customHeight="1">
      <c r="B104" s="474"/>
      <c r="C104" s="474"/>
      <c r="D104" s="474"/>
      <c r="E104" s="474"/>
      <c r="F104" s="474"/>
      <c r="G104" s="474"/>
      <c r="H104" s="474"/>
      <c r="I104" s="474"/>
      <c r="J104" s="474"/>
      <c r="K104" s="474"/>
      <c r="L104" s="474"/>
      <c r="M104" s="64"/>
      <c r="N104" s="64"/>
      <c r="O104" s="474"/>
      <c r="P104" s="474"/>
      <c r="Q104" s="474"/>
      <c r="R104" s="474"/>
      <c r="S104" s="474"/>
      <c r="T104" s="474"/>
      <c r="U104" s="474"/>
      <c r="V104" s="474"/>
      <c r="W104" s="474"/>
      <c r="X104" s="474"/>
      <c r="Y104" s="474"/>
      <c r="Z104" s="474"/>
      <c r="AA104" s="474"/>
      <c r="AB104" s="474"/>
      <c r="AC104" s="474"/>
      <c r="AD104" s="474"/>
      <c r="AE104" s="474"/>
      <c r="AF104" s="474"/>
      <c r="AG104" s="474"/>
      <c r="AH104" s="474"/>
      <c r="AI104" s="474"/>
      <c r="AJ104" s="474"/>
      <c r="AK104" s="474"/>
      <c r="AL104" s="474"/>
      <c r="AM104" s="474"/>
      <c r="AN104" s="474"/>
      <c r="AO104" s="474"/>
      <c r="AP104" s="474"/>
      <c r="AQ104" s="474"/>
      <c r="AR104" s="474"/>
      <c r="AS104" s="474"/>
      <c r="AT104" s="474"/>
      <c r="AU104" s="474"/>
      <c r="AW104" s="406"/>
      <c r="FK104" s="46"/>
      <c r="FL104" s="46"/>
      <c r="FM104" s="46"/>
      <c r="FN104" s="46"/>
      <c r="FO104" s="46"/>
      <c r="FP104" s="46"/>
      <c r="FQ104" s="46"/>
      <c r="FR104" s="46"/>
      <c r="FS104" s="46"/>
      <c r="FT104" s="46"/>
      <c r="FU104" s="46"/>
      <c r="FV104" s="46"/>
      <c r="FW104" s="46"/>
      <c r="FX104" s="46"/>
      <c r="FY104" s="46"/>
      <c r="FZ104" s="46"/>
      <c r="GA104" s="46"/>
      <c r="GB104" s="46"/>
      <c r="GC104" s="46"/>
      <c r="GD104" s="46"/>
      <c r="GE104" s="46"/>
      <c r="GF104" s="46"/>
      <c r="GG104" s="46"/>
      <c r="GH104" s="46"/>
    </row>
    <row r="105" spans="2:190" s="47" customFormat="1" ht="16.5">
      <c r="B105" s="1221" t="s">
        <v>285</v>
      </c>
      <c r="C105" s="1221"/>
      <c r="D105" s="1221"/>
      <c r="E105" s="1221"/>
      <c r="F105" s="1221"/>
      <c r="G105" s="1221"/>
      <c r="H105" s="1221"/>
      <c r="I105" s="1221"/>
      <c r="J105" s="1221"/>
      <c r="K105" s="380"/>
      <c r="L105" s="1221" t="s">
        <v>411</v>
      </c>
      <c r="M105" s="1221"/>
      <c r="N105" s="1221"/>
      <c r="O105" s="1221"/>
      <c r="P105" s="1221"/>
      <c r="Q105" s="1221"/>
      <c r="R105" s="1221"/>
      <c r="S105" s="1221"/>
      <c r="T105" s="1221"/>
      <c r="U105" s="1221"/>
      <c r="V105" s="1221"/>
      <c r="W105" s="474"/>
      <c r="X105" s="1221" t="s">
        <v>2</v>
      </c>
      <c r="Y105" s="1221"/>
      <c r="Z105" s="1221"/>
      <c r="AA105" s="1221"/>
      <c r="AB105" s="1221"/>
      <c r="AC105" s="1221"/>
      <c r="AD105" s="1221"/>
      <c r="AE105" s="1221"/>
      <c r="AF105" s="1221"/>
      <c r="AG105" s="1221"/>
      <c r="AH105" s="470"/>
      <c r="AI105" s="1256" t="s">
        <v>421</v>
      </c>
      <c r="AJ105" s="1256"/>
      <c r="AK105" s="1256"/>
      <c r="AL105" s="474"/>
      <c r="AM105" s="1257" t="s">
        <v>6</v>
      </c>
      <c r="AN105" s="1257"/>
      <c r="AO105" s="1257"/>
      <c r="AP105" s="1257"/>
      <c r="AQ105" s="470"/>
      <c r="AR105" s="1257" t="s">
        <v>7</v>
      </c>
      <c r="AS105" s="1257"/>
      <c r="AT105" s="1257"/>
      <c r="AU105" s="1257"/>
      <c r="AV105" s="1257"/>
      <c r="AW105" s="406"/>
      <c r="FK105" s="46"/>
      <c r="FL105" s="46"/>
      <c r="FM105" s="46"/>
      <c r="FN105" s="46"/>
      <c r="FO105" s="46"/>
      <c r="FP105" s="46"/>
      <c r="FQ105" s="46"/>
      <c r="FR105" s="46"/>
      <c r="FS105" s="46"/>
      <c r="FT105" s="46"/>
      <c r="FU105" s="46"/>
      <c r="FV105" s="46"/>
      <c r="FW105" s="46"/>
      <c r="FX105" s="46"/>
      <c r="FY105" s="46"/>
      <c r="FZ105" s="46"/>
      <c r="GA105" s="46"/>
      <c r="GB105" s="46"/>
      <c r="GC105" s="46"/>
      <c r="GD105" s="46"/>
      <c r="GE105" s="46"/>
      <c r="GF105" s="46"/>
      <c r="GG105" s="46"/>
      <c r="GH105" s="46"/>
    </row>
    <row r="106" spans="2:190" s="47" customFormat="1" ht="15.75" customHeight="1">
      <c r="B106" s="1255" t="str">
        <f>CONCATENATE("[ ",$AV$69," ]")</f>
        <v>[ g ]</v>
      </c>
      <c r="C106" s="1255"/>
      <c r="D106" s="1255"/>
      <c r="E106" s="1255"/>
      <c r="F106" s="1255"/>
      <c r="G106" s="1255"/>
      <c r="H106" s="1255"/>
      <c r="I106" s="1255"/>
      <c r="J106" s="1255"/>
      <c r="K106" s="476"/>
      <c r="L106" s="1255" t="str">
        <f>CONCATENATE("I ","[ ",$AV$69," ]")</f>
        <v>I [ g ]</v>
      </c>
      <c r="M106" s="1255"/>
      <c r="N106" s="1255"/>
      <c r="O106" s="1255"/>
      <c r="P106" s="1255"/>
      <c r="Q106" s="1255"/>
      <c r="R106" s="1255"/>
      <c r="S106" s="1255"/>
      <c r="T106" s="1255"/>
      <c r="U106" s="1255"/>
      <c r="V106" s="1255"/>
      <c r="W106" s="474"/>
      <c r="X106" s="1255" t="str">
        <f>CONCATENATE("E ","[ ",$AV$69," ]")</f>
        <v>E [ g ]</v>
      </c>
      <c r="Y106" s="1255"/>
      <c r="Z106" s="1255"/>
      <c r="AA106" s="1255"/>
      <c r="AB106" s="1255"/>
      <c r="AC106" s="1255"/>
      <c r="AD106" s="1255"/>
      <c r="AE106" s="1255"/>
      <c r="AF106" s="1255"/>
      <c r="AG106" s="1255"/>
      <c r="AH106" s="470"/>
      <c r="AI106" s="1256"/>
      <c r="AJ106" s="1256"/>
      <c r="AK106" s="1256"/>
      <c r="AL106" s="474"/>
      <c r="AM106" s="1257"/>
      <c r="AN106" s="1257"/>
      <c r="AO106" s="1257"/>
      <c r="AP106" s="1257"/>
      <c r="AQ106" s="470"/>
      <c r="AR106" s="1244" t="s">
        <v>422</v>
      </c>
      <c r="AS106" s="1245"/>
      <c r="AT106" s="1261" t="str">
        <f>CONCATENATE("[ ",$AV$69," ]")</f>
        <v>[ g ]</v>
      </c>
      <c r="AU106" s="1261"/>
      <c r="AV106" s="1261"/>
      <c r="AW106" s="406"/>
      <c r="FK106" s="46"/>
      <c r="FL106" s="46"/>
      <c r="FM106" s="46"/>
      <c r="FN106" s="46"/>
      <c r="FO106" s="46"/>
      <c r="FP106" s="46"/>
      <c r="FQ106" s="46"/>
      <c r="FR106" s="46"/>
      <c r="FS106" s="46"/>
      <c r="FT106" s="46"/>
      <c r="FU106" s="46"/>
      <c r="FV106" s="46"/>
      <c r="FW106" s="46"/>
      <c r="FX106" s="46"/>
      <c r="FY106" s="46"/>
      <c r="FZ106" s="46"/>
      <c r="GA106" s="46"/>
      <c r="GB106" s="46"/>
      <c r="GC106" s="46"/>
      <c r="GD106" s="46"/>
      <c r="GE106" s="46"/>
      <c r="GF106" s="46"/>
      <c r="GG106" s="46"/>
      <c r="GH106" s="46"/>
    </row>
    <row r="107" spans="2:190" s="47" customFormat="1" ht="11.1" customHeight="1">
      <c r="B107" s="476"/>
      <c r="C107" s="476"/>
      <c r="D107" s="476"/>
      <c r="E107" s="476"/>
      <c r="F107" s="476"/>
      <c r="G107" s="476"/>
      <c r="H107" s="476"/>
      <c r="I107" s="476"/>
      <c r="J107" s="476"/>
      <c r="K107" s="476"/>
      <c r="L107" s="476"/>
      <c r="M107" s="476"/>
      <c r="N107" s="476"/>
      <c r="O107" s="474"/>
      <c r="P107" s="474"/>
      <c r="Q107" s="474"/>
      <c r="R107" s="474"/>
      <c r="S107" s="474"/>
      <c r="T107" s="474"/>
      <c r="U107" s="474"/>
      <c r="V107" s="474"/>
      <c r="W107" s="474"/>
      <c r="X107" s="474"/>
      <c r="Y107" s="474"/>
      <c r="Z107" s="474"/>
      <c r="AA107" s="474"/>
      <c r="AB107" s="474"/>
      <c r="AC107" s="470"/>
      <c r="AD107" s="470"/>
      <c r="AE107" s="470"/>
      <c r="AF107" s="470"/>
      <c r="AG107" s="470"/>
      <c r="AH107" s="470"/>
      <c r="AI107" s="470"/>
      <c r="AJ107" s="470"/>
      <c r="AK107" s="470"/>
      <c r="AL107" s="470"/>
      <c r="AM107" s="470"/>
      <c r="AN107" s="470"/>
      <c r="AO107" s="470"/>
      <c r="AP107" s="470"/>
      <c r="AQ107" s="470"/>
      <c r="AR107" s="470"/>
      <c r="AS107" s="470"/>
      <c r="AW107" s="406"/>
      <c r="FK107" s="46"/>
      <c r="FL107" s="46"/>
      <c r="FM107" s="46"/>
      <c r="FN107" s="46"/>
      <c r="FO107" s="46"/>
      <c r="FP107" s="46"/>
      <c r="FQ107" s="46"/>
      <c r="FR107" s="46"/>
      <c r="FS107" s="46"/>
      <c r="FT107" s="46"/>
      <c r="FU107" s="46"/>
      <c r="FV107" s="46"/>
      <c r="FW107" s="46"/>
      <c r="FX107" s="46"/>
      <c r="FY107" s="46"/>
      <c r="FZ107" s="46"/>
      <c r="GA107" s="46"/>
      <c r="GB107" s="46"/>
      <c r="GC107" s="46"/>
      <c r="GD107" s="46"/>
      <c r="GE107" s="46"/>
      <c r="GF107" s="46"/>
      <c r="GG107" s="46"/>
      <c r="GH107" s="46"/>
    </row>
    <row r="108" spans="2:190" s="47" customFormat="1" ht="16.5" customHeight="1">
      <c r="B108" s="1223">
        <f>'Registo Calibração'!D31</f>
        <v>0</v>
      </c>
      <c r="C108" s="1223"/>
      <c r="D108" s="1223"/>
      <c r="E108" s="1223"/>
      <c r="F108" s="1223"/>
      <c r="G108" s="1223"/>
      <c r="H108" s="1223"/>
      <c r="I108" s="1223"/>
      <c r="J108" s="1223"/>
      <c r="K108" s="477"/>
      <c r="L108" s="1223" t="str">
        <f>'Registo Calibração'!H31</f>
        <v>0,0000000</v>
      </c>
      <c r="M108" s="1223"/>
      <c r="N108" s="1223"/>
      <c r="O108" s="1223"/>
      <c r="P108" s="1223"/>
      <c r="Q108" s="1223"/>
      <c r="R108" s="1223"/>
      <c r="S108" s="1223"/>
      <c r="T108" s="1223"/>
      <c r="U108" s="1223"/>
      <c r="V108" s="1223"/>
      <c r="W108" s="478"/>
      <c r="X108" s="1220" t="str">
        <f>'Registo Calibração'!I31</f>
        <v>0,0000000</v>
      </c>
      <c r="Y108" s="1220"/>
      <c r="Z108" s="1220"/>
      <c r="AA108" s="1220"/>
      <c r="AB108" s="1220"/>
      <c r="AC108" s="1220"/>
      <c r="AD108" s="1220"/>
      <c r="AE108" s="1220"/>
      <c r="AF108" s="1220"/>
      <c r="AG108" s="1220"/>
      <c r="AH108" s="479"/>
      <c r="AI108" s="1223" t="str">
        <f>'Registo Calibração'!J31</f>
        <v>&gt; 500</v>
      </c>
      <c r="AJ108" s="1220"/>
      <c r="AK108" s="1220"/>
      <c r="AL108" s="479"/>
      <c r="AM108" s="1219">
        <f>'Registo Calibração'!K31</f>
        <v>2</v>
      </c>
      <c r="AN108" s="1220"/>
      <c r="AO108" s="1220"/>
      <c r="AP108" s="1220"/>
      <c r="AQ108" s="479"/>
      <c r="AR108" s="1220" t="str">
        <f>'Registo Calibração'!L31</f>
        <v>0,0000000</v>
      </c>
      <c r="AS108" s="1220"/>
      <c r="AT108" s="1220"/>
      <c r="AU108" s="1220"/>
      <c r="AV108" s="1220"/>
      <c r="AW108" s="406"/>
      <c r="FK108" s="46"/>
      <c r="FL108" s="46"/>
      <c r="FM108" s="46"/>
      <c r="FN108" s="46"/>
      <c r="FO108" s="46"/>
      <c r="FP108" s="46"/>
      <c r="FQ108" s="46"/>
      <c r="FR108" s="46"/>
      <c r="FS108" s="46"/>
      <c r="FT108" s="46"/>
      <c r="FU108" s="46"/>
      <c r="FV108" s="46"/>
      <c r="FW108" s="46"/>
      <c r="FX108" s="46"/>
      <c r="FY108" s="46"/>
      <c r="FZ108" s="46"/>
      <c r="GA108" s="46"/>
      <c r="GB108" s="46"/>
      <c r="GC108" s="46"/>
      <c r="GD108" s="46"/>
      <c r="GE108" s="46"/>
      <c r="GF108" s="46"/>
      <c r="GG108" s="46"/>
      <c r="GH108" s="46"/>
    </row>
    <row r="109" spans="2:190" s="47" customFormat="1" ht="15">
      <c r="B109" s="1223" t="str">
        <f>'Registo Calibração'!D34</f>
        <v>0,0</v>
      </c>
      <c r="C109" s="1223"/>
      <c r="D109" s="1223"/>
      <c r="E109" s="1223"/>
      <c r="F109" s="1223"/>
      <c r="G109" s="1223"/>
      <c r="H109" s="1223"/>
      <c r="I109" s="1223"/>
      <c r="J109" s="1223"/>
      <c r="K109" s="477"/>
      <c r="L109" s="1223" t="str">
        <f>'Registo Calibração'!H36</f>
        <v>------</v>
      </c>
      <c r="M109" s="1223"/>
      <c r="N109" s="1223"/>
      <c r="O109" s="1223"/>
      <c r="P109" s="1223"/>
      <c r="Q109" s="1223"/>
      <c r="R109" s="1223"/>
      <c r="S109" s="1223"/>
      <c r="T109" s="1223"/>
      <c r="U109" s="1223"/>
      <c r="V109" s="1223"/>
      <c r="W109" s="478"/>
      <c r="X109" s="1224" t="str">
        <f>'Registo Calibração'!I36</f>
        <v>------</v>
      </c>
      <c r="Y109" s="1220"/>
      <c r="Z109" s="1220"/>
      <c r="AA109" s="1220"/>
      <c r="AB109" s="1220"/>
      <c r="AC109" s="1220"/>
      <c r="AD109" s="1220"/>
      <c r="AE109" s="1220"/>
      <c r="AF109" s="1220"/>
      <c r="AG109" s="1220"/>
      <c r="AH109" s="479"/>
      <c r="AI109" s="1223" t="str">
        <f>'Registo Calibração'!J36</f>
        <v>&gt; 500</v>
      </c>
      <c r="AJ109" s="1220"/>
      <c r="AK109" s="1220"/>
      <c r="AL109" s="479"/>
      <c r="AM109" s="1219" t="e">
        <f>'Registo Calibração'!K36</f>
        <v>#DIV/0!</v>
      </c>
      <c r="AN109" s="1220"/>
      <c r="AO109" s="1220"/>
      <c r="AP109" s="1220"/>
      <c r="AQ109" s="479"/>
      <c r="AR109" s="1224" t="str">
        <f>'Registo Calibração'!L36</f>
        <v>------</v>
      </c>
      <c r="AS109" s="1220"/>
      <c r="AT109" s="1220"/>
      <c r="AU109" s="1220"/>
      <c r="AV109" s="1220"/>
      <c r="AW109" s="406"/>
      <c r="FK109" s="46"/>
      <c r="FL109" s="46"/>
      <c r="FM109" s="46"/>
      <c r="FN109" s="46"/>
      <c r="FO109" s="46"/>
      <c r="FP109" s="46"/>
      <c r="FQ109" s="46"/>
      <c r="FR109" s="46"/>
      <c r="FS109" s="46"/>
      <c r="FT109" s="46"/>
      <c r="FU109" s="46"/>
      <c r="FV109" s="46"/>
      <c r="FW109" s="46"/>
      <c r="FX109" s="46"/>
      <c r="FY109" s="46"/>
      <c r="FZ109" s="46"/>
      <c r="GA109" s="46"/>
      <c r="GB109" s="46"/>
      <c r="GC109" s="46"/>
      <c r="GD109" s="46"/>
      <c r="GE109" s="46"/>
      <c r="GF109" s="46"/>
      <c r="GG109" s="46"/>
      <c r="GH109" s="46"/>
    </row>
    <row r="110" spans="2:190" s="47" customFormat="1" ht="15">
      <c r="B110" s="1223" t="str">
        <f>'Registo Calibração'!D39</f>
        <v>0,0</v>
      </c>
      <c r="C110" s="1223"/>
      <c r="D110" s="1223"/>
      <c r="E110" s="1223"/>
      <c r="F110" s="1223"/>
      <c r="G110" s="1223"/>
      <c r="H110" s="1223"/>
      <c r="I110" s="1223"/>
      <c r="J110" s="1223"/>
      <c r="K110" s="477"/>
      <c r="L110" s="1223" t="str">
        <f>'Registo Calibração'!H41</f>
        <v>------</v>
      </c>
      <c r="M110" s="1223"/>
      <c r="N110" s="1223"/>
      <c r="O110" s="1223"/>
      <c r="P110" s="1223"/>
      <c r="Q110" s="1223"/>
      <c r="R110" s="1223"/>
      <c r="S110" s="1223"/>
      <c r="T110" s="1223"/>
      <c r="U110" s="1223"/>
      <c r="V110" s="1223"/>
      <c r="W110" s="478"/>
      <c r="X110" s="1224" t="str">
        <f>'Registo Calibração'!I41</f>
        <v>------</v>
      </c>
      <c r="Y110" s="1220"/>
      <c r="Z110" s="1220"/>
      <c r="AA110" s="1220"/>
      <c r="AB110" s="1220"/>
      <c r="AC110" s="1220"/>
      <c r="AD110" s="1220"/>
      <c r="AE110" s="1220"/>
      <c r="AF110" s="1220"/>
      <c r="AG110" s="1220"/>
      <c r="AH110" s="479"/>
      <c r="AI110" s="1223" t="str">
        <f>'Registo Calibração'!J41</f>
        <v>&gt; 500</v>
      </c>
      <c r="AJ110" s="1220"/>
      <c r="AK110" s="1220"/>
      <c r="AL110" s="479"/>
      <c r="AM110" s="1219" t="e">
        <f>'Registo Calibração'!K41</f>
        <v>#DIV/0!</v>
      </c>
      <c r="AN110" s="1220"/>
      <c r="AO110" s="1220"/>
      <c r="AP110" s="1220"/>
      <c r="AQ110" s="479"/>
      <c r="AR110" s="1224" t="str">
        <f>'Registo Calibração'!L41</f>
        <v>------</v>
      </c>
      <c r="AS110" s="1220"/>
      <c r="AT110" s="1220"/>
      <c r="AU110" s="1220"/>
      <c r="AV110" s="1220"/>
      <c r="AW110" s="406"/>
      <c r="FK110" s="46"/>
      <c r="FL110" s="46"/>
      <c r="FM110" s="46"/>
      <c r="FN110" s="46"/>
      <c r="FO110" s="46"/>
      <c r="FP110" s="46"/>
      <c r="FQ110" s="46"/>
      <c r="FR110" s="46"/>
      <c r="FS110" s="46"/>
      <c r="FT110" s="46"/>
      <c r="FU110" s="46"/>
      <c r="FV110" s="46"/>
      <c r="FW110" s="46"/>
      <c r="FX110" s="46"/>
      <c r="FY110" s="46"/>
      <c r="FZ110" s="46"/>
      <c r="GA110" s="46"/>
      <c r="GB110" s="46"/>
      <c r="GC110" s="46"/>
      <c r="GD110" s="46"/>
      <c r="GE110" s="46"/>
      <c r="GF110" s="46"/>
      <c r="GG110" s="46"/>
      <c r="GH110" s="46"/>
    </row>
    <row r="111" spans="2:190" s="47" customFormat="1" ht="15">
      <c r="B111" s="1223" t="str">
        <f>'Registo Calibração'!D45</f>
        <v>0,0</v>
      </c>
      <c r="C111" s="1223"/>
      <c r="D111" s="1223"/>
      <c r="E111" s="1223"/>
      <c r="F111" s="1223"/>
      <c r="G111" s="1223"/>
      <c r="H111" s="1223"/>
      <c r="I111" s="1223"/>
      <c r="J111" s="1223"/>
      <c r="K111" s="477"/>
      <c r="L111" s="1223" t="str">
        <f>'Registo Calibração'!H47</f>
        <v>------</v>
      </c>
      <c r="M111" s="1223"/>
      <c r="N111" s="1223"/>
      <c r="O111" s="1223"/>
      <c r="P111" s="1223"/>
      <c r="Q111" s="1223"/>
      <c r="R111" s="1223"/>
      <c r="S111" s="1223"/>
      <c r="T111" s="1223"/>
      <c r="U111" s="1223"/>
      <c r="V111" s="1223"/>
      <c r="W111" s="478"/>
      <c r="X111" s="1224" t="str">
        <f>'Registo Calibração'!I47</f>
        <v>------</v>
      </c>
      <c r="Y111" s="1220"/>
      <c r="Z111" s="1220"/>
      <c r="AA111" s="1220"/>
      <c r="AB111" s="1220"/>
      <c r="AC111" s="1220"/>
      <c r="AD111" s="1220"/>
      <c r="AE111" s="1220"/>
      <c r="AF111" s="1220"/>
      <c r="AG111" s="1220"/>
      <c r="AH111" s="479"/>
      <c r="AI111" s="1223" t="str">
        <f>'Registo Calibração'!J47</f>
        <v>&gt; 500</v>
      </c>
      <c r="AJ111" s="1220"/>
      <c r="AK111" s="1220"/>
      <c r="AL111" s="479"/>
      <c r="AM111" s="1219" t="e">
        <f>'Registo Calibração'!K47</f>
        <v>#DIV/0!</v>
      </c>
      <c r="AN111" s="1220"/>
      <c r="AO111" s="1220"/>
      <c r="AP111" s="1220"/>
      <c r="AQ111" s="479"/>
      <c r="AR111" s="1224" t="str">
        <f>'Registo Calibração'!L47</f>
        <v>------</v>
      </c>
      <c r="AS111" s="1220"/>
      <c r="AT111" s="1220"/>
      <c r="AU111" s="1220"/>
      <c r="AV111" s="1220"/>
      <c r="AW111" s="406"/>
      <c r="FK111" s="46"/>
      <c r="FL111" s="46"/>
      <c r="FM111" s="46"/>
      <c r="FN111" s="46"/>
      <c r="FO111" s="46"/>
      <c r="FP111" s="46"/>
      <c r="FQ111" s="46"/>
      <c r="FR111" s="46"/>
      <c r="FS111" s="46"/>
      <c r="FT111" s="46"/>
      <c r="FU111" s="46"/>
      <c r="FV111" s="46"/>
      <c r="FW111" s="46"/>
      <c r="FX111" s="46"/>
      <c r="FY111" s="46"/>
      <c r="FZ111" s="46"/>
      <c r="GA111" s="46"/>
      <c r="GB111" s="46"/>
      <c r="GC111" s="46"/>
      <c r="GD111" s="46"/>
      <c r="GE111" s="46"/>
      <c r="GF111" s="46"/>
      <c r="GG111" s="46"/>
      <c r="GH111" s="46"/>
    </row>
    <row r="112" spans="2:190" s="47" customFormat="1" ht="15" hidden="1">
      <c r="B112" s="1223" t="str">
        <f>'Registo Calibração'!D51</f>
        <v>0,0</v>
      </c>
      <c r="C112" s="1223"/>
      <c r="D112" s="1223"/>
      <c r="E112" s="1223"/>
      <c r="F112" s="1223"/>
      <c r="G112" s="1223"/>
      <c r="H112" s="1223"/>
      <c r="I112" s="1223"/>
      <c r="J112" s="1223"/>
      <c r="K112" s="477"/>
      <c r="L112" s="1223" t="str">
        <f>'Registo Calibração'!H53</f>
        <v>------</v>
      </c>
      <c r="M112" s="1223"/>
      <c r="N112" s="1223"/>
      <c r="O112" s="1223"/>
      <c r="P112" s="1223"/>
      <c r="Q112" s="1223"/>
      <c r="R112" s="1223"/>
      <c r="S112" s="1223"/>
      <c r="T112" s="1223"/>
      <c r="U112" s="1223"/>
      <c r="V112" s="1223"/>
      <c r="W112" s="478"/>
      <c r="X112" s="1224" t="str">
        <f>'Registo Calibração'!I53</f>
        <v>------</v>
      </c>
      <c r="Y112" s="1220"/>
      <c r="Z112" s="1220"/>
      <c r="AA112" s="1220"/>
      <c r="AB112" s="1220"/>
      <c r="AC112" s="1220"/>
      <c r="AD112" s="1220"/>
      <c r="AE112" s="1220"/>
      <c r="AF112" s="1220"/>
      <c r="AG112" s="1220"/>
      <c r="AH112" s="479"/>
      <c r="AI112" s="1223" t="str">
        <f>'Registo Calibração'!J53</f>
        <v>&gt; 500</v>
      </c>
      <c r="AJ112" s="1220"/>
      <c r="AK112" s="1220"/>
      <c r="AL112" s="479"/>
      <c r="AM112" s="1219" t="e">
        <f>'Registo Calibração'!K53</f>
        <v>#DIV/0!</v>
      </c>
      <c r="AN112" s="1220"/>
      <c r="AO112" s="1220"/>
      <c r="AP112" s="1220"/>
      <c r="AQ112" s="479"/>
      <c r="AR112" s="1224" t="str">
        <f>'Registo Calibração'!L53</f>
        <v>------</v>
      </c>
      <c r="AS112" s="1220"/>
      <c r="AT112" s="1220"/>
      <c r="AU112" s="1220"/>
      <c r="AV112" s="1220"/>
      <c r="AW112" s="406"/>
      <c r="FK112" s="46"/>
      <c r="FL112" s="46"/>
      <c r="FM112" s="46"/>
      <c r="FN112" s="46"/>
      <c r="FO112" s="46"/>
      <c r="FP112" s="46"/>
      <c r="FQ112" s="46"/>
      <c r="FR112" s="46"/>
      <c r="FS112" s="46"/>
      <c r="FT112" s="46"/>
      <c r="FU112" s="46"/>
      <c r="FV112" s="46"/>
      <c r="FW112" s="46"/>
      <c r="FX112" s="46"/>
      <c r="FY112" s="46"/>
      <c r="FZ112" s="46"/>
      <c r="GA112" s="46"/>
      <c r="GB112" s="46"/>
      <c r="GC112" s="46"/>
      <c r="GD112" s="46"/>
      <c r="GE112" s="46"/>
      <c r="GF112" s="46"/>
      <c r="GG112" s="46"/>
      <c r="GH112" s="46"/>
    </row>
    <row r="113" spans="1:190" s="47" customFormat="1" ht="15" hidden="1">
      <c r="B113" s="1223" t="str">
        <f>'Registo Calibração'!D57</f>
        <v>0,0</v>
      </c>
      <c r="C113" s="1223"/>
      <c r="D113" s="1223"/>
      <c r="E113" s="1223"/>
      <c r="F113" s="1223"/>
      <c r="G113" s="1223"/>
      <c r="H113" s="1223"/>
      <c r="I113" s="1223"/>
      <c r="J113" s="1223"/>
      <c r="K113" s="477"/>
      <c r="L113" s="1223" t="str">
        <f>'Registo Calibração'!H59</f>
        <v>------</v>
      </c>
      <c r="M113" s="1223"/>
      <c r="N113" s="1223"/>
      <c r="O113" s="1223"/>
      <c r="P113" s="1223"/>
      <c r="Q113" s="1223"/>
      <c r="R113" s="1223"/>
      <c r="S113" s="1223"/>
      <c r="T113" s="1223"/>
      <c r="U113" s="1223"/>
      <c r="V113" s="1223"/>
      <c r="W113" s="478"/>
      <c r="X113" s="1224" t="str">
        <f>'Registo Calibração'!I59</f>
        <v>------</v>
      </c>
      <c r="Y113" s="1220"/>
      <c r="Z113" s="1220"/>
      <c r="AA113" s="1220"/>
      <c r="AB113" s="1220"/>
      <c r="AC113" s="1220"/>
      <c r="AD113" s="1220"/>
      <c r="AE113" s="1220"/>
      <c r="AF113" s="1220"/>
      <c r="AG113" s="1220"/>
      <c r="AH113" s="479"/>
      <c r="AI113" s="1223" t="str">
        <f>'Registo Calibração'!J59</f>
        <v>&gt; 500</v>
      </c>
      <c r="AJ113" s="1220"/>
      <c r="AK113" s="1220"/>
      <c r="AL113" s="479"/>
      <c r="AM113" s="1219" t="e">
        <f>'Registo Calibração'!K59</f>
        <v>#DIV/0!</v>
      </c>
      <c r="AN113" s="1220"/>
      <c r="AO113" s="1220"/>
      <c r="AP113" s="1220"/>
      <c r="AQ113" s="479"/>
      <c r="AR113" s="1224" t="str">
        <f>'Registo Calibração'!L59</f>
        <v>------</v>
      </c>
      <c r="AS113" s="1220"/>
      <c r="AT113" s="1220"/>
      <c r="AU113" s="1220"/>
      <c r="AV113" s="1220"/>
      <c r="AW113" s="406"/>
      <c r="FK113" s="46"/>
      <c r="FL113" s="46"/>
      <c r="FM113" s="46"/>
      <c r="FN113" s="46"/>
      <c r="FO113" s="46"/>
      <c r="FP113" s="46"/>
      <c r="FQ113" s="46"/>
      <c r="FR113" s="46"/>
      <c r="FS113" s="46"/>
      <c r="FT113" s="46"/>
      <c r="FU113" s="46"/>
      <c r="FV113" s="46"/>
      <c r="FW113" s="46"/>
      <c r="FX113" s="46"/>
      <c r="FY113" s="46"/>
      <c r="FZ113" s="46"/>
      <c r="GA113" s="46"/>
      <c r="GB113" s="46"/>
      <c r="GC113" s="46"/>
      <c r="GD113" s="46"/>
      <c r="GE113" s="46"/>
      <c r="GF113" s="46"/>
      <c r="GG113" s="46"/>
      <c r="GH113" s="46"/>
    </row>
    <row r="114" spans="1:190" s="47" customFormat="1" ht="15" hidden="1">
      <c r="B114" s="1223" t="str">
        <f>'Registo Calibração'!D63</f>
        <v>0,0</v>
      </c>
      <c r="C114" s="1223"/>
      <c r="D114" s="1223"/>
      <c r="E114" s="1223"/>
      <c r="F114" s="1223"/>
      <c r="G114" s="1223"/>
      <c r="H114" s="1223"/>
      <c r="I114" s="1223"/>
      <c r="J114" s="1223"/>
      <c r="K114" s="477"/>
      <c r="L114" s="1223" t="str">
        <f>'Registo Calibração'!H65</f>
        <v>------</v>
      </c>
      <c r="M114" s="1223"/>
      <c r="N114" s="1223"/>
      <c r="O114" s="1223"/>
      <c r="P114" s="1223"/>
      <c r="Q114" s="1223"/>
      <c r="R114" s="1223"/>
      <c r="S114" s="1223"/>
      <c r="T114" s="1223"/>
      <c r="U114" s="1223"/>
      <c r="V114" s="1223"/>
      <c r="W114" s="478"/>
      <c r="X114" s="1224" t="str">
        <f>'Registo Calibração'!I65</f>
        <v>-------</v>
      </c>
      <c r="Y114" s="1220"/>
      <c r="Z114" s="1220"/>
      <c r="AA114" s="1220"/>
      <c r="AB114" s="1220"/>
      <c r="AC114" s="1220"/>
      <c r="AD114" s="1220"/>
      <c r="AE114" s="1220"/>
      <c r="AF114" s="1220"/>
      <c r="AG114" s="1220"/>
      <c r="AH114" s="479"/>
      <c r="AI114" s="1223" t="str">
        <f>'Registo Calibração'!J65</f>
        <v>&gt; 500</v>
      </c>
      <c r="AJ114" s="1220"/>
      <c r="AK114" s="1220"/>
      <c r="AL114" s="479"/>
      <c r="AM114" s="1219" t="e">
        <f>'Registo Calibração'!K65</f>
        <v>#DIV/0!</v>
      </c>
      <c r="AN114" s="1220"/>
      <c r="AO114" s="1220"/>
      <c r="AP114" s="1220"/>
      <c r="AQ114" s="479"/>
      <c r="AR114" s="1224" t="str">
        <f>'Registo Calibração'!L65</f>
        <v>-------</v>
      </c>
      <c r="AS114" s="1220"/>
      <c r="AT114" s="1220"/>
      <c r="AU114" s="1220"/>
      <c r="AV114" s="1220"/>
      <c r="AW114" s="406"/>
      <c r="FK114" s="46"/>
      <c r="FL114" s="46"/>
      <c r="FM114" s="46"/>
      <c r="FN114" s="46"/>
      <c r="FO114" s="46"/>
      <c r="FP114" s="46"/>
      <c r="FQ114" s="46"/>
      <c r="FR114" s="46"/>
      <c r="FS114" s="46"/>
      <c r="FT114" s="46"/>
      <c r="FU114" s="46"/>
      <c r="FV114" s="46"/>
      <c r="FW114" s="46"/>
      <c r="FX114" s="46"/>
      <c r="FY114" s="46"/>
      <c r="FZ114" s="46"/>
      <c r="GA114" s="46"/>
      <c r="GB114" s="46"/>
      <c r="GC114" s="46"/>
      <c r="GD114" s="46"/>
      <c r="GE114" s="46"/>
      <c r="GF114" s="46"/>
      <c r="GG114" s="46"/>
      <c r="GH114" s="46"/>
    </row>
    <row r="115" spans="1:190" s="47" customFormat="1" ht="15" hidden="1">
      <c r="B115" s="1223" t="str">
        <f>'Registo Calibração'!D69</f>
        <v>0,0</v>
      </c>
      <c r="C115" s="1223"/>
      <c r="D115" s="1223"/>
      <c r="E115" s="1223"/>
      <c r="F115" s="1223"/>
      <c r="G115" s="1223"/>
      <c r="H115" s="1223"/>
      <c r="I115" s="1223"/>
      <c r="J115" s="1223"/>
      <c r="K115" s="477"/>
      <c r="L115" s="1223" t="str">
        <f>'Registo Calibração'!H71</f>
        <v>------</v>
      </c>
      <c r="M115" s="1223"/>
      <c r="N115" s="1223"/>
      <c r="O115" s="1223"/>
      <c r="P115" s="1223"/>
      <c r="Q115" s="1223"/>
      <c r="R115" s="1223"/>
      <c r="S115" s="1223"/>
      <c r="T115" s="1223"/>
      <c r="U115" s="1223"/>
      <c r="V115" s="1223"/>
      <c r="W115" s="478"/>
      <c r="X115" s="1224" t="str">
        <f>'Registo Calibração'!I71</f>
        <v>-------</v>
      </c>
      <c r="Y115" s="1220"/>
      <c r="Z115" s="1220"/>
      <c r="AA115" s="1220"/>
      <c r="AB115" s="1220"/>
      <c r="AC115" s="1220"/>
      <c r="AD115" s="1220"/>
      <c r="AE115" s="1220"/>
      <c r="AF115" s="1220"/>
      <c r="AG115" s="1220"/>
      <c r="AH115" s="479"/>
      <c r="AI115" s="1223" t="str">
        <f>'Registo Calibração'!J71</f>
        <v>&gt; 500</v>
      </c>
      <c r="AJ115" s="1220"/>
      <c r="AK115" s="1220"/>
      <c r="AL115" s="479"/>
      <c r="AM115" s="1219" t="e">
        <f>'Registo Calibração'!K71</f>
        <v>#DIV/0!</v>
      </c>
      <c r="AN115" s="1220"/>
      <c r="AO115" s="1220"/>
      <c r="AP115" s="1220"/>
      <c r="AQ115" s="479"/>
      <c r="AR115" s="1224" t="str">
        <f>'Registo Calibração'!L71</f>
        <v>-------</v>
      </c>
      <c r="AS115" s="1220"/>
      <c r="AT115" s="1220"/>
      <c r="AU115" s="1220"/>
      <c r="AV115" s="1220"/>
      <c r="AW115" s="406"/>
      <c r="FK115" s="46"/>
      <c r="FL115" s="46"/>
      <c r="FM115" s="46"/>
      <c r="FN115" s="46"/>
      <c r="FO115" s="46"/>
      <c r="FP115" s="46"/>
      <c r="FQ115" s="46"/>
      <c r="FR115" s="46"/>
      <c r="FS115" s="46"/>
      <c r="FT115" s="46"/>
      <c r="FU115" s="46"/>
      <c r="FV115" s="46"/>
      <c r="FW115" s="46"/>
      <c r="FX115" s="46"/>
      <c r="FY115" s="46"/>
      <c r="FZ115" s="46"/>
      <c r="GA115" s="46"/>
      <c r="GB115" s="46"/>
      <c r="GC115" s="46"/>
      <c r="GD115" s="46"/>
      <c r="GE115" s="46"/>
      <c r="GF115" s="46"/>
      <c r="GG115" s="46"/>
      <c r="GH115" s="46"/>
    </row>
    <row r="116" spans="1:190" s="47" customFormat="1" ht="13.5" hidden="1" customHeight="1">
      <c r="B116" s="1223" t="str">
        <f>'Registo Calibração'!D75</f>
        <v>0,0</v>
      </c>
      <c r="C116" s="1223"/>
      <c r="D116" s="1223"/>
      <c r="E116" s="1223"/>
      <c r="F116" s="1223"/>
      <c r="G116" s="1223"/>
      <c r="H116" s="1223"/>
      <c r="I116" s="1223"/>
      <c r="J116" s="1223"/>
      <c r="K116" s="477"/>
      <c r="L116" s="1223">
        <f>'Registo Calibração'!H804</f>
        <v>0</v>
      </c>
      <c r="M116" s="1223"/>
      <c r="N116" s="1223"/>
      <c r="O116" s="1223"/>
      <c r="P116" s="1223"/>
      <c r="Q116" s="1223"/>
      <c r="R116" s="1223"/>
      <c r="S116" s="1223"/>
      <c r="T116" s="1223"/>
      <c r="U116" s="1223"/>
      <c r="V116" s="1223"/>
      <c r="W116" s="478"/>
      <c r="X116" s="1224" t="str">
        <f>'Registo Calibração'!I77</f>
        <v>-----</v>
      </c>
      <c r="Y116" s="1220"/>
      <c r="Z116" s="1220"/>
      <c r="AA116" s="1220"/>
      <c r="AB116" s="1220"/>
      <c r="AC116" s="1220"/>
      <c r="AD116" s="1220"/>
      <c r="AE116" s="1220"/>
      <c r="AF116" s="1220"/>
      <c r="AG116" s="1220"/>
      <c r="AH116" s="479"/>
      <c r="AI116" s="1223" t="str">
        <f>'Registo Calibração'!J77</f>
        <v>&gt; 500</v>
      </c>
      <c r="AJ116" s="1220"/>
      <c r="AK116" s="1220"/>
      <c r="AL116" s="479"/>
      <c r="AM116" s="1219" t="e">
        <f>'Registo Calibração'!K77</f>
        <v>#DIV/0!</v>
      </c>
      <c r="AN116" s="1220"/>
      <c r="AO116" s="1220"/>
      <c r="AP116" s="1220"/>
      <c r="AQ116" s="479"/>
      <c r="AR116" s="1224" t="str">
        <f>'Registo Calibração'!L77</f>
        <v>------</v>
      </c>
      <c r="AS116" s="1220"/>
      <c r="AT116" s="1220"/>
      <c r="AU116" s="1220"/>
      <c r="AV116" s="1220"/>
      <c r="AW116" s="406"/>
      <c r="FK116" s="46"/>
      <c r="FL116" s="46"/>
      <c r="FM116" s="46"/>
      <c r="FN116" s="46"/>
      <c r="FO116" s="46"/>
      <c r="FP116" s="46"/>
      <c r="FQ116" s="46"/>
      <c r="FR116" s="46"/>
      <c r="FS116" s="46"/>
      <c r="FT116" s="46"/>
      <c r="FU116" s="46"/>
      <c r="FV116" s="46"/>
      <c r="FW116" s="46"/>
      <c r="FX116" s="46"/>
      <c r="FY116" s="46"/>
      <c r="FZ116" s="46"/>
      <c r="GA116" s="46"/>
      <c r="GB116" s="46"/>
      <c r="GC116" s="46"/>
      <c r="GD116" s="46"/>
      <c r="GE116" s="46"/>
      <c r="GF116" s="46"/>
      <c r="GG116" s="46"/>
      <c r="GH116" s="46"/>
    </row>
    <row r="117" spans="1:190" s="47" customFormat="1" ht="9.75" customHeight="1">
      <c r="A117" s="484"/>
      <c r="B117" s="485"/>
      <c r="C117" s="485"/>
      <c r="D117" s="485"/>
      <c r="E117" s="485"/>
      <c r="F117" s="485"/>
      <c r="G117" s="485"/>
      <c r="H117" s="485"/>
      <c r="I117" s="485"/>
      <c r="J117" s="485"/>
      <c r="K117" s="485"/>
      <c r="L117" s="485"/>
      <c r="M117" s="485"/>
      <c r="N117" s="485"/>
      <c r="O117" s="486"/>
      <c r="P117" s="486"/>
      <c r="Q117" s="486"/>
      <c r="R117" s="486"/>
      <c r="S117" s="486"/>
      <c r="T117" s="486"/>
      <c r="U117" s="486"/>
      <c r="V117" s="486"/>
      <c r="W117" s="486"/>
      <c r="X117" s="486"/>
      <c r="Y117" s="486"/>
      <c r="Z117" s="486"/>
      <c r="AA117" s="486"/>
      <c r="AB117" s="486"/>
      <c r="AC117" s="487"/>
      <c r="AD117" s="487"/>
      <c r="AE117" s="487"/>
      <c r="AF117" s="487"/>
      <c r="AG117" s="487"/>
      <c r="AH117" s="487"/>
      <c r="AI117" s="487"/>
      <c r="AJ117" s="487"/>
      <c r="AK117" s="487"/>
      <c r="AL117" s="487"/>
      <c r="AM117" s="487"/>
      <c r="AN117" s="487"/>
      <c r="AO117" s="487"/>
      <c r="AP117" s="487"/>
      <c r="AQ117" s="487"/>
      <c r="AR117" s="487"/>
      <c r="AS117" s="487"/>
      <c r="AT117" s="487"/>
      <c r="AU117" s="487"/>
      <c r="AV117" s="484"/>
      <c r="AW117" s="427"/>
      <c r="FK117" s="46"/>
      <c r="FL117" s="46"/>
      <c r="FM117" s="46"/>
      <c r="FN117" s="46"/>
      <c r="FO117" s="46"/>
      <c r="FP117" s="46"/>
      <c r="FQ117" s="46"/>
      <c r="FR117" s="46"/>
      <c r="FS117" s="46"/>
      <c r="FT117" s="46"/>
      <c r="FU117" s="46"/>
      <c r="FV117" s="46"/>
      <c r="FW117" s="46"/>
      <c r="FX117" s="46"/>
      <c r="FY117" s="46"/>
      <c r="FZ117" s="46"/>
      <c r="GA117" s="46"/>
      <c r="GB117" s="46"/>
      <c r="GC117" s="46"/>
      <c r="GD117" s="46"/>
      <c r="GE117" s="46"/>
      <c r="GF117" s="46"/>
      <c r="GG117" s="46"/>
      <c r="GH117" s="46"/>
    </row>
    <row r="118" spans="1:190" s="47" customFormat="1" ht="36.75" customHeight="1">
      <c r="A118" s="88"/>
      <c r="B118" s="1281" t="str">
        <f>IF(AP73="","",CONCATENATE("Os ensaios foram realizados com uma resolução melhor que d",", dT = ",AP73," ", AV73,", sendo as indicações obtidas através do “modo serviço”."))</f>
        <v/>
      </c>
      <c r="C118" s="1281"/>
      <c r="D118" s="1281"/>
      <c r="E118" s="1281"/>
      <c r="F118" s="1281"/>
      <c r="G118" s="1281"/>
      <c r="H118" s="1281"/>
      <c r="I118" s="1281"/>
      <c r="J118" s="1281"/>
      <c r="K118" s="1281"/>
      <c r="L118" s="1281"/>
      <c r="M118" s="1281"/>
      <c r="N118" s="1281"/>
      <c r="O118" s="1281"/>
      <c r="P118" s="1281"/>
      <c r="Q118" s="1281"/>
      <c r="R118" s="1281"/>
      <c r="S118" s="1281"/>
      <c r="T118" s="1281"/>
      <c r="U118" s="1281"/>
      <c r="V118" s="1281"/>
      <c r="W118" s="1281"/>
      <c r="X118" s="1281"/>
      <c r="Y118" s="1281"/>
      <c r="Z118" s="1281"/>
      <c r="AA118" s="1281"/>
      <c r="AB118" s="1281"/>
      <c r="AC118" s="1281"/>
      <c r="AD118" s="1281"/>
      <c r="AE118" s="1281"/>
      <c r="AF118" s="1281"/>
      <c r="AG118" s="1281"/>
      <c r="AH118" s="1281"/>
      <c r="AI118" s="1281"/>
      <c r="AJ118" s="1281"/>
      <c r="AK118" s="1281"/>
      <c r="AL118" s="1281"/>
      <c r="AM118" s="1281"/>
      <c r="AN118" s="1281"/>
      <c r="AO118" s="1281"/>
      <c r="AP118" s="1281"/>
      <c r="AQ118" s="1281"/>
      <c r="AR118" s="1281"/>
      <c r="AS118" s="1281"/>
      <c r="AT118" s="1281"/>
      <c r="AU118" s="1281"/>
      <c r="AV118" s="1281"/>
      <c r="AW118" s="406"/>
      <c r="FK118" s="46"/>
      <c r="FL118" s="46"/>
      <c r="FM118" s="46"/>
      <c r="FN118" s="46"/>
      <c r="FO118" s="46"/>
      <c r="FP118" s="46"/>
      <c r="FQ118" s="46"/>
      <c r="FR118" s="46"/>
      <c r="FS118" s="46"/>
      <c r="FT118" s="46"/>
      <c r="FU118" s="46"/>
      <c r="FV118" s="46"/>
      <c r="FW118" s="46"/>
      <c r="FX118" s="46"/>
      <c r="FY118" s="46"/>
      <c r="FZ118" s="46"/>
      <c r="GA118" s="46"/>
      <c r="GB118" s="46"/>
      <c r="GC118" s="46"/>
      <c r="GD118" s="46"/>
      <c r="GE118" s="46"/>
      <c r="GF118" s="46"/>
      <c r="GG118" s="46"/>
      <c r="GH118" s="46"/>
    </row>
    <row r="119" spans="1:190" ht="20.25" customHeight="1">
      <c r="A119" s="47"/>
      <c r="B119" s="1260" t="str">
        <f>IF('Registo Calibração'!AK3="Sim",CONCATENATE("Local de calibração: ",'Registo Calibração'!AI5),IF('Registo Calibração'!G5&lt;&gt;"",CONCATENATE("Local de calibração: ",'Registo Calibração'!G5," ",'Registo Calibração'!G6),CONCATENATE("Local de calibração: ",'Registo Calibração'!C5," ",'Registo Calibração'!C6)))</f>
        <v>Local de calibração: 0 0</v>
      </c>
      <c r="C119" s="1260"/>
      <c r="D119" s="1260"/>
      <c r="E119" s="1260"/>
      <c r="F119" s="1260"/>
      <c r="G119" s="1260"/>
      <c r="H119" s="1260"/>
      <c r="I119" s="1260"/>
      <c r="J119" s="1260"/>
      <c r="K119" s="1260"/>
      <c r="L119" s="1260"/>
      <c r="M119" s="1260"/>
      <c r="N119" s="1260"/>
      <c r="O119" s="1260"/>
      <c r="P119" s="1260"/>
      <c r="Q119" s="1260"/>
      <c r="R119" s="1260"/>
      <c r="S119" s="1260"/>
      <c r="T119" s="1260"/>
      <c r="U119" s="1260"/>
      <c r="V119" s="1260"/>
      <c r="W119" s="1260"/>
      <c r="X119" s="1260"/>
      <c r="Y119" s="1260"/>
      <c r="Z119" s="1260"/>
      <c r="AA119" s="1260"/>
      <c r="AB119" s="1260"/>
      <c r="AC119" s="1260"/>
      <c r="AD119" s="1260"/>
      <c r="AE119" s="1260"/>
      <c r="AF119" s="1260"/>
      <c r="AG119" s="1260"/>
      <c r="AH119" s="1260"/>
      <c r="AI119" s="1260"/>
      <c r="AJ119" s="1260"/>
      <c r="AK119" s="1260"/>
      <c r="AL119" s="1260"/>
      <c r="AM119" s="1260"/>
      <c r="AN119" s="1260"/>
      <c r="AO119" s="1260"/>
      <c r="AP119" s="1260"/>
      <c r="AQ119" s="1260"/>
      <c r="AR119" s="1260"/>
      <c r="AS119" s="1260"/>
      <c r="AT119" s="1260"/>
      <c r="AU119" s="1260"/>
      <c r="AV119" s="1260"/>
      <c r="AW119" s="406"/>
    </row>
    <row r="120" spans="1:190" ht="50.25" customHeight="1">
      <c r="B120" s="455" t="s">
        <v>404</v>
      </c>
      <c r="C120" s="455"/>
      <c r="D120" s="455"/>
      <c r="E120" s="455"/>
      <c r="F120" s="455"/>
      <c r="G120" s="1213"/>
      <c r="H120" s="1213"/>
      <c r="I120" s="1213"/>
      <c r="J120" s="1213"/>
      <c r="K120" s="1213"/>
      <c r="L120" s="1213"/>
      <c r="M120" s="1213"/>
      <c r="N120" s="1213"/>
      <c r="O120" s="1213"/>
      <c r="P120" s="1213"/>
      <c r="Q120" s="1213"/>
      <c r="R120" s="1213"/>
      <c r="S120" s="1213"/>
      <c r="T120" s="1213"/>
      <c r="W120" s="455"/>
      <c r="X120" s="456" t="s">
        <v>405</v>
      </c>
      <c r="Y120" s="455"/>
      <c r="Z120" s="455"/>
      <c r="AA120" s="455"/>
      <c r="AB120" s="455"/>
      <c r="AC120" s="455"/>
      <c r="AD120" s="455"/>
      <c r="AE120" s="455"/>
      <c r="AF120" s="455"/>
      <c r="AG120" s="1215"/>
      <c r="AH120" s="1215"/>
      <c r="AI120" s="1215"/>
      <c r="AJ120" s="1215"/>
      <c r="AK120" s="1215"/>
      <c r="AL120" s="1215"/>
      <c r="AM120" s="1215"/>
      <c r="AN120" s="1215"/>
      <c r="AO120" s="1215"/>
      <c r="AP120" s="1215"/>
      <c r="AQ120" s="1215"/>
      <c r="AR120" s="1215"/>
      <c r="AS120" s="1215"/>
      <c r="AT120" s="1215"/>
    </row>
    <row r="121" spans="1:190" ht="19.5" customHeight="1">
      <c r="G121" s="34"/>
      <c r="H121" s="34"/>
      <c r="I121" s="1214" t="str">
        <f>VLOOKUP('Registo Calibração'!AV$112,'Registo Calibração'!AT$102:$AU$110,2)</f>
        <v>Vitor Rodrigues</v>
      </c>
      <c r="J121" s="1214"/>
      <c r="K121" s="1214"/>
      <c r="L121" s="1214"/>
      <c r="M121" s="1214"/>
      <c r="N121" s="1214"/>
      <c r="O121" s="1214"/>
      <c r="P121" s="1214"/>
      <c r="Q121" s="1214"/>
      <c r="R121" s="1214"/>
      <c r="S121" s="457"/>
      <c r="T121" s="457"/>
      <c r="U121" s="458"/>
      <c r="V121" s="458"/>
      <c r="W121" s="458"/>
      <c r="X121" s="458"/>
      <c r="Y121" s="458"/>
      <c r="Z121" s="458"/>
      <c r="AA121" s="458"/>
      <c r="AB121" s="458"/>
      <c r="AC121" s="458"/>
      <c r="AD121" s="458"/>
      <c r="AE121" s="458"/>
      <c r="AF121" s="458"/>
      <c r="AG121" s="457"/>
      <c r="AH121" s="457"/>
      <c r="AI121" s="1214" t="s">
        <v>96</v>
      </c>
      <c r="AJ121" s="1214"/>
      <c r="AK121" s="1214"/>
      <c r="AL121" s="1214"/>
      <c r="AM121" s="1214"/>
      <c r="AN121" s="1214"/>
      <c r="AO121" s="1214"/>
      <c r="AP121" s="1214"/>
      <c r="AQ121" s="1214"/>
      <c r="AR121" s="1214"/>
      <c r="AS121" s="34"/>
      <c r="AT121" s="34"/>
      <c r="AW121" s="406"/>
    </row>
    <row r="123" spans="1:190" ht="23.25" customHeight="1">
      <c r="A123" s="1274" t="s">
        <v>469</v>
      </c>
      <c r="B123" s="1274"/>
      <c r="C123" s="1274"/>
      <c r="D123" s="1274"/>
      <c r="E123" s="1274"/>
      <c r="F123" s="1274"/>
      <c r="G123" s="1274"/>
      <c r="H123" s="1274"/>
      <c r="I123" s="1274"/>
      <c r="J123" s="1274"/>
      <c r="K123" s="1274"/>
      <c r="L123" s="1274"/>
      <c r="M123" s="1274"/>
      <c r="N123" s="1274"/>
      <c r="O123" s="1274"/>
      <c r="P123" s="1274"/>
      <c r="Q123" s="1274"/>
      <c r="R123" s="1274"/>
      <c r="S123" s="1274"/>
      <c r="T123" s="1274"/>
      <c r="U123" s="1274"/>
      <c r="V123" s="1274"/>
      <c r="W123" s="1274"/>
      <c r="X123" s="1274"/>
      <c r="Y123" s="1274"/>
      <c r="Z123" s="1274"/>
      <c r="AA123" s="1274"/>
      <c r="AB123" s="1274"/>
      <c r="AC123" s="1274"/>
      <c r="AD123" s="1274"/>
      <c r="AE123" s="1274"/>
      <c r="AF123" s="1274"/>
      <c r="AG123" s="1274"/>
      <c r="AH123" s="1274"/>
      <c r="AI123" s="1274"/>
      <c r="AJ123" s="1274"/>
      <c r="AK123" s="1274"/>
      <c r="AL123" s="1274"/>
      <c r="AM123" s="1274"/>
      <c r="AN123" s="1274"/>
      <c r="AO123" s="1274"/>
      <c r="AP123" s="1274"/>
      <c r="AQ123" s="1274"/>
      <c r="AR123" s="1274"/>
      <c r="AS123" s="1274"/>
      <c r="AT123" s="1274"/>
      <c r="AU123" s="1274"/>
      <c r="AV123" s="1274"/>
      <c r="AW123" s="1274"/>
    </row>
    <row r="124" spans="1:190" ht="53.25" customHeight="1">
      <c r="A124" s="281"/>
      <c r="B124" s="281"/>
      <c r="C124" s="281"/>
      <c r="D124" s="281"/>
      <c r="E124" s="281"/>
      <c r="F124" s="281"/>
      <c r="G124" s="281"/>
      <c r="H124" s="281"/>
      <c r="I124" s="281"/>
      <c r="J124" s="281"/>
      <c r="K124" s="281"/>
      <c r="L124" s="281"/>
      <c r="M124" s="281"/>
      <c r="N124" s="281"/>
      <c r="O124" s="753"/>
      <c r="P124" s="753"/>
      <c r="Q124" s="753"/>
      <c r="R124" s="753"/>
      <c r="S124" s="753"/>
      <c r="T124" s="753"/>
      <c r="U124" s="753"/>
      <c r="V124" s="753"/>
      <c r="W124" s="753"/>
      <c r="X124" s="753"/>
      <c r="Y124" s="754"/>
      <c r="Z124" s="754"/>
      <c r="AA124" s="754"/>
      <c r="AB124" s="754"/>
      <c r="AC124" s="281"/>
      <c r="AD124" s="281"/>
      <c r="AE124" s="281"/>
      <c r="AF124" s="281"/>
      <c r="AG124" s="281"/>
      <c r="AH124" s="281"/>
      <c r="AI124" s="281"/>
      <c r="AJ124" s="281"/>
      <c r="AK124" s="281"/>
      <c r="AL124" s="281"/>
      <c r="AM124" s="281"/>
      <c r="AN124" s="281"/>
      <c r="AO124" s="281"/>
      <c r="AP124" s="281"/>
      <c r="AQ124" s="281"/>
      <c r="AR124" s="281"/>
      <c r="AS124" s="281"/>
      <c r="AT124" s="281"/>
      <c r="AU124" s="281"/>
      <c r="AV124" s="281"/>
      <c r="AW124" s="755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</row>
    <row r="125" spans="1:190" ht="16.5" customHeight="1">
      <c r="AW125" s="406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</row>
    <row r="126" spans="1:190" ht="15.75" customHeight="1">
      <c r="A126" s="1209" t="s">
        <v>406</v>
      </c>
      <c r="B126" s="1209"/>
      <c r="C126" s="1209"/>
      <c r="D126" s="1209"/>
      <c r="E126" s="1209"/>
      <c r="F126" s="1209"/>
      <c r="G126" s="1209"/>
      <c r="H126" s="1209"/>
      <c r="I126" s="1209"/>
      <c r="J126" s="1209"/>
      <c r="K126" s="1249" t="str">
        <f>$F$4</f>
        <v/>
      </c>
      <c r="L126" s="1249"/>
      <c r="M126" s="1249"/>
      <c r="N126" s="1249"/>
      <c r="O126" s="1249"/>
      <c r="P126" s="1249"/>
      <c r="Q126" s="1249"/>
      <c r="R126" s="1249"/>
      <c r="S126" s="1249"/>
      <c r="X126" s="1211"/>
      <c r="Y126" s="1211"/>
      <c r="Z126" s="1211"/>
      <c r="AA126" s="1211"/>
      <c r="AB126" s="1211"/>
      <c r="AC126" s="1211"/>
      <c r="AD126" s="1211"/>
      <c r="AE126" s="1211"/>
      <c r="AF126" s="1211"/>
      <c r="AG126" s="1211"/>
      <c r="AH126" s="1211"/>
      <c r="AI126" s="1211"/>
      <c r="AJ126" s="1211"/>
      <c r="AW126" s="406"/>
      <c r="AX126"/>
      <c r="AY126"/>
      <c r="AZ126"/>
    </row>
    <row r="127" spans="1:190" ht="14.25" customHeight="1">
      <c r="A127" s="1210" t="s">
        <v>408</v>
      </c>
      <c r="B127" s="1210"/>
      <c r="C127" s="1210"/>
      <c r="D127" s="1210"/>
      <c r="E127" s="1210"/>
      <c r="F127" s="1210"/>
      <c r="K127" s="756"/>
      <c r="X127" s="1211"/>
      <c r="Y127" s="1211"/>
      <c r="Z127" s="1211"/>
      <c r="AA127" s="1211"/>
      <c r="AB127" s="1211"/>
      <c r="AC127" s="1211"/>
      <c r="AD127" s="1211"/>
      <c r="AE127" s="1211"/>
      <c r="AF127" s="1211"/>
      <c r="AG127" s="1211"/>
      <c r="AH127" s="1211"/>
      <c r="AI127" s="1211"/>
      <c r="AJ127" s="1211"/>
      <c r="AL127" s="410"/>
      <c r="AM127" s="410"/>
      <c r="AN127" s="410"/>
      <c r="AO127" s="410"/>
      <c r="AP127" s="410"/>
      <c r="AU127" s="63"/>
      <c r="AW127" s="406"/>
      <c r="AX127"/>
      <c r="AY127"/>
      <c r="AZ127"/>
    </row>
    <row r="128" spans="1:190" ht="39" customHeight="1">
      <c r="B128" s="756"/>
      <c r="C128" s="756"/>
      <c r="D128" s="756"/>
      <c r="E128" s="756"/>
      <c r="F128" s="756"/>
      <c r="G128" s="756"/>
      <c r="H128" s="756"/>
      <c r="I128" s="756"/>
      <c r="J128" s="756"/>
      <c r="K128" s="756"/>
      <c r="X128" s="1212"/>
      <c r="Y128" s="1212"/>
      <c r="Z128" s="1212"/>
      <c r="AA128" s="1212"/>
      <c r="AB128" s="1212"/>
      <c r="AC128" s="1212"/>
      <c r="AD128" s="1212"/>
      <c r="AE128" s="1212"/>
      <c r="AF128" s="1212"/>
      <c r="AG128" s="1212"/>
      <c r="AH128" s="1212"/>
      <c r="AI128" s="1212"/>
      <c r="AJ128" s="1212"/>
      <c r="AU128" s="63"/>
      <c r="AW128" s="406"/>
      <c r="AX128"/>
      <c r="AY128"/>
      <c r="AZ128"/>
      <c r="BY128" s="468"/>
      <c r="BZ128" s="468"/>
      <c r="CA128" s="468"/>
      <c r="CB128" s="468"/>
      <c r="CC128" s="468"/>
      <c r="CD128" s="468"/>
      <c r="CE128" s="468"/>
      <c r="CF128" s="468"/>
      <c r="CG128" s="468"/>
      <c r="CH128" s="468"/>
      <c r="CI128" s="468"/>
      <c r="CJ128" s="468"/>
      <c r="CK128" s="468"/>
      <c r="CL128" s="468"/>
      <c r="CM128" s="468"/>
    </row>
    <row r="129" spans="1:190" s="37" customFormat="1" ht="21.75" customHeight="1">
      <c r="A129" s="1"/>
      <c r="B129" s="1279" t="str">
        <f>'Registo Calibração'!$N$10</f>
        <v/>
      </c>
      <c r="C129" s="1279"/>
      <c r="D129" s="1279"/>
      <c r="E129" s="1279"/>
      <c r="F129" s="1279"/>
      <c r="G129" s="1279"/>
      <c r="H129" s="1279"/>
      <c r="I129" s="1279"/>
      <c r="J129" s="1279"/>
      <c r="K129" s="1279"/>
      <c r="L129" s="1279"/>
      <c r="M129" s="1279"/>
      <c r="N129" s="1279"/>
      <c r="O129" s="1279"/>
      <c r="P129" s="1279"/>
      <c r="Q129" s="1279"/>
      <c r="R129" s="1279"/>
      <c r="S129" s="1279"/>
      <c r="T129" s="1279"/>
      <c r="U129" s="1279"/>
      <c r="V129" s="1279"/>
      <c r="W129" s="1279"/>
      <c r="X129" s="1279"/>
      <c r="Y129" s="1279"/>
      <c r="Z129" s="1279"/>
      <c r="AA129" s="1279"/>
      <c r="AB129" s="1279"/>
      <c r="AC129" s="1279"/>
      <c r="AD129" s="1279"/>
      <c r="AE129" s="1280" t="str">
        <f>'Registo Calibração'!$Q$10</f>
        <v/>
      </c>
      <c r="AF129" s="1280"/>
      <c r="AG129" s="1280"/>
      <c r="AH129" s="1280"/>
      <c r="AI129" s="1280"/>
      <c r="AJ129" s="1280"/>
      <c r="AK129" s="1280"/>
      <c r="AL129" s="1280"/>
      <c r="AM129" s="1"/>
      <c r="AN129" s="1"/>
      <c r="AO129" s="1250" t="s">
        <v>433</v>
      </c>
      <c r="AP129" s="1250"/>
      <c r="AQ129" s="1250"/>
      <c r="AR129" s="1250"/>
      <c r="AS129" s="1250"/>
      <c r="AT129" s="1250"/>
      <c r="AU129" s="1250"/>
      <c r="AV129" s="1250"/>
      <c r="AW129" s="427"/>
      <c r="AX129"/>
      <c r="AY129"/>
      <c r="AZ129"/>
      <c r="BA129" s="90"/>
      <c r="BB129" s="90"/>
      <c r="CA129" s="468"/>
      <c r="CB129" s="468"/>
      <c r="CC129" s="468"/>
      <c r="CD129" s="468"/>
      <c r="CE129" s="468"/>
      <c r="CF129" s="468"/>
      <c r="CG129" s="468"/>
      <c r="CH129" s="468"/>
      <c r="CI129" s="468"/>
      <c r="CJ129" s="468"/>
      <c r="CK129" s="468"/>
      <c r="CL129" s="468"/>
      <c r="CM129" s="468"/>
      <c r="CN129"/>
      <c r="CO129"/>
      <c r="CP129"/>
      <c r="CQ129"/>
      <c r="FK129" s="35"/>
      <c r="FL129" s="35"/>
      <c r="FM129" s="35"/>
      <c r="FN129" s="35"/>
      <c r="FO129" s="35"/>
      <c r="FP129" s="35"/>
      <c r="FQ129" s="35"/>
      <c r="FR129" s="35"/>
      <c r="FS129" s="35"/>
      <c r="FT129" s="35"/>
      <c r="FU129" s="35"/>
      <c r="FV129" s="35"/>
      <c r="FW129" s="35"/>
      <c r="FX129" s="35"/>
      <c r="FY129" s="35"/>
      <c r="FZ129" s="35"/>
      <c r="GA129" s="35"/>
      <c r="GB129" s="35"/>
      <c r="GC129" s="35"/>
      <c r="GD129" s="35"/>
      <c r="GE129" s="35"/>
      <c r="GF129" s="35"/>
      <c r="GG129" s="35"/>
      <c r="GH129" s="35"/>
    </row>
    <row r="130" spans="1:190" ht="5.25" customHeight="1">
      <c r="O130" s="411"/>
      <c r="P130" s="411"/>
      <c r="Q130" s="411"/>
      <c r="R130" s="411"/>
      <c r="S130" s="411"/>
      <c r="T130" s="411"/>
      <c r="U130" s="411"/>
      <c r="V130" s="411"/>
      <c r="W130" s="411"/>
      <c r="X130" s="411"/>
      <c r="Y130" s="409"/>
      <c r="Z130" s="409"/>
      <c r="AA130" s="409"/>
      <c r="AB130" s="409"/>
      <c r="AW130" s="406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</row>
    <row r="131" spans="1:190" s="418" customFormat="1" ht="27" customHeight="1">
      <c r="B131" s="429" t="s">
        <v>357</v>
      </c>
      <c r="C131"/>
      <c r="D131"/>
      <c r="E131"/>
      <c r="F131" s="845"/>
      <c r="G131" s="845" t="s">
        <v>394</v>
      </c>
      <c r="H131"/>
      <c r="I131"/>
      <c r="J131"/>
      <c r="K131"/>
      <c r="L131"/>
      <c r="M131"/>
      <c r="N131"/>
      <c r="O131" s="425" t="str">
        <f>IF('Registo Calibração'!$C$7="","",'Registo Calibração'!$C$7)</f>
        <v/>
      </c>
      <c r="P131" s="87"/>
      <c r="Q131" s="87"/>
      <c r="R131" s="424"/>
      <c r="S131" s="424"/>
      <c r="T131" s="424"/>
      <c r="U131" s="424"/>
      <c r="V131" s="424"/>
      <c r="W131" s="424"/>
      <c r="X131" s="424"/>
      <c r="Y131" s="424"/>
      <c r="AT131" s="405"/>
      <c r="AU131" s="405"/>
      <c r="AV131" s="419"/>
      <c r="AW131" s="406"/>
      <c r="CR131" s="415"/>
      <c r="CS131" s="415"/>
      <c r="CT131" s="415"/>
      <c r="CU131" s="415"/>
      <c r="CV131" s="415"/>
      <c r="CW131" s="415"/>
      <c r="CX131" s="415"/>
      <c r="CY131" s="415"/>
      <c r="CZ131" s="415"/>
      <c r="DA131" s="415"/>
      <c r="DB131" s="415"/>
      <c r="DC131" s="415"/>
      <c r="DD131" s="415"/>
      <c r="DE131" s="415"/>
      <c r="DF131" s="415"/>
      <c r="DG131" s="415"/>
      <c r="DH131" s="415"/>
      <c r="DI131" s="415"/>
      <c r="DJ131" s="415"/>
      <c r="DK131" s="415"/>
      <c r="DL131" s="415"/>
      <c r="DM131" s="415"/>
      <c r="DN131" s="415"/>
      <c r="DO131" s="415"/>
      <c r="DP131" s="415"/>
      <c r="DQ131" s="415"/>
      <c r="DR131" s="415"/>
      <c r="DS131" s="415"/>
      <c r="DT131" s="415"/>
      <c r="DU131" s="415"/>
      <c r="DV131" s="415"/>
      <c r="DW131" s="415"/>
      <c r="DX131" s="415"/>
      <c r="DY131" s="415"/>
      <c r="DZ131" s="415"/>
      <c r="EA131" s="415"/>
      <c r="EB131" s="415"/>
      <c r="EC131" s="415"/>
      <c r="ED131" s="415"/>
      <c r="EE131" s="415"/>
      <c r="EF131" s="415"/>
      <c r="EG131" s="415"/>
      <c r="EH131" s="415"/>
      <c r="EI131" s="415"/>
      <c r="EJ131" s="415"/>
      <c r="EK131" s="415"/>
      <c r="EL131" s="415"/>
      <c r="EM131" s="415"/>
      <c r="EN131" s="415"/>
      <c r="EO131" s="415"/>
      <c r="EP131" s="415"/>
      <c r="EQ131" s="415"/>
      <c r="ER131" s="415"/>
      <c r="ES131" s="415"/>
      <c r="ET131" s="415"/>
      <c r="EU131" s="415"/>
      <c r="EV131" s="415"/>
      <c r="EW131" s="415"/>
      <c r="EX131" s="415"/>
      <c r="EY131" s="415"/>
      <c r="EZ131" s="415"/>
      <c r="FA131" s="415"/>
      <c r="FB131" s="415"/>
      <c r="FC131" s="415"/>
      <c r="FD131" s="415"/>
      <c r="FE131" s="415"/>
      <c r="FF131" s="415"/>
      <c r="FG131" s="415"/>
      <c r="FH131" s="415"/>
      <c r="FI131" s="415"/>
      <c r="FJ131" s="415"/>
      <c r="FK131" s="420"/>
      <c r="FL131" s="420"/>
      <c r="FM131" s="420"/>
      <c r="FN131" s="420"/>
      <c r="FO131" s="420"/>
      <c r="FP131" s="420"/>
      <c r="FQ131" s="420"/>
      <c r="FR131" s="420"/>
      <c r="FS131" s="420"/>
      <c r="FT131" s="420"/>
      <c r="FU131" s="420"/>
      <c r="FV131" s="420"/>
      <c r="FW131" s="420"/>
      <c r="FX131" s="420"/>
      <c r="FY131" s="420"/>
      <c r="FZ131" s="420"/>
      <c r="GA131" s="420"/>
      <c r="GB131" s="420"/>
      <c r="GC131" s="420"/>
      <c r="GD131" s="420"/>
      <c r="GE131" s="420"/>
      <c r="GF131" s="420"/>
      <c r="GG131" s="420"/>
      <c r="GH131" s="420"/>
    </row>
    <row r="132" spans="1:190" ht="3" customHeight="1">
      <c r="B132" s="1217"/>
      <c r="C132" s="1217"/>
      <c r="D132" s="1217"/>
      <c r="E132" s="1217"/>
      <c r="F132" s="421"/>
      <c r="G132" s="421"/>
      <c r="H132" s="421"/>
      <c r="O132" s="421"/>
      <c r="P132" s="414"/>
      <c r="W132" s="449"/>
      <c r="X132" s="449"/>
      <c r="Y132" s="449"/>
      <c r="Z132" s="449"/>
      <c r="AW132" s="406"/>
      <c r="AX132"/>
      <c r="AY132"/>
      <c r="AZ132"/>
      <c r="BA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</row>
    <row r="133" spans="1:190" ht="15.75" customHeight="1">
      <c r="B133" s="417" t="s">
        <v>360</v>
      </c>
      <c r="F133" s="37" t="s">
        <v>393</v>
      </c>
      <c r="O133" s="423" t="str">
        <f>IF('Registo Calibração'!$C$8="","N/C",'Registo Calibração'!$C$8)</f>
        <v>N/C</v>
      </c>
      <c r="P133" s="87"/>
      <c r="Q133" s="425"/>
      <c r="R133" s="425"/>
      <c r="S133" s="425"/>
      <c r="T133" s="425"/>
      <c r="U133" s="425"/>
      <c r="V133" s="425"/>
      <c r="W133" s="425"/>
      <c r="X133" s="425"/>
      <c r="Y133" s="425"/>
      <c r="Z133" s="425"/>
      <c r="AX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</row>
    <row r="134" spans="1:190" ht="3.75" customHeight="1">
      <c r="B134" s="421"/>
      <c r="Z134" s="282"/>
      <c r="AX134"/>
      <c r="AY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</row>
    <row r="135" spans="1:190" ht="13.5" customHeight="1">
      <c r="B135" s="417" t="s">
        <v>361</v>
      </c>
      <c r="G135" s="415" t="s">
        <v>395</v>
      </c>
      <c r="O135" s="423" t="str">
        <f>IF('Registo Calibração'!$C$9="","N/C",'Registo Calibração'!$C$9)</f>
        <v>N/C</v>
      </c>
      <c r="P135" s="423"/>
      <c r="Q135" s="423"/>
      <c r="R135" s="423"/>
      <c r="S135" s="423"/>
      <c r="T135" s="423"/>
      <c r="U135" s="423"/>
      <c r="V135" s="423"/>
      <c r="W135" s="423"/>
      <c r="X135" s="423"/>
      <c r="Y135" s="423"/>
      <c r="AA135" s="462" t="s">
        <v>429</v>
      </c>
      <c r="AC135" s="463"/>
      <c r="AD135" s="463"/>
      <c r="AE135" s="463"/>
      <c r="AF135" s="463"/>
      <c r="AG135" s="463"/>
      <c r="AO135" s="87"/>
      <c r="AP135" s="1278">
        <f>'2º MR-MI'!C13</f>
        <v>0</v>
      </c>
      <c r="AQ135" s="1278"/>
      <c r="AR135" s="1278"/>
      <c r="AS135" s="1278"/>
      <c r="AT135" s="1278"/>
      <c r="AU135" s="1278"/>
      <c r="AV135" s="1205" t="str">
        <f>'Registo Calibração'!$AV$77</f>
        <v>g</v>
      </c>
      <c r="AW135" s="1205"/>
      <c r="AX135"/>
    </row>
    <row r="136" spans="1:190" ht="3" customHeight="1">
      <c r="B136" s="421"/>
      <c r="AA136" s="282"/>
      <c r="AG136" s="461"/>
      <c r="AH136" s="461"/>
      <c r="AI136" s="461"/>
      <c r="AJ136" s="461"/>
      <c r="AK136" s="461"/>
      <c r="AL136" s="461"/>
      <c r="AM136" s="461"/>
      <c r="AN136" s="461"/>
      <c r="AO136" s="547"/>
      <c r="AP136" s="547"/>
      <c r="AQ136" s="547"/>
      <c r="AR136" s="547"/>
      <c r="AS136" s="547"/>
      <c r="AT136" s="87"/>
      <c r="AU136" s="87"/>
      <c r="AV136" s="467"/>
      <c r="AW136" s="381"/>
      <c r="AX136" s="2"/>
      <c r="AY136"/>
    </row>
    <row r="137" spans="1:190" ht="15.75" customHeight="1">
      <c r="B137" s="417" t="s">
        <v>362</v>
      </c>
      <c r="C137" s="417"/>
      <c r="D137" s="417"/>
      <c r="E137" s="417"/>
      <c r="F137" s="417"/>
      <c r="G137" s="416" t="s">
        <v>396</v>
      </c>
      <c r="H137" s="417"/>
      <c r="O137" s="1198" t="str">
        <f>IF('Registo Calibração'!$C$10="","N/C",'Registo Calibração'!$C$10)</f>
        <v>N/C</v>
      </c>
      <c r="P137" s="1198"/>
      <c r="Q137" s="1198"/>
      <c r="R137" s="1198"/>
      <c r="S137" s="1198"/>
      <c r="T137" s="1198"/>
      <c r="U137" s="1198"/>
      <c r="V137" s="1198"/>
      <c r="W137" s="1198"/>
      <c r="X137" s="1198"/>
      <c r="Y137" s="1198"/>
      <c r="AA137" s="464" t="s">
        <v>430</v>
      </c>
      <c r="AB137" s="465"/>
      <c r="AC137" s="465"/>
      <c r="AD137" s="465"/>
      <c r="AE137" s="465"/>
      <c r="AF137" s="465"/>
      <c r="AG137" s="418"/>
      <c r="AH137" s="418"/>
      <c r="AI137" s="418"/>
      <c r="AJ137" s="418"/>
      <c r="AK137" s="418"/>
      <c r="AL137" s="418"/>
      <c r="AO137" s="87"/>
      <c r="AP137" s="1277" t="str">
        <f>FIXED('2º MR-MI'!$C$14,'2º MR-MI'!AI15)</f>
        <v>0</v>
      </c>
      <c r="AQ137" s="1277"/>
      <c r="AR137" s="1277"/>
      <c r="AS137" s="1277"/>
      <c r="AT137" s="1277"/>
      <c r="AU137" s="1277"/>
      <c r="AV137" s="1205" t="str">
        <f>'Registo Calibração'!$AV$77</f>
        <v>g</v>
      </c>
      <c r="AW137" s="1205"/>
      <c r="AX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/>
    </row>
    <row r="138" spans="1:190" ht="3" customHeight="1">
      <c r="B138" s="421"/>
      <c r="AA138" s="464"/>
      <c r="AO138" s="1277"/>
      <c r="AP138" s="1277"/>
      <c r="AQ138" s="1277"/>
      <c r="AR138" s="1277"/>
      <c r="AS138" s="1277"/>
      <c r="AT138" s="1277"/>
      <c r="AU138" s="87"/>
      <c r="AV138" s="466"/>
      <c r="AW138" s="466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</row>
    <row r="139" spans="1:190" ht="15.75" customHeight="1">
      <c r="B139" s="417" t="s">
        <v>363</v>
      </c>
      <c r="C139" s="417"/>
      <c r="D139" s="417"/>
      <c r="E139" s="417"/>
      <c r="F139" s="417"/>
      <c r="H139" s="422"/>
      <c r="I139" s="37" t="s">
        <v>397</v>
      </c>
      <c r="J139" s="422"/>
      <c r="K139" s="422"/>
      <c r="L139" s="422"/>
      <c r="M139" s="422"/>
      <c r="N139" s="422"/>
      <c r="O139" s="425" t="str">
        <f>IF('Registo Calibração'!$C$11="","------",'Registo Calibração'!$C$11)</f>
        <v>------</v>
      </c>
      <c r="AA139" s="464" t="str">
        <f>IF('2º MR-MI'!$E$14="","","Resolução de trabalho (dT2):")</f>
        <v/>
      </c>
      <c r="AO139" s="87"/>
      <c r="AP139" s="1277" t="str">
        <f>IF('2º MR-MI'!E14="","",'2º MR-MI'!$E$14)</f>
        <v/>
      </c>
      <c r="AQ139" s="1277"/>
      <c r="AR139" s="1277"/>
      <c r="AS139" s="1277"/>
      <c r="AT139" s="1277"/>
      <c r="AU139" s="1277"/>
      <c r="AV139" s="1205" t="str">
        <f>IF('2º MR-MI'!$E$14="","",'Registo Calibração'!$AV$77)</f>
        <v/>
      </c>
      <c r="AW139" s="1205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</row>
    <row r="140" spans="1:190" ht="3" customHeight="1">
      <c r="A140" s="1"/>
      <c r="B140" s="426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427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</row>
    <row r="141" spans="1:190" ht="6.75" customHeight="1">
      <c r="AW141" s="406"/>
    </row>
    <row r="142" spans="1:190" s="47" customFormat="1" ht="18" customHeight="1">
      <c r="A142"/>
      <c r="B142" s="1221" t="s">
        <v>410</v>
      </c>
      <c r="C142" s="1221"/>
      <c r="D142" s="1221"/>
      <c r="E142" s="1221"/>
      <c r="F142" s="1221"/>
      <c r="G142" s="1221"/>
      <c r="H142" s="1221"/>
      <c r="I142" s="1221"/>
      <c r="J142" s="1221"/>
      <c r="K142" s="1221"/>
      <c r="L142" s="1221"/>
      <c r="M142" s="1221"/>
      <c r="N142" s="1221"/>
      <c r="O142" s="1221"/>
      <c r="P142" s="1221"/>
      <c r="Q142" s="1221"/>
      <c r="R142" s="1221"/>
      <c r="S142" s="1221"/>
      <c r="T142" s="1221"/>
      <c r="U142" s="1221"/>
      <c r="V142" s="1221"/>
      <c r="W142" s="1221"/>
      <c r="X142" s="1221"/>
      <c r="Y142" s="1221"/>
      <c r="Z142" s="1221"/>
      <c r="AA142" s="1221"/>
      <c r="AB142" s="1221"/>
      <c r="AC142" s="1221"/>
      <c r="AD142" s="1221"/>
      <c r="AE142" s="1221"/>
      <c r="AF142" s="1221"/>
      <c r="AG142" s="1221"/>
      <c r="AH142" s="1221"/>
      <c r="AI142" s="1221"/>
      <c r="AJ142" s="1221"/>
      <c r="AK142" s="1221"/>
      <c r="AL142" s="1221"/>
      <c r="AM142" s="1221"/>
      <c r="AN142" s="1221"/>
      <c r="AO142" s="1221"/>
      <c r="AP142" s="1221"/>
      <c r="AQ142" s="1221"/>
      <c r="AR142" s="1221"/>
      <c r="AS142" s="1221"/>
      <c r="AT142" s="1221"/>
      <c r="AU142" s="1221"/>
      <c r="AV142" s="1221"/>
      <c r="AW142" s="406"/>
      <c r="FK142" s="46"/>
      <c r="FL142" s="46"/>
      <c r="FM142" s="46"/>
      <c r="FN142" s="46"/>
      <c r="FO142" s="46"/>
      <c r="FP142" s="46"/>
      <c r="FQ142" s="46"/>
      <c r="FR142" s="46"/>
      <c r="FS142" s="46"/>
      <c r="FT142" s="46"/>
      <c r="FU142" s="46"/>
      <c r="FV142" s="46"/>
      <c r="FW142" s="46"/>
      <c r="FX142" s="46"/>
      <c r="FY142" s="46"/>
      <c r="FZ142" s="46"/>
      <c r="GA142" s="46"/>
      <c r="GB142" s="46"/>
      <c r="GC142" s="46"/>
      <c r="GD142" s="46"/>
      <c r="GE142" s="46"/>
      <c r="GF142" s="46"/>
      <c r="GG142" s="46"/>
      <c r="GH142" s="46"/>
    </row>
    <row r="143" spans="1:190" s="47" customFormat="1" ht="4.5" customHeigh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 s="406"/>
      <c r="FK143" s="46"/>
      <c r="FL143" s="46"/>
      <c r="FM143" s="46"/>
      <c r="FN143" s="46"/>
      <c r="FO143" s="46"/>
      <c r="FP143" s="46"/>
      <c r="FQ143" s="46"/>
      <c r="FR143" s="46"/>
      <c r="FS143" s="46"/>
      <c r="FT143" s="46"/>
      <c r="FU143" s="46"/>
      <c r="FV143" s="46"/>
      <c r="FW143" s="46"/>
      <c r="FX143" s="46"/>
      <c r="FY143" s="46"/>
      <c r="FZ143" s="46"/>
      <c r="GA143" s="46"/>
      <c r="GB143" s="46"/>
      <c r="GC143" s="46"/>
      <c r="GD143" s="46"/>
      <c r="GE143" s="46"/>
      <c r="GF143" s="46"/>
      <c r="GG143" s="46"/>
      <c r="GH143" s="46"/>
    </row>
    <row r="144" spans="1:190" s="47" customFormat="1" ht="17.25" customHeight="1">
      <c r="A144"/>
      <c r="B144" s="1216" t="s">
        <v>285</v>
      </c>
      <c r="C144" s="1216"/>
      <c r="D144" s="1216"/>
      <c r="E144" s="1216"/>
      <c r="F144" s="1216"/>
      <c r="G144" s="1216"/>
      <c r="H144" s="1216"/>
      <c r="I144" s="1216"/>
      <c r="J144" s="1216"/>
      <c r="K144" s="1216"/>
      <c r="L144" s="1206" t="str">
        <f>CONCATENATE("[ ",$AV$69," ]")</f>
        <v>[ g ]</v>
      </c>
      <c r="M144" s="1206"/>
      <c r="N144" s="1206"/>
      <c r="O144" s="1206"/>
      <c r="P144"/>
      <c r="Q144" s="1216" t="s">
        <v>411</v>
      </c>
      <c r="R144" s="1216"/>
      <c r="S144" s="1216"/>
      <c r="T144" s="1216"/>
      <c r="U144" s="1216"/>
      <c r="V144" s="1216"/>
      <c r="W144" s="1216"/>
      <c r="X144" s="1216"/>
      <c r="Y144" s="1216"/>
      <c r="Z144" s="1216"/>
      <c r="AA144" s="1216"/>
      <c r="AB144" s="1206" t="str">
        <f>CONCATENATE("[ ",$AV$69," ]")</f>
        <v>[ g ]</v>
      </c>
      <c r="AC144" s="1206"/>
      <c r="AD144" s="1206"/>
      <c r="AE144" s="1206"/>
      <c r="AF144"/>
      <c r="AG144" s="1216" t="s">
        <v>2</v>
      </c>
      <c r="AH144" s="1216"/>
      <c r="AI144" s="1216"/>
      <c r="AJ144" s="1216"/>
      <c r="AK144" s="1216"/>
      <c r="AL144" s="1216"/>
      <c r="AM144" s="1216"/>
      <c r="AN144" s="1216"/>
      <c r="AO144" s="1216"/>
      <c r="AP144" s="1216"/>
      <c r="AQ144" s="1216"/>
      <c r="AR144" s="1216"/>
      <c r="AS144" s="548" t="str">
        <f>CONCATENATE("[ ",$AV$69," ]")</f>
        <v>[ g ]</v>
      </c>
      <c r="AT144" s="548"/>
      <c r="AU144" s="548"/>
      <c r="AV144" s="548"/>
      <c r="FK144" s="46"/>
      <c r="FL144" s="46"/>
      <c r="FM144" s="46"/>
      <c r="FN144" s="46"/>
      <c r="FO144" s="46"/>
      <c r="FP144" s="46"/>
      <c r="FQ144" s="46"/>
      <c r="FR144" s="46"/>
      <c r="FS144" s="46"/>
      <c r="FT144" s="46"/>
      <c r="FU144" s="46"/>
      <c r="FV144" s="46"/>
      <c r="FW144" s="46"/>
      <c r="FX144" s="46"/>
      <c r="FY144" s="46"/>
      <c r="FZ144" s="46"/>
      <c r="GA144" s="46"/>
      <c r="GB144" s="46"/>
      <c r="GC144" s="46"/>
      <c r="GD144" s="46"/>
      <c r="GE144" s="46"/>
      <c r="GF144" s="46"/>
      <c r="GG144" s="46"/>
      <c r="GH144" s="46"/>
    </row>
    <row r="145" spans="1:190" s="47" customFormat="1" ht="16.5">
      <c r="A145"/>
      <c r="B145" s="1275" t="str">
        <f>IF('2º MR-MI'!$F$19&lt;&gt;"",'2º MR-MI'!$C$19,"------")</f>
        <v>------</v>
      </c>
      <c r="C145" s="1275"/>
      <c r="D145" s="1275"/>
      <c r="E145" s="1275"/>
      <c r="F145" s="1275"/>
      <c r="G145" s="1275"/>
      <c r="H145" s="1275"/>
      <c r="I145" s="1275"/>
      <c r="J145" s="1275"/>
      <c r="K145" s="1275"/>
      <c r="L145" s="1275"/>
      <c r="M145" s="1275"/>
      <c r="N145" s="1275"/>
      <c r="O145" s="1275"/>
      <c r="P145" s="469"/>
      <c r="Q145" s="1275" t="str">
        <f>'2º MR-MI'!$E$19</f>
        <v>------</v>
      </c>
      <c r="R145" s="1276"/>
      <c r="S145" s="1276"/>
      <c r="T145" s="1276"/>
      <c r="U145" s="1276"/>
      <c r="V145" s="1276"/>
      <c r="W145" s="1276"/>
      <c r="X145" s="1276"/>
      <c r="Y145" s="1276"/>
      <c r="Z145" s="1276"/>
      <c r="AA145" s="1276"/>
      <c r="AB145" s="1276"/>
      <c r="AC145" s="1276"/>
      <c r="AD145" s="1276"/>
      <c r="AE145" s="1276"/>
      <c r="AF145" s="475"/>
      <c r="AG145" s="1276" t="str">
        <f>IF('2º MR-MI'!$F$19&lt;&gt;"",'2º MR-MI'!$G$19,"------")</f>
        <v>------</v>
      </c>
      <c r="AH145" s="1276"/>
      <c r="AI145" s="1276"/>
      <c r="AJ145" s="1276"/>
      <c r="AK145" s="1276"/>
      <c r="AL145" s="1276"/>
      <c r="AM145" s="1276"/>
      <c r="AN145" s="1276"/>
      <c r="AO145" s="1276"/>
      <c r="AP145" s="1276"/>
      <c r="AQ145" s="1276"/>
      <c r="AR145" s="1276"/>
      <c r="AS145" s="1276"/>
      <c r="AT145" s="1276"/>
      <c r="AU145" s="1276"/>
      <c r="AV145" s="1276"/>
      <c r="AW145" s="406"/>
      <c r="FK145" s="46"/>
      <c r="FL145" s="46"/>
      <c r="FM145" s="46"/>
      <c r="FN145" s="46"/>
      <c r="FO145" s="46"/>
      <c r="FP145" s="46"/>
      <c r="FQ145" s="46"/>
      <c r="FR145" s="46"/>
      <c r="FS145" s="46"/>
      <c r="FT145" s="46"/>
      <c r="FU145" s="46"/>
      <c r="FV145" s="46"/>
      <c r="FW145" s="46"/>
      <c r="FX145" s="46"/>
      <c r="FY145" s="46"/>
      <c r="FZ145" s="46"/>
      <c r="GA145" s="46"/>
      <c r="GB145" s="46"/>
      <c r="GC145" s="46"/>
      <c r="GD145" s="46"/>
      <c r="GE145" s="46"/>
      <c r="GF145" s="46"/>
      <c r="GG145" s="46"/>
      <c r="GH145" s="46"/>
    </row>
    <row r="146" spans="1:190" s="47" customFormat="1" ht="16.5">
      <c r="A146"/>
      <c r="B146" s="1275" t="str">
        <f>IF('2º MR-MI'!$F$20&lt;&gt;"",'2º MR-MI'!$C$20,"------")</f>
        <v>------</v>
      </c>
      <c r="C146" s="1275"/>
      <c r="D146" s="1275"/>
      <c r="E146" s="1275"/>
      <c r="F146" s="1275"/>
      <c r="G146" s="1275"/>
      <c r="H146" s="1275"/>
      <c r="I146" s="1275"/>
      <c r="J146" s="1275"/>
      <c r="K146" s="1275"/>
      <c r="L146" s="1275"/>
      <c r="M146" s="1275"/>
      <c r="N146" s="1275"/>
      <c r="O146" s="1275"/>
      <c r="P146" s="469"/>
      <c r="Q146" s="1276" t="str">
        <f>'2º MR-MI'!$E$20</f>
        <v>------</v>
      </c>
      <c r="R146" s="1276"/>
      <c r="S146" s="1276"/>
      <c r="T146" s="1276"/>
      <c r="U146" s="1276"/>
      <c r="V146" s="1276"/>
      <c r="W146" s="1276"/>
      <c r="X146" s="1276"/>
      <c r="Y146" s="1276"/>
      <c r="Z146" s="1276"/>
      <c r="AA146" s="1276"/>
      <c r="AB146" s="1276"/>
      <c r="AC146" s="1276"/>
      <c r="AD146" s="1276"/>
      <c r="AE146" s="1276"/>
      <c r="AF146" s="475"/>
      <c r="AG146" s="1276" t="str">
        <f>IF('2º MR-MI'!$F$20&lt;&gt;"",'2º MR-MI'!$G$20,"------")</f>
        <v>------</v>
      </c>
      <c r="AH146" s="1276"/>
      <c r="AI146" s="1276"/>
      <c r="AJ146" s="1276"/>
      <c r="AK146" s="1276"/>
      <c r="AL146" s="1276"/>
      <c r="AM146" s="1276"/>
      <c r="AN146" s="1276"/>
      <c r="AO146" s="1276"/>
      <c r="AP146" s="1276"/>
      <c r="AQ146" s="1276"/>
      <c r="AR146" s="1276"/>
      <c r="AS146" s="1276"/>
      <c r="AT146" s="1276"/>
      <c r="AU146" s="1276"/>
      <c r="AV146" s="1276"/>
      <c r="AW146" s="406"/>
      <c r="FK146" s="46"/>
      <c r="FL146" s="46"/>
      <c r="FM146" s="46"/>
      <c r="FN146" s="46"/>
      <c r="FO146" s="46"/>
      <c r="FP146" s="46"/>
      <c r="FQ146" s="46"/>
      <c r="FR146" s="46"/>
      <c r="FS146" s="46"/>
      <c r="FT146" s="46"/>
      <c r="FU146" s="46"/>
      <c r="FV146" s="46"/>
      <c r="FW146" s="46"/>
      <c r="FX146" s="46"/>
      <c r="FY146" s="46"/>
      <c r="FZ146" s="46"/>
      <c r="GA146" s="46"/>
      <c r="GB146" s="46"/>
      <c r="GC146" s="46"/>
      <c r="GD146" s="46"/>
      <c r="GE146" s="46"/>
      <c r="GF146" s="46"/>
      <c r="GG146" s="46"/>
      <c r="GH146" s="46"/>
    </row>
    <row r="147" spans="1:190" s="47" customFormat="1" ht="5.25" customHeight="1">
      <c r="A147"/>
      <c r="B147"/>
      <c r="D147" s="469"/>
      <c r="E147" s="469"/>
      <c r="F147" s="469"/>
      <c r="G147" s="469"/>
      <c r="H147" s="469"/>
      <c r="I147" s="469"/>
      <c r="J147" s="469"/>
      <c r="K147" s="469"/>
      <c r="L147" s="469"/>
      <c r="M147" s="469"/>
      <c r="N147" s="469"/>
      <c r="O147" s="469"/>
      <c r="P147" s="469"/>
      <c r="Q147" s="469"/>
      <c r="S147" s="470"/>
      <c r="T147" s="470"/>
      <c r="U147" s="470"/>
      <c r="V147" s="470"/>
      <c r="W147" s="470"/>
      <c r="X147" s="470"/>
      <c r="Y147" s="470"/>
      <c r="Z147" s="470"/>
      <c r="AA147" s="470"/>
      <c r="AB147" s="470"/>
      <c r="AC147" s="470"/>
      <c r="AD147" s="470"/>
      <c r="AE147" s="470"/>
      <c r="AF147" s="470"/>
      <c r="AG147" s="470"/>
      <c r="AI147" s="470"/>
      <c r="AJ147" s="470"/>
      <c r="AK147" s="470"/>
      <c r="AL147" s="470"/>
      <c r="AM147" s="470"/>
      <c r="AN147" s="470"/>
      <c r="AO147" s="470"/>
      <c r="AP147" s="470"/>
      <c r="AQ147" s="470"/>
      <c r="AR147" s="470"/>
      <c r="AS147" s="470"/>
      <c r="AT147" s="470"/>
      <c r="AU147" s="470"/>
      <c r="AV147" s="470"/>
      <c r="AW147" s="406"/>
      <c r="FK147" s="46"/>
      <c r="FL147" s="46"/>
      <c r="FM147" s="46"/>
      <c r="FN147" s="46"/>
      <c r="FO147" s="46"/>
      <c r="FP147" s="46"/>
      <c r="FQ147" s="46"/>
      <c r="FR147" s="46"/>
      <c r="FS147" s="46"/>
      <c r="FT147" s="46"/>
      <c r="FU147" s="46"/>
      <c r="FV147" s="46"/>
      <c r="FW147" s="46"/>
      <c r="FX147" s="46"/>
      <c r="FY147" s="46"/>
      <c r="FZ147" s="46"/>
      <c r="GA147" s="46"/>
      <c r="GB147" s="46"/>
      <c r="GC147" s="46"/>
      <c r="GD147" s="46"/>
      <c r="GE147" s="46"/>
      <c r="GF147" s="46"/>
      <c r="GG147" s="46"/>
      <c r="GH147" s="46"/>
    </row>
    <row r="148" spans="1:190" s="47" customFormat="1" ht="11.1" customHeight="1">
      <c r="A148"/>
      <c r="B148" s="1192" t="str">
        <f>'2º MR-MI'!$AI$21</f>
        <v>Ensaio Prévio aplicável somente a equipamento com possibilidade de se aceder ao ajuste interno.</v>
      </c>
      <c r="C148" s="1192"/>
      <c r="D148" s="1192"/>
      <c r="E148" s="1192"/>
      <c r="F148" s="1192"/>
      <c r="G148" s="1192"/>
      <c r="H148" s="1192"/>
      <c r="I148" s="1192"/>
      <c r="J148" s="1192"/>
      <c r="K148" s="1192"/>
      <c r="L148" s="1192"/>
      <c r="M148" s="1192"/>
      <c r="N148" s="1192"/>
      <c r="O148" s="1192"/>
      <c r="P148" s="1192"/>
      <c r="Q148" s="1192"/>
      <c r="R148" s="1192"/>
      <c r="S148" s="1192"/>
      <c r="T148" s="1192"/>
      <c r="U148" s="1192"/>
      <c r="V148" s="1192"/>
      <c r="W148" s="1192"/>
      <c r="X148" s="1192"/>
      <c r="Y148" s="1192"/>
      <c r="Z148" s="1192"/>
      <c r="AA148" s="1192"/>
      <c r="AB148" s="1192"/>
      <c r="AC148" s="1192"/>
      <c r="AD148" s="1192"/>
      <c r="AE148" s="1192"/>
      <c r="AF148" s="1192"/>
      <c r="AG148" s="1192"/>
      <c r="AH148" s="1192"/>
      <c r="AI148" s="1192"/>
      <c r="AJ148" s="1192"/>
      <c r="AK148" s="1192"/>
      <c r="AL148" s="1192"/>
      <c r="AM148" s="1192"/>
      <c r="AN148" s="1192"/>
      <c r="AO148" s="1192"/>
      <c r="AP148" s="1192"/>
      <c r="AQ148" s="1192"/>
      <c r="AR148" s="1192"/>
      <c r="AS148" s="1192"/>
      <c r="AT148" s="1192"/>
      <c r="AU148" s="1192"/>
      <c r="AV148" s="1192"/>
      <c r="AW148" s="406"/>
      <c r="FK148" s="46"/>
      <c r="FL148" s="46"/>
      <c r="FM148" s="46"/>
      <c r="FN148" s="46"/>
      <c r="FO148" s="46"/>
      <c r="FP148" s="46"/>
      <c r="FQ148" s="46"/>
      <c r="FR148" s="46"/>
      <c r="FS148" s="46"/>
      <c r="FT148" s="46"/>
      <c r="FU148" s="46"/>
      <c r="FV148" s="46"/>
      <c r="FW148" s="46"/>
      <c r="FX148" s="46"/>
      <c r="FY148" s="46"/>
      <c r="FZ148" s="46"/>
      <c r="GA148" s="46"/>
      <c r="GB148" s="46"/>
      <c r="GC148" s="46"/>
      <c r="GD148" s="46"/>
      <c r="GE148" s="46"/>
      <c r="GF148" s="46"/>
      <c r="GG148" s="46"/>
      <c r="GH148" s="46"/>
    </row>
    <row r="149" spans="1:190" s="47" customFormat="1" ht="11.1" customHeight="1">
      <c r="A149"/>
      <c r="B149" s="1192"/>
      <c r="C149" s="1192"/>
      <c r="D149" s="1192"/>
      <c r="E149" s="1192"/>
      <c r="F149" s="1192"/>
      <c r="G149" s="1192"/>
      <c r="H149" s="1192"/>
      <c r="I149" s="1192"/>
      <c r="J149" s="1192"/>
      <c r="K149" s="1192"/>
      <c r="L149" s="1192"/>
      <c r="M149" s="1192"/>
      <c r="N149" s="1192"/>
      <c r="O149" s="1192"/>
      <c r="P149" s="1192"/>
      <c r="Q149" s="1192"/>
      <c r="R149" s="1192"/>
      <c r="S149" s="1192"/>
      <c r="T149" s="1192"/>
      <c r="U149" s="1192"/>
      <c r="V149" s="1192"/>
      <c r="W149" s="1192"/>
      <c r="X149" s="1192"/>
      <c r="Y149" s="1192"/>
      <c r="Z149" s="1192"/>
      <c r="AA149" s="1192"/>
      <c r="AB149" s="1192"/>
      <c r="AC149" s="1192"/>
      <c r="AD149" s="1192"/>
      <c r="AE149" s="1192"/>
      <c r="AF149" s="1192"/>
      <c r="AG149" s="1192"/>
      <c r="AH149" s="1192"/>
      <c r="AI149" s="1192"/>
      <c r="AJ149" s="1192"/>
      <c r="AK149" s="1192"/>
      <c r="AL149" s="1192"/>
      <c r="AM149" s="1192"/>
      <c r="AN149" s="1192"/>
      <c r="AO149" s="1192"/>
      <c r="AP149" s="1192"/>
      <c r="AQ149" s="1192"/>
      <c r="AR149" s="1192"/>
      <c r="AS149" s="1192"/>
      <c r="AT149" s="1192"/>
      <c r="AU149" s="1192"/>
      <c r="AV149" s="1192"/>
      <c r="AW149" s="406"/>
      <c r="FK149" s="46"/>
      <c r="FL149" s="46"/>
      <c r="FM149" s="46"/>
      <c r="FN149" s="46"/>
      <c r="FO149" s="46"/>
      <c r="FP149" s="46"/>
      <c r="FQ149" s="46"/>
      <c r="FR149" s="46"/>
      <c r="FS149" s="46"/>
      <c r="FT149" s="46"/>
      <c r="FU149" s="46"/>
      <c r="FV149" s="46"/>
      <c r="FW149" s="46"/>
      <c r="FX149" s="46"/>
      <c r="FY149" s="46"/>
      <c r="FZ149" s="46"/>
      <c r="GA149" s="46"/>
      <c r="GB149" s="46"/>
      <c r="GC149" s="46"/>
      <c r="GD149" s="46"/>
      <c r="GE149" s="46"/>
      <c r="GF149" s="46"/>
      <c r="GG149" s="46"/>
      <c r="GH149" s="46"/>
    </row>
    <row r="150" spans="1:190" s="47" customFormat="1" ht="27.75" customHeight="1">
      <c r="A150"/>
      <c r="B150" s="1192"/>
      <c r="C150" s="1192"/>
      <c r="D150" s="1192"/>
      <c r="E150" s="1192"/>
      <c r="F150" s="1192"/>
      <c r="G150" s="1192"/>
      <c r="H150" s="1192"/>
      <c r="I150" s="1192"/>
      <c r="J150" s="1192"/>
      <c r="K150" s="1192"/>
      <c r="L150" s="1192"/>
      <c r="M150" s="1192"/>
      <c r="N150" s="1192"/>
      <c r="O150" s="1192"/>
      <c r="P150" s="1192"/>
      <c r="Q150" s="1192"/>
      <c r="R150" s="1192"/>
      <c r="S150" s="1192"/>
      <c r="T150" s="1192"/>
      <c r="U150" s="1192"/>
      <c r="V150" s="1192"/>
      <c r="W150" s="1192"/>
      <c r="X150" s="1192"/>
      <c r="Y150" s="1192"/>
      <c r="Z150" s="1192"/>
      <c r="AA150" s="1192"/>
      <c r="AB150" s="1192"/>
      <c r="AC150" s="1192"/>
      <c r="AD150" s="1192"/>
      <c r="AE150" s="1192"/>
      <c r="AF150" s="1192"/>
      <c r="AG150" s="1192"/>
      <c r="AH150" s="1192"/>
      <c r="AI150" s="1192"/>
      <c r="AJ150" s="1192"/>
      <c r="AK150" s="1192"/>
      <c r="AL150" s="1192"/>
      <c r="AM150" s="1192"/>
      <c r="AN150" s="1192"/>
      <c r="AO150" s="1192"/>
      <c r="AP150" s="1192"/>
      <c r="AQ150" s="1192"/>
      <c r="AR150" s="1192"/>
      <c r="AS150" s="1192"/>
      <c r="AT150" s="1192"/>
      <c r="AU150" s="1192"/>
      <c r="AV150" s="1192"/>
      <c r="AW150" s="406"/>
      <c r="FK150" s="46"/>
      <c r="FL150" s="46"/>
      <c r="FM150" s="46"/>
      <c r="FN150" s="46"/>
      <c r="FO150" s="46"/>
      <c r="FP150" s="46"/>
      <c r="FQ150" s="46"/>
      <c r="FR150" s="46"/>
      <c r="FS150" s="46"/>
      <c r="FT150" s="46"/>
      <c r="FU150" s="46"/>
      <c r="FV150" s="46"/>
      <c r="FW150" s="46"/>
      <c r="FX150" s="46"/>
      <c r="FY150" s="46"/>
      <c r="FZ150" s="46"/>
      <c r="GA150" s="46"/>
      <c r="GB150" s="46"/>
      <c r="GC150" s="46"/>
      <c r="GD150" s="46"/>
      <c r="GE150" s="46"/>
      <c r="GF150" s="46"/>
      <c r="GG150" s="46"/>
      <c r="GH150" s="46"/>
    </row>
    <row r="151" spans="1:190" s="47" customFormat="1" ht="4.5" customHeight="1">
      <c r="A151"/>
      <c r="B151" s="473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 s="406"/>
      <c r="FK151" s="46"/>
      <c r="FL151" s="46"/>
      <c r="FM151" s="46"/>
      <c r="FN151" s="46"/>
      <c r="FO151" s="46"/>
      <c r="FP151" s="46"/>
      <c r="FQ151" s="46"/>
      <c r="FR151" s="46"/>
      <c r="FS151" s="46"/>
      <c r="FT151" s="46"/>
      <c r="FU151" s="46"/>
      <c r="FV151" s="46"/>
      <c r="FW151" s="46"/>
      <c r="FX151" s="46"/>
      <c r="FY151" s="46"/>
      <c r="FZ151" s="46"/>
      <c r="GA151" s="46"/>
      <c r="GB151" s="46"/>
      <c r="GC151" s="46"/>
      <c r="GD151" s="46"/>
      <c r="GE151" s="46"/>
      <c r="GF151" s="46"/>
      <c r="GG151" s="46"/>
      <c r="GH151" s="46"/>
    </row>
    <row r="152" spans="1:190" s="47" customFormat="1" ht="18" customHeight="1">
      <c r="A152"/>
      <c r="B152" s="1221" t="s">
        <v>417</v>
      </c>
      <c r="C152" s="1221"/>
      <c r="D152" s="1221"/>
      <c r="E152" s="1221"/>
      <c r="F152" s="1221"/>
      <c r="G152" s="1221"/>
      <c r="H152" s="1221"/>
      <c r="I152" s="1221"/>
      <c r="J152" s="1221"/>
      <c r="K152" s="1221"/>
      <c r="L152" s="1221"/>
      <c r="M152" s="1221"/>
      <c r="N152" s="1221"/>
      <c r="O152" s="1221"/>
      <c r="P152" s="1221"/>
      <c r="Q152" s="1221"/>
      <c r="R152" s="1221"/>
      <c r="S152" s="1221"/>
      <c r="T152" s="1221"/>
      <c r="U152" s="1221"/>
      <c r="V152" s="1221"/>
      <c r="W152" s="1221"/>
      <c r="X152" s="1221"/>
      <c r="Y152" s="1221"/>
      <c r="Z152" s="1221"/>
      <c r="AA152" s="1221"/>
      <c r="AB152" s="1221"/>
      <c r="AC152" s="1221"/>
      <c r="AD152" s="1221"/>
      <c r="AE152" s="1221"/>
      <c r="AF152" s="1221"/>
      <c r="AG152" s="1221"/>
      <c r="AH152" s="1221"/>
      <c r="AI152" s="1221"/>
      <c r="AJ152" s="1221"/>
      <c r="AK152" s="1221"/>
      <c r="AL152" s="1221"/>
      <c r="AM152" s="1221"/>
      <c r="AN152" s="1221"/>
      <c r="AO152" s="1221"/>
      <c r="AP152" s="1221"/>
      <c r="AQ152" s="1221"/>
      <c r="AR152" s="1221"/>
      <c r="AS152" s="1221"/>
      <c r="AT152" s="1221"/>
      <c r="AU152" s="1221"/>
      <c r="AV152" s="1221"/>
      <c r="AW152" s="406"/>
      <c r="FK152" s="46"/>
      <c r="FL152" s="46"/>
      <c r="FM152" s="46"/>
      <c r="FN152" s="46"/>
      <c r="FO152" s="46"/>
      <c r="FP152" s="46"/>
      <c r="FQ152" s="46"/>
      <c r="FR152" s="46"/>
      <c r="FS152" s="46"/>
      <c r="FT152" s="46"/>
      <c r="FU152" s="46"/>
      <c r="FV152" s="46"/>
      <c r="FW152" s="46"/>
      <c r="FX152" s="46"/>
      <c r="FY152" s="46"/>
      <c r="FZ152" s="46"/>
      <c r="GA152" s="46"/>
      <c r="GB152" s="46"/>
      <c r="GC152" s="46"/>
      <c r="GD152" s="46"/>
      <c r="GE152" s="46"/>
      <c r="GF152" s="46"/>
      <c r="GG152" s="46"/>
      <c r="GH152" s="46"/>
    </row>
    <row r="153" spans="1:190" s="47" customFormat="1" ht="11.1" customHeight="1">
      <c r="A153"/>
      <c r="B153" s="474"/>
      <c r="C153" s="474"/>
      <c r="D153" s="474"/>
      <c r="E153" s="474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2"/>
      <c r="Q153" s="474"/>
      <c r="R153" s="474"/>
      <c r="S153" s="474"/>
      <c r="T153" s="474"/>
      <c r="U153" s="474"/>
      <c r="V153" s="474"/>
      <c r="W153" s="474"/>
      <c r="X153" s="474"/>
      <c r="Y153" s="474"/>
      <c r="Z153" s="474"/>
      <c r="AA153" s="474"/>
      <c r="AB153" s="474"/>
      <c r="AC153" s="474"/>
      <c r="AD153" s="474"/>
      <c r="AE153" s="474"/>
      <c r="AF153" s="474"/>
      <c r="AG153" s="474"/>
      <c r="AH153" s="474"/>
      <c r="AI153" s="474"/>
      <c r="AJ153" s="474"/>
      <c r="AK153" s="474"/>
      <c r="AL153" s="474"/>
      <c r="AM153" s="474"/>
      <c r="AN153" s="474"/>
      <c r="AO153" s="474"/>
      <c r="AP153" s="474"/>
      <c r="AQ153" s="474"/>
      <c r="AR153" s="474"/>
      <c r="AS153" s="474"/>
      <c r="AT153" s="474"/>
      <c r="AU153" s="474"/>
      <c r="AV153"/>
      <c r="AW153" s="406"/>
      <c r="FK153" s="46"/>
      <c r="FL153" s="46"/>
      <c r="FM153" s="46"/>
      <c r="FN153" s="46"/>
      <c r="FO153" s="46"/>
      <c r="FP153" s="46"/>
      <c r="FQ153" s="46"/>
      <c r="FR153" s="46"/>
      <c r="FS153" s="46"/>
      <c r="FT153" s="46"/>
      <c r="FU153" s="46"/>
      <c r="FV153" s="46"/>
      <c r="FW153" s="46"/>
      <c r="FX153" s="46"/>
      <c r="FY153" s="46"/>
      <c r="FZ153" s="46"/>
      <c r="GA153" s="46"/>
      <c r="GB153" s="46"/>
      <c r="GC153" s="46"/>
      <c r="GD153" s="46"/>
      <c r="GE153" s="46"/>
      <c r="GF153" s="46"/>
      <c r="GG153" s="46"/>
      <c r="GH153" s="46"/>
    </row>
    <row r="154" spans="1:190" s="47" customFormat="1" ht="17.25" customHeight="1">
      <c r="A154"/>
      <c r="B154" s="1221" t="s">
        <v>285</v>
      </c>
      <c r="C154" s="1221"/>
      <c r="D154" s="1221"/>
      <c r="E154" s="1221"/>
      <c r="F154" s="1221"/>
      <c r="G154" s="1221"/>
      <c r="H154" s="1221"/>
      <c r="I154" s="1221"/>
      <c r="J154" s="1221"/>
      <c r="K154" s="1221"/>
      <c r="L154" s="1206" t="str">
        <f>CONCATENATE("[ ",$AV$69," ]")</f>
        <v>[ g ]</v>
      </c>
      <c r="M154" s="1206"/>
      <c r="N154" s="1206"/>
      <c r="O154" s="1206"/>
      <c r="P154"/>
      <c r="Q154" s="1221" t="s">
        <v>1</v>
      </c>
      <c r="R154" s="1221"/>
      <c r="S154" s="1221"/>
      <c r="U154" s="1216" t="s">
        <v>411</v>
      </c>
      <c r="V154" s="1216"/>
      <c r="W154" s="1216"/>
      <c r="X154" s="1216"/>
      <c r="Y154" s="1216"/>
      <c r="Z154" s="1216"/>
      <c r="AA154" s="1216"/>
      <c r="AB154" s="1216"/>
      <c r="AC154" s="1216"/>
      <c r="AD154" s="1216"/>
      <c r="AE154" s="1216"/>
      <c r="AF154" s="1254" t="str">
        <f>CONCATENATE("[ ",$AV$69," ]")</f>
        <v>[ g ]</v>
      </c>
      <c r="AG154" s="1254"/>
      <c r="AH154" s="1254"/>
      <c r="AJ154" s="1221" t="s">
        <v>2</v>
      </c>
      <c r="AK154" s="1221"/>
      <c r="AL154" s="1221"/>
      <c r="AM154" s="1221"/>
      <c r="AN154" s="1221"/>
      <c r="AO154" s="1221"/>
      <c r="AP154" s="1221"/>
      <c r="AQ154" s="1221"/>
      <c r="AR154" s="1221"/>
      <c r="AS154" s="1221"/>
      <c r="AT154" s="1206" t="str">
        <f>CONCATENATE("[ ",$AV$69," ]")</f>
        <v>[ g ]</v>
      </c>
      <c r="AU154" s="1206"/>
      <c r="AV154" s="1206"/>
      <c r="FK154" s="46"/>
      <c r="FL154" s="46"/>
      <c r="FM154" s="46"/>
      <c r="FN154" s="46"/>
      <c r="FO154" s="46"/>
      <c r="FP154" s="46"/>
      <c r="FQ154" s="46"/>
      <c r="FR154" s="46"/>
      <c r="FS154" s="46"/>
      <c r="FT154" s="46"/>
      <c r="FU154" s="46"/>
      <c r="FV154" s="46"/>
      <c r="FW154" s="46"/>
      <c r="FX154" s="46"/>
      <c r="FY154" s="46"/>
      <c r="FZ154" s="46"/>
      <c r="GA154" s="46"/>
      <c r="GB154" s="46"/>
      <c r="GC154" s="46"/>
      <c r="GD154" s="46"/>
      <c r="GE154" s="46"/>
      <c r="GF154" s="46"/>
      <c r="GG154" s="46"/>
      <c r="GH154" s="46"/>
    </row>
    <row r="155" spans="1:190" s="47" customFormat="1" ht="4.5" customHeight="1">
      <c r="A155"/>
      <c r="AV155"/>
      <c r="AW155" s="406"/>
      <c r="FK155" s="46"/>
      <c r="FL155" s="46"/>
      <c r="FM155" s="46"/>
      <c r="FN155" s="46"/>
      <c r="FO155" s="46"/>
      <c r="FP155" s="46"/>
      <c r="FQ155" s="46"/>
      <c r="FR155" s="46"/>
      <c r="FS155" s="46"/>
      <c r="FT155" s="46"/>
      <c r="FU155" s="46"/>
      <c r="FV155" s="46"/>
      <c r="FW155" s="46"/>
      <c r="FX155" s="46"/>
      <c r="FY155" s="46"/>
      <c r="FZ155" s="46"/>
      <c r="GA155" s="46"/>
      <c r="GB155" s="46"/>
      <c r="GC155" s="46"/>
      <c r="GD155" s="46"/>
      <c r="GE155" s="46"/>
      <c r="GF155" s="46"/>
      <c r="GG155" s="46"/>
      <c r="GH155" s="46"/>
    </row>
    <row r="156" spans="1:190" s="47" customFormat="1" ht="15" hidden="1">
      <c r="A156"/>
      <c r="B156" s="1222" t="str">
        <f>IF(AND('Registo Calibração'!$I$23="",'2º MR-MI'!$I$23=""),"",IF(AND('2º MR-MI'!$I$23&lt;&gt;0,'2º MR-MI'!$I$23&lt;1),FIXED('2º MR-MI'!$I$23,'2º MR-MI'!$AI$15,TRUE),IF(AND('Registo Calibração'!$I$23&lt;&gt;0,'2º MR-MI'!$I$23=""),'Registo Calibração'!$I$23,'2º MR-MI'!$I$23)))</f>
        <v/>
      </c>
      <c r="C156" s="1222"/>
      <c r="D156" s="1222"/>
      <c r="E156" s="1222"/>
      <c r="F156" s="1222"/>
      <c r="G156" s="1222"/>
      <c r="H156" s="1222"/>
      <c r="I156" s="1222"/>
      <c r="J156" s="1222"/>
      <c r="K156" s="1222"/>
      <c r="L156" s="1222"/>
      <c r="M156" s="1222"/>
      <c r="N156" s="1222"/>
      <c r="O156" s="1222"/>
      <c r="Q156" s="1199">
        <v>1</v>
      </c>
      <c r="R156" s="1199"/>
      <c r="S156" s="1199"/>
      <c r="U156" s="1222">
        <f>IF($B$156="",0,IF('2º MR-MI'!A26="-------",0,'2º MR-MI'!A26))</f>
        <v>0</v>
      </c>
      <c r="V156" s="1222"/>
      <c r="W156" s="1222"/>
      <c r="X156" s="1222"/>
      <c r="Y156" s="1222"/>
      <c r="Z156" s="1222"/>
      <c r="AA156" s="1222"/>
      <c r="AB156" s="1222"/>
      <c r="AC156" s="1222"/>
      <c r="AD156" s="1222"/>
      <c r="AE156" s="1222"/>
      <c r="AF156" s="1222"/>
      <c r="AG156" s="1222"/>
      <c r="AH156" s="1222"/>
      <c r="AJ156" s="1253" t="s">
        <v>418</v>
      </c>
      <c r="AK156" s="1222"/>
      <c r="AL156" s="1222"/>
      <c r="AM156" s="1222"/>
      <c r="AN156" s="1222"/>
      <c r="AO156" s="1222"/>
      <c r="AP156" s="1222"/>
      <c r="AQ156" s="1222"/>
      <c r="AR156" s="1222"/>
      <c r="AS156" s="1222"/>
      <c r="AT156" s="1222"/>
      <c r="AU156" s="1222"/>
      <c r="AV156"/>
      <c r="AW156" s="406"/>
      <c r="FK156" s="46"/>
      <c r="FL156" s="46"/>
      <c r="FM156" s="46"/>
      <c r="FN156" s="46"/>
      <c r="FO156" s="46"/>
      <c r="FP156" s="46"/>
      <c r="FQ156" s="46"/>
      <c r="FR156" s="46"/>
      <c r="FS156" s="46"/>
      <c r="FT156" s="46"/>
      <c r="FU156" s="46"/>
      <c r="FV156" s="46"/>
      <c r="FW156" s="46"/>
      <c r="FX156" s="46"/>
      <c r="FY156" s="46"/>
      <c r="FZ156" s="46"/>
      <c r="GA156" s="46"/>
      <c r="GB156" s="46"/>
      <c r="GC156" s="46"/>
      <c r="GD156" s="46"/>
      <c r="GE156" s="46"/>
      <c r="GF156" s="46"/>
      <c r="GG156" s="46"/>
      <c r="GH156" s="46"/>
    </row>
    <row r="157" spans="1:190" s="47" customFormat="1" ht="15" hidden="1">
      <c r="A157"/>
      <c r="Q157" s="1199">
        <v>2</v>
      </c>
      <c r="R157" s="1199"/>
      <c r="S157" s="1199"/>
      <c r="U157" s="1222">
        <f>IF($B$156="",0,IF('2º MR-MI'!B26="-------",0,'2º MR-MI'!B26))</f>
        <v>0</v>
      </c>
      <c r="V157" s="1222"/>
      <c r="W157" s="1222"/>
      <c r="X157" s="1222"/>
      <c r="Y157" s="1222"/>
      <c r="Z157" s="1222"/>
      <c r="AA157" s="1222"/>
      <c r="AB157" s="1222"/>
      <c r="AC157" s="1222"/>
      <c r="AD157" s="1222"/>
      <c r="AE157" s="1222"/>
      <c r="AF157" s="1222"/>
      <c r="AG157" s="1222"/>
      <c r="AH157" s="1222"/>
      <c r="AJ157" s="1222" t="str">
        <f>IF($B$156="","----------",FIXED(U157-$U$156,'Registo Calibração'!$AI$15))</f>
        <v>----------</v>
      </c>
      <c r="AK157" s="1222"/>
      <c r="AL157" s="1222"/>
      <c r="AM157" s="1222"/>
      <c r="AN157" s="1222"/>
      <c r="AO157" s="1222"/>
      <c r="AP157" s="1222"/>
      <c r="AQ157" s="1222"/>
      <c r="AR157" s="1222"/>
      <c r="AS157" s="1222"/>
      <c r="AT157" s="1222"/>
      <c r="AU157" s="1222"/>
      <c r="AV157"/>
      <c r="AW157" s="406"/>
      <c r="FK157" s="46"/>
      <c r="FL157" s="46"/>
      <c r="FM157" s="46"/>
      <c r="FN157" s="46"/>
      <c r="FO157" s="46"/>
      <c r="FP157" s="46"/>
      <c r="FQ157" s="46"/>
      <c r="FR157" s="46"/>
      <c r="FS157" s="46"/>
      <c r="FT157" s="46"/>
      <c r="FU157" s="46"/>
      <c r="FV157" s="46"/>
      <c r="FW157" s="46"/>
      <c r="FX157" s="46"/>
      <c r="FY157" s="46"/>
      <c r="FZ157" s="46"/>
      <c r="GA157" s="46"/>
      <c r="GB157" s="46"/>
      <c r="GC157" s="46"/>
      <c r="GD157" s="46"/>
      <c r="GE157" s="46"/>
      <c r="GF157" s="46"/>
      <c r="GG157" s="46"/>
      <c r="GH157" s="46"/>
    </row>
    <row r="158" spans="1:190" s="47" customFormat="1" ht="15" hidden="1">
      <c r="A158"/>
      <c r="Q158" s="1199">
        <v>3</v>
      </c>
      <c r="R158" s="1199"/>
      <c r="S158" s="1199"/>
      <c r="U158" s="1222">
        <f>IF($B$156="",0,IF('2º MR-MI'!C26="-------",0,'2º MR-MI'!C26))</f>
        <v>0</v>
      </c>
      <c r="V158" s="1222"/>
      <c r="W158" s="1222"/>
      <c r="X158" s="1222"/>
      <c r="Y158" s="1222"/>
      <c r="Z158" s="1222"/>
      <c r="AA158" s="1222"/>
      <c r="AB158" s="1222"/>
      <c r="AC158" s="1222"/>
      <c r="AD158" s="1222"/>
      <c r="AE158" s="1222"/>
      <c r="AF158" s="1222"/>
      <c r="AG158" s="1222"/>
      <c r="AH158" s="1222"/>
      <c r="AJ158" s="1222" t="str">
        <f>IF($B$156="","----------",FIXED(U158-$U$156,'Registo Calibração'!$AI$15))</f>
        <v>----------</v>
      </c>
      <c r="AK158" s="1222"/>
      <c r="AL158" s="1222"/>
      <c r="AM158" s="1222"/>
      <c r="AN158" s="1222"/>
      <c r="AO158" s="1222"/>
      <c r="AP158" s="1222"/>
      <c r="AQ158" s="1222"/>
      <c r="AR158" s="1222"/>
      <c r="AS158" s="1222"/>
      <c r="AT158" s="1222"/>
      <c r="AU158" s="1222"/>
      <c r="AV158"/>
      <c r="AW158" s="406"/>
      <c r="FK158" s="46"/>
      <c r="FL158" s="46"/>
      <c r="FM158" s="46"/>
      <c r="FN158" s="46"/>
      <c r="FO158" s="46"/>
      <c r="FP158" s="46"/>
      <c r="FQ158" s="46"/>
      <c r="FR158" s="46"/>
      <c r="FS158" s="46"/>
      <c r="FT158" s="46"/>
      <c r="FU158" s="46"/>
      <c r="FV158" s="46"/>
      <c r="FW158" s="46"/>
      <c r="FX158" s="46"/>
      <c r="FY158" s="46"/>
      <c r="FZ158" s="46"/>
      <c r="GA158" s="46"/>
      <c r="GB158" s="46"/>
      <c r="GC158" s="46"/>
      <c r="GD158" s="46"/>
      <c r="GE158" s="46"/>
      <c r="GF158" s="46"/>
      <c r="GG158" s="46"/>
      <c r="GH158" s="46"/>
    </row>
    <row r="159" spans="1:190" s="47" customFormat="1" ht="15" hidden="1">
      <c r="A159"/>
      <c r="Q159" s="1199">
        <v>4</v>
      </c>
      <c r="R159" s="1199"/>
      <c r="S159" s="1199"/>
      <c r="U159" s="1222">
        <f>IF($B$156="",0,IF('2º MR-MI'!D26="-------",0,'2º MR-MI'!D26))</f>
        <v>0</v>
      </c>
      <c r="V159" s="1222"/>
      <c r="W159" s="1222"/>
      <c r="X159" s="1222"/>
      <c r="Y159" s="1222"/>
      <c r="Z159" s="1222"/>
      <c r="AA159" s="1222"/>
      <c r="AB159" s="1222"/>
      <c r="AC159" s="1222"/>
      <c r="AD159" s="1222"/>
      <c r="AE159" s="1222"/>
      <c r="AF159" s="1222"/>
      <c r="AG159" s="1222"/>
      <c r="AH159" s="1222"/>
      <c r="AJ159" s="1222" t="str">
        <f>IF($B$156="","----------",FIXED(U159-$U$156,'Registo Calibração'!$AI$15))</f>
        <v>----------</v>
      </c>
      <c r="AK159" s="1222"/>
      <c r="AL159" s="1222"/>
      <c r="AM159" s="1222"/>
      <c r="AN159" s="1222"/>
      <c r="AO159" s="1222"/>
      <c r="AP159" s="1222"/>
      <c r="AQ159" s="1222"/>
      <c r="AR159" s="1222"/>
      <c r="AS159" s="1222"/>
      <c r="AT159" s="1222"/>
      <c r="AU159" s="1222"/>
      <c r="AV159"/>
      <c r="AW159" s="406"/>
      <c r="FK159" s="46"/>
      <c r="FL159" s="46"/>
      <c r="FM159" s="46"/>
      <c r="FN159" s="46"/>
      <c r="FO159" s="46"/>
      <c r="FP159" s="46"/>
      <c r="FQ159" s="46"/>
      <c r="FR159" s="46"/>
      <c r="FS159" s="46"/>
      <c r="FT159" s="46"/>
      <c r="FU159" s="46"/>
      <c r="FV159" s="46"/>
      <c r="FW159" s="46"/>
      <c r="FX159" s="46"/>
      <c r="FY159" s="46"/>
      <c r="FZ159" s="46"/>
      <c r="GA159" s="46"/>
      <c r="GB159" s="46"/>
      <c r="GC159" s="46"/>
      <c r="GD159" s="46"/>
      <c r="GE159" s="46"/>
      <c r="GF159" s="46"/>
      <c r="GG159" s="46"/>
      <c r="GH159" s="46"/>
    </row>
    <row r="160" spans="1:190" s="47" customFormat="1" ht="15" hidden="1">
      <c r="A160"/>
      <c r="Q160" s="1199">
        <v>5</v>
      </c>
      <c r="R160" s="1199"/>
      <c r="S160" s="1199"/>
      <c r="U160" s="1222">
        <f>IF($B$156="",0,IF('2º MR-MI'!E26="-------",0,'2º MR-MI'!E26))</f>
        <v>0</v>
      </c>
      <c r="V160" s="1222"/>
      <c r="W160" s="1222"/>
      <c r="X160" s="1222"/>
      <c r="Y160" s="1222"/>
      <c r="Z160" s="1222"/>
      <c r="AA160" s="1222"/>
      <c r="AB160" s="1222"/>
      <c r="AC160" s="1222"/>
      <c r="AD160" s="1222"/>
      <c r="AE160" s="1222"/>
      <c r="AF160" s="1222"/>
      <c r="AG160" s="1222"/>
      <c r="AH160" s="1222"/>
      <c r="AJ160" s="1222" t="str">
        <f>IF($B$156="","----------",FIXED(U160-$U$156,'Registo Calibração'!$AI$15))</f>
        <v>----------</v>
      </c>
      <c r="AK160" s="1222"/>
      <c r="AL160" s="1222"/>
      <c r="AM160" s="1222"/>
      <c r="AN160" s="1222"/>
      <c r="AO160" s="1222"/>
      <c r="AP160" s="1222"/>
      <c r="AQ160" s="1222"/>
      <c r="AR160" s="1222"/>
      <c r="AS160" s="1222"/>
      <c r="AT160" s="1222"/>
      <c r="AU160" s="1222"/>
      <c r="AV160"/>
      <c r="AW160" s="406"/>
      <c r="FK160" s="46"/>
      <c r="FL160" s="46"/>
      <c r="FM160" s="46"/>
      <c r="FN160" s="46"/>
      <c r="FO160" s="46"/>
      <c r="FP160" s="46"/>
      <c r="FQ160" s="46"/>
      <c r="FR160" s="46"/>
      <c r="FS160" s="46"/>
      <c r="FT160" s="46"/>
      <c r="FU160" s="46"/>
      <c r="FV160" s="46"/>
      <c r="FW160" s="46"/>
      <c r="FX160" s="46"/>
      <c r="FY160" s="46"/>
      <c r="FZ160" s="46"/>
      <c r="GA160" s="46"/>
      <c r="GB160" s="46"/>
      <c r="GC160" s="46"/>
      <c r="GD160" s="46"/>
      <c r="GE160" s="46"/>
      <c r="GF160" s="46"/>
      <c r="GG160" s="46"/>
      <c r="GH160" s="46"/>
    </row>
    <row r="161" spans="2:190" s="47" customFormat="1" ht="15" hidden="1">
      <c r="Q161" s="1199">
        <v>6</v>
      </c>
      <c r="R161" s="1199"/>
      <c r="S161" s="1199"/>
      <c r="U161" s="1222">
        <f>IF($B$156="",0,IF('2º MR-MI'!F26="-------",0,'2º MR-MI'!F26))</f>
        <v>0</v>
      </c>
      <c r="V161" s="1222"/>
      <c r="W161" s="1222"/>
      <c r="X161" s="1222"/>
      <c r="Y161" s="1222"/>
      <c r="Z161" s="1222"/>
      <c r="AA161" s="1222"/>
      <c r="AB161" s="1222"/>
      <c r="AC161" s="1222"/>
      <c r="AD161" s="1222"/>
      <c r="AE161" s="1222"/>
      <c r="AF161" s="1222"/>
      <c r="AG161" s="1222"/>
      <c r="AH161" s="1222"/>
      <c r="AJ161" s="1222" t="str">
        <f>IF($B$156="","----------",FIXED(U161-$U$156,'Registo Calibração'!$AI$15))</f>
        <v>----------</v>
      </c>
      <c r="AK161" s="1222"/>
      <c r="AL161" s="1222"/>
      <c r="AM161" s="1222"/>
      <c r="AN161" s="1222"/>
      <c r="AO161" s="1222"/>
      <c r="AP161" s="1222"/>
      <c r="AQ161" s="1222"/>
      <c r="AR161" s="1222"/>
      <c r="AS161" s="1222"/>
      <c r="AT161" s="1222"/>
      <c r="AU161" s="1222"/>
      <c r="AW161" s="406"/>
      <c r="FK161" s="46"/>
      <c r="FL161" s="46"/>
      <c r="FM161" s="46"/>
      <c r="FN161" s="46"/>
      <c r="FO161" s="46"/>
      <c r="FP161" s="46"/>
      <c r="FQ161" s="46"/>
      <c r="FR161" s="46"/>
      <c r="FS161" s="46"/>
      <c r="FT161" s="46"/>
      <c r="FU161" s="46"/>
      <c r="FV161" s="46"/>
      <c r="FW161" s="46"/>
      <c r="FX161" s="46"/>
      <c r="FY161" s="46"/>
      <c r="FZ161" s="46"/>
      <c r="GA161" s="46"/>
      <c r="GB161" s="46"/>
      <c r="GC161" s="46"/>
      <c r="GD161" s="46"/>
      <c r="GE161" s="46"/>
      <c r="GF161" s="46"/>
      <c r="GG161" s="46"/>
      <c r="GH161" s="46"/>
    </row>
    <row r="162" spans="2:190" s="47" customFormat="1" ht="15" hidden="1">
      <c r="Q162" s="1199">
        <v>7</v>
      </c>
      <c r="R162" s="1199"/>
      <c r="S162" s="1199"/>
      <c r="U162" s="1222">
        <f>IF($B$156="",0,IF('2º MR-MI'!G26="-------",0,'2º MR-MI'!G26))</f>
        <v>0</v>
      </c>
      <c r="V162" s="1222"/>
      <c r="W162" s="1222"/>
      <c r="X162" s="1222"/>
      <c r="Y162" s="1222"/>
      <c r="Z162" s="1222"/>
      <c r="AA162" s="1222"/>
      <c r="AB162" s="1222"/>
      <c r="AC162" s="1222"/>
      <c r="AD162" s="1222"/>
      <c r="AE162" s="1222"/>
      <c r="AF162" s="1222"/>
      <c r="AG162" s="1222"/>
      <c r="AH162" s="1222"/>
      <c r="AJ162" s="1222" t="str">
        <f>IF($B$156="","----------",FIXED(U162-$U$156,'Registo Calibração'!$AI$15))</f>
        <v>----------</v>
      </c>
      <c r="AK162" s="1222"/>
      <c r="AL162" s="1222"/>
      <c r="AM162" s="1222"/>
      <c r="AN162" s="1222"/>
      <c r="AO162" s="1222"/>
      <c r="AP162" s="1222"/>
      <c r="AQ162" s="1222"/>
      <c r="AR162" s="1222"/>
      <c r="AS162" s="1222"/>
      <c r="AT162" s="1222"/>
      <c r="AU162" s="1222"/>
      <c r="AW162" s="406"/>
      <c r="FK162" s="46"/>
      <c r="FL162" s="46"/>
      <c r="FM162" s="46"/>
      <c r="FN162" s="46"/>
      <c r="FO162" s="46"/>
      <c r="FP162" s="46"/>
      <c r="FQ162" s="46"/>
      <c r="FR162" s="46"/>
      <c r="FS162" s="46"/>
      <c r="FT162" s="46"/>
      <c r="FU162" s="46"/>
      <c r="FV162" s="46"/>
      <c r="FW162" s="46"/>
      <c r="FX162" s="46"/>
      <c r="FY162" s="46"/>
      <c r="FZ162" s="46"/>
      <c r="GA162" s="46"/>
      <c r="GB162" s="46"/>
      <c r="GC162" s="46"/>
      <c r="GD162" s="46"/>
      <c r="GE162" s="46"/>
      <c r="GF162" s="46"/>
      <c r="GG162" s="46"/>
      <c r="GH162" s="46"/>
    </row>
    <row r="163" spans="2:190" s="47" customFormat="1" ht="15" hidden="1">
      <c r="Q163" s="1199">
        <v>8</v>
      </c>
      <c r="R163" s="1199"/>
      <c r="S163" s="1199"/>
      <c r="U163" s="1222">
        <f>IF($B$156="",0,IF('2º MR-MI'!H26="-------",0,'2º MR-MI'!H26))</f>
        <v>0</v>
      </c>
      <c r="V163" s="1222"/>
      <c r="W163" s="1222"/>
      <c r="X163" s="1222"/>
      <c r="Y163" s="1222"/>
      <c r="Z163" s="1222"/>
      <c r="AA163" s="1222"/>
      <c r="AB163" s="1222"/>
      <c r="AC163" s="1222"/>
      <c r="AD163" s="1222"/>
      <c r="AE163" s="1222"/>
      <c r="AF163" s="1222"/>
      <c r="AG163" s="1222"/>
      <c r="AH163" s="1222"/>
      <c r="AJ163" s="1222" t="str">
        <f>IF($B$156="","----------",FIXED(U163-$U$156,'Registo Calibração'!$AI$15))</f>
        <v>----------</v>
      </c>
      <c r="AK163" s="1222"/>
      <c r="AL163" s="1222"/>
      <c r="AM163" s="1222"/>
      <c r="AN163" s="1222"/>
      <c r="AO163" s="1222"/>
      <c r="AP163" s="1222"/>
      <c r="AQ163" s="1222"/>
      <c r="AR163" s="1222"/>
      <c r="AS163" s="1222"/>
      <c r="AT163" s="1222"/>
      <c r="AU163" s="1222"/>
      <c r="AW163" s="406"/>
      <c r="FK163" s="46"/>
      <c r="FL163" s="46"/>
      <c r="FM163" s="46"/>
      <c r="FN163" s="46"/>
      <c r="FO163" s="46"/>
      <c r="FP163" s="46"/>
      <c r="FQ163" s="46"/>
      <c r="FR163" s="46"/>
      <c r="FS163" s="46"/>
      <c r="FT163" s="46"/>
      <c r="FU163" s="46"/>
      <c r="FV163" s="46"/>
      <c r="FW163" s="46"/>
      <c r="FX163" s="46"/>
      <c r="FY163" s="46"/>
      <c r="FZ163" s="46"/>
      <c r="GA163" s="46"/>
      <c r="GB163" s="46"/>
      <c r="GC163" s="46"/>
      <c r="GD163" s="46"/>
      <c r="GE163" s="46"/>
      <c r="GF163" s="46"/>
      <c r="GG163" s="46"/>
      <c r="GH163" s="46"/>
    </row>
    <row r="164" spans="2:190" s="47" customFormat="1" ht="15" hidden="1">
      <c r="Q164" s="1199">
        <v>9</v>
      </c>
      <c r="R164" s="1199"/>
      <c r="S164" s="1199"/>
      <c r="U164" s="1222">
        <f>IF($B$156="",0,IF('2º MR-MI'!I26="-------",0,'2º MR-MI'!I26))</f>
        <v>0</v>
      </c>
      <c r="V164" s="1222"/>
      <c r="W164" s="1222"/>
      <c r="X164" s="1222"/>
      <c r="Y164" s="1222"/>
      <c r="Z164" s="1222"/>
      <c r="AA164" s="1222"/>
      <c r="AB164" s="1222"/>
      <c r="AC164" s="1222"/>
      <c r="AD164" s="1222"/>
      <c r="AE164" s="1222"/>
      <c r="AF164" s="1222"/>
      <c r="AG164" s="1222"/>
      <c r="AH164" s="1222"/>
      <c r="AJ164" s="1222" t="str">
        <f>IF($B$156="","----------",FIXED(U164-$U$156,'Registo Calibração'!$AI$15))</f>
        <v>----------</v>
      </c>
      <c r="AK164" s="1222"/>
      <c r="AL164" s="1222"/>
      <c r="AM164" s="1222"/>
      <c r="AN164" s="1222"/>
      <c r="AO164" s="1222"/>
      <c r="AP164" s="1222"/>
      <c r="AQ164" s="1222"/>
      <c r="AR164" s="1222"/>
      <c r="AS164" s="1222"/>
      <c r="AT164" s="1222"/>
      <c r="AU164" s="1222"/>
      <c r="AW164" s="406"/>
      <c r="FK164" s="46"/>
      <c r="FL164" s="46"/>
      <c r="FM164" s="46"/>
      <c r="FN164" s="46"/>
      <c r="FO164" s="46"/>
      <c r="FP164" s="46"/>
      <c r="FQ164" s="46"/>
      <c r="FR164" s="46"/>
      <c r="FS164" s="46"/>
      <c r="FT164" s="46"/>
      <c r="FU164" s="46"/>
      <c r="FV164" s="46"/>
      <c r="FW164" s="46"/>
      <c r="FX164" s="46"/>
      <c r="FY164" s="46"/>
      <c r="FZ164" s="46"/>
      <c r="GA164" s="46"/>
      <c r="GB164" s="46"/>
      <c r="GC164" s="46"/>
      <c r="GD164" s="46"/>
      <c r="GE164" s="46"/>
      <c r="GF164" s="46"/>
      <c r="GG164" s="46"/>
      <c r="GH164" s="46"/>
    </row>
    <row r="165" spans="2:190" s="47" customFormat="1" ht="15" hidden="1">
      <c r="Q165" s="1199">
        <v>10</v>
      </c>
      <c r="R165" s="1199"/>
      <c r="S165" s="1199"/>
      <c r="U165" s="1222">
        <f>IF($B$156="",0,IF('2º MR-MI'!J26="-------",0,'2º MR-MI'!J26))</f>
        <v>0</v>
      </c>
      <c r="V165" s="1222"/>
      <c r="W165" s="1222"/>
      <c r="X165" s="1222"/>
      <c r="Y165" s="1222"/>
      <c r="Z165" s="1222"/>
      <c r="AA165" s="1222"/>
      <c r="AB165" s="1222"/>
      <c r="AC165" s="1222"/>
      <c r="AD165" s="1222"/>
      <c r="AE165" s="1222"/>
      <c r="AF165" s="1222"/>
      <c r="AG165" s="1222"/>
      <c r="AH165" s="1222"/>
      <c r="AJ165" s="1222" t="str">
        <f>IF($B$156="","----------",FIXED(U165-$U$156,'Registo Calibração'!$AI$15))</f>
        <v>----------</v>
      </c>
      <c r="AK165" s="1222"/>
      <c r="AL165" s="1222"/>
      <c r="AM165" s="1222"/>
      <c r="AN165" s="1222"/>
      <c r="AO165" s="1222"/>
      <c r="AP165" s="1222"/>
      <c r="AQ165" s="1222"/>
      <c r="AR165" s="1222"/>
      <c r="AS165" s="1222"/>
      <c r="AT165" s="1222"/>
      <c r="AU165" s="1222"/>
      <c r="AW165" s="406"/>
      <c r="FK165" s="46"/>
      <c r="FL165" s="46"/>
      <c r="FM165" s="46"/>
      <c r="FN165" s="46"/>
      <c r="FO165" s="46"/>
      <c r="FP165" s="46"/>
      <c r="FQ165" s="46"/>
      <c r="FR165" s="46"/>
      <c r="FS165" s="46"/>
      <c r="FT165" s="46"/>
      <c r="FU165" s="46"/>
      <c r="FV165" s="46"/>
      <c r="FW165" s="46"/>
      <c r="FX165" s="46"/>
      <c r="FY165" s="46"/>
      <c r="FZ165" s="46"/>
      <c r="GA165" s="46"/>
      <c r="GB165" s="46"/>
      <c r="GC165" s="46"/>
      <c r="GD165" s="46"/>
      <c r="GE165" s="46"/>
      <c r="GF165" s="46"/>
      <c r="GG165" s="46"/>
      <c r="GH165" s="46"/>
    </row>
    <row r="166" spans="2:190" s="47" customFormat="1" ht="15" hidden="1">
      <c r="Q166" s="1199">
        <v>11</v>
      </c>
      <c r="R166" s="1199"/>
      <c r="S166" s="1199"/>
      <c r="U166" s="1222">
        <f>IF($B$156="",0,IF('2º MR-MI'!K26="-------",0,'2º MR-MI'!K26))</f>
        <v>0</v>
      </c>
      <c r="V166" s="1222"/>
      <c r="W166" s="1222"/>
      <c r="X166" s="1222"/>
      <c r="Y166" s="1222"/>
      <c r="Z166" s="1222"/>
      <c r="AA166" s="1222"/>
      <c r="AB166" s="1222"/>
      <c r="AC166" s="1222"/>
      <c r="AD166" s="1222"/>
      <c r="AE166" s="1222"/>
      <c r="AF166" s="1222"/>
      <c r="AG166" s="1222"/>
      <c r="AH166" s="1222"/>
      <c r="AJ166" s="1222" t="str">
        <f>IF($B$156="","----------",FIXED(U166-$U$156,'Registo Calibração'!$AI$15))</f>
        <v>----------</v>
      </c>
      <c r="AK166" s="1222"/>
      <c r="AL166" s="1222"/>
      <c r="AM166" s="1222"/>
      <c r="AN166" s="1222"/>
      <c r="AO166" s="1222"/>
      <c r="AP166" s="1222"/>
      <c r="AQ166" s="1222"/>
      <c r="AR166" s="1222"/>
      <c r="AS166" s="1222"/>
      <c r="AT166" s="1222"/>
      <c r="AU166" s="1222"/>
      <c r="AW166" s="406"/>
      <c r="FK166" s="46"/>
      <c r="FL166" s="46"/>
      <c r="FM166" s="46"/>
      <c r="FN166" s="46"/>
      <c r="FO166" s="46"/>
      <c r="FP166" s="46"/>
      <c r="FQ166" s="46"/>
      <c r="FR166" s="46"/>
      <c r="FS166" s="46"/>
      <c r="FT166" s="46"/>
      <c r="FU166" s="46"/>
      <c r="FV166" s="46"/>
      <c r="FW166" s="46"/>
      <c r="FX166" s="46"/>
      <c r="FY166" s="46"/>
      <c r="FZ166" s="46"/>
      <c r="GA166" s="46"/>
      <c r="GB166" s="46"/>
      <c r="GC166" s="46"/>
      <c r="GD166" s="46"/>
      <c r="GE166" s="46"/>
      <c r="GF166" s="46"/>
      <c r="GG166" s="46"/>
      <c r="GH166" s="46"/>
    </row>
    <row r="167" spans="2:190" s="47" customFormat="1" ht="50.25" customHeight="1">
      <c r="B167" s="1192" t="str">
        <f>IF($E$90="","Ensaio não aplicável.",IF(E90=B156,"Ensaio realizado na 1.ª Escala (Max1) da balança.",CONCATENATE("O Erro de Excentricidade Máximo, calculado pela maior diferença de indicação entre cada posição e o centro (posição 1), para a carga considerada de ",E90," ",'2º MR-MI'!J23,", foi de ",IF('2º MR-MI'!L26="",CONCATENATE('Registo Calibração'!L26," ",'Registo Calibração'!M26,"."," A posição do terminal de pesagem relativamente ao recetor de carga está indicada ao lado do esquema pela palavra 'Visor'."),CONCATENATE('2º MR-MI'!L26," ",'2º MR-MI'!M26,"."," A posição do terminal de pesagem relativamente ao recetor de carga está indicada ao lado do esquema pela palavra 'Visor'.")))))</f>
        <v>Ensaio não aplicável.</v>
      </c>
      <c r="C167" s="1192"/>
      <c r="D167" s="1192"/>
      <c r="E167" s="1192"/>
      <c r="F167" s="1192"/>
      <c r="G167" s="1192"/>
      <c r="H167" s="1192"/>
      <c r="I167" s="1192"/>
      <c r="J167" s="1192"/>
      <c r="K167" s="1192"/>
      <c r="L167" s="1192"/>
      <c r="M167" s="1192"/>
      <c r="N167" s="1192"/>
      <c r="O167" s="1192"/>
      <c r="P167" s="1192"/>
      <c r="Q167" s="1192"/>
      <c r="R167" s="1192"/>
      <c r="S167" s="1192"/>
      <c r="T167" s="1192"/>
      <c r="U167" s="1192"/>
      <c r="V167" s="1192"/>
      <c r="W167" s="1192"/>
      <c r="X167" s="1192"/>
      <c r="Y167" s="1192"/>
      <c r="Z167" s="1192"/>
      <c r="AA167" s="1192"/>
      <c r="AB167" s="1192"/>
      <c r="AC167" s="1192"/>
      <c r="AD167" s="1192"/>
      <c r="AE167" s="1192"/>
      <c r="AF167" s="1192"/>
      <c r="AG167" s="1192"/>
      <c r="AH167" s="1192"/>
      <c r="AI167" s="1192"/>
      <c r="AJ167" s="1192"/>
      <c r="AK167" s="1192"/>
      <c r="AL167" s="1192"/>
      <c r="AM167" s="1192"/>
      <c r="AN167" s="1192"/>
      <c r="AO167" s="1192"/>
      <c r="AP167" s="1192"/>
      <c r="AQ167" s="1192"/>
      <c r="AR167" s="1192"/>
      <c r="AS167" s="1192"/>
      <c r="AT167" s="1192"/>
      <c r="AU167" s="1192"/>
      <c r="AV167" s="1192"/>
      <c r="AW167" s="406"/>
      <c r="FK167" s="46"/>
      <c r="FL167" s="46"/>
      <c r="FM167" s="46"/>
      <c r="FN167" s="46"/>
      <c r="FO167" s="46"/>
      <c r="FP167" s="46"/>
      <c r="FQ167" s="46"/>
      <c r="FR167" s="46"/>
      <c r="FS167" s="46"/>
      <c r="FT167" s="46"/>
      <c r="FU167" s="46"/>
      <c r="FV167" s="46"/>
      <c r="FW167" s="46"/>
      <c r="FX167" s="46"/>
      <c r="FY167" s="46"/>
      <c r="FZ167" s="46"/>
      <c r="GA167" s="46"/>
      <c r="GB167" s="46"/>
      <c r="GC167" s="46"/>
      <c r="GD167" s="46"/>
      <c r="GE167" s="46"/>
      <c r="GF167" s="46"/>
      <c r="GG167" s="46"/>
      <c r="GH167" s="46"/>
    </row>
    <row r="168" spans="2:190" s="47" customFormat="1" ht="6.75" customHeight="1">
      <c r="B168" s="473"/>
      <c r="C168" s="473"/>
      <c r="D168" s="473"/>
      <c r="E168" s="473"/>
      <c r="F168" s="473"/>
      <c r="G168" s="473"/>
      <c r="H168" s="473"/>
      <c r="I168" s="473"/>
      <c r="J168" s="473"/>
      <c r="K168" s="473"/>
      <c r="L168" s="473"/>
      <c r="M168" s="473"/>
      <c r="N168" s="473"/>
      <c r="O168" s="473"/>
      <c r="P168" s="473"/>
      <c r="Q168" s="473"/>
      <c r="R168" s="473"/>
      <c r="S168" s="473"/>
      <c r="T168" s="473"/>
      <c r="U168" s="473"/>
      <c r="V168" s="473"/>
      <c r="W168" s="473"/>
      <c r="X168" s="473"/>
      <c r="Y168" s="473"/>
      <c r="Z168" s="473"/>
      <c r="AA168" s="473"/>
      <c r="AB168" s="473"/>
      <c r="AC168" s="473"/>
      <c r="AD168" s="473"/>
      <c r="AE168" s="473"/>
      <c r="AF168" s="473"/>
      <c r="AG168" s="473"/>
      <c r="AH168" s="473"/>
      <c r="AI168" s="473"/>
      <c r="AJ168" s="473"/>
      <c r="AK168" s="473"/>
      <c r="AL168" s="473"/>
      <c r="AM168" s="473"/>
      <c r="AN168" s="473"/>
      <c r="AO168" s="473"/>
      <c r="AP168" s="473"/>
      <c r="AQ168" s="473"/>
      <c r="AR168" s="473"/>
      <c r="AS168" s="473"/>
      <c r="AT168" s="473"/>
      <c r="AU168" s="473"/>
      <c r="AW168" s="406"/>
      <c r="FK168" s="46"/>
      <c r="FL168" s="46"/>
      <c r="FM168" s="46"/>
      <c r="FN168" s="46"/>
      <c r="FO168" s="46"/>
      <c r="FP168" s="46"/>
      <c r="FQ168" s="46"/>
      <c r="FR168" s="46"/>
      <c r="FS168" s="46"/>
      <c r="FT168" s="46"/>
      <c r="FU168" s="46"/>
      <c r="FV168" s="46"/>
      <c r="FW168" s="46"/>
      <c r="FX168" s="46"/>
      <c r="FY168" s="46"/>
      <c r="FZ168" s="46"/>
      <c r="GA168" s="46"/>
      <c r="GB168" s="46"/>
      <c r="GC168" s="46"/>
      <c r="GD168" s="46"/>
      <c r="GE168" s="46"/>
      <c r="GF168" s="46"/>
      <c r="GG168" s="46"/>
      <c r="GH168" s="46"/>
    </row>
    <row r="169" spans="2:190" s="47" customFormat="1" ht="15">
      <c r="B169" s="1221" t="s">
        <v>420</v>
      </c>
      <c r="C169" s="1221"/>
      <c r="D169" s="1221"/>
      <c r="E169" s="1221"/>
      <c r="F169" s="1221"/>
      <c r="G169" s="1221"/>
      <c r="H169" s="1221"/>
      <c r="I169" s="1221"/>
      <c r="J169" s="1221"/>
      <c r="K169" s="1221"/>
      <c r="L169" s="1221"/>
      <c r="M169" s="1221"/>
      <c r="N169" s="1221"/>
      <c r="O169" s="1221"/>
      <c r="P169" s="1221"/>
      <c r="Q169" s="1221"/>
      <c r="R169" s="1221"/>
      <c r="S169" s="1221"/>
      <c r="T169" s="1221"/>
      <c r="U169" s="1221"/>
      <c r="V169" s="1221"/>
      <c r="W169" s="1221"/>
      <c r="X169" s="1221"/>
      <c r="Y169" s="1221"/>
      <c r="Z169" s="1221"/>
      <c r="AA169" s="1221"/>
      <c r="AB169" s="1221"/>
      <c r="AC169" s="1221"/>
      <c r="AD169" s="1221"/>
      <c r="AE169" s="1221"/>
      <c r="AF169" s="1221"/>
      <c r="AG169" s="1221"/>
      <c r="AH169" s="1221"/>
      <c r="AI169" s="1221"/>
      <c r="AJ169" s="1221"/>
      <c r="AK169" s="1221"/>
      <c r="AL169" s="1221"/>
      <c r="AM169" s="1221"/>
      <c r="AN169" s="1221"/>
      <c r="AO169" s="1221"/>
      <c r="AP169" s="1221"/>
      <c r="AQ169" s="1221"/>
      <c r="AR169" s="1221"/>
      <c r="AS169" s="1221"/>
      <c r="AT169" s="1221"/>
      <c r="AU169" s="1221"/>
      <c r="AV169" s="1221"/>
      <c r="AW169" s="406"/>
      <c r="BH169" s="1223"/>
      <c r="BI169" s="1223"/>
      <c r="BJ169" s="1223"/>
      <c r="BK169" s="1223"/>
      <c r="BL169" s="1223"/>
      <c r="BM169" s="1223"/>
      <c r="BN169" s="1223"/>
      <c r="BO169" s="1223"/>
      <c r="BP169" s="1223"/>
      <c r="BQ169" s="1223"/>
      <c r="BR169" s="1223"/>
      <c r="FK169" s="46"/>
      <c r="FL169" s="46"/>
      <c r="FM169" s="46"/>
      <c r="FN169" s="46"/>
      <c r="FO169" s="46"/>
      <c r="FP169" s="46"/>
      <c r="FQ169" s="46"/>
      <c r="FR169" s="46"/>
      <c r="FS169" s="46"/>
      <c r="FT169" s="46"/>
      <c r="FU169" s="46"/>
      <c r="FV169" s="46"/>
      <c r="FW169" s="46"/>
      <c r="FX169" s="46"/>
      <c r="FY169" s="46"/>
      <c r="FZ169" s="46"/>
      <c r="GA169" s="46"/>
      <c r="GB169" s="46"/>
      <c r="GC169" s="46"/>
      <c r="GD169" s="46"/>
      <c r="GE169" s="46"/>
      <c r="GF169" s="46"/>
      <c r="GG169" s="46"/>
      <c r="GH169" s="46"/>
    </row>
    <row r="170" spans="2:190" s="47" customFormat="1" ht="5.25" customHeight="1">
      <c r="B170" s="474"/>
      <c r="C170" s="474"/>
      <c r="D170" s="474"/>
      <c r="E170" s="474"/>
      <c r="F170" s="474"/>
      <c r="G170" s="474"/>
      <c r="H170" s="474"/>
      <c r="I170" s="474"/>
      <c r="J170" s="474"/>
      <c r="K170" s="474"/>
      <c r="L170" s="474"/>
      <c r="M170" s="64"/>
      <c r="N170" s="64"/>
      <c r="O170" s="474"/>
      <c r="P170" s="474"/>
      <c r="Q170" s="474"/>
      <c r="R170" s="474"/>
      <c r="S170" s="474"/>
      <c r="T170" s="474"/>
      <c r="U170" s="474"/>
      <c r="V170" s="474"/>
      <c r="W170" s="474"/>
      <c r="X170" s="474"/>
      <c r="Y170" s="474"/>
      <c r="Z170" s="474"/>
      <c r="AA170" s="474"/>
      <c r="AB170" s="474"/>
      <c r="AC170" s="474"/>
      <c r="AD170" s="474"/>
      <c r="AE170" s="474"/>
      <c r="AF170" s="474"/>
      <c r="AG170" s="474"/>
      <c r="AH170" s="474"/>
      <c r="AI170" s="474"/>
      <c r="AJ170" s="474"/>
      <c r="AK170" s="474"/>
      <c r="AL170" s="474"/>
      <c r="AM170" s="474"/>
      <c r="AN170" s="474"/>
      <c r="AO170" s="474"/>
      <c r="AP170" s="474"/>
      <c r="AQ170" s="474"/>
      <c r="AR170" s="474"/>
      <c r="AS170" s="474"/>
      <c r="AT170" s="474"/>
      <c r="AU170" s="474"/>
      <c r="AW170" s="406"/>
      <c r="BH170" s="1223"/>
      <c r="BI170" s="1223"/>
      <c r="BJ170" s="1223"/>
      <c r="BK170" s="1223"/>
      <c r="BL170" s="1223"/>
      <c r="BM170" s="1223"/>
      <c r="BN170" s="1223"/>
      <c r="BO170" s="1223"/>
      <c r="BP170" s="1223"/>
      <c r="BQ170" s="1223"/>
      <c r="BR170" s="1223"/>
      <c r="FK170" s="46"/>
      <c r="FL170" s="46"/>
      <c r="FM170" s="46"/>
      <c r="FN170" s="46"/>
      <c r="FO170" s="46"/>
      <c r="FP170" s="46"/>
      <c r="FQ170" s="46"/>
      <c r="FR170" s="46"/>
      <c r="FS170" s="46"/>
      <c r="FT170" s="46"/>
      <c r="FU170" s="46"/>
      <c r="FV170" s="46"/>
      <c r="FW170" s="46"/>
      <c r="FX170" s="46"/>
      <c r="FY170" s="46"/>
      <c r="FZ170" s="46"/>
      <c r="GA170" s="46"/>
      <c r="GB170" s="46"/>
      <c r="GC170" s="46"/>
      <c r="GD170" s="46"/>
      <c r="GE170" s="46"/>
      <c r="GF170" s="46"/>
      <c r="GG170" s="46"/>
      <c r="GH170" s="46"/>
    </row>
    <row r="171" spans="2:190" s="47" customFormat="1" ht="16.5">
      <c r="B171" s="1221" t="s">
        <v>285</v>
      </c>
      <c r="C171" s="1221"/>
      <c r="D171" s="1221"/>
      <c r="E171" s="1221"/>
      <c r="F171" s="1221"/>
      <c r="G171" s="1221"/>
      <c r="H171" s="1221"/>
      <c r="I171" s="1221"/>
      <c r="J171" s="1221"/>
      <c r="K171" s="380"/>
      <c r="L171" s="1221" t="s">
        <v>411</v>
      </c>
      <c r="M171" s="1221"/>
      <c r="N171" s="1221"/>
      <c r="O171" s="1221"/>
      <c r="P171" s="1221"/>
      <c r="Q171" s="1221"/>
      <c r="R171" s="1221"/>
      <c r="S171" s="1221"/>
      <c r="T171" s="1221"/>
      <c r="U171" s="1221"/>
      <c r="V171" s="1221"/>
      <c r="W171" s="474"/>
      <c r="X171" s="1221" t="s">
        <v>2</v>
      </c>
      <c r="Y171" s="1221"/>
      <c r="Z171" s="1221"/>
      <c r="AA171" s="1221"/>
      <c r="AB171" s="1221"/>
      <c r="AC171" s="1221"/>
      <c r="AD171" s="1221"/>
      <c r="AE171" s="1221"/>
      <c r="AF171" s="1221"/>
      <c r="AG171" s="1221"/>
      <c r="AH171" s="470"/>
      <c r="AI171" s="1256" t="s">
        <v>421</v>
      </c>
      <c r="AJ171" s="1256"/>
      <c r="AK171" s="1256"/>
      <c r="AL171" s="474"/>
      <c r="AM171" s="1257" t="s">
        <v>6</v>
      </c>
      <c r="AN171" s="1257"/>
      <c r="AO171" s="1257"/>
      <c r="AP171" s="1257"/>
      <c r="AQ171" s="470"/>
      <c r="AR171" s="1257" t="s">
        <v>7</v>
      </c>
      <c r="AS171" s="1257"/>
      <c r="AT171" s="1257"/>
      <c r="AU171" s="1257"/>
      <c r="AV171" s="1257"/>
      <c r="AW171" s="406"/>
      <c r="BH171" s="1223"/>
      <c r="BI171" s="1223"/>
      <c r="BJ171" s="1223"/>
      <c r="BK171" s="1223"/>
      <c r="BL171" s="1223"/>
      <c r="BM171" s="1223"/>
      <c r="BN171" s="1223"/>
      <c r="BO171" s="1223"/>
      <c r="BP171" s="1223"/>
      <c r="BQ171" s="1223"/>
      <c r="BR171" s="1223"/>
      <c r="FK171" s="46"/>
      <c r="FL171" s="46"/>
      <c r="FM171" s="46"/>
      <c r="FN171" s="46"/>
      <c r="FO171" s="46"/>
      <c r="FP171" s="46"/>
      <c r="FQ171" s="46"/>
      <c r="FR171" s="46"/>
      <c r="FS171" s="46"/>
      <c r="FT171" s="46"/>
      <c r="FU171" s="46"/>
      <c r="FV171" s="46"/>
      <c r="FW171" s="46"/>
      <c r="FX171" s="46"/>
      <c r="FY171" s="46"/>
      <c r="FZ171" s="46"/>
      <c r="GA171" s="46"/>
      <c r="GB171" s="46"/>
      <c r="GC171" s="46"/>
      <c r="GD171" s="46"/>
      <c r="GE171" s="46"/>
      <c r="GF171" s="46"/>
      <c r="GG171" s="46"/>
      <c r="GH171" s="46"/>
    </row>
    <row r="172" spans="2:190" s="47" customFormat="1" ht="15.75" customHeight="1">
      <c r="B172" s="1255" t="str">
        <f>CONCATENATE("[ ",$AV$69," ]")</f>
        <v>[ g ]</v>
      </c>
      <c r="C172" s="1255"/>
      <c r="D172" s="1255"/>
      <c r="E172" s="1255"/>
      <c r="F172" s="1255"/>
      <c r="G172" s="1255"/>
      <c r="H172" s="1255"/>
      <c r="I172" s="1255"/>
      <c r="J172" s="1255"/>
      <c r="K172" s="476"/>
      <c r="L172" s="1255" t="str">
        <f>CONCATENATE("I ","[ ",$AV$69," ]")</f>
        <v>I [ g ]</v>
      </c>
      <c r="M172" s="1255"/>
      <c r="N172" s="1255"/>
      <c r="O172" s="1255"/>
      <c r="P172" s="1255"/>
      <c r="Q172" s="1255"/>
      <c r="R172" s="1255"/>
      <c r="S172" s="1255"/>
      <c r="T172" s="1255"/>
      <c r="U172" s="1255"/>
      <c r="V172" s="1255"/>
      <c r="W172" s="474"/>
      <c r="X172" s="1255" t="str">
        <f>CONCATENATE("E ","[ ",$AV$69," ]")</f>
        <v>E [ g ]</v>
      </c>
      <c r="Y172" s="1255"/>
      <c r="Z172" s="1255"/>
      <c r="AA172" s="1255"/>
      <c r="AB172" s="1255"/>
      <c r="AC172" s="1255"/>
      <c r="AD172" s="1255"/>
      <c r="AE172" s="1255"/>
      <c r="AF172" s="1255"/>
      <c r="AG172" s="1255"/>
      <c r="AH172" s="470"/>
      <c r="AI172" s="1256"/>
      <c r="AJ172" s="1256"/>
      <c r="AK172" s="1256"/>
      <c r="AL172" s="474"/>
      <c r="AM172" s="1257"/>
      <c r="AN172" s="1257"/>
      <c r="AO172" s="1257"/>
      <c r="AP172" s="1257"/>
      <c r="AQ172" s="470"/>
      <c r="AR172" s="1244" t="s">
        <v>422</v>
      </c>
      <c r="AS172" s="1245"/>
      <c r="AT172" s="1261" t="str">
        <f>CONCATENATE("[ ",$AV$69," ]")</f>
        <v>[ g ]</v>
      </c>
      <c r="AU172" s="1261"/>
      <c r="AV172" s="1261"/>
      <c r="AW172" s="406"/>
      <c r="BH172" s="1223"/>
      <c r="BI172" s="1223"/>
      <c r="BJ172" s="1223"/>
      <c r="BK172" s="1223"/>
      <c r="BL172" s="1223"/>
      <c r="BM172" s="1223"/>
      <c r="BN172" s="1223"/>
      <c r="BO172" s="1223"/>
      <c r="BP172" s="1223"/>
      <c r="BQ172" s="1223"/>
      <c r="BR172" s="1223"/>
      <c r="FK172" s="46"/>
      <c r="FL172" s="46"/>
      <c r="FM172" s="46"/>
      <c r="FN172" s="46"/>
      <c r="FO172" s="46"/>
      <c r="FP172" s="46"/>
      <c r="FQ172" s="46"/>
      <c r="FR172" s="46"/>
      <c r="FS172" s="46"/>
      <c r="FT172" s="46"/>
      <c r="FU172" s="46"/>
      <c r="FV172" s="46"/>
      <c r="FW172" s="46"/>
      <c r="FX172" s="46"/>
      <c r="FY172" s="46"/>
      <c r="FZ172" s="46"/>
      <c r="GA172" s="46"/>
      <c r="GB172" s="46"/>
      <c r="GC172" s="46"/>
      <c r="GD172" s="46"/>
      <c r="GE172" s="46"/>
      <c r="GF172" s="46"/>
      <c r="GG172" s="46"/>
      <c r="GH172" s="46"/>
    </row>
    <row r="173" spans="2:190" s="47" customFormat="1" ht="5.25" customHeight="1">
      <c r="B173" s="476"/>
      <c r="C173" s="476"/>
      <c r="D173" s="476"/>
      <c r="E173" s="476"/>
      <c r="F173" s="476"/>
      <c r="G173" s="476"/>
      <c r="H173" s="476"/>
      <c r="I173" s="476"/>
      <c r="J173" s="476"/>
      <c r="K173" s="476"/>
      <c r="L173" s="476"/>
      <c r="M173" s="476"/>
      <c r="N173" s="476"/>
      <c r="O173" s="474"/>
      <c r="P173" s="474"/>
      <c r="Q173" s="474"/>
      <c r="R173" s="474"/>
      <c r="S173" s="474"/>
      <c r="T173" s="474"/>
      <c r="U173" s="474"/>
      <c r="V173" s="474"/>
      <c r="W173" s="474"/>
      <c r="X173" s="474"/>
      <c r="Y173" s="474"/>
      <c r="Z173" s="474"/>
      <c r="AA173" s="474"/>
      <c r="AB173" s="474"/>
      <c r="AC173" s="470"/>
      <c r="AD173" s="470"/>
      <c r="AE173" s="470"/>
      <c r="AF173" s="470"/>
      <c r="AG173" s="470"/>
      <c r="AH173" s="470"/>
      <c r="AI173" s="470"/>
      <c r="AJ173" s="470"/>
      <c r="AK173" s="470"/>
      <c r="AL173" s="470"/>
      <c r="AM173" s="470"/>
      <c r="AN173" s="470"/>
      <c r="AO173" s="470"/>
      <c r="AP173" s="470"/>
      <c r="AQ173" s="470"/>
      <c r="AR173" s="470"/>
      <c r="AS173" s="470"/>
      <c r="AW173" s="406"/>
      <c r="BH173" s="1223"/>
      <c r="BI173" s="1223"/>
      <c r="BJ173" s="1223"/>
      <c r="BK173" s="1223"/>
      <c r="BL173" s="1223"/>
      <c r="BM173" s="1223"/>
      <c r="BN173" s="1223"/>
      <c r="BO173" s="1223"/>
      <c r="BP173" s="1223"/>
      <c r="BQ173" s="1223"/>
      <c r="BR173" s="1223"/>
      <c r="FK173" s="46"/>
      <c r="FL173" s="46"/>
      <c r="FM173" s="46"/>
      <c r="FN173" s="46"/>
      <c r="FO173" s="46"/>
      <c r="FP173" s="46"/>
      <c r="FQ173" s="46"/>
      <c r="FR173" s="46"/>
      <c r="FS173" s="46"/>
      <c r="FT173" s="46"/>
      <c r="FU173" s="46"/>
      <c r="FV173" s="46"/>
      <c r="FW173" s="46"/>
      <c r="FX173" s="46"/>
      <c r="FY173" s="46"/>
      <c r="FZ173" s="46"/>
      <c r="GA173" s="46"/>
      <c r="GB173" s="46"/>
      <c r="GC173" s="46"/>
      <c r="GD173" s="46"/>
      <c r="GE173" s="46"/>
      <c r="GF173" s="46"/>
      <c r="GG173" s="46"/>
      <c r="GH173" s="46"/>
    </row>
    <row r="174" spans="2:190" s="47" customFormat="1" ht="12" customHeight="1">
      <c r="B174" s="1223">
        <f>'2º MR-MI'!$D$31</f>
        <v>0</v>
      </c>
      <c r="C174" s="1223"/>
      <c r="D174" s="1223"/>
      <c r="E174" s="1223"/>
      <c r="F174" s="1223"/>
      <c r="G174" s="1223"/>
      <c r="H174" s="1223"/>
      <c r="I174" s="1223"/>
      <c r="J174" s="1223"/>
      <c r="K174" s="477"/>
      <c r="L174" s="1223" t="str">
        <f>'2º MR-MI'!$H$31</f>
        <v>0</v>
      </c>
      <c r="M174" s="1223"/>
      <c r="N174" s="1223"/>
      <c r="O174" s="1223"/>
      <c r="P174" s="1223"/>
      <c r="Q174" s="1223"/>
      <c r="R174" s="1223"/>
      <c r="S174" s="1223"/>
      <c r="T174" s="1223"/>
      <c r="U174" s="1223"/>
      <c r="V174" s="1223"/>
      <c r="W174" s="478"/>
      <c r="X174" s="1220" t="str">
        <f>'2º MR-MI'!$I$31</f>
        <v>0</v>
      </c>
      <c r="Y174" s="1220"/>
      <c r="Z174" s="1220"/>
      <c r="AA174" s="1220"/>
      <c r="AB174" s="1220"/>
      <c r="AC174" s="1220"/>
      <c r="AD174" s="1220"/>
      <c r="AE174" s="1220"/>
      <c r="AF174" s="1220"/>
      <c r="AG174" s="1220"/>
      <c r="AH174" s="479"/>
      <c r="AI174" s="1223" t="str">
        <f>'2º MR-MI'!$J$31</f>
        <v>&gt; 500</v>
      </c>
      <c r="AJ174" s="1220"/>
      <c r="AK174" s="1220"/>
      <c r="AL174" s="479"/>
      <c r="AM174" s="1219">
        <f>'2º MR-MI'!$K$31</f>
        <v>2</v>
      </c>
      <c r="AN174" s="1220"/>
      <c r="AO174" s="1220"/>
      <c r="AP174" s="1220"/>
      <c r="AQ174" s="479"/>
      <c r="AR174" s="1223" t="str">
        <f>'2º MR-MI'!$L$31</f>
        <v>0,0000000</v>
      </c>
      <c r="AS174" s="1220"/>
      <c r="AT174" s="1220"/>
      <c r="AU174" s="1220"/>
      <c r="AV174" s="1220"/>
      <c r="AW174" s="406"/>
      <c r="BH174" s="1223"/>
      <c r="BI174" s="1223"/>
      <c r="BJ174" s="1223"/>
      <c r="BK174" s="1223"/>
      <c r="BL174" s="1223"/>
      <c r="BM174" s="1223"/>
      <c r="BN174" s="1223"/>
      <c r="BO174" s="1223"/>
      <c r="BP174" s="1223"/>
      <c r="BQ174" s="1223"/>
      <c r="BR174" s="1223"/>
      <c r="FK174" s="46"/>
      <c r="FL174" s="46"/>
      <c r="FM174" s="46"/>
      <c r="FN174" s="46"/>
      <c r="FO174" s="46"/>
      <c r="FP174" s="46"/>
      <c r="FQ174" s="46"/>
      <c r="FR174" s="46"/>
      <c r="FS174" s="46"/>
      <c r="FT174" s="46"/>
      <c r="FU174" s="46"/>
      <c r="FV174" s="46"/>
      <c r="FW174" s="46"/>
      <c r="FX174" s="46"/>
      <c r="FY174" s="46"/>
      <c r="FZ174" s="46"/>
      <c r="GA174" s="46"/>
      <c r="GB174" s="46"/>
      <c r="GC174" s="46"/>
      <c r="GD174" s="46"/>
      <c r="GE174" s="46"/>
      <c r="GF174" s="46"/>
      <c r="GG174" s="46"/>
      <c r="GH174" s="46"/>
    </row>
    <row r="175" spans="2:190" s="47" customFormat="1" ht="15">
      <c r="B175" s="1223" t="str">
        <f>'2º MR-MI'!$D$34</f>
        <v>0,0</v>
      </c>
      <c r="C175" s="1223"/>
      <c r="D175" s="1223"/>
      <c r="E175" s="1223"/>
      <c r="F175" s="1223"/>
      <c r="G175" s="1223"/>
      <c r="H175" s="1223"/>
      <c r="I175" s="1223"/>
      <c r="J175" s="1223"/>
      <c r="K175" s="477"/>
      <c r="L175" s="1223" t="str">
        <f>'2º MR-MI'!$H$36</f>
        <v>------</v>
      </c>
      <c r="M175" s="1223"/>
      <c r="N175" s="1223"/>
      <c r="O175" s="1223"/>
      <c r="P175" s="1223"/>
      <c r="Q175" s="1223"/>
      <c r="R175" s="1223"/>
      <c r="S175" s="1223"/>
      <c r="T175" s="1223"/>
      <c r="U175" s="1223"/>
      <c r="V175" s="1223"/>
      <c r="W175" s="478"/>
      <c r="X175" s="1224" t="str">
        <f>'2º MR-MI'!$I$36</f>
        <v>------</v>
      </c>
      <c r="Y175" s="1220"/>
      <c r="Z175" s="1220"/>
      <c r="AA175" s="1220"/>
      <c r="AB175" s="1220"/>
      <c r="AC175" s="1220"/>
      <c r="AD175" s="1220"/>
      <c r="AE175" s="1220"/>
      <c r="AF175" s="1220"/>
      <c r="AG175" s="1220"/>
      <c r="AH175" s="479"/>
      <c r="AI175" s="1223" t="str">
        <f>'2º MR-MI'!$J$36</f>
        <v>&gt; 500</v>
      </c>
      <c r="AJ175" s="1220"/>
      <c r="AK175" s="1220"/>
      <c r="AL175" s="479"/>
      <c r="AM175" s="1219" t="e">
        <f>'2º MR-MI'!$K$36</f>
        <v>#DIV/0!</v>
      </c>
      <c r="AN175" s="1220"/>
      <c r="AO175" s="1220"/>
      <c r="AP175" s="1220"/>
      <c r="AQ175" s="479"/>
      <c r="AR175" s="1224" t="str">
        <f>'2º MR-MI'!$L$36</f>
        <v>------</v>
      </c>
      <c r="AS175" s="1220"/>
      <c r="AT175" s="1220"/>
      <c r="AU175" s="1220"/>
      <c r="AV175" s="1220"/>
      <c r="AW175" s="406"/>
      <c r="BH175" s="1223"/>
      <c r="BI175" s="1223"/>
      <c r="BJ175" s="1223"/>
      <c r="BK175" s="1223"/>
      <c r="BL175" s="1223"/>
      <c r="BM175" s="1223"/>
      <c r="BN175" s="1223"/>
      <c r="BO175" s="1223"/>
      <c r="BP175" s="1223"/>
      <c r="BQ175" s="1223"/>
      <c r="BR175" s="1223"/>
      <c r="FK175" s="46"/>
      <c r="FL175" s="46"/>
      <c r="FM175" s="46"/>
      <c r="FN175" s="46"/>
      <c r="FO175" s="46"/>
      <c r="FP175" s="46"/>
      <c r="FQ175" s="46"/>
      <c r="FR175" s="46"/>
      <c r="FS175" s="46"/>
      <c r="FT175" s="46"/>
      <c r="FU175" s="46"/>
      <c r="FV175" s="46"/>
      <c r="FW175" s="46"/>
      <c r="FX175" s="46"/>
      <c r="FY175" s="46"/>
      <c r="FZ175" s="46"/>
      <c r="GA175" s="46"/>
      <c r="GB175" s="46"/>
      <c r="GC175" s="46"/>
      <c r="GD175" s="46"/>
      <c r="GE175" s="46"/>
      <c r="GF175" s="46"/>
      <c r="GG175" s="46"/>
      <c r="GH175" s="46"/>
    </row>
    <row r="176" spans="2:190" s="47" customFormat="1" ht="15">
      <c r="B176" s="1223" t="str">
        <f>'2º MR-MI'!$D$39</f>
        <v>0,0</v>
      </c>
      <c r="C176" s="1223"/>
      <c r="D176" s="1223"/>
      <c r="E176" s="1223"/>
      <c r="F176" s="1223"/>
      <c r="G176" s="1223"/>
      <c r="H176" s="1223"/>
      <c r="I176" s="1223"/>
      <c r="J176" s="1223"/>
      <c r="K176" s="477"/>
      <c r="L176" s="1223" t="str">
        <f>'2º MR-MI'!$H$41</f>
        <v>------</v>
      </c>
      <c r="M176" s="1223"/>
      <c r="N176" s="1223"/>
      <c r="O176" s="1223"/>
      <c r="P176" s="1223"/>
      <c r="Q176" s="1223"/>
      <c r="R176" s="1223"/>
      <c r="S176" s="1223"/>
      <c r="T176" s="1223"/>
      <c r="U176" s="1223"/>
      <c r="V176" s="1223"/>
      <c r="W176" s="478"/>
      <c r="X176" s="1224" t="str">
        <f>'2º MR-MI'!$I$41</f>
        <v>------</v>
      </c>
      <c r="Y176" s="1220"/>
      <c r="Z176" s="1220"/>
      <c r="AA176" s="1220"/>
      <c r="AB176" s="1220"/>
      <c r="AC176" s="1220"/>
      <c r="AD176" s="1220"/>
      <c r="AE176" s="1220"/>
      <c r="AF176" s="1220"/>
      <c r="AG176" s="1220"/>
      <c r="AH176" s="479"/>
      <c r="AI176" s="1223" t="str">
        <f>'2º MR-MI'!$J$41</f>
        <v>&gt; 500</v>
      </c>
      <c r="AJ176" s="1220"/>
      <c r="AK176" s="1220"/>
      <c r="AL176" s="479"/>
      <c r="AM176" s="1219" t="e">
        <f>'2º MR-MI'!$K$41</f>
        <v>#DIV/0!</v>
      </c>
      <c r="AN176" s="1220"/>
      <c r="AO176" s="1220"/>
      <c r="AP176" s="1220"/>
      <c r="AQ176" s="479"/>
      <c r="AR176" s="1224" t="str">
        <f>'2º MR-MI'!$L$41</f>
        <v>------</v>
      </c>
      <c r="AS176" s="1220"/>
      <c r="AT176" s="1220"/>
      <c r="AU176" s="1220"/>
      <c r="AV176" s="1220"/>
      <c r="AW176" s="406"/>
      <c r="BH176" s="1223"/>
      <c r="BI176" s="1223"/>
      <c r="BJ176" s="1223"/>
      <c r="BK176" s="1223"/>
      <c r="BL176" s="1223"/>
      <c r="BM176" s="1223"/>
      <c r="BN176" s="1223"/>
      <c r="BO176" s="1223"/>
      <c r="BP176" s="1223"/>
      <c r="BQ176" s="1223"/>
      <c r="BR176" s="1223"/>
      <c r="FK176" s="46"/>
      <c r="FL176" s="46"/>
      <c r="FM176" s="46"/>
      <c r="FN176" s="46"/>
      <c r="FO176" s="46"/>
      <c r="FP176" s="46"/>
      <c r="FQ176" s="46"/>
      <c r="FR176" s="46"/>
      <c r="FS176" s="46"/>
      <c r="FT176" s="46"/>
      <c r="FU176" s="46"/>
      <c r="FV176" s="46"/>
      <c r="FW176" s="46"/>
      <c r="FX176" s="46"/>
      <c r="FY176" s="46"/>
      <c r="FZ176" s="46"/>
      <c r="GA176" s="46"/>
      <c r="GB176" s="46"/>
      <c r="GC176" s="46"/>
      <c r="GD176" s="46"/>
      <c r="GE176" s="46"/>
      <c r="GF176" s="46"/>
      <c r="GG176" s="46"/>
      <c r="GH176" s="46"/>
    </row>
    <row r="177" spans="1:190" s="47" customFormat="1" ht="15">
      <c r="B177" s="1223" t="str">
        <f>'2º MR-MI'!$D$45</f>
        <v>0,0</v>
      </c>
      <c r="C177" s="1223"/>
      <c r="D177" s="1223"/>
      <c r="E177" s="1223"/>
      <c r="F177" s="1223"/>
      <c r="G177" s="1223"/>
      <c r="H177" s="1223"/>
      <c r="I177" s="1223"/>
      <c r="J177" s="1223"/>
      <c r="K177" s="477"/>
      <c r="L177" s="1223" t="str">
        <f>'2º MR-MI'!$H$47</f>
        <v>------</v>
      </c>
      <c r="M177" s="1223"/>
      <c r="N177" s="1223"/>
      <c r="O177" s="1223"/>
      <c r="P177" s="1223"/>
      <c r="Q177" s="1223"/>
      <c r="R177" s="1223"/>
      <c r="S177" s="1223"/>
      <c r="T177" s="1223"/>
      <c r="U177" s="1223"/>
      <c r="V177" s="1223"/>
      <c r="W177" s="478"/>
      <c r="X177" s="1224" t="str">
        <f>'2º MR-MI'!$I$47</f>
        <v>------</v>
      </c>
      <c r="Y177" s="1220"/>
      <c r="Z177" s="1220"/>
      <c r="AA177" s="1220"/>
      <c r="AB177" s="1220"/>
      <c r="AC177" s="1220"/>
      <c r="AD177" s="1220"/>
      <c r="AE177" s="1220"/>
      <c r="AF177" s="1220"/>
      <c r="AG177" s="1220"/>
      <c r="AH177" s="479"/>
      <c r="AI177" s="1223" t="str">
        <f>'2º MR-MI'!$J$47</f>
        <v>&gt; 500</v>
      </c>
      <c r="AJ177" s="1220"/>
      <c r="AK177" s="1220"/>
      <c r="AL177" s="479"/>
      <c r="AM177" s="1219" t="e">
        <f>'2º MR-MI'!$K$47</f>
        <v>#DIV/0!</v>
      </c>
      <c r="AN177" s="1220"/>
      <c r="AO177" s="1220"/>
      <c r="AP177" s="1220"/>
      <c r="AQ177" s="479"/>
      <c r="AR177" s="1224" t="str">
        <f>'2º MR-MI'!$L$47</f>
        <v>------</v>
      </c>
      <c r="AS177" s="1220"/>
      <c r="AT177" s="1220"/>
      <c r="AU177" s="1220"/>
      <c r="AV177" s="1220"/>
      <c r="AW177" s="406"/>
      <c r="BH177" s="1223"/>
      <c r="BI177" s="1223"/>
      <c r="BJ177" s="1223"/>
      <c r="BK177" s="1223"/>
      <c r="BL177" s="1223"/>
      <c r="BM177" s="1223"/>
      <c r="BN177" s="1223"/>
      <c r="BO177" s="1223"/>
      <c r="BP177" s="1223"/>
      <c r="BQ177" s="1223"/>
      <c r="BR177" s="1223"/>
      <c r="FK177" s="46"/>
      <c r="FL177" s="46"/>
      <c r="FM177" s="46"/>
      <c r="FN177" s="46"/>
      <c r="FO177" s="46"/>
      <c r="FP177" s="46"/>
      <c r="FQ177" s="46"/>
      <c r="FR177" s="46"/>
      <c r="FS177" s="46"/>
      <c r="FT177" s="46"/>
      <c r="FU177" s="46"/>
      <c r="FV177" s="46"/>
      <c r="FW177" s="46"/>
      <c r="FX177" s="46"/>
      <c r="FY177" s="46"/>
      <c r="FZ177" s="46"/>
      <c r="GA177" s="46"/>
      <c r="GB177" s="46"/>
      <c r="GC177" s="46"/>
      <c r="GD177" s="46"/>
      <c r="GE177" s="46"/>
      <c r="GF177" s="46"/>
      <c r="GG177" s="46"/>
      <c r="GH177" s="46"/>
    </row>
    <row r="178" spans="1:190" s="47" customFormat="1" ht="15" hidden="1">
      <c r="B178" s="1223" t="str">
        <f>'2º MR-MI'!$D$51</f>
        <v>0,0</v>
      </c>
      <c r="C178" s="1223"/>
      <c r="D178" s="1223"/>
      <c r="E178" s="1223"/>
      <c r="F178" s="1223"/>
      <c r="G178" s="1223"/>
      <c r="H178" s="1223"/>
      <c r="I178" s="1223"/>
      <c r="J178" s="1223"/>
      <c r="K178" s="477"/>
      <c r="L178" s="1223" t="str">
        <f>'2º MR-MI'!$H$53</f>
        <v>------</v>
      </c>
      <c r="M178" s="1223"/>
      <c r="N178" s="1223"/>
      <c r="O178" s="1223"/>
      <c r="P178" s="1223"/>
      <c r="Q178" s="1223"/>
      <c r="R178" s="1223"/>
      <c r="S178" s="1223"/>
      <c r="T178" s="1223"/>
      <c r="U178" s="1223"/>
      <c r="V178" s="1223"/>
      <c r="W178" s="478"/>
      <c r="X178" s="1224" t="str">
        <f>'2º MR-MI'!$I$53</f>
        <v>------</v>
      </c>
      <c r="Y178" s="1220"/>
      <c r="Z178" s="1220"/>
      <c r="AA178" s="1220"/>
      <c r="AB178" s="1220"/>
      <c r="AC178" s="1220"/>
      <c r="AD178" s="1220"/>
      <c r="AE178" s="1220"/>
      <c r="AF178" s="1220"/>
      <c r="AG178" s="1220"/>
      <c r="AH178" s="479"/>
      <c r="AI178" s="1223" t="str">
        <f>'2º MR-MI'!$J$53</f>
        <v>&gt; 500</v>
      </c>
      <c r="AJ178" s="1220"/>
      <c r="AK178" s="1220"/>
      <c r="AL178" s="479"/>
      <c r="AM178" s="1219" t="e">
        <f>'2º MR-MI'!$K$53</f>
        <v>#DIV/0!</v>
      </c>
      <c r="AN178" s="1220"/>
      <c r="AO178" s="1220"/>
      <c r="AP178" s="1220"/>
      <c r="AQ178" s="479"/>
      <c r="AR178" s="1224" t="str">
        <f>'2º MR-MI'!$L$53</f>
        <v>------</v>
      </c>
      <c r="AS178" s="1220"/>
      <c r="AT178" s="1220"/>
      <c r="AU178" s="1220"/>
      <c r="AV178" s="1220"/>
      <c r="AW178" s="406"/>
      <c r="FK178" s="46"/>
      <c r="FL178" s="46"/>
      <c r="FM178" s="46"/>
      <c r="FN178" s="46"/>
      <c r="FO178" s="46"/>
      <c r="FP178" s="46"/>
      <c r="FQ178" s="46"/>
      <c r="FR178" s="46"/>
      <c r="FS178" s="46"/>
      <c r="FT178" s="46"/>
      <c r="FU178" s="46"/>
      <c r="FV178" s="46"/>
      <c r="FW178" s="46"/>
      <c r="FX178" s="46"/>
      <c r="FY178" s="46"/>
      <c r="FZ178" s="46"/>
      <c r="GA178" s="46"/>
      <c r="GB178" s="46"/>
      <c r="GC178" s="46"/>
      <c r="GD178" s="46"/>
      <c r="GE178" s="46"/>
      <c r="GF178" s="46"/>
      <c r="GG178" s="46"/>
      <c r="GH178" s="46"/>
    </row>
    <row r="179" spans="1:190" s="47" customFormat="1" ht="14.25" hidden="1" customHeight="1">
      <c r="B179" s="1223" t="str">
        <f>'2º MR-MI'!$D$57</f>
        <v>0,0</v>
      </c>
      <c r="C179" s="1223"/>
      <c r="D179" s="1223"/>
      <c r="E179" s="1223"/>
      <c r="F179" s="1223"/>
      <c r="G179" s="1223"/>
      <c r="H179" s="1223"/>
      <c r="I179" s="1223"/>
      <c r="J179" s="1223"/>
      <c r="K179" s="477"/>
      <c r="L179" s="1223" t="str">
        <f>'2º MR-MI'!$H$59</f>
        <v>------</v>
      </c>
      <c r="M179" s="1223"/>
      <c r="N179" s="1223"/>
      <c r="O179" s="1223"/>
      <c r="P179" s="1223"/>
      <c r="Q179" s="1223"/>
      <c r="R179" s="1223"/>
      <c r="S179" s="1223"/>
      <c r="T179" s="1223"/>
      <c r="U179" s="1223"/>
      <c r="V179" s="1223"/>
      <c r="W179" s="478"/>
      <c r="X179" s="1224" t="str">
        <f>'2º MR-MI'!$I$59</f>
        <v>------</v>
      </c>
      <c r="Y179" s="1220"/>
      <c r="Z179" s="1220"/>
      <c r="AA179" s="1220"/>
      <c r="AB179" s="1220"/>
      <c r="AC179" s="1220"/>
      <c r="AD179" s="1220"/>
      <c r="AE179" s="1220"/>
      <c r="AF179" s="1220"/>
      <c r="AG179" s="1220"/>
      <c r="AH179" s="479"/>
      <c r="AI179" s="1223" t="str">
        <f>'2º MR-MI'!$J$59</f>
        <v>&gt; 500</v>
      </c>
      <c r="AJ179" s="1220"/>
      <c r="AK179" s="1220"/>
      <c r="AL179" s="479"/>
      <c r="AM179" s="1219" t="e">
        <f>'2º MR-MI'!$K$59</f>
        <v>#DIV/0!</v>
      </c>
      <c r="AN179" s="1220"/>
      <c r="AO179" s="1220"/>
      <c r="AP179" s="1220"/>
      <c r="AQ179" s="479"/>
      <c r="AR179" s="1224" t="str">
        <f>'2º MR-MI'!$L$59</f>
        <v>------</v>
      </c>
      <c r="AS179" s="1220"/>
      <c r="AT179" s="1220"/>
      <c r="AU179" s="1220"/>
      <c r="AV179" s="1220"/>
      <c r="AW179" s="406"/>
      <c r="FK179" s="46"/>
      <c r="FL179" s="46"/>
      <c r="FM179" s="46"/>
      <c r="FN179" s="46"/>
      <c r="FO179" s="46"/>
      <c r="FP179" s="46"/>
      <c r="FQ179" s="46"/>
      <c r="FR179" s="46"/>
      <c r="FS179" s="46"/>
      <c r="FT179" s="46"/>
      <c r="FU179" s="46"/>
      <c r="FV179" s="46"/>
      <c r="FW179" s="46"/>
      <c r="FX179" s="46"/>
      <c r="FY179" s="46"/>
      <c r="FZ179" s="46"/>
      <c r="GA179" s="46"/>
      <c r="GB179" s="46"/>
      <c r="GC179" s="46"/>
      <c r="GD179" s="46"/>
      <c r="GE179" s="46"/>
      <c r="GF179" s="46"/>
      <c r="GG179" s="46"/>
      <c r="GH179" s="46"/>
    </row>
    <row r="180" spans="1:190" s="47" customFormat="1" ht="12.75" hidden="1" customHeight="1">
      <c r="B180" s="1223" t="str">
        <f>'2º MR-MI'!$D$63</f>
        <v>0,0</v>
      </c>
      <c r="C180" s="1223"/>
      <c r="D180" s="1223"/>
      <c r="E180" s="1223"/>
      <c r="F180" s="1223"/>
      <c r="G180" s="1223"/>
      <c r="H180" s="1223"/>
      <c r="I180" s="1223"/>
      <c r="J180" s="1223"/>
      <c r="K180" s="477"/>
      <c r="L180" s="1223" t="str">
        <f>'2º MR-MI'!$H$65</f>
        <v>------</v>
      </c>
      <c r="M180" s="1223"/>
      <c r="N180" s="1223"/>
      <c r="O180" s="1223"/>
      <c r="P180" s="1223"/>
      <c r="Q180" s="1223"/>
      <c r="R180" s="1223"/>
      <c r="S180" s="1223"/>
      <c r="T180" s="1223"/>
      <c r="U180" s="1223"/>
      <c r="V180" s="1223"/>
      <c r="W180" s="478"/>
      <c r="X180" s="1224" t="str">
        <f>'2º MR-MI'!$I$65</f>
        <v>------</v>
      </c>
      <c r="Y180" s="1220"/>
      <c r="Z180" s="1220"/>
      <c r="AA180" s="1220"/>
      <c r="AB180" s="1220"/>
      <c r="AC180" s="1220"/>
      <c r="AD180" s="1220"/>
      <c r="AE180" s="1220"/>
      <c r="AF180" s="1220"/>
      <c r="AG180" s="1220"/>
      <c r="AH180" s="479"/>
      <c r="AI180" s="1223" t="str">
        <f>'2º MR-MI'!$J$65</f>
        <v>&gt; 500</v>
      </c>
      <c r="AJ180" s="1220"/>
      <c r="AK180" s="1220"/>
      <c r="AL180" s="479"/>
      <c r="AM180" s="1219" t="e">
        <f>'2º MR-MI'!$K$65</f>
        <v>#DIV/0!</v>
      </c>
      <c r="AN180" s="1220"/>
      <c r="AO180" s="1220"/>
      <c r="AP180" s="1220"/>
      <c r="AQ180" s="479"/>
      <c r="AR180" s="1224" t="str">
        <f>'2º MR-MI'!$L$65</f>
        <v>------</v>
      </c>
      <c r="AS180" s="1220"/>
      <c r="AT180" s="1220"/>
      <c r="AU180" s="1220"/>
      <c r="AV180" s="1220"/>
      <c r="AW180" s="406"/>
      <c r="FK180" s="46"/>
      <c r="FL180" s="46"/>
      <c r="FM180" s="46"/>
      <c r="FN180" s="46"/>
      <c r="FO180" s="46"/>
      <c r="FP180" s="46"/>
      <c r="FQ180" s="46"/>
      <c r="FR180" s="46"/>
      <c r="FS180" s="46"/>
      <c r="FT180" s="46"/>
      <c r="FU180" s="46"/>
      <c r="FV180" s="46"/>
      <c r="FW180" s="46"/>
      <c r="FX180" s="46"/>
      <c r="FY180" s="46"/>
      <c r="FZ180" s="46"/>
      <c r="GA180" s="46"/>
      <c r="GB180" s="46"/>
      <c r="GC180" s="46"/>
      <c r="GD180" s="46"/>
      <c r="GE180" s="46"/>
      <c r="GF180" s="46"/>
      <c r="GG180" s="46"/>
      <c r="GH180" s="46"/>
    </row>
    <row r="181" spans="1:190" s="47" customFormat="1" ht="15.75" hidden="1" customHeight="1">
      <c r="B181" s="1223" t="str">
        <f>'2º MR-MI'!$D$69</f>
        <v>0,0</v>
      </c>
      <c r="C181" s="1223"/>
      <c r="D181" s="1223"/>
      <c r="E181" s="1223"/>
      <c r="F181" s="1223"/>
      <c r="G181" s="1223"/>
      <c r="H181" s="1223"/>
      <c r="I181" s="1223"/>
      <c r="J181" s="1223"/>
      <c r="K181" s="477"/>
      <c r="L181" s="1223" t="str">
        <f>'2º MR-MI'!$H$71</f>
        <v>------</v>
      </c>
      <c r="M181" s="1223"/>
      <c r="N181" s="1223"/>
      <c r="O181" s="1223"/>
      <c r="P181" s="1223"/>
      <c r="Q181" s="1223"/>
      <c r="R181" s="1223"/>
      <c r="S181" s="1223"/>
      <c r="T181" s="1223"/>
      <c r="U181" s="1223"/>
      <c r="V181" s="1223"/>
      <c r="W181" s="478"/>
      <c r="X181" s="1224" t="str">
        <f>'2º MR-MI'!$I$71</f>
        <v>------</v>
      </c>
      <c r="Y181" s="1220"/>
      <c r="Z181" s="1220"/>
      <c r="AA181" s="1220"/>
      <c r="AB181" s="1220"/>
      <c r="AC181" s="1220"/>
      <c r="AD181" s="1220"/>
      <c r="AE181" s="1220"/>
      <c r="AF181" s="1220"/>
      <c r="AG181" s="1220"/>
      <c r="AH181" s="479"/>
      <c r="AI181" s="1223" t="str">
        <f>'2º MR-MI'!$J$71</f>
        <v>&gt; 500</v>
      </c>
      <c r="AJ181" s="1220"/>
      <c r="AK181" s="1220"/>
      <c r="AL181" s="479"/>
      <c r="AM181" s="1219" t="e">
        <f>'2º MR-MI'!$K$71</f>
        <v>#DIV/0!</v>
      </c>
      <c r="AN181" s="1220"/>
      <c r="AO181" s="1220"/>
      <c r="AP181" s="1220"/>
      <c r="AQ181" s="479"/>
      <c r="AR181" s="1224" t="str">
        <f>'2º MR-MI'!$L$71</f>
        <v>-------</v>
      </c>
      <c r="AS181" s="1220"/>
      <c r="AT181" s="1220"/>
      <c r="AU181" s="1220"/>
      <c r="AV181" s="1220"/>
      <c r="AW181" s="406"/>
      <c r="FK181" s="46"/>
      <c r="FL181" s="46"/>
      <c r="FM181" s="46"/>
      <c r="FN181" s="46"/>
      <c r="FO181" s="46"/>
      <c r="FP181" s="46"/>
      <c r="FQ181" s="46"/>
      <c r="FR181" s="46"/>
      <c r="FS181" s="46"/>
      <c r="FT181" s="46"/>
      <c r="FU181" s="46"/>
      <c r="FV181" s="46"/>
      <c r="FW181" s="46"/>
      <c r="FX181" s="46"/>
      <c r="FY181" s="46"/>
      <c r="FZ181" s="46"/>
      <c r="GA181" s="46"/>
      <c r="GB181" s="46"/>
      <c r="GC181" s="46"/>
      <c r="GD181" s="46"/>
      <c r="GE181" s="46"/>
      <c r="GF181" s="46"/>
      <c r="GG181" s="46"/>
      <c r="GH181" s="46"/>
    </row>
    <row r="182" spans="1:190" s="47" customFormat="1" ht="15" hidden="1">
      <c r="B182" s="1223" t="str">
        <f>'2º MR-MI'!$D$75</f>
        <v>0,0</v>
      </c>
      <c r="C182" s="1223"/>
      <c r="D182" s="1223"/>
      <c r="E182" s="1223"/>
      <c r="F182" s="1223"/>
      <c r="G182" s="1223"/>
      <c r="H182" s="1223"/>
      <c r="I182" s="1223"/>
      <c r="J182" s="1223"/>
      <c r="K182" s="477"/>
      <c r="L182" s="1223" t="str">
        <f>'2º MR-MI'!$H$77</f>
        <v>------</v>
      </c>
      <c r="M182" s="1223"/>
      <c r="N182" s="1223"/>
      <c r="O182" s="1223"/>
      <c r="P182" s="1223"/>
      <c r="Q182" s="1223"/>
      <c r="R182" s="1223"/>
      <c r="S182" s="1223"/>
      <c r="T182" s="1223"/>
      <c r="U182" s="1223"/>
      <c r="V182" s="1223"/>
      <c r="W182" s="478"/>
      <c r="X182" s="1224" t="str">
        <f>'2º MR-MI'!$I$77</f>
        <v>------</v>
      </c>
      <c r="Y182" s="1220"/>
      <c r="Z182" s="1220"/>
      <c r="AA182" s="1220"/>
      <c r="AB182" s="1220"/>
      <c r="AC182" s="1220"/>
      <c r="AD182" s="1220"/>
      <c r="AE182" s="1220"/>
      <c r="AF182" s="1220"/>
      <c r="AG182" s="1220"/>
      <c r="AH182" s="479"/>
      <c r="AI182" s="1223" t="str">
        <f>'2º MR-MI'!$J$77</f>
        <v>&gt; 500</v>
      </c>
      <c r="AJ182" s="1220"/>
      <c r="AK182" s="1220"/>
      <c r="AL182" s="479"/>
      <c r="AM182" s="1219" t="e">
        <f>'2º MR-MI'!$K$77</f>
        <v>#DIV/0!</v>
      </c>
      <c r="AN182" s="1220"/>
      <c r="AO182" s="1220"/>
      <c r="AP182" s="1220"/>
      <c r="AQ182" s="479"/>
      <c r="AR182" s="1224" t="str">
        <f>'2º MR-MI'!$L$77</f>
        <v>------</v>
      </c>
      <c r="AS182" s="1220"/>
      <c r="AT182" s="1220"/>
      <c r="AU182" s="1220"/>
      <c r="AV182" s="1220"/>
      <c r="AW182" s="406"/>
      <c r="FK182" s="46"/>
      <c r="FL182" s="46"/>
      <c r="FM182" s="46"/>
      <c r="FN182" s="46"/>
      <c r="FO182" s="46"/>
      <c r="FP182" s="46"/>
      <c r="FQ182" s="46"/>
      <c r="FR182" s="46"/>
      <c r="FS182" s="46"/>
      <c r="FT182" s="46"/>
      <c r="FU182" s="46"/>
      <c r="FV182" s="46"/>
      <c r="FW182" s="46"/>
      <c r="FX182" s="46"/>
      <c r="FY182" s="46"/>
      <c r="FZ182" s="46"/>
      <c r="GA182" s="46"/>
      <c r="GB182" s="46"/>
      <c r="GC182" s="46"/>
      <c r="GD182" s="46"/>
      <c r="GE182" s="46"/>
      <c r="GF182" s="46"/>
      <c r="GG182" s="46"/>
      <c r="GH182" s="46"/>
    </row>
    <row r="183" spans="1:190" ht="9" hidden="1" customHeight="1">
      <c r="A183" s="484"/>
      <c r="B183" s="485"/>
      <c r="C183" s="485"/>
      <c r="D183" s="485"/>
      <c r="E183" s="485"/>
      <c r="F183" s="485"/>
      <c r="G183" s="485"/>
      <c r="H183" s="485"/>
      <c r="I183" s="485"/>
      <c r="J183" s="485"/>
      <c r="K183" s="485"/>
      <c r="L183" s="485"/>
      <c r="M183" s="485"/>
      <c r="N183" s="485"/>
      <c r="O183" s="486"/>
      <c r="P183" s="486"/>
      <c r="Q183" s="486"/>
      <c r="R183" s="486"/>
      <c r="S183" s="486"/>
      <c r="T183" s="486"/>
      <c r="U183" s="486"/>
      <c r="V183" s="486"/>
      <c r="W183" s="486"/>
      <c r="X183" s="486"/>
      <c r="Y183" s="486"/>
      <c r="Z183" s="486"/>
      <c r="AA183" s="486"/>
      <c r="AB183" s="486"/>
      <c r="AC183" s="487"/>
      <c r="AD183" s="487"/>
      <c r="AE183" s="487"/>
      <c r="AF183" s="487"/>
      <c r="AG183" s="487"/>
      <c r="AH183" s="487"/>
      <c r="AI183" s="487"/>
      <c r="AJ183" s="487"/>
      <c r="AK183" s="487"/>
      <c r="AL183" s="487"/>
      <c r="AM183" s="487"/>
      <c r="AN183" s="487"/>
      <c r="AO183" s="487"/>
      <c r="AP183" s="487"/>
      <c r="AQ183" s="487"/>
      <c r="AR183" s="487"/>
      <c r="AS183" s="487"/>
      <c r="AT183" s="487"/>
      <c r="AU183" s="487"/>
      <c r="AV183" s="484"/>
      <c r="AW183" s="427"/>
    </row>
    <row r="184" spans="1:190" ht="49.5" customHeight="1">
      <c r="A184" s="762"/>
      <c r="B184" s="1258" t="str">
        <f>IF(AP139="","",CONCATENATE("Os ensaios foram realizados com uma resolução melhor que d",", dT = ",AP139," ", AV139,", sendo as indicações obtidas através do “modo serviço”."))</f>
        <v/>
      </c>
      <c r="C184" s="1258"/>
      <c r="D184" s="1258"/>
      <c r="E184" s="1258"/>
      <c r="F184" s="1258"/>
      <c r="G184" s="1258"/>
      <c r="H184" s="1258"/>
      <c r="I184" s="1258"/>
      <c r="J184" s="1258"/>
      <c r="K184" s="1258"/>
      <c r="L184" s="1258"/>
      <c r="M184" s="1258"/>
      <c r="N184" s="1258"/>
      <c r="O184" s="1258"/>
      <c r="P184" s="1258"/>
      <c r="Q184" s="1258"/>
      <c r="R184" s="1258"/>
      <c r="S184" s="1258"/>
      <c r="T184" s="1258"/>
      <c r="U184" s="1258"/>
      <c r="V184" s="1258"/>
      <c r="W184" s="1258"/>
      <c r="X184" s="1258"/>
      <c r="Y184" s="1258"/>
      <c r="Z184" s="1258"/>
      <c r="AA184" s="1258"/>
      <c r="AB184" s="1258"/>
      <c r="AC184" s="1258"/>
      <c r="AD184" s="1258"/>
      <c r="AE184" s="1258"/>
      <c r="AF184" s="1258"/>
      <c r="AG184" s="1258"/>
      <c r="AH184" s="1258"/>
      <c r="AI184" s="1258"/>
      <c r="AJ184" s="1258"/>
      <c r="AK184" s="1258"/>
      <c r="AL184" s="1258"/>
      <c r="AM184" s="1258"/>
      <c r="AN184" s="1258"/>
      <c r="AO184" s="1258"/>
      <c r="AP184" s="1258"/>
      <c r="AQ184" s="1258"/>
      <c r="AR184" s="1258"/>
      <c r="AS184" s="1258"/>
      <c r="AT184" s="1258"/>
      <c r="AU184" s="1258"/>
      <c r="AV184" s="1258"/>
      <c r="AW184" s="755"/>
    </row>
    <row r="185" spans="1:190" ht="33.75" customHeight="1">
      <c r="A185" s="47"/>
      <c r="B185" s="1260" t="str">
        <f>IF('Registo Calibração'!$AK$3="Sim",CONCATENATE("Local de calibração: ",'Registo Calibração'!$AI$5),IF('Registo Calibração'!$AK$3="Sim",CONCATENATE("Local de calibração: ",'Registo Calibração'!$G$5," ",'Registo Calibração'!$G$6),CONCATENATE("Local de calibração: ",'Registo Calibração'!$C$5," ",'Registo Calibração'!$C$6)))</f>
        <v xml:space="preserve">Local de calibração:  </v>
      </c>
      <c r="C185" s="1260"/>
      <c r="D185" s="1260"/>
      <c r="E185" s="1260"/>
      <c r="F185" s="1260"/>
      <c r="G185" s="1260"/>
      <c r="H185" s="1260"/>
      <c r="I185" s="1260"/>
      <c r="J185" s="1260"/>
      <c r="K185" s="1260"/>
      <c r="L185" s="1260"/>
      <c r="M185" s="1260"/>
      <c r="N185" s="1260"/>
      <c r="O185" s="1260"/>
      <c r="P185" s="1260"/>
      <c r="Q185" s="1260"/>
      <c r="R185" s="1260"/>
      <c r="S185" s="1260"/>
      <c r="T185" s="1260"/>
      <c r="U185" s="1260"/>
      <c r="V185" s="1260"/>
      <c r="W185" s="1260"/>
      <c r="X185" s="1260"/>
      <c r="Y185" s="1260"/>
      <c r="Z185" s="1260"/>
      <c r="AA185" s="1260"/>
      <c r="AB185" s="1260"/>
      <c r="AC185" s="1260"/>
      <c r="AD185" s="1260"/>
      <c r="AE185" s="1260"/>
      <c r="AF185" s="1260"/>
      <c r="AG185" s="1260"/>
      <c r="AH185" s="1260"/>
      <c r="AI185" s="1260"/>
      <c r="AJ185" s="1260"/>
      <c r="AK185" s="1260"/>
      <c r="AL185" s="1260"/>
      <c r="AM185" s="1260"/>
      <c r="AN185" s="1260"/>
      <c r="AO185" s="1260"/>
      <c r="AP185" s="1260"/>
      <c r="AQ185" s="1260"/>
      <c r="AR185" s="1260"/>
      <c r="AS185" s="1260"/>
      <c r="AT185" s="1260"/>
      <c r="AU185" s="1260"/>
      <c r="AV185" s="1260"/>
      <c r="AW185" s="406"/>
    </row>
    <row r="186" spans="1:190" ht="77.25" customHeight="1">
      <c r="B186" s="455" t="s">
        <v>404</v>
      </c>
      <c r="C186" s="455"/>
      <c r="D186" s="455"/>
      <c r="E186" s="455"/>
      <c r="F186" s="455"/>
      <c r="G186" s="1213"/>
      <c r="H186" s="1213"/>
      <c r="I186" s="1213"/>
      <c r="J186" s="1213"/>
      <c r="K186" s="1213"/>
      <c r="L186" s="1213"/>
      <c r="M186" s="1213"/>
      <c r="N186" s="1213"/>
      <c r="O186" s="1213"/>
      <c r="P186" s="1213"/>
      <c r="Q186" s="1213"/>
      <c r="R186" s="1213"/>
      <c r="S186" s="1213"/>
      <c r="T186" s="1213"/>
      <c r="W186" s="455"/>
      <c r="X186" s="456" t="s">
        <v>405</v>
      </c>
      <c r="Y186" s="455"/>
      <c r="Z186" s="455"/>
      <c r="AA186" s="455"/>
      <c r="AB186" s="455"/>
      <c r="AC186" s="455"/>
      <c r="AD186" s="455"/>
      <c r="AE186" s="455"/>
      <c r="AF186" s="455"/>
      <c r="AG186" s="1215"/>
      <c r="AH186" s="1215"/>
      <c r="AI186" s="1215"/>
      <c r="AJ186" s="1215"/>
      <c r="AK186" s="1215"/>
      <c r="AL186" s="1215"/>
      <c r="AM186" s="1215"/>
      <c r="AN186" s="1215"/>
      <c r="AO186" s="1215"/>
      <c r="AP186" s="1215"/>
      <c r="AQ186" s="1215"/>
      <c r="AR186" s="1215"/>
      <c r="AS186" s="1215"/>
      <c r="AT186" s="1215"/>
    </row>
    <row r="187" spans="1:190" ht="15">
      <c r="G187" s="34"/>
      <c r="H187" s="34"/>
      <c r="I187" s="1214" t="str">
        <f>VLOOKUP('Registo Calibração'!AV$112,'Registo Calibração'!AT$102:$AU$110,2)</f>
        <v>Vitor Rodrigues</v>
      </c>
      <c r="J187" s="1214"/>
      <c r="K187" s="1214"/>
      <c r="L187" s="1214"/>
      <c r="M187" s="1214"/>
      <c r="N187" s="1214"/>
      <c r="O187" s="1214"/>
      <c r="P187" s="1214"/>
      <c r="Q187" s="1214"/>
      <c r="R187" s="1214"/>
      <c r="S187" s="457"/>
      <c r="T187" s="457"/>
      <c r="U187" s="458"/>
      <c r="V187" s="458"/>
      <c r="W187" s="458"/>
      <c r="X187" s="458"/>
      <c r="Y187" s="458"/>
      <c r="Z187" s="458"/>
      <c r="AA187" s="458"/>
      <c r="AB187" s="458"/>
      <c r="AC187" s="458"/>
      <c r="AD187" s="458"/>
      <c r="AE187" s="458"/>
      <c r="AF187" s="458"/>
      <c r="AG187" s="457"/>
      <c r="AH187" s="457"/>
      <c r="AI187" s="1214" t="s">
        <v>96</v>
      </c>
      <c r="AJ187" s="1214"/>
      <c r="AK187" s="1214"/>
      <c r="AL187" s="1214"/>
      <c r="AM187" s="1214"/>
      <c r="AN187" s="1214"/>
      <c r="AO187" s="1214"/>
      <c r="AP187" s="1214"/>
      <c r="AQ187" s="1214"/>
      <c r="AR187" s="1214"/>
      <c r="AS187" s="34"/>
      <c r="AT187" s="34"/>
      <c r="AW187" s="406"/>
    </row>
    <row r="189" spans="1:190" ht="33" customHeight="1">
      <c r="A189" s="1274" t="s">
        <v>469</v>
      </c>
      <c r="B189" s="1274"/>
      <c r="C189" s="1274"/>
      <c r="D189" s="1274"/>
      <c r="E189" s="1274"/>
      <c r="F189" s="1274"/>
      <c r="G189" s="1274"/>
      <c r="H189" s="1274"/>
      <c r="I189" s="1274"/>
      <c r="J189" s="1274"/>
      <c r="K189" s="1274"/>
      <c r="L189" s="1274"/>
      <c r="M189" s="1274"/>
      <c r="N189" s="1274"/>
      <c r="O189" s="1274"/>
      <c r="P189" s="1274"/>
      <c r="Q189" s="1274"/>
      <c r="R189" s="1274"/>
      <c r="S189" s="1274"/>
      <c r="T189" s="1274"/>
      <c r="U189" s="1274"/>
      <c r="V189" s="1274"/>
      <c r="W189" s="1274"/>
      <c r="X189" s="1274"/>
      <c r="Y189" s="1274"/>
      <c r="Z189" s="1274"/>
      <c r="AA189" s="1274"/>
      <c r="AB189" s="1274"/>
      <c r="AC189" s="1274"/>
      <c r="AD189" s="1274"/>
      <c r="AE189" s="1274"/>
      <c r="AF189" s="1274"/>
      <c r="AG189" s="1274"/>
      <c r="AH189" s="1274"/>
      <c r="AI189" s="1274"/>
      <c r="AJ189" s="1274"/>
      <c r="AK189" s="1274"/>
      <c r="AL189" s="1274"/>
      <c r="AM189" s="1274"/>
      <c r="AN189" s="1274"/>
      <c r="AO189" s="1274"/>
      <c r="AP189" s="1274"/>
      <c r="AQ189" s="1274"/>
      <c r="AR189" s="1274"/>
      <c r="AS189" s="1274"/>
      <c r="AT189" s="1274"/>
      <c r="AU189" s="1274"/>
      <c r="AV189" s="1274"/>
      <c r="AW189" s="1274"/>
    </row>
    <row r="190" spans="1:190" ht="53.25" customHeight="1">
      <c r="A190" s="281"/>
      <c r="B190" s="281"/>
      <c r="C190" s="281"/>
      <c r="D190" s="281"/>
      <c r="E190" s="281"/>
      <c r="F190" s="281"/>
      <c r="G190" s="281"/>
      <c r="H190" s="281"/>
      <c r="I190" s="281"/>
      <c r="J190" s="281"/>
      <c r="K190" s="281"/>
      <c r="L190" s="281"/>
      <c r="M190" s="281"/>
      <c r="N190" s="281"/>
      <c r="O190" s="753"/>
      <c r="P190" s="753"/>
      <c r="Q190" s="753"/>
      <c r="R190" s="753"/>
      <c r="S190" s="753"/>
      <c r="T190" s="753"/>
      <c r="U190" s="753"/>
      <c r="V190" s="753"/>
      <c r="W190" s="753"/>
      <c r="X190" s="753"/>
      <c r="Y190" s="754"/>
      <c r="Z190" s="754"/>
      <c r="AA190" s="754"/>
      <c r="AB190" s="754"/>
      <c r="AC190" s="281"/>
      <c r="AD190" s="281"/>
      <c r="AE190" s="281"/>
      <c r="AF190" s="281"/>
      <c r="AG190" s="281"/>
      <c r="AH190" s="281"/>
      <c r="AI190" s="281"/>
      <c r="AJ190" s="281"/>
      <c r="AK190" s="281"/>
      <c r="AL190" s="281"/>
      <c r="AM190" s="281"/>
      <c r="AN190" s="281"/>
      <c r="AO190" s="281"/>
      <c r="AP190" s="281"/>
      <c r="AQ190" s="281"/>
      <c r="AR190" s="281"/>
      <c r="AS190" s="281"/>
      <c r="AT190" s="281"/>
      <c r="AU190" s="281"/>
      <c r="AV190" s="281"/>
      <c r="AW190" s="755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</row>
  </sheetData>
  <mergeCells count="384">
    <mergeCell ref="AJ166:AU166"/>
    <mergeCell ref="B154:K154"/>
    <mergeCell ref="B156:O156"/>
    <mergeCell ref="AT154:AV154"/>
    <mergeCell ref="AJ98:AU98"/>
    <mergeCell ref="U99:AH99"/>
    <mergeCell ref="AJ99:AU99"/>
    <mergeCell ref="U100:AH100"/>
    <mergeCell ref="AJ100:AU100"/>
    <mergeCell ref="U161:AH161"/>
    <mergeCell ref="AJ161:AU161"/>
    <mergeCell ref="U162:AH162"/>
    <mergeCell ref="AJ162:AU162"/>
    <mergeCell ref="B105:J105"/>
    <mergeCell ref="L105:V105"/>
    <mergeCell ref="X105:AG105"/>
    <mergeCell ref="L109:V109"/>
    <mergeCell ref="X109:AG109"/>
    <mergeCell ref="AI109:AK109"/>
    <mergeCell ref="AM109:AP109"/>
    <mergeCell ref="AR109:AV109"/>
    <mergeCell ref="AT106:AV106"/>
    <mergeCell ref="B108:J108"/>
    <mergeCell ref="L108:V108"/>
    <mergeCell ref="A3:O3"/>
    <mergeCell ref="A4:E4"/>
    <mergeCell ref="F4:N4"/>
    <mergeCell ref="A5:D5"/>
    <mergeCell ref="A2:V2"/>
    <mergeCell ref="O23:AV23"/>
    <mergeCell ref="B24:Q24"/>
    <mergeCell ref="AK25:AP25"/>
    <mergeCell ref="AR25:AV25"/>
    <mergeCell ref="B11:E11"/>
    <mergeCell ref="A6:E6"/>
    <mergeCell ref="F6:N6"/>
    <mergeCell ref="A7:J7"/>
    <mergeCell ref="B8:AD8"/>
    <mergeCell ref="AE8:AL8"/>
    <mergeCell ref="AO8:AV8"/>
    <mergeCell ref="Z2:AK3"/>
    <mergeCell ref="Z4:AK4"/>
    <mergeCell ref="AY14:BF14"/>
    <mergeCell ref="AY15:BC15"/>
    <mergeCell ref="O16:Y16"/>
    <mergeCell ref="O21:AV21"/>
    <mergeCell ref="O22:AV22"/>
    <mergeCell ref="BA34:BJ34"/>
    <mergeCell ref="O35:V35"/>
    <mergeCell ref="X35:AV35"/>
    <mergeCell ref="BA35:BJ35"/>
    <mergeCell ref="Y27:AJ27"/>
    <mergeCell ref="AK27:AP27"/>
    <mergeCell ref="AR27:AV27"/>
    <mergeCell ref="BA36:BJ36"/>
    <mergeCell ref="O29:U29"/>
    <mergeCell ref="Y29:AJ29"/>
    <mergeCell ref="AK29:AP29"/>
    <mergeCell ref="AR29:AV29"/>
    <mergeCell ref="O31:AV32"/>
    <mergeCell ref="O34:V34"/>
    <mergeCell ref="X34:AV34"/>
    <mergeCell ref="O39:V39"/>
    <mergeCell ref="X39:AV39"/>
    <mergeCell ref="BA39:BJ39"/>
    <mergeCell ref="O36:V36"/>
    <mergeCell ref="X36:AV36"/>
    <mergeCell ref="BA40:BJ40"/>
    <mergeCell ref="O37:V37"/>
    <mergeCell ref="X37:AV37"/>
    <mergeCell ref="BA37:BJ37"/>
    <mergeCell ref="O38:V38"/>
    <mergeCell ref="X38:AV38"/>
    <mergeCell ref="BA38:BJ38"/>
    <mergeCell ref="O43:V43"/>
    <mergeCell ref="X43:AV43"/>
    <mergeCell ref="BA43:BJ43"/>
    <mergeCell ref="O40:V40"/>
    <mergeCell ref="X40:AV40"/>
    <mergeCell ref="BA44:BJ44"/>
    <mergeCell ref="O41:V41"/>
    <mergeCell ref="X41:AV41"/>
    <mergeCell ref="BA41:BJ41"/>
    <mergeCell ref="O42:V42"/>
    <mergeCell ref="X42:AV42"/>
    <mergeCell ref="BA42:BJ42"/>
    <mergeCell ref="O47:V47"/>
    <mergeCell ref="X47:AV47"/>
    <mergeCell ref="O44:V44"/>
    <mergeCell ref="X44:AV44"/>
    <mergeCell ref="BA51:CS54"/>
    <mergeCell ref="B52:AV53"/>
    <mergeCell ref="B54:AV54"/>
    <mergeCell ref="O45:V45"/>
    <mergeCell ref="X45:AV45"/>
    <mergeCell ref="BA45:BJ45"/>
    <mergeCell ref="O46:V46"/>
    <mergeCell ref="X46:AV46"/>
    <mergeCell ref="BA46:BJ46"/>
    <mergeCell ref="N49:AV50"/>
    <mergeCell ref="B51:AV51"/>
    <mergeCell ref="G55:T55"/>
    <mergeCell ref="AG55:AT55"/>
    <mergeCell ref="I56:R56"/>
    <mergeCell ref="AI56:AR56"/>
    <mergeCell ref="A57:AW57"/>
    <mergeCell ref="A60:J60"/>
    <mergeCell ref="K60:S60"/>
    <mergeCell ref="A61:F61"/>
    <mergeCell ref="O71:Y71"/>
    <mergeCell ref="AP71:AU71"/>
    <mergeCell ref="AV71:AW71"/>
    <mergeCell ref="Z60:AK61"/>
    <mergeCell ref="Z62:AK62"/>
    <mergeCell ref="AO72:AT72"/>
    <mergeCell ref="AP73:AU73"/>
    <mergeCell ref="AV73:AW73"/>
    <mergeCell ref="B63:AD63"/>
    <mergeCell ref="AE63:AL63"/>
    <mergeCell ref="AO63:AV63"/>
    <mergeCell ref="B66:E66"/>
    <mergeCell ref="AP69:AU69"/>
    <mergeCell ref="AV69:AW69"/>
    <mergeCell ref="B79:O79"/>
    <mergeCell ref="Q79:AE79"/>
    <mergeCell ref="AG79:AV79"/>
    <mergeCell ref="B80:O80"/>
    <mergeCell ref="Q80:AE80"/>
    <mergeCell ref="AG80:AV80"/>
    <mergeCell ref="B76:AV76"/>
    <mergeCell ref="B78:K78"/>
    <mergeCell ref="L78:O78"/>
    <mergeCell ref="Q78:AA78"/>
    <mergeCell ref="AB78:AE78"/>
    <mergeCell ref="AG78:AR78"/>
    <mergeCell ref="AS78:AV78"/>
    <mergeCell ref="Q90:S90"/>
    <mergeCell ref="U90:AH90"/>
    <mergeCell ref="AJ90:AU90"/>
    <mergeCell ref="Q91:S91"/>
    <mergeCell ref="U91:AH91"/>
    <mergeCell ref="AJ91:AU91"/>
    <mergeCell ref="B82:AV84"/>
    <mergeCell ref="B86:AV86"/>
    <mergeCell ref="B88:K88"/>
    <mergeCell ref="L88:O88"/>
    <mergeCell ref="Q88:S88"/>
    <mergeCell ref="U88:AE88"/>
    <mergeCell ref="AF88:AH88"/>
    <mergeCell ref="AJ88:AS88"/>
    <mergeCell ref="AT88:AV88"/>
    <mergeCell ref="E90:L90"/>
    <mergeCell ref="Q94:S94"/>
    <mergeCell ref="U94:AH94"/>
    <mergeCell ref="AJ94:AU94"/>
    <mergeCell ref="Q95:S95"/>
    <mergeCell ref="B101:AV101"/>
    <mergeCell ref="B103:AV103"/>
    <mergeCell ref="Q92:S92"/>
    <mergeCell ref="U92:AH92"/>
    <mergeCell ref="AJ92:AU92"/>
    <mergeCell ref="Q93:S93"/>
    <mergeCell ref="U93:AH93"/>
    <mergeCell ref="AJ93:AU93"/>
    <mergeCell ref="Q96:S96"/>
    <mergeCell ref="Q97:S97"/>
    <mergeCell ref="Q98:S98"/>
    <mergeCell ref="Q99:S99"/>
    <mergeCell ref="Q100:S100"/>
    <mergeCell ref="U95:AH95"/>
    <mergeCell ref="AJ95:AU95"/>
    <mergeCell ref="U96:AH96"/>
    <mergeCell ref="AJ96:AU96"/>
    <mergeCell ref="U97:AH97"/>
    <mergeCell ref="AJ97:AU97"/>
    <mergeCell ref="U98:AH98"/>
    <mergeCell ref="X108:AG108"/>
    <mergeCell ref="AI108:AK108"/>
    <mergeCell ref="AM108:AP108"/>
    <mergeCell ref="AR108:AV108"/>
    <mergeCell ref="AI105:AK106"/>
    <mergeCell ref="AM105:AP106"/>
    <mergeCell ref="AR105:AV105"/>
    <mergeCell ref="B106:J106"/>
    <mergeCell ref="L106:V106"/>
    <mergeCell ref="X106:AG106"/>
    <mergeCell ref="AR106:AS106"/>
    <mergeCell ref="B109:J109"/>
    <mergeCell ref="B111:J111"/>
    <mergeCell ref="L111:V111"/>
    <mergeCell ref="X111:AG111"/>
    <mergeCell ref="AI111:AK111"/>
    <mergeCell ref="AM111:AP111"/>
    <mergeCell ref="AR111:AV111"/>
    <mergeCell ref="B110:J110"/>
    <mergeCell ref="L110:V110"/>
    <mergeCell ref="X110:AG110"/>
    <mergeCell ref="AI110:AK110"/>
    <mergeCell ref="AM110:AP110"/>
    <mergeCell ref="AR110:AV110"/>
    <mergeCell ref="B113:J113"/>
    <mergeCell ref="L113:V113"/>
    <mergeCell ref="X113:AG113"/>
    <mergeCell ref="AI113:AK113"/>
    <mergeCell ref="AM113:AP113"/>
    <mergeCell ref="AR113:AV113"/>
    <mergeCell ref="B112:J112"/>
    <mergeCell ref="L112:V112"/>
    <mergeCell ref="X112:AG112"/>
    <mergeCell ref="AI112:AK112"/>
    <mergeCell ref="AM112:AP112"/>
    <mergeCell ref="AR112:AV112"/>
    <mergeCell ref="B115:J115"/>
    <mergeCell ref="L115:V115"/>
    <mergeCell ref="X115:AG115"/>
    <mergeCell ref="AI115:AK115"/>
    <mergeCell ref="AM115:AP115"/>
    <mergeCell ref="AR115:AV115"/>
    <mergeCell ref="B114:J114"/>
    <mergeCell ref="L114:V114"/>
    <mergeCell ref="X114:AG114"/>
    <mergeCell ref="AI114:AK114"/>
    <mergeCell ref="AM114:AP114"/>
    <mergeCell ref="AR114:AV114"/>
    <mergeCell ref="B118:AV118"/>
    <mergeCell ref="B119:AV119"/>
    <mergeCell ref="G120:T120"/>
    <mergeCell ref="AG120:AT120"/>
    <mergeCell ref="I121:R121"/>
    <mergeCell ref="AI121:AR121"/>
    <mergeCell ref="B116:J116"/>
    <mergeCell ref="L116:V116"/>
    <mergeCell ref="X116:AG116"/>
    <mergeCell ref="AI116:AK116"/>
    <mergeCell ref="AM116:AP116"/>
    <mergeCell ref="AR116:AV116"/>
    <mergeCell ref="B132:E132"/>
    <mergeCell ref="AP135:AU135"/>
    <mergeCell ref="AV135:AW135"/>
    <mergeCell ref="O137:Y137"/>
    <mergeCell ref="AP137:AU137"/>
    <mergeCell ref="AV137:AW137"/>
    <mergeCell ref="A123:AW123"/>
    <mergeCell ref="B129:AD129"/>
    <mergeCell ref="AE129:AL129"/>
    <mergeCell ref="AO129:AV129"/>
    <mergeCell ref="X128:AJ128"/>
    <mergeCell ref="A126:J126"/>
    <mergeCell ref="K126:S126"/>
    <mergeCell ref="A127:F127"/>
    <mergeCell ref="X126:AJ127"/>
    <mergeCell ref="B145:O145"/>
    <mergeCell ref="Q145:AE145"/>
    <mergeCell ref="AG145:AV145"/>
    <mergeCell ref="B146:O146"/>
    <mergeCell ref="Q146:AE146"/>
    <mergeCell ref="AG146:AV146"/>
    <mergeCell ref="AO138:AT138"/>
    <mergeCell ref="AP139:AU139"/>
    <mergeCell ref="AV139:AW139"/>
    <mergeCell ref="B142:AV142"/>
    <mergeCell ref="B144:K144"/>
    <mergeCell ref="L144:O144"/>
    <mergeCell ref="Q144:AA144"/>
    <mergeCell ref="AB144:AE144"/>
    <mergeCell ref="AG144:AR144"/>
    <mergeCell ref="Q156:S156"/>
    <mergeCell ref="U156:AH156"/>
    <mergeCell ref="AJ156:AU156"/>
    <mergeCell ref="Q157:S157"/>
    <mergeCell ref="U157:AH157"/>
    <mergeCell ref="AJ157:AU157"/>
    <mergeCell ref="B148:AV150"/>
    <mergeCell ref="B152:AV152"/>
    <mergeCell ref="L154:O154"/>
    <mergeCell ref="Q154:S154"/>
    <mergeCell ref="U154:AE154"/>
    <mergeCell ref="AF154:AH154"/>
    <mergeCell ref="AJ154:AS154"/>
    <mergeCell ref="Q160:S160"/>
    <mergeCell ref="U160:AH160"/>
    <mergeCell ref="AJ160:AU160"/>
    <mergeCell ref="Q161:S161"/>
    <mergeCell ref="B167:AV167"/>
    <mergeCell ref="B169:AV169"/>
    <mergeCell ref="Q158:S158"/>
    <mergeCell ref="U158:AH158"/>
    <mergeCell ref="AJ158:AU158"/>
    <mergeCell ref="Q159:S159"/>
    <mergeCell ref="U159:AH159"/>
    <mergeCell ref="AJ159:AU159"/>
    <mergeCell ref="Q162:S162"/>
    <mergeCell ref="Q163:S163"/>
    <mergeCell ref="Q164:S164"/>
    <mergeCell ref="Q165:S165"/>
    <mergeCell ref="Q166:S166"/>
    <mergeCell ref="U163:AH163"/>
    <mergeCell ref="AJ163:AU163"/>
    <mergeCell ref="U164:AH164"/>
    <mergeCell ref="AJ164:AU164"/>
    <mergeCell ref="U165:AH165"/>
    <mergeCell ref="AJ165:AU165"/>
    <mergeCell ref="U166:AH166"/>
    <mergeCell ref="B171:J171"/>
    <mergeCell ref="L171:V171"/>
    <mergeCell ref="X171:AG171"/>
    <mergeCell ref="AI171:AK172"/>
    <mergeCell ref="AM171:AP172"/>
    <mergeCell ref="AR171:AV171"/>
    <mergeCell ref="B172:J172"/>
    <mergeCell ref="L172:V172"/>
    <mergeCell ref="X172:AG172"/>
    <mergeCell ref="AR172:AS172"/>
    <mergeCell ref="B175:J175"/>
    <mergeCell ref="L175:V175"/>
    <mergeCell ref="X175:AG175"/>
    <mergeCell ref="AI175:AK175"/>
    <mergeCell ref="AM175:AP175"/>
    <mergeCell ref="AR175:AV175"/>
    <mergeCell ref="AT172:AV172"/>
    <mergeCell ref="B174:J174"/>
    <mergeCell ref="L174:V174"/>
    <mergeCell ref="X174:AG174"/>
    <mergeCell ref="AI174:AK174"/>
    <mergeCell ref="AM174:AP174"/>
    <mergeCell ref="AR174:AV174"/>
    <mergeCell ref="B177:J177"/>
    <mergeCell ref="L177:V177"/>
    <mergeCell ref="X177:AG177"/>
    <mergeCell ref="AI177:AK177"/>
    <mergeCell ref="AM177:AP177"/>
    <mergeCell ref="AR177:AV177"/>
    <mergeCell ref="B176:J176"/>
    <mergeCell ref="L176:V176"/>
    <mergeCell ref="X176:AG176"/>
    <mergeCell ref="AI176:AK176"/>
    <mergeCell ref="AM176:AP176"/>
    <mergeCell ref="AR176:AV176"/>
    <mergeCell ref="B179:J179"/>
    <mergeCell ref="L179:V179"/>
    <mergeCell ref="X179:AG179"/>
    <mergeCell ref="AI179:AK179"/>
    <mergeCell ref="AM179:AP179"/>
    <mergeCell ref="AR179:AV179"/>
    <mergeCell ref="B178:J178"/>
    <mergeCell ref="L178:V178"/>
    <mergeCell ref="X178:AG178"/>
    <mergeCell ref="AI178:AK178"/>
    <mergeCell ref="AM178:AP178"/>
    <mergeCell ref="AR178:AV178"/>
    <mergeCell ref="A189:AW189"/>
    <mergeCell ref="B180:J180"/>
    <mergeCell ref="L180:V180"/>
    <mergeCell ref="X180:AG180"/>
    <mergeCell ref="AI180:AK180"/>
    <mergeCell ref="AM180:AP180"/>
    <mergeCell ref="AR180:AV180"/>
    <mergeCell ref="B181:J181"/>
    <mergeCell ref="L181:V181"/>
    <mergeCell ref="X181:AG181"/>
    <mergeCell ref="B184:AV184"/>
    <mergeCell ref="B185:AV185"/>
    <mergeCell ref="G186:T186"/>
    <mergeCell ref="AG186:AT186"/>
    <mergeCell ref="I187:R187"/>
    <mergeCell ref="AI187:AR187"/>
    <mergeCell ref="AI181:AK181"/>
    <mergeCell ref="AM181:AP181"/>
    <mergeCell ref="AR181:AV181"/>
    <mergeCell ref="B182:J182"/>
    <mergeCell ref="L182:V182"/>
    <mergeCell ref="X182:AG182"/>
    <mergeCell ref="AI182:AK182"/>
    <mergeCell ref="AM182:AP182"/>
    <mergeCell ref="AR182:AV182"/>
    <mergeCell ref="BH175:BR175"/>
    <mergeCell ref="BH176:BR176"/>
    <mergeCell ref="BH177:BR177"/>
    <mergeCell ref="BH169:BR169"/>
    <mergeCell ref="BH170:BR170"/>
    <mergeCell ref="BH171:BR171"/>
    <mergeCell ref="BH172:BR172"/>
    <mergeCell ref="BH173:BR173"/>
    <mergeCell ref="BH174:BR174"/>
  </mergeCells>
  <printOptions horizontalCentered="1" verticalCentered="1"/>
  <pageMargins left="0.46" right="0.37" top="0.19685039370078741" bottom="0.37" header="0" footer="0.23"/>
  <pageSetup paperSize="9" scale="87" orientation="portrait" r:id="rId1"/>
  <headerFooter alignWithMargins="0">
    <oddFooter>&amp;L&amp;8ILAB 002.02</oddFooter>
  </headerFooter>
  <rowBreaks count="2" manualBreakCount="2">
    <brk id="58" max="48" man="1"/>
    <brk id="124" max="48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1AE4-6E2A-4C08-BF91-959679FD1C34}">
  <sheetPr codeName="Sheet14">
    <tabColor rgb="FF92D050"/>
  </sheetPr>
  <dimension ref="A1:GH256"/>
  <sheetViews>
    <sheetView showGridLines="0" view="pageBreakPreview" topLeftCell="A101" zoomScaleNormal="100" zoomScaleSheetLayoutView="100" workbookViewId="0">
      <selection activeCell="X35" sqref="X35:AV35"/>
    </sheetView>
  </sheetViews>
  <sheetFormatPr defaultRowHeight="12.75"/>
  <cols>
    <col min="1" max="1" width="2.28515625" customWidth="1"/>
    <col min="2" max="2" width="2.140625" customWidth="1"/>
    <col min="3" max="5" width="2" customWidth="1"/>
    <col min="6" max="6" width="1.85546875" customWidth="1"/>
    <col min="7" max="7" width="2.42578125" customWidth="1"/>
    <col min="8" max="8" width="2" customWidth="1"/>
    <col min="9" max="9" width="2.7109375" customWidth="1"/>
    <col min="10" max="10" width="2.42578125" customWidth="1"/>
    <col min="11" max="13" width="2" customWidth="1"/>
    <col min="14" max="14" width="2.140625" customWidth="1"/>
    <col min="15" max="16" width="2" customWidth="1"/>
    <col min="17" max="17" width="3" customWidth="1"/>
    <col min="18" max="18" width="2" customWidth="1"/>
    <col min="19" max="19" width="3.5703125" customWidth="1"/>
    <col min="20" max="26" width="2" customWidth="1"/>
    <col min="27" max="27" width="2.5703125" customWidth="1"/>
    <col min="28" max="33" width="2" customWidth="1"/>
    <col min="34" max="34" width="1.28515625" customWidth="1"/>
    <col min="35" max="35" width="1.85546875" customWidth="1"/>
    <col min="36" max="36" width="2" customWidth="1"/>
    <col min="37" max="37" width="3.140625" customWidth="1"/>
    <col min="38" max="38" width="1.140625" customWidth="1"/>
    <col min="39" max="39" width="1.5703125" customWidth="1"/>
    <col min="40" max="40" width="2" customWidth="1"/>
    <col min="41" max="41" width="1.28515625" customWidth="1"/>
    <col min="42" max="42" width="2.28515625" customWidth="1"/>
    <col min="43" max="43" width="1.42578125" customWidth="1"/>
    <col min="44" max="45" width="2" customWidth="1"/>
    <col min="46" max="46" width="3" customWidth="1"/>
    <col min="47" max="47" width="2.5703125" customWidth="1"/>
    <col min="48" max="48" width="1.42578125" customWidth="1"/>
    <col min="49" max="49" width="3.5703125" style="35" customWidth="1"/>
    <col min="50" max="95" width="2" style="37" customWidth="1"/>
    <col min="96" max="96" width="2.85546875" style="37" customWidth="1"/>
    <col min="97" max="166" width="2" style="37" customWidth="1"/>
    <col min="167" max="190" width="2" style="35" customWidth="1"/>
    <col min="191" max="210" width="2" customWidth="1"/>
  </cols>
  <sheetData>
    <row r="1" spans="1:190" ht="16.5" customHeight="1">
      <c r="AW1" s="412"/>
    </row>
    <row r="2" spans="1:190" ht="21.75" customHeight="1">
      <c r="A2" s="1287" t="s">
        <v>351</v>
      </c>
      <c r="B2" s="1287"/>
      <c r="C2" s="1287"/>
      <c r="D2" s="1287"/>
      <c r="E2" s="1287"/>
      <c r="F2" s="1287"/>
      <c r="G2" s="1287"/>
      <c r="H2" s="1287"/>
      <c r="I2" s="1287"/>
      <c r="J2" s="1287"/>
      <c r="K2" s="1287"/>
      <c r="L2" s="1287"/>
      <c r="M2" s="1287"/>
      <c r="N2" s="1287"/>
      <c r="O2" s="1287"/>
      <c r="P2" s="1287"/>
      <c r="Q2" s="1287"/>
      <c r="R2" s="1287"/>
      <c r="S2" s="1287"/>
      <c r="T2" s="1287"/>
      <c r="U2" s="1287"/>
      <c r="V2" s="1287"/>
      <c r="W2" s="460"/>
      <c r="X2" s="460"/>
      <c r="Y2" s="460"/>
      <c r="Z2" s="1211"/>
      <c r="AA2" s="1211"/>
      <c r="AB2" s="1211"/>
      <c r="AC2" s="1211"/>
      <c r="AD2" s="1211"/>
      <c r="AE2" s="1211"/>
      <c r="AF2" s="1211"/>
      <c r="AG2" s="1211"/>
      <c r="AH2" s="1211"/>
      <c r="AI2" s="1211"/>
      <c r="AJ2" s="1211"/>
      <c r="AK2" s="1211"/>
      <c r="AU2" s="407"/>
      <c r="AV2" s="407"/>
      <c r="AW2" s="413"/>
    </row>
    <row r="3" spans="1:190" ht="14.25" customHeight="1">
      <c r="A3" s="1210" t="s">
        <v>352</v>
      </c>
      <c r="B3" s="1210"/>
      <c r="C3" s="1210"/>
      <c r="D3" s="1210"/>
      <c r="E3" s="1210"/>
      <c r="F3" s="1210"/>
      <c r="G3" s="1210"/>
      <c r="H3" s="1210"/>
      <c r="I3" s="1210"/>
      <c r="J3" s="1210"/>
      <c r="K3" s="1210"/>
      <c r="L3" s="1210"/>
      <c r="M3" s="1210"/>
      <c r="N3" s="1210"/>
      <c r="O3" s="1210"/>
      <c r="P3" s="410"/>
      <c r="Q3" s="410"/>
      <c r="R3" s="410"/>
      <c r="S3" s="410"/>
      <c r="T3" s="410"/>
      <c r="U3" s="410"/>
      <c r="V3" s="410"/>
      <c r="W3" s="410"/>
      <c r="X3" s="410"/>
      <c r="Y3" s="410"/>
      <c r="Z3" s="1211"/>
      <c r="AA3" s="1211"/>
      <c r="AB3" s="1211"/>
      <c r="AC3" s="1211"/>
      <c r="AD3" s="1211"/>
      <c r="AE3" s="1211"/>
      <c r="AF3" s="1211"/>
      <c r="AG3" s="1211"/>
      <c r="AH3" s="1211"/>
      <c r="AI3" s="1211"/>
      <c r="AJ3" s="1211"/>
      <c r="AK3" s="1211"/>
      <c r="AU3" s="407"/>
      <c r="AV3" s="407"/>
      <c r="AW3" s="413"/>
      <c r="AX3"/>
      <c r="AY3"/>
      <c r="AZ3"/>
      <c r="BA3"/>
      <c r="BB3"/>
      <c r="BC3"/>
      <c r="BD3"/>
      <c r="CH3"/>
      <c r="CI3"/>
      <c r="CJ3"/>
      <c r="CK3"/>
      <c r="CL3"/>
      <c r="CM3"/>
      <c r="CN3"/>
      <c r="CO3"/>
      <c r="CP3"/>
      <c r="CQ3"/>
    </row>
    <row r="4" spans="1:190" ht="15.75" customHeight="1">
      <c r="A4" s="1225" t="s">
        <v>354</v>
      </c>
      <c r="B4" s="1225"/>
      <c r="C4" s="1225"/>
      <c r="D4" s="1225"/>
      <c r="E4" s="1225"/>
      <c r="F4" s="1236" t="str">
        <f>'Registo Calibração'!$G$2</f>
        <v/>
      </c>
      <c r="G4" s="1236"/>
      <c r="H4" s="1236"/>
      <c r="I4" s="1236"/>
      <c r="J4" s="1236"/>
      <c r="K4" s="1236"/>
      <c r="L4" s="1236"/>
      <c r="M4" s="1236"/>
      <c r="N4" s="1236"/>
      <c r="Z4" s="1212"/>
      <c r="AA4" s="1212"/>
      <c r="AB4" s="1212"/>
      <c r="AC4" s="1212"/>
      <c r="AD4" s="1212"/>
      <c r="AE4" s="1212"/>
      <c r="AF4" s="1212"/>
      <c r="AG4" s="1212"/>
      <c r="AH4" s="1212"/>
      <c r="AI4" s="1212"/>
      <c r="AJ4" s="1212"/>
      <c r="AK4" s="1212"/>
      <c r="AW4" s="406"/>
      <c r="AX4"/>
      <c r="AY4"/>
      <c r="AZ4"/>
      <c r="BA4"/>
      <c r="BB4"/>
      <c r="BC4"/>
      <c r="BD4"/>
      <c r="CH4"/>
      <c r="CI4"/>
      <c r="CJ4"/>
      <c r="CK4"/>
      <c r="CL4"/>
      <c r="CM4"/>
      <c r="CN4"/>
      <c r="CO4"/>
      <c r="CP4"/>
      <c r="CQ4"/>
    </row>
    <row r="5" spans="1:190" ht="14.25" customHeight="1">
      <c r="A5" s="1226" t="s">
        <v>353</v>
      </c>
      <c r="B5" s="1226"/>
      <c r="C5" s="1226"/>
      <c r="D5" s="1226"/>
      <c r="E5" s="408"/>
      <c r="F5" s="409"/>
      <c r="G5" s="409"/>
      <c r="H5" s="409"/>
      <c r="I5" s="409"/>
      <c r="J5" s="409"/>
      <c r="K5" s="409"/>
      <c r="L5" s="409"/>
      <c r="M5" s="409"/>
      <c r="N5" s="409"/>
      <c r="AW5" s="406"/>
      <c r="AX5"/>
      <c r="AY5"/>
      <c r="AZ5"/>
      <c r="BA5"/>
      <c r="BB5"/>
      <c r="BC5"/>
      <c r="BD5"/>
      <c r="CH5"/>
      <c r="CI5"/>
      <c r="CJ5"/>
      <c r="CK5"/>
      <c r="CL5"/>
      <c r="CM5"/>
      <c r="CN5"/>
      <c r="CO5"/>
      <c r="CP5"/>
      <c r="CQ5"/>
    </row>
    <row r="6" spans="1:190" ht="16.5" customHeight="1">
      <c r="A6" s="1225" t="s">
        <v>402</v>
      </c>
      <c r="B6" s="1225"/>
      <c r="C6" s="1225"/>
      <c r="D6" s="1225"/>
      <c r="E6" s="1225"/>
      <c r="F6" s="1229">
        <f ca="1">TODAY()</f>
        <v>44811</v>
      </c>
      <c r="G6" s="1225"/>
      <c r="H6" s="1225"/>
      <c r="I6" s="1225"/>
      <c r="J6" s="1225"/>
      <c r="K6" s="1225"/>
      <c r="L6" s="1225"/>
      <c r="M6" s="1225"/>
      <c r="N6" s="1225"/>
      <c r="AW6" s="406"/>
      <c r="AX6"/>
      <c r="AY6"/>
      <c r="AZ6"/>
      <c r="BA6"/>
      <c r="BB6"/>
      <c r="BC6"/>
      <c r="BD6"/>
      <c r="CH6"/>
      <c r="CI6"/>
      <c r="CJ6"/>
      <c r="CK6"/>
      <c r="CL6"/>
      <c r="CM6"/>
      <c r="CN6"/>
      <c r="CO6"/>
      <c r="CP6"/>
      <c r="CQ6"/>
    </row>
    <row r="7" spans="1:190" ht="14.25" customHeight="1">
      <c r="A7" s="1227" t="s">
        <v>401</v>
      </c>
      <c r="B7" s="1227"/>
      <c r="C7" s="1227"/>
      <c r="D7" s="1227"/>
      <c r="E7" s="1227"/>
      <c r="F7" s="1227"/>
      <c r="G7" s="1227"/>
      <c r="H7" s="1227"/>
      <c r="I7" s="1227"/>
      <c r="J7" s="1227"/>
      <c r="K7" s="409"/>
      <c r="L7" s="409"/>
      <c r="M7" s="409"/>
      <c r="N7" s="409"/>
      <c r="AW7" s="406"/>
      <c r="AX7"/>
      <c r="AY7"/>
      <c r="AZ7"/>
      <c r="BA7"/>
      <c r="BB7"/>
      <c r="BC7"/>
      <c r="BD7"/>
      <c r="CH7"/>
      <c r="CI7"/>
      <c r="CJ7"/>
      <c r="CK7"/>
      <c r="CL7"/>
      <c r="CM7"/>
      <c r="CN7"/>
      <c r="CO7"/>
      <c r="CP7"/>
      <c r="CQ7"/>
    </row>
    <row r="8" spans="1:190" ht="20.25" customHeight="1">
      <c r="A8" s="1"/>
      <c r="B8" s="1279" t="str">
        <f>'Registo Calibração'!$N$10</f>
        <v/>
      </c>
      <c r="C8" s="1279"/>
      <c r="D8" s="1279"/>
      <c r="E8" s="1279"/>
      <c r="F8" s="1279"/>
      <c r="G8" s="1279"/>
      <c r="H8" s="1279"/>
      <c r="I8" s="1279"/>
      <c r="J8" s="1279"/>
      <c r="K8" s="1279"/>
      <c r="L8" s="1279"/>
      <c r="M8" s="1279"/>
      <c r="N8" s="1279"/>
      <c r="O8" s="1279"/>
      <c r="P8" s="1279"/>
      <c r="Q8" s="1279"/>
      <c r="R8" s="1279"/>
      <c r="S8" s="1279"/>
      <c r="T8" s="1279"/>
      <c r="U8" s="1279"/>
      <c r="V8" s="1279"/>
      <c r="W8" s="1279"/>
      <c r="X8" s="1279"/>
      <c r="Y8" s="1279"/>
      <c r="Z8" s="1279"/>
      <c r="AA8" s="1279"/>
      <c r="AB8" s="1279"/>
      <c r="AC8" s="1279"/>
      <c r="AD8" s="1279"/>
      <c r="AE8" s="1280" t="str">
        <f>'Registo Calibração'!$Q$10</f>
        <v/>
      </c>
      <c r="AF8" s="1280"/>
      <c r="AG8" s="1280"/>
      <c r="AH8" s="1280"/>
      <c r="AI8" s="1280"/>
      <c r="AJ8" s="1280"/>
      <c r="AK8" s="1280"/>
      <c r="AL8" s="1280"/>
      <c r="AM8" s="1"/>
      <c r="AN8" s="1"/>
      <c r="AO8" s="1250" t="s">
        <v>458</v>
      </c>
      <c r="AP8" s="1250"/>
      <c r="AQ8" s="1250"/>
      <c r="AR8" s="1250"/>
      <c r="AS8" s="1250"/>
      <c r="AT8" s="1250"/>
      <c r="AU8" s="1250"/>
      <c r="AV8" s="1250"/>
      <c r="AW8" s="427"/>
      <c r="AX8"/>
      <c r="AY8"/>
      <c r="AZ8"/>
      <c r="CJ8"/>
      <c r="CK8"/>
      <c r="CL8"/>
      <c r="CM8"/>
      <c r="CN8"/>
      <c r="CO8"/>
      <c r="CP8"/>
      <c r="CQ8"/>
    </row>
    <row r="9" spans="1:190" ht="5.25" customHeight="1">
      <c r="O9" s="411"/>
      <c r="P9" s="411"/>
      <c r="Q9" s="411"/>
      <c r="R9" s="411"/>
      <c r="S9" s="411"/>
      <c r="T9" s="411"/>
      <c r="U9" s="411"/>
      <c r="V9" s="411"/>
      <c r="W9" s="411"/>
      <c r="X9" s="411"/>
      <c r="Y9" s="409"/>
      <c r="Z9" s="409"/>
      <c r="AA9" s="409"/>
      <c r="AB9" s="409"/>
      <c r="AW9" s="406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</row>
    <row r="10" spans="1:190" s="418" customFormat="1" ht="18" customHeight="1">
      <c r="B10" s="417" t="s">
        <v>357</v>
      </c>
      <c r="F10" s="433"/>
      <c r="G10" s="433" t="s">
        <v>394</v>
      </c>
      <c r="O10" s="423" t="str">
        <f>IF('Registo Calibração'!$C$7="","",'Registo Calibração'!$C$7)</f>
        <v/>
      </c>
      <c r="P10" s="424"/>
      <c r="Q10" s="424"/>
      <c r="R10" s="424"/>
      <c r="S10" s="424"/>
      <c r="T10" s="424"/>
      <c r="U10" s="424"/>
      <c r="V10" s="424"/>
      <c r="W10" s="424"/>
      <c r="X10" s="424"/>
      <c r="Y10" s="424"/>
      <c r="AT10" s="405"/>
      <c r="AU10" s="405"/>
      <c r="AV10" s="419"/>
      <c r="AW10" s="406"/>
      <c r="CR10" s="415"/>
      <c r="CS10" s="415"/>
      <c r="CT10" s="415"/>
      <c r="CU10" s="415"/>
      <c r="CV10" s="415"/>
      <c r="CW10" s="415"/>
      <c r="CX10" s="415"/>
      <c r="CY10" s="415"/>
      <c r="CZ10" s="415"/>
      <c r="DA10" s="415"/>
      <c r="DB10" s="415"/>
      <c r="DC10" s="415"/>
      <c r="DD10" s="415"/>
      <c r="DE10" s="415"/>
      <c r="DF10" s="415"/>
      <c r="DG10" s="415"/>
      <c r="DH10" s="415"/>
      <c r="DI10" s="415"/>
      <c r="DJ10" s="415"/>
      <c r="DK10" s="415"/>
      <c r="DL10" s="415"/>
      <c r="DM10" s="415"/>
      <c r="DN10" s="415"/>
      <c r="DO10" s="415"/>
      <c r="DP10" s="415"/>
      <c r="DQ10" s="415"/>
      <c r="DR10" s="415"/>
      <c r="DS10" s="415"/>
      <c r="DT10" s="415"/>
      <c r="DU10" s="415"/>
      <c r="DV10" s="415"/>
      <c r="DW10" s="415"/>
      <c r="DX10" s="415"/>
      <c r="DY10" s="415"/>
      <c r="DZ10" s="415"/>
      <c r="EA10" s="415"/>
      <c r="EB10" s="415"/>
      <c r="EC10" s="415"/>
      <c r="ED10" s="415"/>
      <c r="EE10" s="415"/>
      <c r="EF10" s="415"/>
      <c r="EG10" s="415"/>
      <c r="EH10" s="415"/>
      <c r="EI10" s="415"/>
      <c r="EJ10" s="415"/>
      <c r="EK10" s="415"/>
      <c r="EL10" s="415"/>
      <c r="EM10" s="415"/>
      <c r="EN10" s="415"/>
      <c r="EO10" s="415"/>
      <c r="EP10" s="415"/>
      <c r="EQ10" s="415"/>
      <c r="ER10" s="415"/>
      <c r="ES10" s="415"/>
      <c r="ET10" s="415"/>
      <c r="EU10" s="415"/>
      <c r="EV10" s="415"/>
      <c r="EW10" s="415"/>
      <c r="EX10" s="415"/>
      <c r="EY10" s="415"/>
      <c r="EZ10" s="415"/>
      <c r="FA10" s="415"/>
      <c r="FB10" s="415"/>
      <c r="FC10" s="415"/>
      <c r="FD10" s="415"/>
      <c r="FE10" s="415"/>
      <c r="FF10" s="415"/>
      <c r="FG10" s="415"/>
      <c r="FH10" s="415"/>
      <c r="FI10" s="415"/>
      <c r="FJ10" s="415"/>
      <c r="FK10" s="420"/>
      <c r="FL10" s="420"/>
      <c r="FM10" s="420"/>
      <c r="FN10" s="420"/>
      <c r="FO10" s="420"/>
      <c r="FP10" s="420"/>
      <c r="FQ10" s="420"/>
      <c r="FR10" s="420"/>
      <c r="FS10" s="420"/>
      <c r="FT10" s="420"/>
      <c r="FU10" s="420"/>
      <c r="FV10" s="420"/>
      <c r="FW10" s="420"/>
      <c r="FX10" s="420"/>
      <c r="FY10" s="420"/>
      <c r="FZ10" s="420"/>
      <c r="GA10" s="420"/>
      <c r="GB10" s="420"/>
      <c r="GC10" s="420"/>
      <c r="GD10" s="420"/>
      <c r="GE10" s="420"/>
      <c r="GF10" s="420"/>
      <c r="GG10" s="420"/>
      <c r="GH10" s="420"/>
    </row>
    <row r="11" spans="1:190" ht="3" customHeight="1">
      <c r="B11" s="1217"/>
      <c r="C11" s="1217"/>
      <c r="D11" s="1217"/>
      <c r="E11" s="1217"/>
      <c r="F11" s="421"/>
      <c r="G11" s="421"/>
      <c r="H11" s="421"/>
      <c r="O11" s="421"/>
      <c r="P11" s="414"/>
      <c r="W11" s="449"/>
      <c r="X11" s="449"/>
      <c r="Y11" s="449"/>
      <c r="Z11" s="449"/>
      <c r="AW11" s="406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</row>
    <row r="12" spans="1:190" ht="15.75" customHeight="1">
      <c r="B12" s="417" t="s">
        <v>360</v>
      </c>
      <c r="F12" s="37" t="s">
        <v>393</v>
      </c>
      <c r="O12" s="423" t="str">
        <f>IF('Registo Calibração'!$C$8="","N/C",'Registo Calibração'!$C$8)</f>
        <v>N/C</v>
      </c>
      <c r="P12" s="87"/>
      <c r="Q12" s="425"/>
      <c r="R12" s="425"/>
      <c r="S12" s="425"/>
      <c r="T12" s="425"/>
      <c r="U12" s="425"/>
      <c r="V12" s="425"/>
      <c r="W12" s="425"/>
      <c r="X12" s="425"/>
      <c r="Y12" s="425"/>
      <c r="Z12" s="425"/>
      <c r="AA12" s="425"/>
      <c r="AB12" s="425"/>
      <c r="AC12" s="425"/>
      <c r="AD12" s="425"/>
      <c r="AE12" s="425"/>
      <c r="AF12" s="425"/>
      <c r="AW12" s="406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</row>
    <row r="13" spans="1:190" ht="3.75" customHeight="1">
      <c r="B13" s="421"/>
      <c r="Z13" s="282"/>
      <c r="AA13" s="282"/>
      <c r="AW13" s="406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</row>
    <row r="14" spans="1:190" ht="13.5" customHeight="1">
      <c r="B14" s="417" t="s">
        <v>361</v>
      </c>
      <c r="G14" s="415" t="s">
        <v>395</v>
      </c>
      <c r="O14" s="423" t="str">
        <f>IF('Registo Calibração'!$C$9="","N/C",'Registo Calibração'!$C$9)</f>
        <v>N/C</v>
      </c>
      <c r="P14" s="423"/>
      <c r="Q14" s="423"/>
      <c r="R14" s="423"/>
      <c r="S14" s="423"/>
      <c r="T14" s="423"/>
      <c r="U14" s="423"/>
      <c r="V14" s="423"/>
      <c r="W14" s="423"/>
      <c r="X14" s="423"/>
      <c r="Y14" s="423"/>
      <c r="Z14" s="423"/>
      <c r="AA14" s="423"/>
      <c r="AB14" s="423"/>
      <c r="AW14" s="406"/>
      <c r="AX14"/>
      <c r="AY14" s="1195"/>
      <c r="AZ14" s="1196"/>
      <c r="BA14" s="1196"/>
      <c r="BB14" s="1196"/>
      <c r="BC14" s="1196"/>
      <c r="BD14" s="1196"/>
      <c r="BE14" s="1196"/>
      <c r="BF14" s="1196"/>
    </row>
    <row r="15" spans="1:190" ht="3" customHeight="1">
      <c r="B15" s="421"/>
      <c r="AW15" s="406"/>
      <c r="AX15" s="2"/>
      <c r="AY15" s="1197"/>
      <c r="AZ15" s="1197"/>
      <c r="BA15" s="1197"/>
      <c r="BB15" s="1197"/>
      <c r="BC15" s="1197"/>
    </row>
    <row r="16" spans="1:190" ht="15.75" customHeight="1">
      <c r="B16" s="417" t="s">
        <v>362</v>
      </c>
      <c r="C16" s="417"/>
      <c r="D16" s="417"/>
      <c r="E16" s="417"/>
      <c r="F16" s="417"/>
      <c r="G16" s="416" t="s">
        <v>396</v>
      </c>
      <c r="H16" s="417"/>
      <c r="O16" s="1198" t="str">
        <f>IF('Registo Calibração'!$C$10="","N/C",'Registo Calibração'!$C$10)</f>
        <v>N/C</v>
      </c>
      <c r="P16" s="1198"/>
      <c r="Q16" s="1198"/>
      <c r="R16" s="1198"/>
      <c r="S16" s="1198"/>
      <c r="T16" s="1198"/>
      <c r="U16" s="1198"/>
      <c r="V16" s="1198"/>
      <c r="W16" s="1198"/>
      <c r="X16" s="1198"/>
      <c r="Y16" s="1198"/>
      <c r="AW16" s="406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/>
    </row>
    <row r="17" spans="1:190" ht="3" customHeight="1">
      <c r="B17" s="421"/>
      <c r="AW17" s="406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</row>
    <row r="18" spans="1:190" ht="15.75" customHeight="1">
      <c r="B18" s="417" t="s">
        <v>363</v>
      </c>
      <c r="C18" s="417"/>
      <c r="D18" s="417"/>
      <c r="E18" s="417"/>
      <c r="F18" s="417"/>
      <c r="H18" s="422"/>
      <c r="I18" s="37" t="s">
        <v>397</v>
      </c>
      <c r="J18" s="422"/>
      <c r="K18" s="422"/>
      <c r="L18" s="422"/>
      <c r="M18" s="422"/>
      <c r="N18" s="422"/>
      <c r="O18" s="425" t="str">
        <f>IF('Registo Calibração'!$C$11="","------",'Registo Calibração'!$C$11)</f>
        <v>------</v>
      </c>
      <c r="AW18" s="406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</row>
    <row r="19" spans="1:190" ht="3" customHeight="1">
      <c r="A19" s="1"/>
      <c r="B19" s="426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427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</row>
    <row r="20" spans="1:190" ht="3" customHeight="1">
      <c r="AW20" s="406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</row>
    <row r="21" spans="1:190" ht="15.75" customHeight="1">
      <c r="B21" s="417" t="s">
        <v>365</v>
      </c>
      <c r="J21" s="47"/>
      <c r="K21" s="47"/>
      <c r="L21" s="47"/>
      <c r="M21" s="47"/>
      <c r="N21" s="47"/>
      <c r="O21" s="1191">
        <f>'Registo Calibração'!C4</f>
        <v>0</v>
      </c>
      <c r="P21" s="1191"/>
      <c r="Q21" s="1191"/>
      <c r="R21" s="1191"/>
      <c r="S21" s="1191"/>
      <c r="T21" s="1191"/>
      <c r="U21" s="1191"/>
      <c r="V21" s="1191"/>
      <c r="W21" s="1191"/>
      <c r="X21" s="1191"/>
      <c r="Y21" s="1191"/>
      <c r="Z21" s="1191"/>
      <c r="AA21" s="1191"/>
      <c r="AB21" s="1191"/>
      <c r="AC21" s="1191"/>
      <c r="AD21" s="1191"/>
      <c r="AE21" s="1191"/>
      <c r="AF21" s="1191"/>
      <c r="AG21" s="1191"/>
      <c r="AH21" s="1191"/>
      <c r="AI21" s="1191"/>
      <c r="AJ21" s="1191"/>
      <c r="AK21" s="1191"/>
      <c r="AL21" s="1191"/>
      <c r="AM21" s="1191"/>
      <c r="AN21" s="1191"/>
      <c r="AO21" s="1191"/>
      <c r="AP21" s="1191"/>
      <c r="AQ21" s="1191"/>
      <c r="AR21" s="1191"/>
      <c r="AS21" s="1191"/>
      <c r="AT21" s="1191"/>
      <c r="AU21" s="1191"/>
      <c r="AV21" s="1191"/>
      <c r="AW21" s="406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</row>
    <row r="22" spans="1:190" ht="18.75" customHeight="1">
      <c r="B22" s="421" t="s">
        <v>366</v>
      </c>
      <c r="J22" s="450"/>
      <c r="K22" s="450"/>
      <c r="L22" s="450"/>
      <c r="M22" s="450"/>
      <c r="N22" s="450"/>
      <c r="O22" s="1192" t="str">
        <f>IF('Registo Calibração'!C5="","------",'Registo Calibração'!C5)</f>
        <v>------</v>
      </c>
      <c r="P22" s="1192"/>
      <c r="Q22" s="1192"/>
      <c r="R22" s="1192"/>
      <c r="S22" s="1192"/>
      <c r="T22" s="1192"/>
      <c r="U22" s="1192"/>
      <c r="V22" s="1192"/>
      <c r="W22" s="1192"/>
      <c r="X22" s="1192"/>
      <c r="Y22" s="1192"/>
      <c r="Z22" s="1192"/>
      <c r="AA22" s="1192"/>
      <c r="AB22" s="1192"/>
      <c r="AC22" s="1192"/>
      <c r="AD22" s="1192"/>
      <c r="AE22" s="1192"/>
      <c r="AF22" s="1192"/>
      <c r="AG22" s="1192"/>
      <c r="AH22" s="1192"/>
      <c r="AI22" s="1192"/>
      <c r="AJ22" s="1192"/>
      <c r="AK22" s="1192"/>
      <c r="AL22" s="1192"/>
      <c r="AM22" s="1192"/>
      <c r="AN22" s="1192"/>
      <c r="AO22" s="1192"/>
      <c r="AP22" s="1192"/>
      <c r="AQ22" s="1192"/>
      <c r="AR22" s="1192"/>
      <c r="AS22" s="1192"/>
      <c r="AT22" s="1192"/>
      <c r="AU22" s="1192"/>
      <c r="AV22" s="1192"/>
      <c r="AW22" s="450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</row>
    <row r="23" spans="1:190" ht="14.25" customHeight="1">
      <c r="B23" s="1"/>
      <c r="C23" s="431"/>
      <c r="D23" s="431"/>
      <c r="E23" s="431"/>
      <c r="F23" s="431"/>
      <c r="G23" s="431"/>
      <c r="H23" s="431"/>
      <c r="I23" s="1"/>
      <c r="J23" s="451"/>
      <c r="K23" s="451"/>
      <c r="L23" s="451"/>
      <c r="M23" s="451"/>
      <c r="N23" s="451"/>
      <c r="O23" s="1194" t="str">
        <f>IF('Registo Calibração'!C6="","------",'Registo Calibração'!C6)</f>
        <v>------</v>
      </c>
      <c r="P23" s="1194"/>
      <c r="Q23" s="1194"/>
      <c r="R23" s="1194"/>
      <c r="S23" s="1194"/>
      <c r="T23" s="1194"/>
      <c r="U23" s="1194"/>
      <c r="V23" s="1194"/>
      <c r="W23" s="1194"/>
      <c r="X23" s="1194"/>
      <c r="Y23" s="1194"/>
      <c r="Z23" s="1194"/>
      <c r="AA23" s="1194"/>
      <c r="AB23" s="1194"/>
      <c r="AC23" s="1194"/>
      <c r="AD23" s="1194"/>
      <c r="AE23" s="1194"/>
      <c r="AF23" s="1194"/>
      <c r="AG23" s="1194"/>
      <c r="AH23" s="1194"/>
      <c r="AI23" s="1194"/>
      <c r="AJ23" s="1194"/>
      <c r="AK23" s="1194"/>
      <c r="AL23" s="1194"/>
      <c r="AM23" s="1194"/>
      <c r="AN23" s="1194"/>
      <c r="AO23" s="1194"/>
      <c r="AP23" s="1194"/>
      <c r="AQ23" s="1194"/>
      <c r="AR23" s="1194"/>
      <c r="AS23" s="1194"/>
      <c r="AT23" s="1194"/>
      <c r="AU23" s="1194"/>
      <c r="AV23" s="1194"/>
      <c r="AW23" s="451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</row>
    <row r="24" spans="1:190" ht="19.5" customHeight="1">
      <c r="A24" s="281"/>
      <c r="B24" s="1240" t="s">
        <v>370</v>
      </c>
      <c r="C24" s="1240"/>
      <c r="D24" s="1240"/>
      <c r="E24" s="1240"/>
      <c r="F24" s="1240"/>
      <c r="G24" s="1240"/>
      <c r="H24" s="1240"/>
      <c r="I24" s="1240"/>
      <c r="J24" s="1240"/>
      <c r="K24" s="1240"/>
      <c r="L24" s="1240"/>
      <c r="M24" s="1240"/>
      <c r="N24" s="1240"/>
      <c r="O24" s="1240"/>
      <c r="P24" s="1240"/>
      <c r="Q24" s="1240"/>
      <c r="V24" s="430"/>
      <c r="AW24" s="406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</row>
    <row r="25" spans="1:190" s="4" customFormat="1" ht="12.75" customHeight="1">
      <c r="A25"/>
      <c r="B25" s="421" t="s">
        <v>371</v>
      </c>
      <c r="U25"/>
      <c r="AK25" s="1021" t="s">
        <v>679</v>
      </c>
      <c r="AL25" s="1021"/>
      <c r="AM25" s="1021"/>
      <c r="AN25" s="1021"/>
      <c r="AO25" s="1021"/>
      <c r="AP25" s="1021"/>
      <c r="AR25" s="1021" t="s">
        <v>165</v>
      </c>
      <c r="AS25" s="1021"/>
      <c r="AT25" s="1021"/>
      <c r="AU25" s="1021"/>
      <c r="AV25" s="1021"/>
      <c r="AW25" s="406"/>
      <c r="AX25"/>
      <c r="AY25"/>
      <c r="AZ25"/>
      <c r="BA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 s="44"/>
      <c r="CS25" s="44"/>
      <c r="CT25" s="44"/>
      <c r="CU25" s="44"/>
      <c r="CV25" s="44"/>
      <c r="CW25" s="44"/>
      <c r="CX25" s="44"/>
      <c r="CY25" s="44"/>
      <c r="CZ25" s="44"/>
      <c r="DA25" s="44"/>
      <c r="DB25" s="44"/>
      <c r="DC25" s="44"/>
      <c r="DD25" s="44"/>
      <c r="DE25" s="44"/>
      <c r="DF25" s="44"/>
      <c r="DG25" s="44"/>
      <c r="DH25" s="44"/>
      <c r="DI25" s="44"/>
      <c r="DJ25" s="44"/>
      <c r="DK25" s="44"/>
      <c r="DL25" s="44"/>
      <c r="DM25" s="44"/>
      <c r="DN25" s="44"/>
      <c r="DO25" s="44"/>
      <c r="DP25" s="44"/>
      <c r="DQ25" s="44"/>
      <c r="DR25" s="44"/>
      <c r="DS25" s="44"/>
      <c r="DT25" s="44"/>
      <c r="DU25" s="44"/>
      <c r="DV25" s="44"/>
      <c r="DW25" s="44"/>
      <c r="DX25" s="44"/>
      <c r="DY25" s="44"/>
      <c r="DZ25" s="44"/>
      <c r="EA25" s="44"/>
      <c r="EB25" s="44"/>
      <c r="EC25" s="44"/>
      <c r="ED25" s="44"/>
      <c r="EE25" s="44"/>
      <c r="EF25" s="44"/>
      <c r="EG25" s="44"/>
      <c r="EH25" s="44"/>
      <c r="EI25" s="44"/>
      <c r="EJ25" s="44"/>
      <c r="EK25" s="44"/>
      <c r="EL25" s="44"/>
      <c r="EM25" s="44"/>
      <c r="EN25" s="44"/>
      <c r="EO25" s="44"/>
      <c r="EP25" s="44"/>
      <c r="EQ25" s="44"/>
      <c r="ER25" s="44"/>
      <c r="ES25" s="44"/>
      <c r="ET25" s="44"/>
      <c r="EU25" s="44"/>
      <c r="EV25" s="44"/>
      <c r="EW25" s="44"/>
      <c r="EX25" s="44"/>
      <c r="EY25" s="44"/>
      <c r="EZ25" s="44"/>
      <c r="FA25" s="44"/>
      <c r="FB25" s="44"/>
      <c r="FC25" s="44"/>
      <c r="FD25" s="44"/>
      <c r="FE25" s="44"/>
      <c r="FF25" s="44"/>
      <c r="FG25" s="44"/>
      <c r="FH25" s="44"/>
      <c r="FI25" s="44"/>
      <c r="FJ25" s="44"/>
      <c r="FK25" s="36"/>
      <c r="FL25" s="36"/>
      <c r="FM25" s="36"/>
      <c r="FN25" s="36"/>
      <c r="FO25" s="36"/>
      <c r="FP25" s="36"/>
      <c r="FQ25" s="36"/>
      <c r="FR25" s="36"/>
      <c r="FS25" s="36"/>
      <c r="FT25" s="36"/>
      <c r="FU25" s="36"/>
      <c r="FV25" s="36"/>
      <c r="FW25" s="36"/>
      <c r="FX25" s="36"/>
      <c r="FY25" s="36"/>
      <c r="FZ25" s="36"/>
      <c r="GA25" s="36"/>
      <c r="GB25" s="36"/>
      <c r="GC25" s="36"/>
      <c r="GD25" s="36"/>
      <c r="GE25" s="36"/>
      <c r="GF25" s="36"/>
      <c r="GG25" s="36"/>
      <c r="GH25" s="36"/>
    </row>
    <row r="26" spans="1:190" ht="3.75" customHeight="1" thickBot="1">
      <c r="V26" s="37"/>
      <c r="Y26" s="430"/>
      <c r="Z26" s="430"/>
      <c r="AA26" s="37"/>
      <c r="AB26" s="37"/>
      <c r="AC26" s="37"/>
      <c r="AD26" s="37"/>
      <c r="AE26" s="37"/>
      <c r="AF26" s="37"/>
      <c r="AG26" s="37"/>
      <c r="AH26" s="37"/>
      <c r="AI26" s="37"/>
      <c r="AQ26" s="432"/>
      <c r="AW26" s="406"/>
      <c r="AX26"/>
      <c r="AY26"/>
      <c r="AZ26"/>
      <c r="BA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</row>
    <row r="27" spans="1:190" ht="15.75" customHeight="1" thickBot="1">
      <c r="B27" s="428" t="s">
        <v>673</v>
      </c>
      <c r="C27" s="90"/>
      <c r="D27" s="90"/>
      <c r="E27" s="90"/>
      <c r="F27" s="90"/>
      <c r="G27" s="90"/>
      <c r="H27" s="90"/>
      <c r="O27" s="37" t="s">
        <v>675</v>
      </c>
      <c r="Y27" s="1237" t="s">
        <v>372</v>
      </c>
      <c r="Z27" s="1237"/>
      <c r="AA27" s="1237"/>
      <c r="AB27" s="1237"/>
      <c r="AC27" s="1237"/>
      <c r="AD27" s="1237"/>
      <c r="AE27" s="1237"/>
      <c r="AF27" s="1237"/>
      <c r="AG27" s="1237"/>
      <c r="AH27" s="1237"/>
      <c r="AI27" s="1237"/>
      <c r="AJ27" s="1237"/>
      <c r="AK27" s="1231" t="str">
        <f>CONCATENATE(FIXED('Registo Calibração'!$K$13,1)," ± 1")</f>
        <v>0,0 ± 1</v>
      </c>
      <c r="AL27" s="1232"/>
      <c r="AM27" s="1232"/>
      <c r="AN27" s="1232"/>
      <c r="AO27" s="1232"/>
      <c r="AP27" s="1233"/>
      <c r="AQ27" s="4"/>
      <c r="AR27" s="1231" t="str">
        <f>CONCATENATE(FIXED('Registo Calibração'!$L$13,1)," ± 1")</f>
        <v>0,0 ± 1</v>
      </c>
      <c r="AS27" s="1232"/>
      <c r="AT27" s="1232"/>
      <c r="AU27" s="1232"/>
      <c r="AV27" s="1233"/>
      <c r="AW27" s="406"/>
      <c r="AX27"/>
      <c r="AY27"/>
      <c r="AZ27"/>
      <c r="BA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</row>
    <row r="28" spans="1:190" ht="10.5" customHeight="1" thickBot="1">
      <c r="B28" s="433" t="s">
        <v>373</v>
      </c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W28" s="406"/>
      <c r="AX28"/>
      <c r="AY28"/>
      <c r="AZ28"/>
      <c r="BA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</row>
    <row r="29" spans="1:190" ht="15.75" customHeight="1" thickBot="1">
      <c r="B29" s="417" t="s">
        <v>368</v>
      </c>
      <c r="M29" s="452"/>
      <c r="N29" s="452"/>
      <c r="O29" s="1241" t="str">
        <f>IF('Registo Calibração'!C3="","",'Registo Calibração'!C3)</f>
        <v/>
      </c>
      <c r="P29" s="1241"/>
      <c r="Q29" s="1241"/>
      <c r="R29" s="1241"/>
      <c r="S29" s="1241"/>
      <c r="T29" s="1241"/>
      <c r="U29" s="1241"/>
      <c r="Y29" s="1237" t="s">
        <v>166</v>
      </c>
      <c r="Z29" s="1237"/>
      <c r="AA29" s="1237"/>
      <c r="AB29" s="1237"/>
      <c r="AC29" s="1237"/>
      <c r="AD29" s="1237"/>
      <c r="AE29" s="1237"/>
      <c r="AF29" s="1237"/>
      <c r="AG29" s="1237"/>
      <c r="AH29" s="1237"/>
      <c r="AI29" s="1237"/>
      <c r="AJ29" s="1237"/>
      <c r="AK29" s="1231" t="str">
        <f>CONCATENATE(FIXED('Registo Calibração'!$K$14,1)," ± 5")</f>
        <v>0,0 ± 5</v>
      </c>
      <c r="AL29" s="1232"/>
      <c r="AM29" s="1232"/>
      <c r="AN29" s="1232"/>
      <c r="AO29" s="1232"/>
      <c r="AP29" s="1233"/>
      <c r="AR29" s="1231" t="str">
        <f>CONCATENATE(FIXED('Registo Calibração'!$L$14,1)," ± 5")</f>
        <v>0,0 ± 5</v>
      </c>
      <c r="AS29" s="1232"/>
      <c r="AT29" s="1232"/>
      <c r="AU29" s="1232"/>
      <c r="AV29" s="1233"/>
      <c r="AW29" s="406"/>
      <c r="AX29"/>
      <c r="AY29"/>
      <c r="AZ29"/>
      <c r="BA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</row>
    <row r="30" spans="1:190" ht="12.75" customHeight="1">
      <c r="B30" s="433" t="s">
        <v>369</v>
      </c>
      <c r="C30" s="90"/>
      <c r="D30" s="90"/>
      <c r="E30" s="90"/>
      <c r="F30" s="90"/>
      <c r="G30" s="90"/>
      <c r="H30" s="90"/>
      <c r="AW30" s="406"/>
      <c r="AX30"/>
      <c r="AY30"/>
      <c r="AZ30"/>
      <c r="BA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</row>
    <row r="31" spans="1:190" ht="19.5" customHeight="1">
      <c r="B31" s="429" t="s">
        <v>376</v>
      </c>
      <c r="O31" s="1192" t="s">
        <v>478</v>
      </c>
      <c r="P31" s="1192"/>
      <c r="Q31" s="1192"/>
      <c r="R31" s="1192"/>
      <c r="S31" s="1192"/>
      <c r="T31" s="1192"/>
      <c r="U31" s="1192"/>
      <c r="V31" s="1192"/>
      <c r="W31" s="1192"/>
      <c r="X31" s="1192"/>
      <c r="Y31" s="1192"/>
      <c r="Z31" s="1192"/>
      <c r="AA31" s="1192"/>
      <c r="AB31" s="1192"/>
      <c r="AC31" s="1192"/>
      <c r="AD31" s="1192"/>
      <c r="AE31" s="1192"/>
      <c r="AF31" s="1192"/>
      <c r="AG31" s="1192"/>
      <c r="AH31" s="1192"/>
      <c r="AI31" s="1192"/>
      <c r="AJ31" s="1192"/>
      <c r="AK31" s="1192"/>
      <c r="AL31" s="1192"/>
      <c r="AM31" s="1192"/>
      <c r="AN31" s="1192"/>
      <c r="AO31" s="1192"/>
      <c r="AP31" s="1192"/>
      <c r="AQ31" s="1192"/>
      <c r="AR31" s="1192"/>
      <c r="AS31" s="1192"/>
      <c r="AT31" s="1192"/>
      <c r="AU31" s="1192"/>
      <c r="AV31" s="1192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</row>
    <row r="32" spans="1:190">
      <c r="B32" s="433" t="s">
        <v>398</v>
      </c>
      <c r="O32" s="1192"/>
      <c r="P32" s="1192"/>
      <c r="Q32" s="1192"/>
      <c r="R32" s="1192"/>
      <c r="S32" s="1192"/>
      <c r="T32" s="1192"/>
      <c r="U32" s="1192"/>
      <c r="V32" s="1192"/>
      <c r="W32" s="1192"/>
      <c r="X32" s="1192"/>
      <c r="Y32" s="1192"/>
      <c r="Z32" s="1192"/>
      <c r="AA32" s="1192"/>
      <c r="AB32" s="1192"/>
      <c r="AC32" s="1192"/>
      <c r="AD32" s="1192"/>
      <c r="AE32" s="1192"/>
      <c r="AF32" s="1192"/>
      <c r="AG32" s="1192"/>
      <c r="AH32" s="1192"/>
      <c r="AI32" s="1192"/>
      <c r="AJ32" s="1192"/>
      <c r="AK32" s="1192"/>
      <c r="AL32" s="1192"/>
      <c r="AM32" s="1192"/>
      <c r="AN32" s="1192"/>
      <c r="AO32" s="1192"/>
      <c r="AP32" s="1192"/>
      <c r="AQ32" s="1192"/>
      <c r="AR32" s="1192"/>
      <c r="AS32" s="1192"/>
      <c r="AT32" s="1192"/>
      <c r="AU32" s="1192"/>
      <c r="AV32" s="1192"/>
    </row>
    <row r="33" spans="1:99" ht="6.75" customHeight="1">
      <c r="C33" s="453"/>
      <c r="D33" s="453"/>
      <c r="E33" s="453"/>
      <c r="F33" s="453"/>
      <c r="G33" s="453"/>
      <c r="H33" s="453"/>
      <c r="I33" s="453"/>
      <c r="J33" s="453"/>
      <c r="K33" s="453"/>
      <c r="L33" s="453"/>
      <c r="M33" s="453"/>
      <c r="N33" s="453"/>
      <c r="O33" s="453"/>
      <c r="P33" s="453"/>
      <c r="Q33" s="453"/>
      <c r="R33" s="453"/>
      <c r="S33" s="453"/>
      <c r="T33" s="453"/>
      <c r="U33" s="453"/>
      <c r="V33" s="453"/>
      <c r="W33" s="453"/>
      <c r="X33" s="453"/>
      <c r="Y33" s="453"/>
      <c r="Z33" s="453"/>
      <c r="AA33" s="453"/>
      <c r="AB33" s="453"/>
      <c r="AC33" s="453"/>
      <c r="AD33" s="453"/>
      <c r="AE33" s="453"/>
      <c r="AF33" s="453"/>
      <c r="AG33" s="453"/>
      <c r="AH33" s="453"/>
      <c r="AI33" s="453"/>
      <c r="AJ33" s="453"/>
      <c r="AK33" s="453"/>
      <c r="AL33" s="453"/>
      <c r="AM33" s="453"/>
      <c r="AN33" s="453"/>
      <c r="AO33" s="453"/>
      <c r="AP33" s="453"/>
      <c r="AQ33" s="453"/>
      <c r="AR33" s="453"/>
      <c r="AS33" s="453"/>
      <c r="AT33" s="453"/>
      <c r="AU33" s="453"/>
      <c r="AV33" s="453"/>
      <c r="AW33" s="453"/>
      <c r="AX33"/>
      <c r="AY33"/>
      <c r="AZ33"/>
      <c r="BA33"/>
      <c r="BB33" s="450"/>
      <c r="BC33" s="450"/>
      <c r="BD33" s="450"/>
      <c r="BE33" s="450"/>
      <c r="BF33" s="450"/>
      <c r="BG33" s="450"/>
      <c r="BH33" s="450"/>
      <c r="BI33" s="450"/>
      <c r="BJ33" s="450"/>
      <c r="BK33" s="450"/>
      <c r="BL33" s="450"/>
      <c r="BM33" s="450"/>
      <c r="BN33" s="450"/>
      <c r="BO33" s="450"/>
      <c r="BP33" s="450"/>
      <c r="BQ33" s="450"/>
      <c r="BR33" s="450"/>
      <c r="BS33" s="450"/>
      <c r="BT33" s="450"/>
      <c r="BU33" s="450"/>
      <c r="BV33" s="450"/>
      <c r="BW33" s="450"/>
      <c r="BX33" s="450"/>
      <c r="BY33" s="450"/>
      <c r="BZ33" s="450"/>
      <c r="CA33" s="450"/>
      <c r="CB33" s="450"/>
      <c r="CC33" s="450"/>
      <c r="CD33" s="450"/>
      <c r="CE33" s="450"/>
      <c r="CF33" s="450"/>
      <c r="CG33" s="450"/>
      <c r="CH33" s="450"/>
      <c r="CI33" s="450"/>
      <c r="CJ33" s="450"/>
      <c r="CK33" s="450"/>
      <c r="CL33" s="450"/>
      <c r="CM33" s="450"/>
      <c r="CN33" s="450"/>
      <c r="CO33" s="450"/>
      <c r="CP33" s="450"/>
      <c r="CQ33" s="450"/>
      <c r="CR33" s="450"/>
      <c r="CS33" s="450"/>
      <c r="CT33" s="450"/>
      <c r="CU33" s="450"/>
    </row>
    <row r="34" spans="1:99" ht="15.75">
      <c r="O34" s="1230" t="s">
        <v>375</v>
      </c>
      <c r="P34" s="1230"/>
      <c r="Q34" s="1230"/>
      <c r="R34" s="1230"/>
      <c r="S34" s="1230"/>
      <c r="T34" s="1230"/>
      <c r="U34" s="1230"/>
      <c r="V34" s="1230"/>
      <c r="W34" s="90"/>
      <c r="X34" s="1230" t="s">
        <v>374</v>
      </c>
      <c r="Y34" s="1230"/>
      <c r="Z34" s="1230"/>
      <c r="AA34" s="1230"/>
      <c r="AB34" s="1230"/>
      <c r="AC34" s="1230"/>
      <c r="AD34" s="1230"/>
      <c r="AE34" s="1230"/>
      <c r="AF34" s="1230"/>
      <c r="AG34" s="1230"/>
      <c r="AH34" s="1230"/>
      <c r="AI34" s="1230"/>
      <c r="AJ34" s="1230"/>
      <c r="AK34" s="1230"/>
      <c r="AL34" s="1230"/>
      <c r="AM34" s="1230"/>
      <c r="AN34" s="1230"/>
      <c r="AO34" s="1230"/>
      <c r="AP34" s="1230"/>
      <c r="AQ34" s="1230"/>
      <c r="AR34" s="1230"/>
      <c r="AS34" s="1230"/>
      <c r="AT34" s="1230"/>
      <c r="AU34" s="1230"/>
      <c r="AV34" s="1230"/>
      <c r="AW34" s="406"/>
      <c r="AX34"/>
      <c r="AY34"/>
      <c r="AZ34"/>
      <c r="BA34" s="1243" t="s">
        <v>376</v>
      </c>
      <c r="BB34" s="1243"/>
      <c r="BC34" s="1243"/>
      <c r="BD34" s="1243"/>
      <c r="BE34" s="1243"/>
      <c r="BF34" s="1243"/>
      <c r="BG34" s="1243"/>
      <c r="BH34" s="1243"/>
      <c r="BI34" s="1243"/>
      <c r="BJ34" s="1243"/>
      <c r="CI34" s="450"/>
      <c r="CJ34" s="450"/>
      <c r="CK34" s="450"/>
      <c r="CL34" s="450"/>
      <c r="CM34" s="450"/>
      <c r="CN34" s="450"/>
      <c r="CO34" s="450"/>
      <c r="CP34" s="450"/>
      <c r="CQ34" s="450"/>
      <c r="CR34" s="450"/>
      <c r="CS34" s="450"/>
    </row>
    <row r="35" spans="1:99" ht="15.75">
      <c r="O35" s="867" t="str">
        <f>IF('Registo Calibração'!AT6="","",'Registo Calibração'!AV6)</f>
        <v/>
      </c>
      <c r="P35" s="867"/>
      <c r="Q35" s="867"/>
      <c r="R35" s="867"/>
      <c r="S35" s="867"/>
      <c r="T35" s="867"/>
      <c r="U35" s="867"/>
      <c r="V35" s="867"/>
      <c r="W35" s="90"/>
      <c r="X35" s="1201" t="str">
        <f>IF('Registo Calibração'!AT6="","",'Registo Calibração'!AW6)</f>
        <v/>
      </c>
      <c r="Y35" s="1201"/>
      <c r="Z35" s="1201"/>
      <c r="AA35" s="1201"/>
      <c r="AB35" s="1201"/>
      <c r="AC35" s="1201"/>
      <c r="AD35" s="1201"/>
      <c r="AE35" s="1201"/>
      <c r="AF35" s="1201"/>
      <c r="AG35" s="1201"/>
      <c r="AH35" s="1201"/>
      <c r="AI35" s="1201"/>
      <c r="AJ35" s="1201"/>
      <c r="AK35" s="1201"/>
      <c r="AL35" s="1201"/>
      <c r="AM35" s="1201"/>
      <c r="AN35" s="1201"/>
      <c r="AO35" s="1201"/>
      <c r="AP35" s="1201"/>
      <c r="AQ35" s="1201"/>
      <c r="AR35" s="1201"/>
      <c r="AS35" s="1201"/>
      <c r="AT35" s="1201"/>
      <c r="AU35" s="1201"/>
      <c r="AV35" s="1201"/>
      <c r="AW35" s="406"/>
      <c r="AX35"/>
      <c r="AY35"/>
      <c r="AZ35"/>
      <c r="BA35" s="1193" t="str">
        <f>IF('Registo Calibração'!AT6="","",'Registo Calibração'!AX6)</f>
        <v/>
      </c>
      <c r="BB35" s="1193"/>
      <c r="BC35" s="1193"/>
      <c r="BD35" s="1193"/>
      <c r="BE35" s="1193"/>
      <c r="BF35" s="1193"/>
      <c r="BG35" s="1193"/>
      <c r="BH35" s="1193"/>
      <c r="BI35" s="1193"/>
      <c r="BJ35" s="1193"/>
      <c r="CI35" s="450"/>
      <c r="CJ35" s="450"/>
      <c r="CK35" s="450"/>
      <c r="CL35" s="450"/>
      <c r="CM35" s="450"/>
      <c r="CN35" s="450"/>
      <c r="CO35" s="450"/>
      <c r="CP35" s="450"/>
      <c r="CQ35" s="450"/>
      <c r="CR35" s="450"/>
      <c r="CS35" s="450"/>
    </row>
    <row r="36" spans="1:99" ht="15.75">
      <c r="O36" s="867" t="str">
        <f>IF('Registo Calibração'!AT7="","",'Registo Calibração'!AV7)</f>
        <v/>
      </c>
      <c r="P36" s="867"/>
      <c r="Q36" s="867"/>
      <c r="R36" s="867"/>
      <c r="S36" s="867"/>
      <c r="T36" s="867"/>
      <c r="U36" s="867"/>
      <c r="V36" s="867"/>
      <c r="W36" s="90"/>
      <c r="X36" s="1201" t="str">
        <f>IF('Registo Calibração'!AT7="","",'Registo Calibração'!AW7)</f>
        <v/>
      </c>
      <c r="Y36" s="1201"/>
      <c r="Z36" s="1201"/>
      <c r="AA36" s="1201"/>
      <c r="AB36" s="1201"/>
      <c r="AC36" s="1201"/>
      <c r="AD36" s="1201"/>
      <c r="AE36" s="1201"/>
      <c r="AF36" s="1201"/>
      <c r="AG36" s="1201"/>
      <c r="AH36" s="1201"/>
      <c r="AI36" s="1201"/>
      <c r="AJ36" s="1201"/>
      <c r="AK36" s="1201"/>
      <c r="AL36" s="1201"/>
      <c r="AM36" s="1201"/>
      <c r="AN36" s="1201"/>
      <c r="AO36" s="1201"/>
      <c r="AP36" s="1201"/>
      <c r="AQ36" s="1201"/>
      <c r="AR36" s="1201"/>
      <c r="AS36" s="1201"/>
      <c r="AT36" s="1201"/>
      <c r="AU36" s="1201"/>
      <c r="AV36" s="1201"/>
      <c r="AW36" s="406"/>
      <c r="AX36"/>
      <c r="AY36"/>
      <c r="AZ36"/>
      <c r="BA36" s="1193" t="str">
        <f>IF('Registo Calibração'!AT7="","",'Registo Calibração'!AX7)</f>
        <v/>
      </c>
      <c r="BB36" s="1193"/>
      <c r="BC36" s="1193"/>
      <c r="BD36" s="1193"/>
      <c r="BE36" s="1193"/>
      <c r="BF36" s="1193"/>
      <c r="BG36" s="1193"/>
      <c r="BH36" s="1193"/>
      <c r="BI36" s="1193"/>
      <c r="BJ36" s="1193"/>
      <c r="CI36" s="450"/>
      <c r="CJ36" s="450"/>
      <c r="CK36" s="450"/>
      <c r="CL36" s="450"/>
      <c r="CM36" s="450"/>
      <c r="CN36" s="450"/>
      <c r="CO36" s="450"/>
      <c r="CP36" s="450"/>
      <c r="CQ36" s="450"/>
      <c r="CR36" s="450"/>
      <c r="CS36" s="450"/>
    </row>
    <row r="37" spans="1:99" ht="15.75">
      <c r="O37" s="869" t="str">
        <f>IF('Registo Calibração'!AT8="","",'Registo Calibração'!AV8)</f>
        <v/>
      </c>
      <c r="P37" s="869"/>
      <c r="Q37" s="869"/>
      <c r="R37" s="869"/>
      <c r="S37" s="869"/>
      <c r="T37" s="869"/>
      <c r="U37" s="869"/>
      <c r="V37" s="869"/>
      <c r="W37" s="448"/>
      <c r="X37" s="1201" t="str">
        <f>IF('Registo Calibração'!AT8="","",'Registo Calibração'!AW8)</f>
        <v/>
      </c>
      <c r="Y37" s="1201"/>
      <c r="Z37" s="1201"/>
      <c r="AA37" s="1201"/>
      <c r="AB37" s="1201"/>
      <c r="AC37" s="1201"/>
      <c r="AD37" s="1201"/>
      <c r="AE37" s="1201"/>
      <c r="AF37" s="1201"/>
      <c r="AG37" s="1201"/>
      <c r="AH37" s="1201"/>
      <c r="AI37" s="1201"/>
      <c r="AJ37" s="1201"/>
      <c r="AK37" s="1201"/>
      <c r="AL37" s="1201"/>
      <c r="AM37" s="1201"/>
      <c r="AN37" s="1201"/>
      <c r="AO37" s="1201"/>
      <c r="AP37" s="1201"/>
      <c r="AQ37" s="1201"/>
      <c r="AR37" s="1201"/>
      <c r="AS37" s="1201"/>
      <c r="AT37" s="1201"/>
      <c r="AU37" s="1201"/>
      <c r="AV37" s="1201"/>
      <c r="AW37" s="406"/>
      <c r="AX37"/>
      <c r="AY37"/>
      <c r="AZ37"/>
      <c r="BA37" s="1193" t="str">
        <f>IF('Registo Calibração'!AT8="","",'Registo Calibração'!AX8)</f>
        <v/>
      </c>
      <c r="BB37" s="1193"/>
      <c r="BC37" s="1193"/>
      <c r="BD37" s="1193"/>
      <c r="BE37" s="1193"/>
      <c r="BF37" s="1193"/>
      <c r="BG37" s="1193"/>
      <c r="BH37" s="1193"/>
      <c r="BI37" s="1193"/>
      <c r="BJ37" s="1193"/>
      <c r="CI37" s="450"/>
      <c r="CJ37" s="450"/>
      <c r="CK37" s="450"/>
      <c r="CL37" s="450"/>
      <c r="CM37" s="450"/>
      <c r="CN37" s="450"/>
      <c r="CO37" s="450"/>
      <c r="CP37" s="450"/>
      <c r="CQ37" s="450"/>
      <c r="CR37" s="450"/>
      <c r="CS37" s="450"/>
    </row>
    <row r="38" spans="1:99" ht="15.75">
      <c r="O38" s="869" t="str">
        <f>IF('Registo Calibração'!AT9="","",'Registo Calibração'!AV9)</f>
        <v/>
      </c>
      <c r="P38" s="869"/>
      <c r="Q38" s="869"/>
      <c r="R38" s="869"/>
      <c r="S38" s="869"/>
      <c r="T38" s="869"/>
      <c r="U38" s="869"/>
      <c r="V38" s="869"/>
      <c r="W38" s="90"/>
      <c r="X38" s="1201" t="str">
        <f>IF('Registo Calibração'!AT9="","",'Registo Calibração'!AW9)</f>
        <v/>
      </c>
      <c r="Y38" s="1201"/>
      <c r="Z38" s="1201"/>
      <c r="AA38" s="1201"/>
      <c r="AB38" s="1201"/>
      <c r="AC38" s="1201"/>
      <c r="AD38" s="1201"/>
      <c r="AE38" s="1201"/>
      <c r="AF38" s="1201"/>
      <c r="AG38" s="1201"/>
      <c r="AH38" s="1201"/>
      <c r="AI38" s="1201"/>
      <c r="AJ38" s="1201"/>
      <c r="AK38" s="1201"/>
      <c r="AL38" s="1201"/>
      <c r="AM38" s="1201"/>
      <c r="AN38" s="1201"/>
      <c r="AO38" s="1201"/>
      <c r="AP38" s="1201"/>
      <c r="AQ38" s="1201"/>
      <c r="AR38" s="1201"/>
      <c r="AS38" s="1201"/>
      <c r="AT38" s="1201"/>
      <c r="AU38" s="1201"/>
      <c r="AV38" s="1201"/>
      <c r="AW38" s="406"/>
      <c r="AX38"/>
      <c r="AY38"/>
      <c r="AZ38"/>
      <c r="BA38" s="1193" t="str">
        <f>IF('Registo Calibração'!AT9="","",'Registo Calibração'!AX9)</f>
        <v/>
      </c>
      <c r="BB38" s="1193"/>
      <c r="BC38" s="1193"/>
      <c r="BD38" s="1193"/>
      <c r="BE38" s="1193"/>
      <c r="BF38" s="1193"/>
      <c r="BG38" s="1193"/>
      <c r="BH38" s="1193"/>
      <c r="BI38" s="1193"/>
      <c r="BJ38" s="1193"/>
      <c r="CI38" s="450"/>
      <c r="CJ38" s="450"/>
      <c r="CK38" s="450"/>
      <c r="CL38" s="450"/>
      <c r="CM38" s="450"/>
      <c r="CN38" s="450"/>
      <c r="CO38" s="450"/>
      <c r="CP38" s="450"/>
      <c r="CQ38" s="450"/>
      <c r="CR38" s="450"/>
      <c r="CS38" s="450"/>
    </row>
    <row r="39" spans="1:99" ht="15.75">
      <c r="O39" s="869" t="str">
        <f>IF('Registo Calibração'!AT10="","",'Registo Calibração'!AV10)</f>
        <v/>
      </c>
      <c r="P39" s="869"/>
      <c r="Q39" s="869"/>
      <c r="R39" s="869"/>
      <c r="S39" s="869"/>
      <c r="T39" s="869"/>
      <c r="U39" s="869"/>
      <c r="V39" s="869"/>
      <c r="W39" s="90"/>
      <c r="X39" s="1201" t="str">
        <f>IF('Registo Calibração'!AT10="","",'Registo Calibração'!AW10)</f>
        <v/>
      </c>
      <c r="Y39" s="1201"/>
      <c r="Z39" s="1201"/>
      <c r="AA39" s="1201"/>
      <c r="AB39" s="1201"/>
      <c r="AC39" s="1201"/>
      <c r="AD39" s="1201"/>
      <c r="AE39" s="1201"/>
      <c r="AF39" s="1201"/>
      <c r="AG39" s="1201"/>
      <c r="AH39" s="1201"/>
      <c r="AI39" s="1201"/>
      <c r="AJ39" s="1201"/>
      <c r="AK39" s="1201"/>
      <c r="AL39" s="1201"/>
      <c r="AM39" s="1201"/>
      <c r="AN39" s="1201"/>
      <c r="AO39" s="1201"/>
      <c r="AP39" s="1201"/>
      <c r="AQ39" s="1201"/>
      <c r="AR39" s="1201"/>
      <c r="AS39" s="1201"/>
      <c r="AT39" s="1201"/>
      <c r="AU39" s="1201"/>
      <c r="AV39" s="1201"/>
      <c r="AW39" s="406"/>
      <c r="BA39" s="1193" t="str">
        <f>IF('Registo Calibração'!AT10="","",'Registo Calibração'!AX10)</f>
        <v/>
      </c>
      <c r="BB39" s="1193"/>
      <c r="BC39" s="1193"/>
      <c r="BD39" s="1193"/>
      <c r="BE39" s="1193"/>
      <c r="BF39" s="1193"/>
      <c r="BG39" s="1193"/>
      <c r="BH39" s="1193"/>
      <c r="BI39" s="1193"/>
      <c r="BJ39" s="1193"/>
      <c r="CI39" s="450"/>
      <c r="CJ39" s="450"/>
      <c r="CK39" s="450"/>
      <c r="CL39" s="450"/>
      <c r="CM39" s="450"/>
      <c r="CN39" s="450"/>
      <c r="CO39" s="450"/>
      <c r="CP39" s="450"/>
      <c r="CQ39" s="450"/>
      <c r="CR39" s="450"/>
      <c r="CS39" s="450"/>
    </row>
    <row r="40" spans="1:99" ht="53.25" customHeight="1">
      <c r="O40" s="1202" t="str">
        <f>IF('Registo Calibração'!AT11="","",'Registo Calibração'!AV11)</f>
        <v/>
      </c>
      <c r="P40" s="1202"/>
      <c r="Q40" s="1202"/>
      <c r="R40" s="1202"/>
      <c r="S40" s="1202"/>
      <c r="T40" s="1202"/>
      <c r="U40" s="1202"/>
      <c r="V40" s="1202"/>
      <c r="W40" s="90"/>
      <c r="X40" s="1201" t="str">
        <f>IF('Registo Calibração'!AT11="","",'Registo Calibração'!AW11)</f>
        <v/>
      </c>
      <c r="Y40" s="1201"/>
      <c r="Z40" s="1201"/>
      <c r="AA40" s="1201"/>
      <c r="AB40" s="1201"/>
      <c r="AC40" s="1201"/>
      <c r="AD40" s="1201"/>
      <c r="AE40" s="1201"/>
      <c r="AF40" s="1201"/>
      <c r="AG40" s="1201"/>
      <c r="AH40" s="1201"/>
      <c r="AI40" s="1201"/>
      <c r="AJ40" s="1201"/>
      <c r="AK40" s="1201"/>
      <c r="AL40" s="1201"/>
      <c r="AM40" s="1201"/>
      <c r="AN40" s="1201"/>
      <c r="AO40" s="1201"/>
      <c r="AP40" s="1201"/>
      <c r="AQ40" s="1201"/>
      <c r="AR40" s="1201"/>
      <c r="AS40" s="1201"/>
      <c r="AT40" s="1201"/>
      <c r="AU40" s="1201"/>
      <c r="AV40" s="1201"/>
      <c r="AW40" s="406"/>
      <c r="BA40" s="1193" t="str">
        <f>IF('Registo Calibração'!AT11="","",'Registo Calibração'!AX11)</f>
        <v/>
      </c>
      <c r="BB40" s="1193"/>
      <c r="BC40" s="1193"/>
      <c r="BD40" s="1193"/>
      <c r="BE40" s="1193"/>
      <c r="BF40" s="1193"/>
      <c r="BG40" s="1193"/>
      <c r="BH40" s="1193"/>
      <c r="BI40" s="1193"/>
      <c r="BJ40" s="1193"/>
      <c r="CI40" s="450"/>
      <c r="CJ40" s="450"/>
      <c r="CK40" s="450"/>
      <c r="CL40" s="450"/>
      <c r="CM40" s="450"/>
      <c r="CN40" s="450"/>
      <c r="CO40" s="450"/>
      <c r="CP40" s="450"/>
      <c r="CQ40" s="450"/>
      <c r="CR40" s="450"/>
      <c r="CS40" s="450"/>
    </row>
    <row r="41" spans="1:99" ht="15.75">
      <c r="O41" s="869" t="str">
        <f>IF('Registo Calibração'!AT12="","",'Registo Calibração'!AV12)</f>
        <v/>
      </c>
      <c r="P41" s="869"/>
      <c r="Q41" s="869"/>
      <c r="R41" s="869"/>
      <c r="S41" s="869"/>
      <c r="T41" s="869"/>
      <c r="U41" s="869"/>
      <c r="V41" s="869"/>
      <c r="W41" s="90"/>
      <c r="X41" s="1201" t="str">
        <f>IF('Registo Calibração'!AT12="","",'Registo Calibração'!AW12)</f>
        <v/>
      </c>
      <c r="Y41" s="1201"/>
      <c r="Z41" s="1201"/>
      <c r="AA41" s="1201"/>
      <c r="AB41" s="1201"/>
      <c r="AC41" s="1201"/>
      <c r="AD41" s="1201"/>
      <c r="AE41" s="1201"/>
      <c r="AF41" s="1201"/>
      <c r="AG41" s="1201"/>
      <c r="AH41" s="1201"/>
      <c r="AI41" s="1201"/>
      <c r="AJ41" s="1201"/>
      <c r="AK41" s="1201"/>
      <c r="AL41" s="1201"/>
      <c r="AM41" s="1201"/>
      <c r="AN41" s="1201"/>
      <c r="AO41" s="1201"/>
      <c r="AP41" s="1201"/>
      <c r="AQ41" s="1201"/>
      <c r="AR41" s="1201"/>
      <c r="AS41" s="1201"/>
      <c r="AT41" s="1201"/>
      <c r="AU41" s="1201"/>
      <c r="AV41" s="1201"/>
      <c r="AW41" s="406"/>
      <c r="BA41" s="1193" t="str">
        <f>IF('Registo Calibração'!AT12="","",'Registo Calibração'!AX12)</f>
        <v/>
      </c>
      <c r="BB41" s="1193"/>
      <c r="BC41" s="1193"/>
      <c r="BD41" s="1193"/>
      <c r="BE41" s="1193"/>
      <c r="BF41" s="1193"/>
      <c r="BG41" s="1193"/>
      <c r="BH41" s="1193"/>
      <c r="BI41" s="1193"/>
      <c r="BJ41" s="1193"/>
      <c r="CI41" s="450"/>
      <c r="CJ41" s="450"/>
      <c r="CK41" s="450"/>
      <c r="CL41" s="450"/>
      <c r="CM41" s="450"/>
      <c r="CN41" s="450"/>
      <c r="CO41" s="450"/>
      <c r="CP41" s="450"/>
      <c r="CQ41" s="450"/>
      <c r="CR41" s="450"/>
      <c r="CS41" s="450"/>
    </row>
    <row r="42" spans="1:99" ht="15.75">
      <c r="O42" s="869" t="str">
        <f>IF('Registo Calibração'!AT13="","",'Registo Calibração'!AV13)</f>
        <v/>
      </c>
      <c r="P42" s="869"/>
      <c r="Q42" s="869"/>
      <c r="R42" s="869"/>
      <c r="S42" s="869"/>
      <c r="T42" s="869"/>
      <c r="U42" s="869"/>
      <c r="V42" s="869"/>
      <c r="W42" s="90"/>
      <c r="X42" s="1201" t="str">
        <f>IF('Registo Calibração'!AT13="","",'Registo Calibração'!AW13)</f>
        <v/>
      </c>
      <c r="Y42" s="1201"/>
      <c r="Z42" s="1201"/>
      <c r="AA42" s="1201"/>
      <c r="AB42" s="1201"/>
      <c r="AC42" s="1201"/>
      <c r="AD42" s="1201"/>
      <c r="AE42" s="1201"/>
      <c r="AF42" s="1201"/>
      <c r="AG42" s="1201"/>
      <c r="AH42" s="1201"/>
      <c r="AI42" s="1201"/>
      <c r="AJ42" s="1201"/>
      <c r="AK42" s="1201"/>
      <c r="AL42" s="1201"/>
      <c r="AM42" s="1201"/>
      <c r="AN42" s="1201"/>
      <c r="AO42" s="1201"/>
      <c r="AP42" s="1201"/>
      <c r="AQ42" s="1201"/>
      <c r="AR42" s="1201"/>
      <c r="AS42" s="1201"/>
      <c r="AT42" s="1201"/>
      <c r="AU42" s="1201"/>
      <c r="AV42" s="1201"/>
      <c r="AW42" s="406"/>
      <c r="BA42" s="1193" t="str">
        <f>IF('Registo Calibração'!AT13="","",'Registo Calibração'!AX13)</f>
        <v/>
      </c>
      <c r="BB42" s="1193"/>
      <c r="BC42" s="1193"/>
      <c r="BD42" s="1193"/>
      <c r="BE42" s="1193"/>
      <c r="BF42" s="1193"/>
      <c r="BG42" s="1193"/>
      <c r="BH42" s="1193"/>
      <c r="BI42" s="1193"/>
      <c r="BJ42" s="1193"/>
      <c r="CI42" s="450"/>
      <c r="CJ42" s="450"/>
      <c r="CK42" s="450"/>
      <c r="CL42" s="450"/>
      <c r="CM42" s="450"/>
      <c r="CN42" s="450"/>
      <c r="CO42" s="450"/>
      <c r="CP42" s="450"/>
      <c r="CQ42" s="450"/>
      <c r="CR42" s="450"/>
      <c r="CS42" s="450"/>
    </row>
    <row r="43" spans="1:99" ht="15.75">
      <c r="O43" s="869" t="str">
        <f>IF('Registo Calibração'!AT14="","",'Registo Calibração'!AV14)</f>
        <v/>
      </c>
      <c r="P43" s="869"/>
      <c r="Q43" s="869"/>
      <c r="R43" s="869"/>
      <c r="S43" s="869"/>
      <c r="T43" s="869"/>
      <c r="U43" s="869"/>
      <c r="V43" s="869"/>
      <c r="W43" s="90"/>
      <c r="X43" s="1201" t="str">
        <f>IF('Registo Calibração'!AT14="","",'Registo Calibração'!AW14)</f>
        <v/>
      </c>
      <c r="Y43" s="1201"/>
      <c r="Z43" s="1201"/>
      <c r="AA43" s="1201"/>
      <c r="AB43" s="1201"/>
      <c r="AC43" s="1201"/>
      <c r="AD43" s="1201"/>
      <c r="AE43" s="1201"/>
      <c r="AF43" s="1201"/>
      <c r="AG43" s="1201"/>
      <c r="AH43" s="1201"/>
      <c r="AI43" s="1201"/>
      <c r="AJ43" s="1201"/>
      <c r="AK43" s="1201"/>
      <c r="AL43" s="1201"/>
      <c r="AM43" s="1201"/>
      <c r="AN43" s="1201"/>
      <c r="AO43" s="1201"/>
      <c r="AP43" s="1201"/>
      <c r="AQ43" s="1201"/>
      <c r="AR43" s="1201"/>
      <c r="AS43" s="1201"/>
      <c r="AT43" s="1201"/>
      <c r="AU43" s="1201"/>
      <c r="AV43" s="1201"/>
      <c r="AW43" s="406"/>
      <c r="AX43"/>
      <c r="AY43"/>
      <c r="AZ43"/>
      <c r="BA43" s="1193" t="str">
        <f>IF('Registo Calibração'!AT14="","",'Registo Calibração'!AX14)</f>
        <v/>
      </c>
      <c r="BB43" s="1193"/>
      <c r="BC43" s="1193"/>
      <c r="BD43" s="1193"/>
      <c r="BE43" s="1193"/>
      <c r="BF43" s="1193"/>
      <c r="BG43" s="1193"/>
      <c r="BH43" s="1193"/>
      <c r="BI43" s="1193"/>
      <c r="BJ43" s="1193"/>
      <c r="CI43" s="450"/>
      <c r="CJ43" s="450"/>
      <c r="CK43" s="450"/>
      <c r="CL43" s="450"/>
      <c r="CM43" s="450"/>
      <c r="CN43" s="450"/>
      <c r="CO43" s="450"/>
      <c r="CP43" s="450"/>
      <c r="CQ43" s="450"/>
      <c r="CR43" s="450"/>
      <c r="CS43" s="450"/>
    </row>
    <row r="44" spans="1:99" ht="29.25" customHeight="1">
      <c r="O44" s="869" t="str">
        <f>IF('Registo Calibração'!AT15="","",'Registo Calibração'!AV15)</f>
        <v/>
      </c>
      <c r="P44" s="869"/>
      <c r="Q44" s="869"/>
      <c r="R44" s="869"/>
      <c r="S44" s="869"/>
      <c r="T44" s="869"/>
      <c r="U44" s="869"/>
      <c r="V44" s="869"/>
      <c r="W44" s="90"/>
      <c r="X44" s="1201" t="str">
        <f>IF('Registo Calibração'!AT15="","",'Registo Calibração'!AW15)</f>
        <v/>
      </c>
      <c r="Y44" s="1201"/>
      <c r="Z44" s="1201"/>
      <c r="AA44" s="1201"/>
      <c r="AB44" s="1201"/>
      <c r="AC44" s="1201"/>
      <c r="AD44" s="1201"/>
      <c r="AE44" s="1201"/>
      <c r="AF44" s="1201"/>
      <c r="AG44" s="1201"/>
      <c r="AH44" s="1201"/>
      <c r="AI44" s="1201"/>
      <c r="AJ44" s="1201"/>
      <c r="AK44" s="1201"/>
      <c r="AL44" s="1201"/>
      <c r="AM44" s="1201"/>
      <c r="AN44" s="1201"/>
      <c r="AO44" s="1201"/>
      <c r="AP44" s="1201"/>
      <c r="AQ44" s="1201"/>
      <c r="AR44" s="1201"/>
      <c r="AS44" s="1201"/>
      <c r="AT44" s="1201"/>
      <c r="AU44" s="1201"/>
      <c r="AV44" s="1201"/>
      <c r="AW44" s="406"/>
      <c r="AX44"/>
      <c r="AY44"/>
      <c r="AZ44"/>
      <c r="BA44" s="1193" t="str">
        <f>IF('Registo Calibração'!AT15="","",'Registo Calibração'!AX15)</f>
        <v/>
      </c>
      <c r="BB44" s="1193"/>
      <c r="BC44" s="1193"/>
      <c r="BD44" s="1193"/>
      <c r="BE44" s="1193"/>
      <c r="BF44" s="1193"/>
      <c r="BG44" s="1193"/>
      <c r="BH44" s="1193"/>
      <c r="BI44" s="1193"/>
      <c r="BJ44" s="1193"/>
      <c r="CI44" s="450"/>
      <c r="CJ44" s="450"/>
      <c r="CK44" s="450"/>
      <c r="CL44" s="450"/>
      <c r="CM44" s="450"/>
      <c r="CN44" s="450"/>
      <c r="CO44" s="450"/>
      <c r="CP44" s="450"/>
      <c r="CQ44" s="450"/>
      <c r="CR44" s="450"/>
      <c r="CS44" s="450"/>
    </row>
    <row r="45" spans="1:99" ht="15.75">
      <c r="O45" s="869" t="str">
        <f>IF('Registo Calibração'!AT16="","",'Registo Calibração'!AV16)</f>
        <v/>
      </c>
      <c r="P45" s="869"/>
      <c r="Q45" s="869"/>
      <c r="R45" s="869"/>
      <c r="S45" s="869"/>
      <c r="T45" s="869"/>
      <c r="U45" s="869"/>
      <c r="V45" s="869"/>
      <c r="W45" s="90"/>
      <c r="X45" s="1201" t="str">
        <f>IF('Registo Calibração'!AT16="","",'Registo Calibração'!AW16)</f>
        <v/>
      </c>
      <c r="Y45" s="1201"/>
      <c r="Z45" s="1201"/>
      <c r="AA45" s="1201"/>
      <c r="AB45" s="1201"/>
      <c r="AC45" s="1201"/>
      <c r="AD45" s="1201"/>
      <c r="AE45" s="1201"/>
      <c r="AF45" s="1201"/>
      <c r="AG45" s="1201"/>
      <c r="AH45" s="1201"/>
      <c r="AI45" s="1201"/>
      <c r="AJ45" s="1201"/>
      <c r="AK45" s="1201"/>
      <c r="AL45" s="1201"/>
      <c r="AM45" s="1201"/>
      <c r="AN45" s="1201"/>
      <c r="AO45" s="1201"/>
      <c r="AP45" s="1201"/>
      <c r="AQ45" s="1201"/>
      <c r="AR45" s="1201"/>
      <c r="AS45" s="1201"/>
      <c r="AT45" s="1201"/>
      <c r="AU45" s="1201"/>
      <c r="AV45" s="1201"/>
      <c r="AW45" s="406"/>
      <c r="AX45"/>
      <c r="AY45"/>
      <c r="AZ45"/>
      <c r="BA45" s="1193" t="str">
        <f>IF('Registo Calibração'!AT16="","",'Registo Calibração'!AX16)</f>
        <v/>
      </c>
      <c r="BB45" s="1193"/>
      <c r="BC45" s="1193"/>
      <c r="BD45" s="1193"/>
      <c r="BE45" s="1193"/>
      <c r="BF45" s="1193"/>
      <c r="BG45" s="1193"/>
      <c r="BH45" s="1193"/>
      <c r="BI45" s="1193"/>
      <c r="BJ45" s="1193"/>
      <c r="CI45" s="450"/>
      <c r="CJ45" s="450"/>
      <c r="CK45" s="450"/>
      <c r="CL45" s="450"/>
      <c r="CM45" s="450"/>
      <c r="CN45" s="450"/>
      <c r="CO45" s="450"/>
      <c r="CP45" s="450"/>
      <c r="CQ45" s="450"/>
      <c r="CR45" s="450"/>
      <c r="CS45" s="450"/>
    </row>
    <row r="46" spans="1:99" ht="15.75">
      <c r="A46" s="4"/>
      <c r="O46" s="869" t="str">
        <f>IF('Registo Calibração'!AT17="","",'Registo Calibração'!AV17)</f>
        <v/>
      </c>
      <c r="P46" s="869"/>
      <c r="Q46" s="869"/>
      <c r="R46" s="869"/>
      <c r="S46" s="869"/>
      <c r="T46" s="869"/>
      <c r="U46" s="869"/>
      <c r="V46" s="869"/>
      <c r="W46" s="90"/>
      <c r="X46" s="1201" t="str">
        <f>IF('Registo Calibração'!AT17="","",'Registo Calibração'!AW17)</f>
        <v/>
      </c>
      <c r="Y46" s="1201"/>
      <c r="Z46" s="1201"/>
      <c r="AA46" s="1201"/>
      <c r="AB46" s="1201"/>
      <c r="AC46" s="1201"/>
      <c r="AD46" s="1201"/>
      <c r="AE46" s="1201"/>
      <c r="AF46" s="1201"/>
      <c r="AG46" s="1201"/>
      <c r="AH46" s="1201"/>
      <c r="AI46" s="1201"/>
      <c r="AJ46" s="1201"/>
      <c r="AK46" s="1201"/>
      <c r="AL46" s="1201"/>
      <c r="AM46" s="1201"/>
      <c r="AN46" s="1201"/>
      <c r="AO46" s="1201"/>
      <c r="AP46" s="1201"/>
      <c r="AQ46" s="1201"/>
      <c r="AR46" s="1201"/>
      <c r="AS46" s="1201"/>
      <c r="AT46" s="1201"/>
      <c r="AU46" s="1201"/>
      <c r="AV46" s="1201"/>
      <c r="AW46" s="406"/>
      <c r="AX46"/>
      <c r="AY46"/>
      <c r="AZ46"/>
      <c r="BA46" s="1193" t="str">
        <f>IF('Registo Calibração'!AT17="","",'Registo Calibração'!AX17)</f>
        <v/>
      </c>
      <c r="BB46" s="1193"/>
      <c r="BC46" s="1193"/>
      <c r="BD46" s="1193"/>
      <c r="BE46" s="1193"/>
      <c r="BF46" s="1193"/>
      <c r="BG46" s="1193"/>
      <c r="BH46" s="1193"/>
      <c r="BI46" s="1193"/>
      <c r="BJ46" s="1193"/>
      <c r="CI46" s="450"/>
      <c r="CJ46" s="450"/>
      <c r="CK46" s="450"/>
      <c r="CL46" s="450"/>
      <c r="CM46" s="450"/>
      <c r="CN46" s="450"/>
      <c r="CO46" s="450"/>
      <c r="CP46" s="450"/>
      <c r="CQ46" s="450"/>
      <c r="CR46" s="450"/>
      <c r="CS46" s="450"/>
    </row>
    <row r="47" spans="1:99" ht="29.25" customHeight="1">
      <c r="O47" s="1202" t="str">
        <f>IF('Registo Calibração'!AT18="","",'Registo Calibração'!AV18)</f>
        <v/>
      </c>
      <c r="P47" s="1202"/>
      <c r="Q47" s="1202"/>
      <c r="R47" s="1202"/>
      <c r="S47" s="1202"/>
      <c r="T47" s="1202"/>
      <c r="U47" s="1202"/>
      <c r="V47" s="1202"/>
      <c r="W47" s="90"/>
      <c r="X47" s="1201" t="str">
        <f>IF('Registo Calibração'!AT18="","",'Registo Calibração'!AW18)</f>
        <v/>
      </c>
      <c r="Y47" s="1201"/>
      <c r="Z47" s="1201"/>
      <c r="AA47" s="1201"/>
      <c r="AB47" s="1201"/>
      <c r="AC47" s="1201"/>
      <c r="AD47" s="1201"/>
      <c r="AE47" s="1201"/>
      <c r="AF47" s="1201"/>
      <c r="AG47" s="1201"/>
      <c r="AH47" s="1201"/>
      <c r="AI47" s="1201"/>
      <c r="AJ47" s="1201"/>
      <c r="AK47" s="1201"/>
      <c r="AL47" s="1201"/>
      <c r="AM47" s="1201"/>
      <c r="AN47" s="1201"/>
      <c r="AO47" s="1201"/>
      <c r="AP47" s="1201"/>
      <c r="AQ47" s="1201"/>
      <c r="AR47" s="1201"/>
      <c r="AS47" s="1201"/>
      <c r="AT47" s="1201"/>
      <c r="AU47" s="1201"/>
      <c r="AV47" s="1201"/>
      <c r="AW47" s="406"/>
      <c r="AX47"/>
      <c r="AY47"/>
      <c r="AZ47"/>
      <c r="BA47" s="454"/>
      <c r="BB47" s="454"/>
      <c r="BC47" s="454"/>
      <c r="BD47" s="454"/>
      <c r="BE47" s="454"/>
      <c r="BF47" s="454"/>
      <c r="BG47" s="454"/>
      <c r="BH47" s="454"/>
      <c r="BI47" s="454"/>
      <c r="BJ47" s="454"/>
    </row>
    <row r="48" spans="1:99" ht="3" customHeight="1">
      <c r="AW48" s="406"/>
      <c r="AX48"/>
      <c r="AY48"/>
      <c r="AZ48"/>
      <c r="BA48"/>
      <c r="BB48" s="450"/>
    </row>
    <row r="49" spans="1:99" ht="15.75" customHeight="1">
      <c r="B49" s="428" t="s">
        <v>399</v>
      </c>
      <c r="E49" s="90"/>
      <c r="F49" s="90"/>
      <c r="G49" s="90"/>
      <c r="H49" s="90"/>
      <c r="I49" s="90"/>
      <c r="J49" s="90"/>
      <c r="K49" s="90"/>
      <c r="L49" s="90"/>
      <c r="M49" s="90"/>
      <c r="N49" s="1200" t="str">
        <f>'Cert 1Esc até 8P'!N50</f>
        <v>A incerteza expandida de medição apresentada, é indicada como a incerteza padrão da medição, multiplicada por um fator de cobertura "k" tal, que a probabilidade de cobertura corresponde a aproximadamente 95%. A incerteza foi calculada de acordo com o Doc. EA-4/02."</v>
      </c>
      <c r="O49" s="1200"/>
      <c r="P49" s="1200"/>
      <c r="Q49" s="1200"/>
      <c r="R49" s="1200"/>
      <c r="S49" s="1200"/>
      <c r="T49" s="1200"/>
      <c r="U49" s="1200"/>
      <c r="V49" s="1200"/>
      <c r="W49" s="1200"/>
      <c r="X49" s="1200"/>
      <c r="Y49" s="1200"/>
      <c r="Z49" s="1200"/>
      <c r="AA49" s="1200"/>
      <c r="AB49" s="1200"/>
      <c r="AC49" s="1200"/>
      <c r="AD49" s="1200"/>
      <c r="AE49" s="1200"/>
      <c r="AF49" s="1200"/>
      <c r="AG49" s="1200"/>
      <c r="AH49" s="1200"/>
      <c r="AI49" s="1200"/>
      <c r="AJ49" s="1200"/>
      <c r="AK49" s="1200"/>
      <c r="AL49" s="1200"/>
      <c r="AM49" s="1200"/>
      <c r="AN49" s="1200"/>
      <c r="AO49" s="1200"/>
      <c r="AP49" s="1200"/>
      <c r="AQ49" s="1200"/>
      <c r="AR49" s="1200"/>
      <c r="AS49" s="1200"/>
      <c r="AT49" s="1200"/>
      <c r="AU49" s="1200"/>
      <c r="AV49" s="1200"/>
      <c r="AX49"/>
      <c r="AY49"/>
      <c r="AZ49"/>
      <c r="BA49"/>
      <c r="BB49" s="450"/>
      <c r="BC49" s="450"/>
      <c r="BD49" s="450"/>
      <c r="BE49" s="450"/>
      <c r="BF49" s="450"/>
      <c r="BG49" s="450"/>
      <c r="BH49" s="450"/>
      <c r="BI49" s="450"/>
      <c r="BJ49" s="450"/>
      <c r="BK49" s="450"/>
      <c r="BL49" s="450"/>
      <c r="BM49" s="450"/>
      <c r="BN49" s="450"/>
      <c r="BO49" s="450"/>
      <c r="BP49" s="450"/>
      <c r="BQ49" s="450"/>
      <c r="BR49" s="450"/>
      <c r="BS49" s="450"/>
      <c r="BT49" s="450"/>
      <c r="BU49" s="450"/>
      <c r="BV49" s="450"/>
      <c r="BW49" s="450"/>
      <c r="BX49" s="450"/>
      <c r="BY49" s="450"/>
      <c r="BZ49" s="450"/>
      <c r="CA49" s="450"/>
      <c r="CB49" s="450"/>
      <c r="CC49" s="450"/>
      <c r="CD49" s="450"/>
      <c r="CE49" s="450"/>
      <c r="CF49" s="450"/>
      <c r="CG49" s="450"/>
      <c r="CH49" s="450"/>
      <c r="CI49" s="450"/>
      <c r="CJ49" s="450"/>
      <c r="CK49" s="450"/>
      <c r="CL49" s="450"/>
      <c r="CM49" s="450"/>
      <c r="CN49" s="450"/>
      <c r="CO49" s="450"/>
      <c r="CP49" s="450"/>
      <c r="CQ49" s="450"/>
      <c r="CR49" s="450"/>
      <c r="CS49" s="450"/>
      <c r="CT49" s="450"/>
      <c r="CU49" s="450"/>
    </row>
    <row r="50" spans="1:99" ht="42" customHeight="1">
      <c r="B50" s="421" t="s">
        <v>400</v>
      </c>
      <c r="E50" s="90"/>
      <c r="F50" s="90"/>
      <c r="G50" s="90"/>
      <c r="H50" s="90"/>
      <c r="I50" s="90"/>
      <c r="J50" s="90"/>
      <c r="K50" s="90"/>
      <c r="L50" s="90"/>
      <c r="M50" s="90"/>
      <c r="N50" s="1200"/>
      <c r="O50" s="1200"/>
      <c r="P50" s="1200"/>
      <c r="Q50" s="1200"/>
      <c r="R50" s="1200"/>
      <c r="S50" s="1200"/>
      <c r="T50" s="1200"/>
      <c r="U50" s="1200"/>
      <c r="V50" s="1200"/>
      <c r="W50" s="1200"/>
      <c r="X50" s="1200"/>
      <c r="Y50" s="1200"/>
      <c r="Z50" s="1200"/>
      <c r="AA50" s="1200"/>
      <c r="AB50" s="1200"/>
      <c r="AC50" s="1200"/>
      <c r="AD50" s="1200"/>
      <c r="AE50" s="1200"/>
      <c r="AF50" s="1200"/>
      <c r="AG50" s="1200"/>
      <c r="AH50" s="1200"/>
      <c r="AI50" s="1200"/>
      <c r="AJ50" s="1200"/>
      <c r="AK50" s="1200"/>
      <c r="AL50" s="1200"/>
      <c r="AM50" s="1200"/>
      <c r="AN50" s="1200"/>
      <c r="AO50" s="1200"/>
      <c r="AP50" s="1200"/>
      <c r="AQ50" s="1200"/>
      <c r="AR50" s="1200"/>
      <c r="AS50" s="1200"/>
      <c r="AT50" s="1200"/>
      <c r="AU50" s="1200"/>
      <c r="AV50" s="1200"/>
      <c r="AX50"/>
      <c r="AY50"/>
      <c r="AZ50"/>
      <c r="BA50"/>
      <c r="BB50" s="450"/>
    </row>
    <row r="51" spans="1:99" ht="15.75" customHeight="1">
      <c r="B51" s="1208" t="str">
        <f>IF('Registo Calibração'!AI5="","",'Registo Calibração'!AI5)</f>
        <v/>
      </c>
      <c r="C51" s="1208"/>
      <c r="D51" s="1208"/>
      <c r="E51" s="1208"/>
      <c r="F51" s="1208"/>
      <c r="G51" s="1208"/>
      <c r="H51" s="1208"/>
      <c r="I51" s="1208"/>
      <c r="J51" s="1208"/>
      <c r="K51" s="1208"/>
      <c r="L51" s="1208"/>
      <c r="M51" s="1208"/>
      <c r="N51" s="1208"/>
      <c r="O51" s="1208"/>
      <c r="P51" s="1208"/>
      <c r="Q51" s="1208"/>
      <c r="R51" s="1208"/>
      <c r="S51" s="1208"/>
      <c r="T51" s="1208"/>
      <c r="U51" s="1208"/>
      <c r="V51" s="1208"/>
      <c r="W51" s="1208"/>
      <c r="X51" s="1208"/>
      <c r="Y51" s="1208"/>
      <c r="Z51" s="1208"/>
      <c r="AA51" s="1208"/>
      <c r="AB51" s="1208"/>
      <c r="AC51" s="1208"/>
      <c r="AD51" s="1208"/>
      <c r="AE51" s="1208"/>
      <c r="AF51" s="1208"/>
      <c r="AG51" s="1208"/>
      <c r="AH51" s="1208"/>
      <c r="AI51" s="1208"/>
      <c r="AJ51" s="1208"/>
      <c r="AK51" s="1208"/>
      <c r="AL51" s="1208"/>
      <c r="AM51" s="1208"/>
      <c r="AN51" s="1208"/>
      <c r="AO51" s="1208"/>
      <c r="AP51" s="1208"/>
      <c r="AQ51" s="1208"/>
      <c r="AR51" s="1208"/>
      <c r="AS51" s="1208"/>
      <c r="AT51" s="1208"/>
      <c r="AU51" s="1208"/>
      <c r="AV51" s="1208"/>
      <c r="AW51" s="406"/>
      <c r="AX51"/>
      <c r="AY51"/>
      <c r="AZ51"/>
      <c r="BA51" s="1239"/>
      <c r="BB51" s="1239"/>
      <c r="BC51" s="1239"/>
      <c r="BD51" s="1239"/>
      <c r="BE51" s="1239"/>
      <c r="BF51" s="1239"/>
      <c r="BG51" s="1239"/>
      <c r="BH51" s="1239"/>
      <c r="BI51" s="1239"/>
      <c r="BJ51" s="1239"/>
      <c r="BK51" s="1239"/>
      <c r="BL51" s="1239"/>
      <c r="BM51" s="1239"/>
      <c r="BN51" s="1239"/>
      <c r="BO51" s="1239"/>
      <c r="BP51" s="1239"/>
      <c r="BQ51" s="1239"/>
      <c r="BR51" s="1239"/>
      <c r="BS51" s="1239"/>
      <c r="BT51" s="1239"/>
      <c r="BU51" s="1239"/>
      <c r="BV51" s="1239"/>
      <c r="BW51" s="1239"/>
      <c r="BX51" s="1239"/>
      <c r="BY51" s="1239"/>
      <c r="BZ51" s="1239"/>
      <c r="CA51" s="1239"/>
      <c r="CB51" s="1239"/>
      <c r="CC51" s="1239"/>
      <c r="CD51" s="1239"/>
      <c r="CE51" s="1239"/>
      <c r="CF51" s="1239"/>
      <c r="CG51" s="1239"/>
      <c r="CH51" s="1239"/>
      <c r="CI51" s="1239"/>
      <c r="CJ51" s="1239"/>
      <c r="CK51" s="1239"/>
      <c r="CL51" s="1239"/>
      <c r="CM51" s="1239"/>
      <c r="CN51" s="1239"/>
      <c r="CO51" s="1239"/>
      <c r="CP51" s="1239"/>
      <c r="CQ51" s="1239"/>
      <c r="CR51" s="1239"/>
      <c r="CS51" s="1239"/>
    </row>
    <row r="52" spans="1:99" ht="12.75" customHeight="1">
      <c r="B52" s="1242" t="str">
        <f>'Registo Calibração'!AI9</f>
        <v/>
      </c>
      <c r="C52" s="1242"/>
      <c r="D52" s="1242"/>
      <c r="E52" s="1242"/>
      <c r="F52" s="1242"/>
      <c r="G52" s="1242"/>
      <c r="H52" s="1242"/>
      <c r="I52" s="1242"/>
      <c r="J52" s="1242"/>
      <c r="K52" s="1242"/>
      <c r="L52" s="1242"/>
      <c r="M52" s="1242"/>
      <c r="N52" s="1242"/>
      <c r="O52" s="1242"/>
      <c r="P52" s="1242"/>
      <c r="Q52" s="1242"/>
      <c r="R52" s="1242"/>
      <c r="S52" s="1242"/>
      <c r="T52" s="1242"/>
      <c r="U52" s="1242"/>
      <c r="V52" s="1242"/>
      <c r="W52" s="1242"/>
      <c r="X52" s="1242"/>
      <c r="Y52" s="1242"/>
      <c r="Z52" s="1242"/>
      <c r="AA52" s="1242"/>
      <c r="AB52" s="1242"/>
      <c r="AC52" s="1242"/>
      <c r="AD52" s="1242"/>
      <c r="AE52" s="1242"/>
      <c r="AF52" s="1242"/>
      <c r="AG52" s="1242"/>
      <c r="AH52" s="1242"/>
      <c r="AI52" s="1242"/>
      <c r="AJ52" s="1242"/>
      <c r="AK52" s="1242"/>
      <c r="AL52" s="1242"/>
      <c r="AM52" s="1242"/>
      <c r="AN52" s="1242"/>
      <c r="AO52" s="1242"/>
      <c r="AP52" s="1242"/>
      <c r="AQ52" s="1242"/>
      <c r="AR52" s="1242"/>
      <c r="AS52" s="1242"/>
      <c r="AT52" s="1242"/>
      <c r="AU52" s="1242"/>
      <c r="AV52" s="1242"/>
      <c r="AW52" s="406"/>
      <c r="AX52"/>
      <c r="AY52"/>
      <c r="AZ52"/>
      <c r="BA52" s="1239"/>
      <c r="BB52" s="1239"/>
      <c r="BC52" s="1239"/>
      <c r="BD52" s="1239"/>
      <c r="BE52" s="1239"/>
      <c r="BF52" s="1239"/>
      <c r="BG52" s="1239"/>
      <c r="BH52" s="1239"/>
      <c r="BI52" s="1239"/>
      <c r="BJ52" s="1239"/>
      <c r="BK52" s="1239"/>
      <c r="BL52" s="1239"/>
      <c r="BM52" s="1239"/>
      <c r="BN52" s="1239"/>
      <c r="BO52" s="1239"/>
      <c r="BP52" s="1239"/>
      <c r="BQ52" s="1239"/>
      <c r="BR52" s="1239"/>
      <c r="BS52" s="1239"/>
      <c r="BT52" s="1239"/>
      <c r="BU52" s="1239"/>
      <c r="BV52" s="1239"/>
      <c r="BW52" s="1239"/>
      <c r="BX52" s="1239"/>
      <c r="BY52" s="1239"/>
      <c r="BZ52" s="1239"/>
      <c r="CA52" s="1239"/>
      <c r="CB52" s="1239"/>
      <c r="CC52" s="1239"/>
      <c r="CD52" s="1239"/>
      <c r="CE52" s="1239"/>
      <c r="CF52" s="1239"/>
      <c r="CG52" s="1239"/>
      <c r="CH52" s="1239"/>
      <c r="CI52" s="1239"/>
      <c r="CJ52" s="1239"/>
      <c r="CK52" s="1239"/>
      <c r="CL52" s="1239"/>
      <c r="CM52" s="1239"/>
      <c r="CN52" s="1239"/>
      <c r="CO52" s="1239"/>
      <c r="CP52" s="1239"/>
      <c r="CQ52" s="1239"/>
      <c r="CR52" s="1239"/>
      <c r="CS52" s="1239"/>
    </row>
    <row r="53" spans="1:99" ht="18" customHeight="1">
      <c r="B53" s="1242"/>
      <c r="C53" s="1242"/>
      <c r="D53" s="1242"/>
      <c r="E53" s="1242"/>
      <c r="F53" s="1242"/>
      <c r="G53" s="1242"/>
      <c r="H53" s="1242"/>
      <c r="I53" s="1242"/>
      <c r="J53" s="1242"/>
      <c r="K53" s="1242"/>
      <c r="L53" s="1242"/>
      <c r="M53" s="1242"/>
      <c r="N53" s="1242"/>
      <c r="O53" s="1242"/>
      <c r="P53" s="1242"/>
      <c r="Q53" s="1242"/>
      <c r="R53" s="1242"/>
      <c r="S53" s="1242"/>
      <c r="T53" s="1242"/>
      <c r="U53" s="1242"/>
      <c r="V53" s="1242"/>
      <c r="W53" s="1242"/>
      <c r="X53" s="1242"/>
      <c r="Y53" s="1242"/>
      <c r="Z53" s="1242"/>
      <c r="AA53" s="1242"/>
      <c r="AB53" s="1242"/>
      <c r="AC53" s="1242"/>
      <c r="AD53" s="1242"/>
      <c r="AE53" s="1242"/>
      <c r="AF53" s="1242"/>
      <c r="AG53" s="1242"/>
      <c r="AH53" s="1242"/>
      <c r="AI53" s="1242"/>
      <c r="AJ53" s="1242"/>
      <c r="AK53" s="1242"/>
      <c r="AL53" s="1242"/>
      <c r="AM53" s="1242"/>
      <c r="AN53" s="1242"/>
      <c r="AO53" s="1242"/>
      <c r="AP53" s="1242"/>
      <c r="AQ53" s="1242"/>
      <c r="AR53" s="1242"/>
      <c r="AS53" s="1242"/>
      <c r="AT53" s="1242"/>
      <c r="AU53" s="1242"/>
      <c r="AV53" s="1242"/>
      <c r="AW53" s="406"/>
      <c r="AX53"/>
      <c r="AY53"/>
      <c r="AZ53"/>
      <c r="BA53" s="1239"/>
      <c r="BB53" s="1239"/>
      <c r="BC53" s="1239"/>
      <c r="BD53" s="1239"/>
      <c r="BE53" s="1239"/>
      <c r="BF53" s="1239"/>
      <c r="BG53" s="1239"/>
      <c r="BH53" s="1239"/>
      <c r="BI53" s="1239"/>
      <c r="BJ53" s="1239"/>
      <c r="BK53" s="1239"/>
      <c r="BL53" s="1239"/>
      <c r="BM53" s="1239"/>
      <c r="BN53" s="1239"/>
      <c r="BO53" s="1239"/>
      <c r="BP53" s="1239"/>
      <c r="BQ53" s="1239"/>
      <c r="BR53" s="1239"/>
      <c r="BS53" s="1239"/>
      <c r="BT53" s="1239"/>
      <c r="BU53" s="1239"/>
      <c r="BV53" s="1239"/>
      <c r="BW53" s="1239"/>
      <c r="BX53" s="1239"/>
      <c r="BY53" s="1239"/>
      <c r="BZ53" s="1239"/>
      <c r="CA53" s="1239"/>
      <c r="CB53" s="1239"/>
      <c r="CC53" s="1239"/>
      <c r="CD53" s="1239"/>
      <c r="CE53" s="1239"/>
      <c r="CF53" s="1239"/>
      <c r="CG53" s="1239"/>
      <c r="CH53" s="1239"/>
      <c r="CI53" s="1239"/>
      <c r="CJ53" s="1239"/>
      <c r="CK53" s="1239"/>
      <c r="CL53" s="1239"/>
      <c r="CM53" s="1239"/>
      <c r="CN53" s="1239"/>
      <c r="CO53" s="1239"/>
      <c r="CP53" s="1239"/>
      <c r="CQ53" s="1239"/>
      <c r="CR53" s="1239"/>
      <c r="CS53" s="1239"/>
    </row>
    <row r="54" spans="1:99" ht="27.75" customHeight="1">
      <c r="B54" s="1285" t="s">
        <v>445</v>
      </c>
      <c r="C54" s="1286"/>
      <c r="D54" s="1286"/>
      <c r="E54" s="1286"/>
      <c r="F54" s="1286"/>
      <c r="G54" s="1286"/>
      <c r="H54" s="1286"/>
      <c r="I54" s="1286"/>
      <c r="J54" s="1286"/>
      <c r="K54" s="1286"/>
      <c r="L54" s="1286"/>
      <c r="M54" s="1286"/>
      <c r="N54" s="1286"/>
      <c r="O54" s="1286"/>
      <c r="P54" s="1286"/>
      <c r="Q54" s="1286"/>
      <c r="R54" s="1286"/>
      <c r="S54" s="1286"/>
      <c r="T54" s="1286"/>
      <c r="U54" s="1286"/>
      <c r="V54" s="1286"/>
      <c r="W54" s="1286"/>
      <c r="X54" s="1286"/>
      <c r="Y54" s="1286"/>
      <c r="Z54" s="1286"/>
      <c r="AA54" s="1286"/>
      <c r="AB54" s="1286"/>
      <c r="AC54" s="1286"/>
      <c r="AD54" s="1286"/>
      <c r="AE54" s="1286"/>
      <c r="AF54" s="1286"/>
      <c r="AG54" s="1286"/>
      <c r="AH54" s="1286"/>
      <c r="AI54" s="1286"/>
      <c r="AJ54" s="1286"/>
      <c r="AK54" s="1286"/>
      <c r="AL54" s="1286"/>
      <c r="AM54" s="1286"/>
      <c r="AN54" s="1286"/>
      <c r="AO54" s="1286"/>
      <c r="AP54" s="1286"/>
      <c r="AQ54" s="1286"/>
      <c r="AR54" s="1286"/>
      <c r="AS54" s="1286"/>
      <c r="AT54" s="1286"/>
      <c r="AU54" s="1286"/>
      <c r="AV54" s="1286"/>
      <c r="AW54" s="459"/>
      <c r="AX54"/>
      <c r="AY54"/>
      <c r="AZ54"/>
      <c r="BA54" s="1239"/>
      <c r="BB54" s="1239"/>
      <c r="BC54" s="1239"/>
      <c r="BD54" s="1239"/>
      <c r="BE54" s="1239"/>
      <c r="BF54" s="1239"/>
      <c r="BG54" s="1239"/>
      <c r="BH54" s="1239"/>
      <c r="BI54" s="1239"/>
      <c r="BJ54" s="1239"/>
      <c r="BK54" s="1239"/>
      <c r="BL54" s="1239"/>
      <c r="BM54" s="1239"/>
      <c r="BN54" s="1239"/>
      <c r="BO54" s="1239"/>
      <c r="BP54" s="1239"/>
      <c r="BQ54" s="1239"/>
      <c r="BR54" s="1239"/>
      <c r="BS54" s="1239"/>
      <c r="BT54" s="1239"/>
      <c r="BU54" s="1239"/>
      <c r="BV54" s="1239"/>
      <c r="BW54" s="1239"/>
      <c r="BX54" s="1239"/>
      <c r="BY54" s="1239"/>
      <c r="BZ54" s="1239"/>
      <c r="CA54" s="1239"/>
      <c r="CB54" s="1239"/>
      <c r="CC54" s="1239"/>
      <c r="CD54" s="1239"/>
      <c r="CE54" s="1239"/>
      <c r="CF54" s="1239"/>
      <c r="CG54" s="1239"/>
      <c r="CH54" s="1239"/>
      <c r="CI54" s="1239"/>
      <c r="CJ54" s="1239"/>
      <c r="CK54" s="1239"/>
      <c r="CL54" s="1239"/>
      <c r="CM54" s="1239"/>
      <c r="CN54" s="1239"/>
      <c r="CO54" s="1239"/>
      <c r="CP54" s="1239"/>
      <c r="CQ54" s="1239"/>
      <c r="CR54" s="1239"/>
      <c r="CS54" s="1239"/>
      <c r="CT54" s="450"/>
      <c r="CU54" s="450"/>
    </row>
    <row r="55" spans="1:99" ht="19.5" customHeight="1">
      <c r="B55" s="455" t="s">
        <v>404</v>
      </c>
      <c r="C55" s="455"/>
      <c r="D55" s="455"/>
      <c r="E55" s="455"/>
      <c r="F55" s="455"/>
      <c r="G55" s="1213"/>
      <c r="H55" s="1213"/>
      <c r="I55" s="1213"/>
      <c r="J55" s="1213"/>
      <c r="K55" s="1213"/>
      <c r="L55" s="1213"/>
      <c r="M55" s="1213"/>
      <c r="N55" s="1213"/>
      <c r="O55" s="1213"/>
      <c r="P55" s="1213"/>
      <c r="Q55" s="1213"/>
      <c r="R55" s="1213"/>
      <c r="S55" s="1213"/>
      <c r="T55" s="1213"/>
      <c r="W55" s="455"/>
      <c r="X55" s="456" t="s">
        <v>405</v>
      </c>
      <c r="Y55" s="455"/>
      <c r="Z55" s="455"/>
      <c r="AA55" s="455"/>
      <c r="AB55" s="455"/>
      <c r="AC55" s="455"/>
      <c r="AD55" s="455"/>
      <c r="AE55" s="455"/>
      <c r="AF55" s="455"/>
      <c r="AG55" s="1215"/>
      <c r="AH55" s="1215"/>
      <c r="AI55" s="1215"/>
      <c r="AJ55" s="1215"/>
      <c r="AK55" s="1215"/>
      <c r="AL55" s="1215"/>
      <c r="AM55" s="1215"/>
      <c r="AN55" s="1215"/>
      <c r="AO55" s="1215"/>
      <c r="AP55" s="1215"/>
      <c r="AQ55" s="1215"/>
      <c r="AR55" s="1215"/>
      <c r="AS55" s="1215"/>
      <c r="AT55" s="1215"/>
      <c r="AX55"/>
      <c r="AY55"/>
      <c r="AZ55"/>
      <c r="BA55"/>
      <c r="BB55" s="450"/>
      <c r="BC55" s="450"/>
      <c r="BD55" s="450"/>
      <c r="BE55" s="450"/>
      <c r="BF55" s="450"/>
      <c r="BG55" s="450"/>
      <c r="BH55" s="450"/>
      <c r="BI55" s="450"/>
      <c r="BJ55" s="450"/>
      <c r="BK55" s="450"/>
      <c r="BL55" s="450"/>
      <c r="BM55" s="450"/>
      <c r="BN55" s="450"/>
      <c r="BO55" s="450"/>
      <c r="BP55" s="450"/>
      <c r="BQ55" s="450"/>
      <c r="BR55" s="450"/>
      <c r="BS55" s="450"/>
      <c r="BT55" s="450"/>
      <c r="BU55" s="450"/>
      <c r="BV55" s="450"/>
      <c r="BW55" s="450"/>
      <c r="BX55" s="450"/>
      <c r="BY55" s="450"/>
      <c r="BZ55" s="450"/>
      <c r="CA55" s="450"/>
      <c r="CB55" s="450"/>
      <c r="CC55" s="450"/>
      <c r="CD55" s="450"/>
      <c r="CE55" s="450"/>
      <c r="CF55" s="450"/>
      <c r="CG55" s="450"/>
      <c r="CH55" s="450"/>
      <c r="CI55" s="450"/>
      <c r="CJ55" s="450"/>
      <c r="CK55" s="450"/>
      <c r="CL55" s="450"/>
      <c r="CM55" s="450"/>
      <c r="CN55" s="450"/>
      <c r="CO55" s="450"/>
      <c r="CP55" s="450"/>
      <c r="CQ55" s="450"/>
      <c r="CR55" s="450"/>
      <c r="CS55" s="450"/>
      <c r="CT55" s="450"/>
      <c r="CU55" s="450"/>
    </row>
    <row r="56" spans="1:99" ht="18.75" customHeight="1">
      <c r="G56" s="34"/>
      <c r="H56" s="34"/>
      <c r="I56" s="1214" t="str">
        <f>VLOOKUP('Registo Calibração'!AV$112,'Registo Calibração'!AT$102:$AU$110,2)</f>
        <v>Vitor Rodrigues</v>
      </c>
      <c r="J56" s="1214"/>
      <c r="K56" s="1214"/>
      <c r="L56" s="1214"/>
      <c r="M56" s="1214"/>
      <c r="N56" s="1214"/>
      <c r="O56" s="1214"/>
      <c r="P56" s="1214"/>
      <c r="Q56" s="1214"/>
      <c r="R56" s="1214"/>
      <c r="S56" s="457"/>
      <c r="T56" s="457"/>
      <c r="U56" s="458"/>
      <c r="V56" s="458"/>
      <c r="W56" s="458"/>
      <c r="X56" s="458"/>
      <c r="Y56" s="458"/>
      <c r="Z56" s="458"/>
      <c r="AA56" s="458"/>
      <c r="AB56" s="458"/>
      <c r="AC56" s="458"/>
      <c r="AD56" s="458"/>
      <c r="AE56" s="458"/>
      <c r="AF56" s="458"/>
      <c r="AG56" s="457"/>
      <c r="AH56" s="457"/>
      <c r="AI56" s="1214" t="s">
        <v>96</v>
      </c>
      <c r="AJ56" s="1214"/>
      <c r="AK56" s="1214"/>
      <c r="AL56" s="1214"/>
      <c r="AM56" s="1214"/>
      <c r="AN56" s="1214"/>
      <c r="AO56" s="1214"/>
      <c r="AP56" s="1214"/>
      <c r="AQ56" s="1214"/>
      <c r="AR56" s="1214"/>
      <c r="AS56" s="34"/>
      <c r="AT56" s="34"/>
      <c r="AW56" s="406"/>
      <c r="AX56"/>
      <c r="AY56"/>
      <c r="AZ56"/>
    </row>
    <row r="57" spans="1:99" ht="14.25" customHeight="1">
      <c r="A57" s="1246" t="s">
        <v>471</v>
      </c>
      <c r="B57" s="1246"/>
      <c r="C57" s="1246"/>
      <c r="D57" s="1246"/>
      <c r="E57" s="1246"/>
      <c r="F57" s="1246"/>
      <c r="G57" s="1246"/>
      <c r="H57" s="1246"/>
      <c r="I57" s="1246"/>
      <c r="J57" s="1246"/>
      <c r="K57" s="1246"/>
      <c r="L57" s="1246"/>
      <c r="M57" s="1246"/>
      <c r="N57" s="1246"/>
      <c r="O57" s="1246"/>
      <c r="P57" s="1246"/>
      <c r="Q57" s="1246"/>
      <c r="R57" s="1246"/>
      <c r="S57" s="1246"/>
      <c r="T57" s="1246"/>
      <c r="U57" s="1246"/>
      <c r="V57" s="1246"/>
      <c r="W57" s="1246"/>
      <c r="X57" s="1246"/>
      <c r="Y57" s="1246"/>
      <c r="Z57" s="1246"/>
      <c r="AA57" s="1246"/>
      <c r="AB57" s="1246"/>
      <c r="AC57" s="1246"/>
      <c r="AD57" s="1246"/>
      <c r="AE57" s="1246"/>
      <c r="AF57" s="1246"/>
      <c r="AG57" s="1246"/>
      <c r="AH57" s="1246"/>
      <c r="AI57" s="1246"/>
      <c r="AJ57" s="1246"/>
      <c r="AK57" s="1246"/>
      <c r="AL57" s="1246"/>
      <c r="AM57" s="1246"/>
      <c r="AN57" s="1246"/>
      <c r="AO57" s="1246"/>
      <c r="AP57" s="1246"/>
      <c r="AQ57" s="1246"/>
      <c r="AR57" s="1246"/>
      <c r="AS57" s="1246"/>
      <c r="AT57" s="1246"/>
      <c r="AU57" s="1246"/>
      <c r="AV57" s="1246"/>
      <c r="AW57" s="1246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</row>
    <row r="58" spans="1:99" ht="53.25" customHeight="1">
      <c r="A58" s="281"/>
      <c r="B58" s="281"/>
      <c r="C58" s="281"/>
      <c r="D58" s="281"/>
      <c r="E58" s="281"/>
      <c r="F58" s="281"/>
      <c r="G58" s="281"/>
      <c r="H58" s="281"/>
      <c r="I58" s="281"/>
      <c r="J58" s="281"/>
      <c r="K58" s="281"/>
      <c r="L58" s="281"/>
      <c r="M58" s="281"/>
      <c r="N58" s="281"/>
      <c r="O58" s="753"/>
      <c r="P58" s="753"/>
      <c r="Q58" s="753"/>
      <c r="R58" s="753"/>
      <c r="S58" s="753"/>
      <c r="T58" s="753"/>
      <c r="U58" s="753"/>
      <c r="V58" s="753"/>
      <c r="W58" s="753"/>
      <c r="X58" s="753"/>
      <c r="Y58" s="754"/>
      <c r="Z58" s="754"/>
      <c r="AA58" s="754"/>
      <c r="AB58" s="754"/>
      <c r="AC58" s="281"/>
      <c r="AD58" s="281"/>
      <c r="AE58" s="281"/>
      <c r="AF58" s="281"/>
      <c r="AG58" s="281"/>
      <c r="AH58" s="281"/>
      <c r="AI58" s="281"/>
      <c r="AJ58" s="281"/>
      <c r="AK58" s="281"/>
      <c r="AL58" s="281"/>
      <c r="AM58" s="281"/>
      <c r="AN58" s="281"/>
      <c r="AO58" s="281"/>
      <c r="AP58" s="281"/>
      <c r="AQ58" s="281"/>
      <c r="AR58" s="281"/>
      <c r="AS58" s="281"/>
      <c r="AT58" s="281"/>
      <c r="AU58" s="281"/>
      <c r="AV58" s="281"/>
      <c r="AW58" s="755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</row>
    <row r="59" spans="1:99" ht="16.5" customHeight="1">
      <c r="AW59" s="406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</row>
    <row r="60" spans="1:99" ht="15.75" customHeight="1">
      <c r="A60" s="1209" t="s">
        <v>406</v>
      </c>
      <c r="B60" s="1209"/>
      <c r="C60" s="1209"/>
      <c r="D60" s="1209"/>
      <c r="E60" s="1209"/>
      <c r="F60" s="1209"/>
      <c r="G60" s="1209"/>
      <c r="H60" s="1209"/>
      <c r="I60" s="1209"/>
      <c r="J60" s="1209"/>
      <c r="K60" s="1249" t="str">
        <f>$F$4</f>
        <v/>
      </c>
      <c r="L60" s="1249"/>
      <c r="M60" s="1249"/>
      <c r="N60" s="1249"/>
      <c r="O60" s="1249"/>
      <c r="P60" s="1249"/>
      <c r="Q60" s="1249"/>
      <c r="R60" s="1249"/>
      <c r="S60" s="1249"/>
      <c r="Z60" s="1211"/>
      <c r="AA60" s="1211"/>
      <c r="AB60" s="1211"/>
      <c r="AC60" s="1211"/>
      <c r="AD60" s="1211"/>
      <c r="AE60" s="1211"/>
      <c r="AF60" s="1211"/>
      <c r="AG60" s="1211"/>
      <c r="AH60" s="1211"/>
      <c r="AI60" s="1211"/>
      <c r="AJ60" s="1211"/>
      <c r="AK60" s="1211"/>
      <c r="AW60" s="406"/>
      <c r="AX60"/>
      <c r="AY60"/>
      <c r="AZ60"/>
    </row>
    <row r="61" spans="1:99" ht="14.25" customHeight="1">
      <c r="A61" s="1210" t="s">
        <v>408</v>
      </c>
      <c r="B61" s="1210"/>
      <c r="C61" s="1210"/>
      <c r="D61" s="1210"/>
      <c r="E61" s="1210"/>
      <c r="F61" s="1210"/>
      <c r="K61" s="756"/>
      <c r="Z61" s="1211"/>
      <c r="AA61" s="1211"/>
      <c r="AB61" s="1211"/>
      <c r="AC61" s="1211"/>
      <c r="AD61" s="1211"/>
      <c r="AE61" s="1211"/>
      <c r="AF61" s="1211"/>
      <c r="AG61" s="1211"/>
      <c r="AH61" s="1211"/>
      <c r="AI61" s="1211"/>
      <c r="AJ61" s="1211"/>
      <c r="AK61" s="1211"/>
      <c r="AL61" s="410"/>
      <c r="AM61" s="410"/>
      <c r="AN61" s="410"/>
      <c r="AO61" s="410"/>
      <c r="AP61" s="410"/>
      <c r="AU61" s="63"/>
      <c r="AW61" s="406"/>
      <c r="AX61"/>
      <c r="AY61"/>
      <c r="AZ61"/>
    </row>
    <row r="62" spans="1:99" ht="28.5" customHeight="1">
      <c r="B62" s="756"/>
      <c r="C62" s="756"/>
      <c r="D62" s="756"/>
      <c r="E62" s="756"/>
      <c r="F62" s="756"/>
      <c r="G62" s="756"/>
      <c r="H62" s="756"/>
      <c r="I62" s="756"/>
      <c r="J62" s="756"/>
      <c r="K62" s="756"/>
      <c r="Z62" s="1212"/>
      <c r="AA62" s="1212"/>
      <c r="AB62" s="1212"/>
      <c r="AC62" s="1212"/>
      <c r="AD62" s="1212"/>
      <c r="AE62" s="1212"/>
      <c r="AF62" s="1212"/>
      <c r="AG62" s="1212"/>
      <c r="AH62" s="1212"/>
      <c r="AI62" s="1212"/>
      <c r="AJ62" s="1212"/>
      <c r="AK62" s="1212"/>
      <c r="AU62" s="63"/>
      <c r="AW62" s="406"/>
      <c r="AX62"/>
      <c r="AY62"/>
      <c r="AZ62"/>
      <c r="BY62" s="468"/>
      <c r="BZ62" s="468"/>
      <c r="CA62" s="468"/>
      <c r="CB62" s="468"/>
      <c r="CC62" s="468"/>
      <c r="CD62" s="468"/>
      <c r="CE62" s="468"/>
      <c r="CF62" s="468"/>
      <c r="CG62" s="468"/>
      <c r="CH62" s="468"/>
      <c r="CI62" s="468"/>
      <c r="CJ62" s="468"/>
      <c r="CK62" s="468"/>
      <c r="CL62" s="468"/>
      <c r="CM62" s="468"/>
    </row>
    <row r="63" spans="1:99" ht="41.25" customHeight="1">
      <c r="A63" s="1"/>
      <c r="B63" s="1279" t="str">
        <f>'Registo Calibração'!$N$10</f>
        <v/>
      </c>
      <c r="C63" s="1279"/>
      <c r="D63" s="1279"/>
      <c r="E63" s="1279"/>
      <c r="F63" s="1279"/>
      <c r="G63" s="1279"/>
      <c r="H63" s="1279"/>
      <c r="I63" s="1279"/>
      <c r="J63" s="1279"/>
      <c r="K63" s="1279"/>
      <c r="L63" s="1279"/>
      <c r="M63" s="1279"/>
      <c r="N63" s="1279"/>
      <c r="O63" s="1279"/>
      <c r="P63" s="1279"/>
      <c r="Q63" s="1279"/>
      <c r="R63" s="1279"/>
      <c r="S63" s="1279"/>
      <c r="T63" s="1279"/>
      <c r="U63" s="1279"/>
      <c r="V63" s="1279"/>
      <c r="W63" s="1279"/>
      <c r="X63" s="1279"/>
      <c r="Y63" s="1279"/>
      <c r="Z63" s="1279"/>
      <c r="AA63" s="1279"/>
      <c r="AB63" s="1279"/>
      <c r="AC63" s="1279"/>
      <c r="AD63" s="1279"/>
      <c r="AE63" s="1280" t="str">
        <f>'Registo Calibração'!$Q$10</f>
        <v/>
      </c>
      <c r="AF63" s="1280"/>
      <c r="AG63" s="1280"/>
      <c r="AH63" s="1280"/>
      <c r="AI63" s="1280"/>
      <c r="AJ63" s="1280"/>
      <c r="AK63" s="1280"/>
      <c r="AL63" s="1280"/>
      <c r="AM63" s="1"/>
      <c r="AN63" s="1"/>
      <c r="AO63" s="1250" t="s">
        <v>470</v>
      </c>
      <c r="AP63" s="1250"/>
      <c r="AQ63" s="1250"/>
      <c r="AR63" s="1250"/>
      <c r="AS63" s="1250"/>
      <c r="AT63" s="1250"/>
      <c r="AU63" s="1250"/>
      <c r="AV63" s="1250"/>
      <c r="AW63" s="427"/>
      <c r="AX63"/>
      <c r="AY63"/>
      <c r="AZ63"/>
      <c r="BA63" s="90"/>
      <c r="BB63" s="90"/>
      <c r="CA63" s="468"/>
      <c r="CB63" s="468"/>
      <c r="CC63" s="468"/>
      <c r="CD63" s="468"/>
      <c r="CE63" s="468"/>
      <c r="CF63" s="468"/>
      <c r="CG63" s="468"/>
      <c r="CH63" s="468"/>
      <c r="CI63" s="468"/>
      <c r="CJ63" s="468"/>
      <c r="CK63" s="468"/>
      <c r="CL63" s="468"/>
      <c r="CM63" s="468"/>
      <c r="CN63"/>
      <c r="CO63"/>
      <c r="CP63"/>
      <c r="CQ63"/>
    </row>
    <row r="64" spans="1:99" ht="5.25" customHeight="1">
      <c r="O64" s="411"/>
      <c r="P64" s="411"/>
      <c r="Q64" s="411"/>
      <c r="R64" s="411"/>
      <c r="S64" s="411"/>
      <c r="T64" s="411"/>
      <c r="U64" s="411"/>
      <c r="V64" s="411"/>
      <c r="W64" s="411"/>
      <c r="X64" s="411"/>
      <c r="Y64" s="409"/>
      <c r="Z64" s="409"/>
      <c r="AA64" s="409"/>
      <c r="AB64" s="409"/>
      <c r="AW64" s="406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</row>
    <row r="65" spans="1:190" s="418" customFormat="1" ht="18" customHeight="1">
      <c r="B65" s="417" t="s">
        <v>357</v>
      </c>
      <c r="F65" s="433"/>
      <c r="G65" s="433" t="s">
        <v>394</v>
      </c>
      <c r="O65" s="423" t="str">
        <f>IF('Registo Calibração'!$C$7="","",'Registo Calibração'!$C$7)</f>
        <v/>
      </c>
      <c r="P65" s="424"/>
      <c r="Q65" s="424"/>
      <c r="R65" s="424"/>
      <c r="S65" s="424"/>
      <c r="T65" s="424"/>
      <c r="U65" s="424"/>
      <c r="V65" s="424"/>
      <c r="W65" s="424"/>
      <c r="X65" s="424"/>
      <c r="Y65" s="424"/>
      <c r="AT65" s="405"/>
      <c r="AU65" s="405"/>
      <c r="AV65" s="419"/>
      <c r="AW65" s="406"/>
      <c r="CR65" s="415"/>
      <c r="CS65" s="415"/>
      <c r="CT65" s="415"/>
      <c r="CU65" s="415"/>
      <c r="CV65" s="415"/>
      <c r="CW65" s="415"/>
      <c r="CX65" s="415"/>
      <c r="CY65" s="415"/>
      <c r="CZ65" s="415"/>
      <c r="DA65" s="415"/>
      <c r="DB65" s="415"/>
      <c r="DC65" s="415"/>
      <c r="DD65" s="415"/>
      <c r="DE65" s="415"/>
      <c r="DF65" s="415"/>
      <c r="DG65" s="415"/>
      <c r="DH65" s="415"/>
      <c r="DI65" s="415"/>
      <c r="DJ65" s="415"/>
      <c r="DK65" s="415"/>
      <c r="DL65" s="415"/>
      <c r="DM65" s="415"/>
      <c r="DN65" s="415"/>
      <c r="DO65" s="415"/>
      <c r="DP65" s="415"/>
      <c r="DQ65" s="415"/>
      <c r="DR65" s="415"/>
      <c r="DS65" s="415"/>
      <c r="DT65" s="415"/>
      <c r="DU65" s="415"/>
      <c r="DV65" s="415"/>
      <c r="DW65" s="415"/>
      <c r="DX65" s="415"/>
      <c r="DY65" s="415"/>
      <c r="DZ65" s="415"/>
      <c r="EA65" s="415"/>
      <c r="EB65" s="415"/>
      <c r="EC65" s="415"/>
      <c r="ED65" s="415"/>
      <c r="EE65" s="415"/>
      <c r="EF65" s="415"/>
      <c r="EG65" s="415"/>
      <c r="EH65" s="415"/>
      <c r="EI65" s="415"/>
      <c r="EJ65" s="415"/>
      <c r="EK65" s="415"/>
      <c r="EL65" s="415"/>
      <c r="EM65" s="415"/>
      <c r="EN65" s="415"/>
      <c r="EO65" s="415"/>
      <c r="EP65" s="415"/>
      <c r="EQ65" s="415"/>
      <c r="ER65" s="415"/>
      <c r="ES65" s="415"/>
      <c r="ET65" s="415"/>
      <c r="EU65" s="415"/>
      <c r="EV65" s="415"/>
      <c r="EW65" s="415"/>
      <c r="EX65" s="415"/>
      <c r="EY65" s="415"/>
      <c r="EZ65" s="415"/>
      <c r="FA65" s="415"/>
      <c r="FB65" s="415"/>
      <c r="FC65" s="415"/>
      <c r="FD65" s="415"/>
      <c r="FE65" s="415"/>
      <c r="FF65" s="415"/>
      <c r="FG65" s="415"/>
      <c r="FH65" s="415"/>
      <c r="FI65" s="415"/>
      <c r="FJ65" s="415"/>
      <c r="FK65" s="420"/>
      <c r="FL65" s="420"/>
      <c r="FM65" s="420"/>
      <c r="FN65" s="420"/>
      <c r="FO65" s="420"/>
      <c r="FP65" s="420"/>
      <c r="FQ65" s="420"/>
      <c r="FR65" s="420"/>
      <c r="FS65" s="420"/>
      <c r="FT65" s="420"/>
      <c r="FU65" s="420"/>
      <c r="FV65" s="420"/>
      <c r="FW65" s="420"/>
      <c r="FX65" s="420"/>
      <c r="FY65" s="420"/>
      <c r="FZ65" s="420"/>
      <c r="GA65" s="420"/>
      <c r="GB65" s="420"/>
      <c r="GC65" s="420"/>
      <c r="GD65" s="420"/>
      <c r="GE65" s="420"/>
      <c r="GF65" s="420"/>
      <c r="GG65" s="420"/>
      <c r="GH65" s="420"/>
    </row>
    <row r="66" spans="1:190" ht="3" customHeight="1">
      <c r="B66" s="1217"/>
      <c r="C66" s="1217"/>
      <c r="D66" s="1217"/>
      <c r="E66" s="1217"/>
      <c r="F66" s="421"/>
      <c r="G66" s="421"/>
      <c r="H66" s="421"/>
      <c r="O66" s="421"/>
      <c r="P66" s="414"/>
      <c r="W66" s="449"/>
      <c r="X66" s="449"/>
      <c r="Y66" s="449"/>
      <c r="Z66" s="449"/>
      <c r="AW66" s="406"/>
      <c r="AX66"/>
      <c r="AY66"/>
      <c r="AZ66"/>
      <c r="BA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</row>
    <row r="67" spans="1:190" ht="15.75" customHeight="1">
      <c r="B67" s="417" t="s">
        <v>360</v>
      </c>
      <c r="F67" s="37" t="s">
        <v>393</v>
      </c>
      <c r="O67" s="423" t="str">
        <f>IF('Registo Calibração'!$C$8="","N/C",'Registo Calibração'!$C$8)</f>
        <v>N/C</v>
      </c>
      <c r="P67" s="87"/>
      <c r="Q67" s="425"/>
      <c r="R67" s="425"/>
      <c r="S67" s="425"/>
      <c r="T67" s="425"/>
      <c r="U67" s="425"/>
      <c r="V67" s="425"/>
      <c r="W67" s="425"/>
      <c r="X67" s="425"/>
      <c r="Y67" s="425"/>
      <c r="Z67" s="425"/>
      <c r="AX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</row>
    <row r="68" spans="1:190" ht="3.75" customHeight="1">
      <c r="B68" s="421"/>
      <c r="Z68" s="282"/>
      <c r="AX68"/>
      <c r="AY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</row>
    <row r="69" spans="1:190" ht="13.5" customHeight="1">
      <c r="B69" s="417" t="s">
        <v>361</v>
      </c>
      <c r="G69" s="415" t="s">
        <v>395</v>
      </c>
      <c r="O69" s="423" t="str">
        <f>IF('Registo Calibração'!$C$9="","N/C",'Registo Calibração'!$C$9)</f>
        <v>N/C</v>
      </c>
      <c r="P69" s="423"/>
      <c r="Q69" s="423"/>
      <c r="R69" s="423"/>
      <c r="S69" s="423"/>
      <c r="T69" s="423"/>
      <c r="U69" s="423"/>
      <c r="V69" s="423"/>
      <c r="W69" s="423"/>
      <c r="X69" s="423"/>
      <c r="Y69" s="423"/>
      <c r="AA69" s="462" t="s">
        <v>427</v>
      </c>
      <c r="AC69" s="463"/>
      <c r="AD69" s="463"/>
      <c r="AE69" s="463"/>
      <c r="AF69" s="463"/>
      <c r="AG69" s="463"/>
      <c r="AP69" s="1207">
        <f>'Registo Calibração'!$C$13</f>
        <v>0</v>
      </c>
      <c r="AQ69" s="1207"/>
      <c r="AR69" s="1207"/>
      <c r="AS69" s="1207"/>
      <c r="AT69" s="1207"/>
      <c r="AU69" s="1207"/>
      <c r="AV69" s="1205" t="str">
        <f>'Registo Calibração'!$AV$77</f>
        <v>g</v>
      </c>
      <c r="AW69" s="1205"/>
      <c r="AX69"/>
    </row>
    <row r="70" spans="1:190" ht="3" customHeight="1">
      <c r="B70" s="421"/>
      <c r="AA70" s="282"/>
      <c r="AG70" s="461"/>
      <c r="AH70" s="461"/>
      <c r="AI70" s="461"/>
      <c r="AJ70" s="461"/>
      <c r="AK70" s="461"/>
      <c r="AL70" s="461"/>
      <c r="AM70" s="461"/>
      <c r="AN70" s="461"/>
      <c r="AO70" s="461"/>
      <c r="AP70" s="461"/>
      <c r="AQ70" s="461"/>
      <c r="AR70" s="461"/>
      <c r="AS70" s="461"/>
      <c r="AV70" s="467"/>
      <c r="AW70" s="381"/>
      <c r="AX70" s="2"/>
      <c r="AY70"/>
    </row>
    <row r="71" spans="1:190" ht="15.75" customHeight="1">
      <c r="B71" s="417" t="s">
        <v>362</v>
      </c>
      <c r="C71" s="417"/>
      <c r="D71" s="417"/>
      <c r="E71" s="417"/>
      <c r="F71" s="417"/>
      <c r="G71" s="416" t="s">
        <v>396</v>
      </c>
      <c r="H71" s="417"/>
      <c r="O71" s="1198" t="str">
        <f>IF('Registo Calibração'!$C$10="","N/C",'Registo Calibração'!$C$10)</f>
        <v>N/C</v>
      </c>
      <c r="P71" s="1198"/>
      <c r="Q71" s="1198"/>
      <c r="R71" s="1198"/>
      <c r="S71" s="1198"/>
      <c r="T71" s="1198"/>
      <c r="U71" s="1198"/>
      <c r="V71" s="1198"/>
      <c r="W71" s="1198"/>
      <c r="X71" s="1198"/>
      <c r="Y71" s="1198"/>
      <c r="AA71" s="464" t="s">
        <v>428</v>
      </c>
      <c r="AB71" s="465"/>
      <c r="AC71" s="465"/>
      <c r="AD71" s="465"/>
      <c r="AE71" s="465"/>
      <c r="AF71" s="465"/>
      <c r="AG71" s="418"/>
      <c r="AH71" s="418"/>
      <c r="AI71" s="418"/>
      <c r="AJ71" s="418"/>
      <c r="AK71" s="418"/>
      <c r="AL71" s="418"/>
      <c r="AP71" s="1204" t="str">
        <f>FIXED('Registo Calibração'!$C$14,'Registo Calibração'!AI15)</f>
        <v>0</v>
      </c>
      <c r="AQ71" s="1204"/>
      <c r="AR71" s="1204"/>
      <c r="AS71" s="1204"/>
      <c r="AT71" s="1204"/>
      <c r="AU71" s="1204"/>
      <c r="AV71" s="1205" t="str">
        <f>'Registo Calibração'!$AV$77</f>
        <v>g</v>
      </c>
      <c r="AW71" s="1205"/>
      <c r="AX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/>
    </row>
    <row r="72" spans="1:190" ht="3" customHeight="1">
      <c r="B72" s="421"/>
      <c r="AA72" s="464"/>
      <c r="AO72" s="1204"/>
      <c r="AP72" s="1204"/>
      <c r="AQ72" s="1204"/>
      <c r="AR72" s="1204"/>
      <c r="AS72" s="1204"/>
      <c r="AT72" s="1204"/>
      <c r="AV72" s="466"/>
      <c r="AW72" s="466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</row>
    <row r="73" spans="1:190" ht="15.75" customHeight="1">
      <c r="B73" s="417" t="s">
        <v>363</v>
      </c>
      <c r="C73" s="417"/>
      <c r="D73" s="417"/>
      <c r="E73" s="417"/>
      <c r="F73" s="417"/>
      <c r="H73" s="422"/>
      <c r="I73" s="37" t="s">
        <v>397</v>
      </c>
      <c r="J73" s="422"/>
      <c r="K73" s="422"/>
      <c r="L73" s="422"/>
      <c r="M73" s="422"/>
      <c r="N73" s="422"/>
      <c r="O73" s="425" t="str">
        <f>IF('Registo Calibração'!$C$11="","------",'Registo Calibração'!$C$11)</f>
        <v>------</v>
      </c>
      <c r="AA73" s="464" t="str">
        <f>IF('Registo Calibração'!$E$14="","","Resolução de trabalho (dT):")</f>
        <v/>
      </c>
      <c r="AP73" s="1204" t="str">
        <f>IF('Registo Calibração'!$E$14="","",'Registo Calibração'!$E$14)</f>
        <v/>
      </c>
      <c r="AQ73" s="1204"/>
      <c r="AR73" s="1204"/>
      <c r="AS73" s="1204"/>
      <c r="AT73" s="1204"/>
      <c r="AU73" s="1204"/>
      <c r="AV73" s="1205" t="str">
        <f>IF('Registo Calibração'!$E$14="","",'Registo Calibração'!$AV$77)</f>
        <v/>
      </c>
      <c r="AW73" s="1205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</row>
    <row r="74" spans="1:190" ht="3" customHeight="1">
      <c r="A74" s="1"/>
      <c r="B74" s="426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427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</row>
    <row r="75" spans="1:190" ht="11.1" customHeight="1">
      <c r="AW75" s="406"/>
    </row>
    <row r="76" spans="1:190" s="47" customFormat="1" ht="18" customHeight="1">
      <c r="A76"/>
      <c r="B76" s="1221" t="s">
        <v>410</v>
      </c>
      <c r="C76" s="1221"/>
      <c r="D76" s="1221"/>
      <c r="E76" s="1221"/>
      <c r="F76" s="1221"/>
      <c r="G76" s="1221"/>
      <c r="H76" s="1221"/>
      <c r="I76" s="1221"/>
      <c r="J76" s="1221"/>
      <c r="K76" s="1221"/>
      <c r="L76" s="1221"/>
      <c r="M76" s="1221"/>
      <c r="N76" s="1221"/>
      <c r="O76" s="1221"/>
      <c r="P76" s="1221"/>
      <c r="Q76" s="1221"/>
      <c r="R76" s="1221"/>
      <c r="S76" s="1221"/>
      <c r="T76" s="1221"/>
      <c r="U76" s="1221"/>
      <c r="V76" s="1221"/>
      <c r="W76" s="1221"/>
      <c r="X76" s="1221"/>
      <c r="Y76" s="1221"/>
      <c r="Z76" s="1221"/>
      <c r="AA76" s="1221"/>
      <c r="AB76" s="1221"/>
      <c r="AC76" s="1221"/>
      <c r="AD76" s="1221"/>
      <c r="AE76" s="1221"/>
      <c r="AF76" s="1221"/>
      <c r="AG76" s="1221"/>
      <c r="AH76" s="1221"/>
      <c r="AI76" s="1221"/>
      <c r="AJ76" s="1221"/>
      <c r="AK76" s="1221"/>
      <c r="AL76" s="1221"/>
      <c r="AM76" s="1221"/>
      <c r="AN76" s="1221"/>
      <c r="AO76" s="1221"/>
      <c r="AP76" s="1221"/>
      <c r="AQ76" s="1221"/>
      <c r="AR76" s="1221"/>
      <c r="AS76" s="1221"/>
      <c r="AT76" s="1221"/>
      <c r="AU76" s="1221"/>
      <c r="AV76" s="1221"/>
      <c r="AW76" s="406"/>
      <c r="FK76" s="46"/>
      <c r="FL76" s="46"/>
      <c r="FM76" s="46"/>
      <c r="FN76" s="46"/>
      <c r="FO76" s="46"/>
      <c r="FP76" s="46"/>
      <c r="FQ76" s="46"/>
      <c r="FR76" s="46"/>
      <c r="FS76" s="46"/>
      <c r="FT76" s="46"/>
      <c r="FU76" s="46"/>
      <c r="FV76" s="46"/>
      <c r="FW76" s="46"/>
      <c r="FX76" s="46"/>
      <c r="FY76" s="46"/>
      <c r="FZ76" s="46"/>
      <c r="GA76" s="46"/>
      <c r="GB76" s="46"/>
      <c r="GC76" s="46"/>
      <c r="GD76" s="46"/>
      <c r="GE76" s="46"/>
      <c r="GF76" s="46"/>
      <c r="GG76" s="46"/>
      <c r="GH76" s="46"/>
    </row>
    <row r="77" spans="1:190" s="47" customFormat="1" ht="8.25" customHeigh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 s="406"/>
      <c r="FK77" s="46"/>
      <c r="FL77" s="46"/>
      <c r="FM77" s="46"/>
      <c r="FN77" s="46"/>
      <c r="FO77" s="46"/>
      <c r="FP77" s="46"/>
      <c r="FQ77" s="46"/>
      <c r="FR77" s="46"/>
      <c r="FS77" s="46"/>
      <c r="FT77" s="46"/>
      <c r="FU77" s="46"/>
      <c r="FV77" s="46"/>
      <c r="FW77" s="46"/>
      <c r="FX77" s="46"/>
      <c r="FY77" s="46"/>
      <c r="FZ77" s="46"/>
      <c r="GA77" s="46"/>
      <c r="GB77" s="46"/>
      <c r="GC77" s="46"/>
      <c r="GD77" s="46"/>
      <c r="GE77" s="46"/>
      <c r="GF77" s="46"/>
      <c r="GG77" s="46"/>
      <c r="GH77" s="46"/>
    </row>
    <row r="78" spans="1:190" s="47" customFormat="1" ht="17.25" customHeight="1">
      <c r="A78"/>
      <c r="B78" s="1216" t="s">
        <v>285</v>
      </c>
      <c r="C78" s="1216"/>
      <c r="D78" s="1216"/>
      <c r="E78" s="1216"/>
      <c r="F78" s="1216"/>
      <c r="G78" s="1216"/>
      <c r="H78" s="1216"/>
      <c r="I78" s="1216"/>
      <c r="J78" s="1216"/>
      <c r="K78" s="1216"/>
      <c r="L78" s="1206" t="str">
        <f>CONCATENATE("[ ",$AV$69," ]")</f>
        <v>[ g ]</v>
      </c>
      <c r="M78" s="1206"/>
      <c r="N78" s="1206"/>
      <c r="O78" s="1206"/>
      <c r="P78"/>
      <c r="Q78" s="1216" t="s">
        <v>411</v>
      </c>
      <c r="R78" s="1216"/>
      <c r="S78" s="1216"/>
      <c r="T78" s="1216"/>
      <c r="U78" s="1216"/>
      <c r="V78" s="1216"/>
      <c r="W78" s="1216"/>
      <c r="X78" s="1216"/>
      <c r="Y78" s="1216"/>
      <c r="Z78" s="1216"/>
      <c r="AA78" s="1216"/>
      <c r="AB78" s="1206" t="str">
        <f>CONCATENATE("[ ",$AV$69," ]")</f>
        <v>[ g ]</v>
      </c>
      <c r="AC78" s="1206"/>
      <c r="AD78" s="1206"/>
      <c r="AE78" s="1206"/>
      <c r="AF78"/>
      <c r="AG78" s="1216" t="s">
        <v>2</v>
      </c>
      <c r="AH78" s="1216"/>
      <c r="AI78" s="1216"/>
      <c r="AJ78" s="1216"/>
      <c r="AK78" s="1216"/>
      <c r="AL78" s="1216"/>
      <c r="AM78" s="1216"/>
      <c r="AN78" s="1216"/>
      <c r="AO78" s="1216"/>
      <c r="AP78" s="1216"/>
      <c r="AQ78" s="1216"/>
      <c r="AR78" s="1216"/>
      <c r="AS78" s="1206" t="str">
        <f>CONCATENATE("[ ",$AV$69," ]")</f>
        <v>[ g ]</v>
      </c>
      <c r="AT78" s="1206"/>
      <c r="AU78" s="1206"/>
      <c r="AV78" s="1206"/>
      <c r="FK78" s="46"/>
      <c r="FL78" s="46"/>
      <c r="FM78" s="46"/>
      <c r="FN78" s="46"/>
      <c r="FO78" s="46"/>
      <c r="FP78" s="46"/>
      <c r="FQ78" s="46"/>
      <c r="FR78" s="46"/>
      <c r="FS78" s="46"/>
      <c r="FT78" s="46"/>
      <c r="FU78" s="46"/>
      <c r="FV78" s="46"/>
      <c r="FW78" s="46"/>
      <c r="FX78" s="46"/>
      <c r="FY78" s="46"/>
      <c r="FZ78" s="46"/>
      <c r="GA78" s="46"/>
      <c r="GB78" s="46"/>
      <c r="GC78" s="46"/>
      <c r="GD78" s="46"/>
      <c r="GE78" s="46"/>
      <c r="GF78" s="46"/>
      <c r="GG78" s="46"/>
      <c r="GH78" s="46"/>
    </row>
    <row r="79" spans="1:190" s="47" customFormat="1" ht="16.5">
      <c r="A79"/>
      <c r="B79" s="1259" t="str">
        <f>IF('Registo Calibração'!F19&lt;&gt;"",'Registo Calibração'!C19,"------")</f>
        <v>------</v>
      </c>
      <c r="C79" s="1259"/>
      <c r="D79" s="1259"/>
      <c r="E79" s="1259"/>
      <c r="F79" s="1259"/>
      <c r="G79" s="1259"/>
      <c r="H79" s="1259"/>
      <c r="I79" s="1259"/>
      <c r="J79" s="1259"/>
      <c r="K79" s="1259"/>
      <c r="L79" s="1259"/>
      <c r="M79" s="1259"/>
      <c r="N79" s="1259"/>
      <c r="O79" s="1259"/>
      <c r="P79" s="469"/>
      <c r="Q79" s="1276" t="str">
        <f>'Registo Calibração'!E19</f>
        <v>------</v>
      </c>
      <c r="R79" s="1276"/>
      <c r="S79" s="1276"/>
      <c r="T79" s="1276"/>
      <c r="U79" s="1276"/>
      <c r="V79" s="1276"/>
      <c r="W79" s="1276"/>
      <c r="X79" s="1276"/>
      <c r="Y79" s="1276"/>
      <c r="Z79" s="1276"/>
      <c r="AA79" s="1276"/>
      <c r="AB79" s="1276"/>
      <c r="AC79" s="1276"/>
      <c r="AD79" s="1276"/>
      <c r="AE79" s="1276"/>
      <c r="AF79" s="475"/>
      <c r="AG79" s="1276" t="str">
        <f>IF('Registo Calibração'!F19&lt;&gt;"",'Registo Calibração'!G19,"------")</f>
        <v>------</v>
      </c>
      <c r="AH79" s="1276"/>
      <c r="AI79" s="1276"/>
      <c r="AJ79" s="1276"/>
      <c r="AK79" s="1276"/>
      <c r="AL79" s="1276"/>
      <c r="AM79" s="1276"/>
      <c r="AN79" s="1276"/>
      <c r="AO79" s="1276"/>
      <c r="AP79" s="1276"/>
      <c r="AQ79" s="1276"/>
      <c r="AR79" s="1276"/>
      <c r="AS79" s="1276"/>
      <c r="AT79" s="1276"/>
      <c r="AU79" s="1276"/>
      <c r="AV79" s="1276"/>
      <c r="AW79" s="406"/>
      <c r="FK79" s="46"/>
      <c r="FL79" s="46"/>
      <c r="FM79" s="46"/>
      <c r="FN79" s="46"/>
      <c r="FO79" s="46"/>
      <c r="FP79" s="46"/>
      <c r="FQ79" s="46"/>
      <c r="FR79" s="46"/>
      <c r="FS79" s="46"/>
      <c r="FT79" s="46"/>
      <c r="FU79" s="46"/>
      <c r="FV79" s="46"/>
      <c r="FW79" s="46"/>
      <c r="FX79" s="46"/>
      <c r="FY79" s="46"/>
      <c r="FZ79" s="46"/>
      <c r="GA79" s="46"/>
      <c r="GB79" s="46"/>
      <c r="GC79" s="46"/>
      <c r="GD79" s="46"/>
      <c r="GE79" s="46"/>
      <c r="GF79" s="46"/>
      <c r="GG79" s="46"/>
      <c r="GH79" s="46"/>
    </row>
    <row r="80" spans="1:190" s="47" customFormat="1" ht="16.5" hidden="1">
      <c r="A80"/>
      <c r="B80" s="1259" t="str">
        <f>IF('Registo Calibração'!F20&lt;&gt;"",'Registo Calibração'!C20,"------")</f>
        <v>------</v>
      </c>
      <c r="C80" s="1259"/>
      <c r="D80" s="1259"/>
      <c r="E80" s="1259"/>
      <c r="F80" s="1259"/>
      <c r="G80" s="1259"/>
      <c r="H80" s="1259"/>
      <c r="I80" s="1259"/>
      <c r="J80" s="1259"/>
      <c r="K80" s="1259"/>
      <c r="L80" s="1259"/>
      <c r="M80" s="1259"/>
      <c r="N80" s="1259"/>
      <c r="O80" s="1259"/>
      <c r="P80" s="469"/>
      <c r="Q80" s="1276" t="str">
        <f>'Registo Calibração'!E20</f>
        <v>------</v>
      </c>
      <c r="R80" s="1276"/>
      <c r="S80" s="1276"/>
      <c r="T80" s="1276"/>
      <c r="U80" s="1276"/>
      <c r="V80" s="1276"/>
      <c r="W80" s="1276"/>
      <c r="X80" s="1276"/>
      <c r="Y80" s="1276"/>
      <c r="Z80" s="1276"/>
      <c r="AA80" s="1276"/>
      <c r="AB80" s="1276"/>
      <c r="AC80" s="1276"/>
      <c r="AD80" s="1276"/>
      <c r="AE80" s="1276"/>
      <c r="AF80" s="475"/>
      <c r="AG80" s="1276" t="str">
        <f>IF('Registo Calibração'!F20&lt;&gt;"",'Registo Calibração'!G20,"------")</f>
        <v>------</v>
      </c>
      <c r="AH80" s="1276"/>
      <c r="AI80" s="1276"/>
      <c r="AJ80" s="1276"/>
      <c r="AK80" s="1276"/>
      <c r="AL80" s="1276"/>
      <c r="AM80" s="1276"/>
      <c r="AN80" s="1276"/>
      <c r="AO80" s="1276"/>
      <c r="AP80" s="1276"/>
      <c r="AQ80" s="1276"/>
      <c r="AR80" s="1276"/>
      <c r="AS80" s="1276"/>
      <c r="AT80" s="1276"/>
      <c r="AU80" s="1276"/>
      <c r="AV80" s="1276"/>
      <c r="AW80" s="406"/>
      <c r="FK80" s="46"/>
      <c r="FL80" s="46"/>
      <c r="FM80" s="46"/>
      <c r="FN80" s="46"/>
      <c r="FO80" s="46"/>
      <c r="FP80" s="46"/>
      <c r="FQ80" s="46"/>
      <c r="FR80" s="46"/>
      <c r="FS80" s="46"/>
      <c r="FT80" s="46"/>
      <c r="FU80" s="46"/>
      <c r="FV80" s="46"/>
      <c r="FW80" s="46"/>
      <c r="FX80" s="46"/>
      <c r="FY80" s="46"/>
      <c r="FZ80" s="46"/>
      <c r="GA80" s="46"/>
      <c r="GB80" s="46"/>
      <c r="GC80" s="46"/>
      <c r="GD80" s="46"/>
      <c r="GE80" s="46"/>
      <c r="GF80" s="46"/>
      <c r="GG80" s="46"/>
      <c r="GH80" s="46"/>
    </row>
    <row r="81" spans="1:190" s="47" customFormat="1" ht="5.25" customHeight="1">
      <c r="A81"/>
      <c r="B81"/>
      <c r="D81" s="469"/>
      <c r="E81" s="469"/>
      <c r="F81" s="469"/>
      <c r="G81" s="469"/>
      <c r="H81" s="469"/>
      <c r="I81" s="469"/>
      <c r="J81" s="469"/>
      <c r="K81" s="469"/>
      <c r="L81" s="469"/>
      <c r="M81" s="469"/>
      <c r="N81" s="469"/>
      <c r="O81" s="469"/>
      <c r="P81" s="469"/>
      <c r="Q81" s="469"/>
      <c r="S81" s="470"/>
      <c r="T81" s="470"/>
      <c r="U81" s="470"/>
      <c r="V81" s="470"/>
      <c r="W81" s="470"/>
      <c r="X81" s="470"/>
      <c r="Y81" s="470"/>
      <c r="Z81" s="470"/>
      <c r="AA81" s="470"/>
      <c r="AB81" s="470"/>
      <c r="AC81" s="470"/>
      <c r="AD81" s="470"/>
      <c r="AE81" s="470"/>
      <c r="AF81" s="470"/>
      <c r="AG81" s="470"/>
      <c r="AI81" s="470"/>
      <c r="AJ81" s="470"/>
      <c r="AK81" s="470"/>
      <c r="AL81" s="470"/>
      <c r="AM81" s="470"/>
      <c r="AN81" s="470"/>
      <c r="AO81" s="470"/>
      <c r="AP81" s="470"/>
      <c r="AQ81" s="470"/>
      <c r="AR81" s="470"/>
      <c r="AS81" s="470"/>
      <c r="AT81" s="470"/>
      <c r="AU81" s="470"/>
      <c r="AV81" s="470"/>
      <c r="AW81" s="406"/>
      <c r="FK81" s="46"/>
      <c r="FL81" s="46"/>
      <c r="FM81" s="46"/>
      <c r="FN81" s="46"/>
      <c r="FO81" s="46"/>
      <c r="FP81" s="46"/>
      <c r="FQ81" s="46"/>
      <c r="FR81" s="46"/>
      <c r="FS81" s="46"/>
      <c r="FT81" s="46"/>
      <c r="FU81" s="46"/>
      <c r="FV81" s="46"/>
      <c r="FW81" s="46"/>
      <c r="FX81" s="46"/>
      <c r="FY81" s="46"/>
      <c r="FZ81" s="46"/>
      <c r="GA81" s="46"/>
      <c r="GB81" s="46"/>
      <c r="GC81" s="46"/>
      <c r="GD81" s="46"/>
      <c r="GE81" s="46"/>
      <c r="GF81" s="46"/>
      <c r="GG81" s="46"/>
      <c r="GH81" s="46"/>
    </row>
    <row r="82" spans="1:190" s="47" customFormat="1" ht="11.1" customHeight="1">
      <c r="A82"/>
      <c r="B82" s="1192" t="str">
        <f>'Registo Calibração'!AI21</f>
        <v>Ensaio Prévio aplicável somente a equipamento com possibilidade de se aceder ao ajuste interno.</v>
      </c>
      <c r="C82" s="1192"/>
      <c r="D82" s="1192"/>
      <c r="E82" s="1192"/>
      <c r="F82" s="1192"/>
      <c r="G82" s="1192"/>
      <c r="H82" s="1192"/>
      <c r="I82" s="1192"/>
      <c r="J82" s="1192"/>
      <c r="K82" s="1192"/>
      <c r="L82" s="1192"/>
      <c r="M82" s="1192"/>
      <c r="N82" s="1192"/>
      <c r="O82" s="1192"/>
      <c r="P82" s="1192"/>
      <c r="Q82" s="1192"/>
      <c r="R82" s="1192"/>
      <c r="S82" s="1192"/>
      <c r="T82" s="1192"/>
      <c r="U82" s="1192"/>
      <c r="V82" s="1192"/>
      <c r="W82" s="1192"/>
      <c r="X82" s="1192"/>
      <c r="Y82" s="1192"/>
      <c r="Z82" s="1192"/>
      <c r="AA82" s="1192"/>
      <c r="AB82" s="1192"/>
      <c r="AC82" s="1192"/>
      <c r="AD82" s="1192"/>
      <c r="AE82" s="1192"/>
      <c r="AF82" s="1192"/>
      <c r="AG82" s="1192"/>
      <c r="AH82" s="1192"/>
      <c r="AI82" s="1192"/>
      <c r="AJ82" s="1192"/>
      <c r="AK82" s="1192"/>
      <c r="AL82" s="1192"/>
      <c r="AM82" s="1192"/>
      <c r="AN82" s="1192"/>
      <c r="AO82" s="1192"/>
      <c r="AP82" s="1192"/>
      <c r="AQ82" s="1192"/>
      <c r="AR82" s="1192"/>
      <c r="AS82" s="1192"/>
      <c r="AT82" s="1192"/>
      <c r="AU82" s="1192"/>
      <c r="AV82" s="1192"/>
      <c r="AW82" s="406"/>
      <c r="FK82" s="46"/>
      <c r="FL82" s="46"/>
      <c r="FM82" s="46"/>
      <c r="FN82" s="46"/>
      <c r="FO82" s="46"/>
      <c r="FP82" s="46"/>
      <c r="FQ82" s="46"/>
      <c r="FR82" s="46"/>
      <c r="FS82" s="46"/>
      <c r="FT82" s="46"/>
      <c r="FU82" s="46"/>
      <c r="FV82" s="46"/>
      <c r="FW82" s="46"/>
      <c r="FX82" s="46"/>
      <c r="FY82" s="46"/>
      <c r="FZ82" s="46"/>
      <c r="GA82" s="46"/>
      <c r="GB82" s="46"/>
      <c r="GC82" s="46"/>
      <c r="GD82" s="46"/>
      <c r="GE82" s="46"/>
      <c r="GF82" s="46"/>
      <c r="GG82" s="46"/>
      <c r="GH82" s="46"/>
    </row>
    <row r="83" spans="1:190" s="47" customFormat="1" ht="11.1" customHeight="1">
      <c r="A83"/>
      <c r="B83" s="1192"/>
      <c r="C83" s="1192"/>
      <c r="D83" s="1192"/>
      <c r="E83" s="1192"/>
      <c r="F83" s="1192"/>
      <c r="G83" s="1192"/>
      <c r="H83" s="1192"/>
      <c r="I83" s="1192"/>
      <c r="J83" s="1192"/>
      <c r="K83" s="1192"/>
      <c r="L83" s="1192"/>
      <c r="M83" s="1192"/>
      <c r="N83" s="1192"/>
      <c r="O83" s="1192"/>
      <c r="P83" s="1192"/>
      <c r="Q83" s="1192"/>
      <c r="R83" s="1192"/>
      <c r="S83" s="1192"/>
      <c r="T83" s="1192"/>
      <c r="U83" s="1192"/>
      <c r="V83" s="1192"/>
      <c r="W83" s="1192"/>
      <c r="X83" s="1192"/>
      <c r="Y83" s="1192"/>
      <c r="Z83" s="1192"/>
      <c r="AA83" s="1192"/>
      <c r="AB83" s="1192"/>
      <c r="AC83" s="1192"/>
      <c r="AD83" s="1192"/>
      <c r="AE83" s="1192"/>
      <c r="AF83" s="1192"/>
      <c r="AG83" s="1192"/>
      <c r="AH83" s="1192"/>
      <c r="AI83" s="1192"/>
      <c r="AJ83" s="1192"/>
      <c r="AK83" s="1192"/>
      <c r="AL83" s="1192"/>
      <c r="AM83" s="1192"/>
      <c r="AN83" s="1192"/>
      <c r="AO83" s="1192"/>
      <c r="AP83" s="1192"/>
      <c r="AQ83" s="1192"/>
      <c r="AR83" s="1192"/>
      <c r="AS83" s="1192"/>
      <c r="AT83" s="1192"/>
      <c r="AU83" s="1192"/>
      <c r="AV83" s="1192"/>
      <c r="AW83" s="406"/>
      <c r="FK83" s="46"/>
      <c r="FL83" s="46"/>
      <c r="FM83" s="46"/>
      <c r="FN83" s="46"/>
      <c r="FO83" s="46"/>
      <c r="FP83" s="46"/>
      <c r="FQ83" s="46"/>
      <c r="FR83" s="46"/>
      <c r="FS83" s="46"/>
      <c r="FT83" s="46"/>
      <c r="FU83" s="46"/>
      <c r="FV83" s="46"/>
      <c r="FW83" s="46"/>
      <c r="FX83" s="46"/>
      <c r="FY83" s="46"/>
      <c r="FZ83" s="46"/>
      <c r="GA83" s="46"/>
      <c r="GB83" s="46"/>
      <c r="GC83" s="46"/>
      <c r="GD83" s="46"/>
      <c r="GE83" s="46"/>
      <c r="GF83" s="46"/>
      <c r="GG83" s="46"/>
      <c r="GH83" s="46"/>
    </row>
    <row r="84" spans="1:190" s="47" customFormat="1" ht="25.5" customHeight="1">
      <c r="A84"/>
      <c r="B84" s="1192"/>
      <c r="C84" s="1192"/>
      <c r="D84" s="1192"/>
      <c r="E84" s="1192"/>
      <c r="F84" s="1192"/>
      <c r="G84" s="1192"/>
      <c r="H84" s="1192"/>
      <c r="I84" s="1192"/>
      <c r="J84" s="1192"/>
      <c r="K84" s="1192"/>
      <c r="L84" s="1192"/>
      <c r="M84" s="1192"/>
      <c r="N84" s="1192"/>
      <c r="O84" s="1192"/>
      <c r="P84" s="1192"/>
      <c r="Q84" s="1192"/>
      <c r="R84" s="1192"/>
      <c r="S84" s="1192"/>
      <c r="T84" s="1192"/>
      <c r="U84" s="1192"/>
      <c r="V84" s="1192"/>
      <c r="W84" s="1192"/>
      <c r="X84" s="1192"/>
      <c r="Y84" s="1192"/>
      <c r="Z84" s="1192"/>
      <c r="AA84" s="1192"/>
      <c r="AB84" s="1192"/>
      <c r="AC84" s="1192"/>
      <c r="AD84" s="1192"/>
      <c r="AE84" s="1192"/>
      <c r="AF84" s="1192"/>
      <c r="AG84" s="1192"/>
      <c r="AH84" s="1192"/>
      <c r="AI84" s="1192"/>
      <c r="AJ84" s="1192"/>
      <c r="AK84" s="1192"/>
      <c r="AL84" s="1192"/>
      <c r="AM84" s="1192"/>
      <c r="AN84" s="1192"/>
      <c r="AO84" s="1192"/>
      <c r="AP84" s="1192"/>
      <c r="AQ84" s="1192"/>
      <c r="AR84" s="1192"/>
      <c r="AS84" s="1192"/>
      <c r="AT84" s="1192"/>
      <c r="AU84" s="1192"/>
      <c r="AV84" s="1192"/>
      <c r="AW84" s="406"/>
      <c r="FK84" s="46"/>
      <c r="FL84" s="46"/>
      <c r="FM84" s="46"/>
      <c r="FN84" s="46"/>
      <c r="FO84" s="46"/>
      <c r="FP84" s="46"/>
      <c r="FQ84" s="46"/>
      <c r="FR84" s="46"/>
      <c r="FS84" s="46"/>
      <c r="FT84" s="46"/>
      <c r="FU84" s="46"/>
      <c r="FV84" s="46"/>
      <c r="FW84" s="46"/>
      <c r="FX84" s="46"/>
      <c r="FY84" s="46"/>
      <c r="FZ84" s="46"/>
      <c r="GA84" s="46"/>
      <c r="GB84" s="46"/>
      <c r="GC84" s="46"/>
      <c r="GD84" s="46"/>
      <c r="GE84" s="46"/>
      <c r="GF84" s="46"/>
      <c r="GG84" s="46"/>
      <c r="GH84" s="46"/>
    </row>
    <row r="85" spans="1:190" s="47" customFormat="1" ht="4.5" customHeight="1">
      <c r="A85"/>
      <c r="B85" s="473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 s="406"/>
      <c r="FK85" s="46"/>
      <c r="FL85" s="46"/>
      <c r="FM85" s="46"/>
      <c r="FN85" s="46"/>
      <c r="FO85" s="46"/>
      <c r="FP85" s="46"/>
      <c r="FQ85" s="46"/>
      <c r="FR85" s="46"/>
      <c r="FS85" s="46"/>
      <c r="FT85" s="46"/>
      <c r="FU85" s="46"/>
      <c r="FV85" s="46"/>
      <c r="FW85" s="46"/>
      <c r="FX85" s="46"/>
      <c r="FY85" s="46"/>
      <c r="FZ85" s="46"/>
      <c r="GA85" s="46"/>
      <c r="GB85" s="46"/>
      <c r="GC85" s="46"/>
      <c r="GD85" s="46"/>
      <c r="GE85" s="46"/>
      <c r="GF85" s="46"/>
      <c r="GG85" s="46"/>
      <c r="GH85" s="46"/>
    </row>
    <row r="86" spans="1:190" s="47" customFormat="1" ht="18" customHeight="1">
      <c r="A86"/>
      <c r="B86" s="1221" t="s">
        <v>417</v>
      </c>
      <c r="C86" s="1221"/>
      <c r="D86" s="1221"/>
      <c r="E86" s="1221"/>
      <c r="F86" s="1221"/>
      <c r="G86" s="1221"/>
      <c r="H86" s="1221"/>
      <c r="I86" s="1221"/>
      <c r="J86" s="1221"/>
      <c r="K86" s="1221"/>
      <c r="L86" s="1221"/>
      <c r="M86" s="1221"/>
      <c r="N86" s="1221"/>
      <c r="O86" s="1221"/>
      <c r="P86" s="1221"/>
      <c r="Q86" s="1221"/>
      <c r="R86" s="1221"/>
      <c r="S86" s="1221"/>
      <c r="T86" s="1221"/>
      <c r="U86" s="1221"/>
      <c r="V86" s="1221"/>
      <c r="W86" s="1221"/>
      <c r="X86" s="1221"/>
      <c r="Y86" s="1221"/>
      <c r="Z86" s="1221"/>
      <c r="AA86" s="1221"/>
      <c r="AB86" s="1221"/>
      <c r="AC86" s="1221"/>
      <c r="AD86" s="1221"/>
      <c r="AE86" s="1221"/>
      <c r="AF86" s="1221"/>
      <c r="AG86" s="1221"/>
      <c r="AH86" s="1221"/>
      <c r="AI86" s="1221"/>
      <c r="AJ86" s="1221"/>
      <c r="AK86" s="1221"/>
      <c r="AL86" s="1221"/>
      <c r="AM86" s="1221"/>
      <c r="AN86" s="1221"/>
      <c r="AO86" s="1221"/>
      <c r="AP86" s="1221"/>
      <c r="AQ86" s="1221"/>
      <c r="AR86" s="1221"/>
      <c r="AS86" s="1221"/>
      <c r="AT86" s="1221"/>
      <c r="AU86" s="1221"/>
      <c r="AV86" s="1221"/>
      <c r="AW86" s="406"/>
      <c r="FK86" s="46"/>
      <c r="FL86" s="46"/>
      <c r="FM86" s="46"/>
      <c r="FN86" s="46"/>
      <c r="FO86" s="46"/>
      <c r="FP86" s="46"/>
      <c r="FQ86" s="46"/>
      <c r="FR86" s="46"/>
      <c r="FS86" s="46"/>
      <c r="FT86" s="46"/>
      <c r="FU86" s="46"/>
      <c r="FV86" s="46"/>
      <c r="FW86" s="46"/>
      <c r="FX86" s="46"/>
      <c r="FY86" s="46"/>
      <c r="FZ86" s="46"/>
      <c r="GA86" s="46"/>
      <c r="GB86" s="46"/>
      <c r="GC86" s="46"/>
      <c r="GD86" s="46"/>
      <c r="GE86" s="46"/>
      <c r="GF86" s="46"/>
      <c r="GG86" s="46"/>
      <c r="GH86" s="46"/>
    </row>
    <row r="87" spans="1:190" s="47" customFormat="1" ht="4.5" customHeight="1">
      <c r="A87"/>
      <c r="B87" s="474"/>
      <c r="C87" s="474"/>
      <c r="D87" s="474"/>
      <c r="E87" s="474"/>
      <c r="F87" s="474"/>
      <c r="G87" s="474"/>
      <c r="H87" s="474"/>
      <c r="I87" s="474"/>
      <c r="J87" s="474"/>
      <c r="K87" s="474"/>
      <c r="L87" s="474"/>
      <c r="M87" s="474"/>
      <c r="N87" s="474"/>
      <c r="O87" s="474"/>
      <c r="P87" s="472"/>
      <c r="Q87" s="474"/>
      <c r="R87" s="474"/>
      <c r="S87" s="474"/>
      <c r="T87" s="474"/>
      <c r="U87" s="474"/>
      <c r="V87" s="474"/>
      <c r="W87" s="474"/>
      <c r="X87" s="474"/>
      <c r="Y87" s="474"/>
      <c r="Z87" s="474"/>
      <c r="AA87" s="474"/>
      <c r="AB87" s="474"/>
      <c r="AC87" s="474"/>
      <c r="AD87" s="474"/>
      <c r="AE87" s="474"/>
      <c r="AF87" s="474"/>
      <c r="AG87" s="474"/>
      <c r="AH87" s="474"/>
      <c r="AI87" s="474"/>
      <c r="AJ87" s="474"/>
      <c r="AK87" s="474"/>
      <c r="AL87" s="474"/>
      <c r="AM87" s="474"/>
      <c r="AN87" s="474"/>
      <c r="AO87" s="474"/>
      <c r="AP87" s="474"/>
      <c r="AQ87" s="474"/>
      <c r="AR87" s="474"/>
      <c r="AS87" s="474"/>
      <c r="AT87" s="474"/>
      <c r="AU87" s="474"/>
      <c r="AV87"/>
      <c r="AW87" s="406"/>
      <c r="FK87" s="46"/>
      <c r="FL87" s="46"/>
      <c r="FM87" s="46"/>
      <c r="FN87" s="46"/>
      <c r="FO87" s="46"/>
      <c r="FP87" s="46"/>
      <c r="FQ87" s="46"/>
      <c r="FR87" s="46"/>
      <c r="FS87" s="46"/>
      <c r="FT87" s="46"/>
      <c r="FU87" s="46"/>
      <c r="FV87" s="46"/>
      <c r="FW87" s="46"/>
      <c r="FX87" s="46"/>
      <c r="FY87" s="46"/>
      <c r="FZ87" s="46"/>
      <c r="GA87" s="46"/>
      <c r="GB87" s="46"/>
      <c r="GC87" s="46"/>
      <c r="GD87" s="46"/>
      <c r="GE87" s="46"/>
      <c r="GF87" s="46"/>
      <c r="GG87" s="46"/>
      <c r="GH87" s="46"/>
    </row>
    <row r="88" spans="1:190" s="47" customFormat="1" ht="17.25" customHeight="1">
      <c r="A88"/>
      <c r="B88" s="1216" t="s">
        <v>285</v>
      </c>
      <c r="C88" s="1216"/>
      <c r="D88" s="1216"/>
      <c r="E88" s="1216"/>
      <c r="F88" s="1216"/>
      <c r="G88" s="1216"/>
      <c r="H88" s="1216"/>
      <c r="I88" s="1216"/>
      <c r="J88" s="1216"/>
      <c r="K88" s="1216"/>
      <c r="L88" s="1206" t="str">
        <f>CONCATENATE("[ ",$AV$69," ]")</f>
        <v>[ g ]</v>
      </c>
      <c r="M88" s="1206"/>
      <c r="N88" s="1206"/>
      <c r="O88" s="1206"/>
      <c r="P88"/>
      <c r="Q88" s="1221" t="s">
        <v>1</v>
      </c>
      <c r="R88" s="1221"/>
      <c r="S88" s="1221"/>
      <c r="U88" s="1216" t="s">
        <v>411</v>
      </c>
      <c r="V88" s="1216"/>
      <c r="W88" s="1216"/>
      <c r="X88" s="1216"/>
      <c r="Y88" s="1216"/>
      <c r="Z88" s="1216"/>
      <c r="AA88" s="1216"/>
      <c r="AB88" s="1216"/>
      <c r="AC88" s="1216"/>
      <c r="AD88" s="1216"/>
      <c r="AE88" s="1216"/>
      <c r="AF88" s="1254" t="str">
        <f>CONCATENATE("[ ",$AV$69," ]")</f>
        <v>[ g ]</v>
      </c>
      <c r="AG88" s="1254"/>
      <c r="AH88" s="1254"/>
      <c r="AJ88" s="1221" t="s">
        <v>2</v>
      </c>
      <c r="AK88" s="1221"/>
      <c r="AL88" s="1221"/>
      <c r="AM88" s="1221"/>
      <c r="AN88" s="1221"/>
      <c r="AO88" s="1221"/>
      <c r="AP88" s="1221"/>
      <c r="AQ88" s="1221"/>
      <c r="AR88" s="1221"/>
      <c r="AS88" s="1221"/>
      <c r="AT88" s="1254" t="str">
        <f>CONCATENATE("[ ",$AV$69," ]")</f>
        <v>[ g ]</v>
      </c>
      <c r="AU88" s="1254"/>
      <c r="AV88" s="1254"/>
      <c r="FK88" s="46"/>
      <c r="FL88" s="46"/>
      <c r="FM88" s="46"/>
      <c r="FN88" s="46"/>
      <c r="FO88" s="46"/>
      <c r="FP88" s="46"/>
      <c r="FQ88" s="46"/>
      <c r="FR88" s="46"/>
      <c r="FS88" s="46"/>
      <c r="FT88" s="46"/>
      <c r="FU88" s="46"/>
      <c r="FV88" s="46"/>
      <c r="FW88" s="46"/>
      <c r="FX88" s="46"/>
      <c r="FY88" s="46"/>
      <c r="FZ88" s="46"/>
      <c r="GA88" s="46"/>
      <c r="GB88" s="46"/>
      <c r="GC88" s="46"/>
      <c r="GD88" s="46"/>
      <c r="GE88" s="46"/>
      <c r="GF88" s="46"/>
      <c r="GG88" s="46"/>
      <c r="GH88" s="46"/>
    </row>
    <row r="89" spans="1:190" s="47" customFormat="1" ht="4.5" customHeight="1" thickBot="1">
      <c r="A89"/>
      <c r="AV89"/>
      <c r="AW89" s="406"/>
      <c r="FK89" s="46"/>
      <c r="FL89" s="46"/>
      <c r="FM89" s="46"/>
      <c r="FN89" s="46"/>
      <c r="FO89" s="46"/>
      <c r="FP89" s="46"/>
      <c r="FQ89" s="46"/>
      <c r="FR89" s="46"/>
      <c r="FS89" s="46"/>
      <c r="FT89" s="46"/>
      <c r="FU89" s="46"/>
      <c r="FV89" s="46"/>
      <c r="FW89" s="46"/>
      <c r="FX89" s="46"/>
      <c r="FY89" s="46"/>
      <c r="FZ89" s="46"/>
      <c r="GA89" s="46"/>
      <c r="GB89" s="46"/>
      <c r="GC89" s="46"/>
      <c r="GD89" s="46"/>
      <c r="GE89" s="46"/>
      <c r="GF89" s="46"/>
      <c r="GG89" s="46"/>
      <c r="GH89" s="46"/>
    </row>
    <row r="90" spans="1:190" s="47" customFormat="1" ht="15.75" thickBot="1">
      <c r="A90"/>
      <c r="F90" s="1231" t="str">
        <f>IF('Registo Calibração'!I23="","",IF('Registo Calibração'!I23&lt;1,FIXED('Registo Calibração'!I23,'Registo Calibração'!$AI$15,TRUE),'Registo Calibração'!I23))</f>
        <v/>
      </c>
      <c r="G90" s="1232"/>
      <c r="H90" s="1232"/>
      <c r="I90" s="1232"/>
      <c r="J90" s="1232"/>
      <c r="K90" s="1232"/>
      <c r="L90" s="1233"/>
      <c r="Q90" s="1199">
        <v>1</v>
      </c>
      <c r="R90" s="1199"/>
      <c r="S90" s="1199"/>
      <c r="U90" s="1222">
        <f>IF($F$90="",0,IF('Registo Calibração'!A26="-------",0,'Registo Calibração'!A26))</f>
        <v>0</v>
      </c>
      <c r="V90" s="1222"/>
      <c r="W90" s="1222"/>
      <c r="X90" s="1222"/>
      <c r="Y90" s="1222"/>
      <c r="Z90" s="1222"/>
      <c r="AA90" s="1222"/>
      <c r="AB90" s="1222"/>
      <c r="AC90" s="1222"/>
      <c r="AD90" s="1222"/>
      <c r="AE90" s="1222"/>
      <c r="AF90" s="1222"/>
      <c r="AG90" s="1222"/>
      <c r="AH90" s="1222"/>
      <c r="AJ90" s="1253" t="s">
        <v>418</v>
      </c>
      <c r="AK90" s="1222"/>
      <c r="AL90" s="1222"/>
      <c r="AM90" s="1222"/>
      <c r="AN90" s="1222"/>
      <c r="AO90" s="1222"/>
      <c r="AP90" s="1222"/>
      <c r="AQ90" s="1222"/>
      <c r="AR90" s="1222"/>
      <c r="AS90" s="1222"/>
      <c r="AT90" s="1222"/>
      <c r="AU90" s="1222"/>
      <c r="AV90"/>
      <c r="AW90" s="406"/>
      <c r="FK90" s="46"/>
      <c r="FL90" s="46"/>
      <c r="FM90" s="46"/>
      <c r="FN90" s="46"/>
      <c r="FO90" s="46"/>
      <c r="FP90" s="46"/>
      <c r="FQ90" s="46"/>
      <c r="FR90" s="46"/>
      <c r="FS90" s="46"/>
      <c r="FT90" s="46"/>
      <c r="FU90" s="46"/>
      <c r="FV90" s="46"/>
      <c r="FW90" s="46"/>
      <c r="FX90" s="46"/>
      <c r="FY90" s="46"/>
      <c r="FZ90" s="46"/>
      <c r="GA90" s="46"/>
      <c r="GB90" s="46"/>
      <c r="GC90" s="46"/>
      <c r="GD90" s="46"/>
      <c r="GE90" s="46"/>
      <c r="GF90" s="46"/>
      <c r="GG90" s="46"/>
      <c r="GH90" s="46"/>
    </row>
    <row r="91" spans="1:190" s="47" customFormat="1" ht="21" customHeight="1">
      <c r="A91"/>
      <c r="H91" s="47" t="s">
        <v>672</v>
      </c>
      <c r="Q91" s="1199">
        <v>2</v>
      </c>
      <c r="R91" s="1199"/>
      <c r="S91" s="1199"/>
      <c r="U91" s="1222">
        <f>IF($F$90="",0,IF('Registo Calibração'!B26="-------",0,'Registo Calibração'!B26))</f>
        <v>0</v>
      </c>
      <c r="V91" s="1222"/>
      <c r="W91" s="1222"/>
      <c r="X91" s="1222"/>
      <c r="Y91" s="1222"/>
      <c r="Z91" s="1222"/>
      <c r="AA91" s="1222"/>
      <c r="AB91" s="1222"/>
      <c r="AC91" s="1222"/>
      <c r="AD91" s="1222"/>
      <c r="AE91" s="1222"/>
      <c r="AF91" s="1222"/>
      <c r="AG91" s="1222"/>
      <c r="AH91" s="1222"/>
      <c r="AJ91" s="1290" t="str">
        <f>IF($F$90="","----------",FIXED(U91-$U$90,'Registo Calibração'!$AI$15))</f>
        <v>----------</v>
      </c>
      <c r="AK91" s="1290"/>
      <c r="AL91" s="1290"/>
      <c r="AM91" s="1290"/>
      <c r="AN91" s="1290"/>
      <c r="AO91" s="1290"/>
      <c r="AP91" s="1290"/>
      <c r="AQ91" s="1290"/>
      <c r="AR91" s="1290"/>
      <c r="AS91" s="1290"/>
      <c r="AT91" s="1290"/>
      <c r="AU91" s="1290"/>
      <c r="AV91"/>
      <c r="AW91" s="406"/>
      <c r="FK91" s="46"/>
      <c r="FL91" s="46"/>
      <c r="FM91" s="46"/>
      <c r="FN91" s="46"/>
      <c r="FO91" s="46"/>
      <c r="FP91" s="46"/>
      <c r="FQ91" s="46"/>
      <c r="FR91" s="46"/>
      <c r="FS91" s="46"/>
      <c r="FT91" s="46"/>
      <c r="FU91" s="46"/>
      <c r="FV91" s="46"/>
      <c r="FW91" s="46"/>
      <c r="FX91" s="46"/>
      <c r="FY91" s="46"/>
      <c r="FZ91" s="46"/>
      <c r="GA91" s="46"/>
      <c r="GB91" s="46"/>
      <c r="GC91" s="46"/>
      <c r="GD91" s="46"/>
      <c r="GE91" s="46"/>
      <c r="GF91" s="46"/>
      <c r="GG91" s="46"/>
      <c r="GH91" s="46"/>
    </row>
    <row r="92" spans="1:190" s="47" customFormat="1" ht="21" hidden="1" customHeight="1">
      <c r="A92"/>
      <c r="Q92" s="1199">
        <v>3</v>
      </c>
      <c r="R92" s="1199"/>
      <c r="S92" s="1199"/>
      <c r="U92" s="1222">
        <f>IF($F$90="",0,IF('Registo Calibração'!C26="-------",0,'Registo Calibração'!C26))</f>
        <v>0</v>
      </c>
      <c r="V92" s="1222"/>
      <c r="W92" s="1222"/>
      <c r="X92" s="1222"/>
      <c r="Y92" s="1222"/>
      <c r="Z92" s="1222"/>
      <c r="AA92" s="1222"/>
      <c r="AB92" s="1222"/>
      <c r="AC92" s="1222"/>
      <c r="AD92" s="1222"/>
      <c r="AE92" s="1222"/>
      <c r="AF92" s="1222"/>
      <c r="AG92" s="1222"/>
      <c r="AH92" s="1222"/>
      <c r="AJ92" s="1290" t="str">
        <f>IF($F$90="","----------",FIXED(U92-$U$90,'Registo Calibração'!$AI$15))</f>
        <v>----------</v>
      </c>
      <c r="AK92" s="1290"/>
      <c r="AL92" s="1290"/>
      <c r="AM92" s="1290"/>
      <c r="AN92" s="1290"/>
      <c r="AO92" s="1290"/>
      <c r="AP92" s="1290"/>
      <c r="AQ92" s="1290"/>
      <c r="AR92" s="1290"/>
      <c r="AS92" s="1290"/>
      <c r="AT92" s="1290"/>
      <c r="AU92" s="1290"/>
      <c r="AV92"/>
      <c r="AW92" s="406"/>
      <c r="FK92" s="46"/>
      <c r="FL92" s="46"/>
      <c r="FM92" s="46"/>
      <c r="FN92" s="46"/>
      <c r="FO92" s="46"/>
      <c r="FP92" s="46"/>
      <c r="FQ92" s="46"/>
      <c r="FR92" s="46"/>
      <c r="FS92" s="46"/>
      <c r="FT92" s="46"/>
      <c r="FU92" s="46"/>
      <c r="FV92" s="46"/>
      <c r="FW92" s="46"/>
      <c r="FX92" s="46"/>
      <c r="FY92" s="46"/>
      <c r="FZ92" s="46"/>
      <c r="GA92" s="46"/>
      <c r="GB92" s="46"/>
      <c r="GC92" s="46"/>
      <c r="GD92" s="46"/>
      <c r="GE92" s="46"/>
      <c r="GF92" s="46"/>
      <c r="GG92" s="46"/>
      <c r="GH92" s="46"/>
    </row>
    <row r="93" spans="1:190" s="47" customFormat="1" ht="24" hidden="1" customHeight="1">
      <c r="A93"/>
      <c r="Q93" s="1199">
        <v>4</v>
      </c>
      <c r="R93" s="1199"/>
      <c r="S93" s="1199"/>
      <c r="U93" s="1222">
        <f>IF($F$90="",0,IF('Registo Calibração'!D26="-------",0,'Registo Calibração'!D26))</f>
        <v>0</v>
      </c>
      <c r="V93" s="1222"/>
      <c r="W93" s="1222"/>
      <c r="X93" s="1222"/>
      <c r="Y93" s="1222"/>
      <c r="Z93" s="1222"/>
      <c r="AA93" s="1222"/>
      <c r="AB93" s="1222"/>
      <c r="AC93" s="1222"/>
      <c r="AD93" s="1222"/>
      <c r="AE93" s="1222"/>
      <c r="AF93" s="1222"/>
      <c r="AG93" s="1222"/>
      <c r="AH93" s="1222"/>
      <c r="AJ93" s="1290" t="str">
        <f>IF($F$90="","----------",FIXED(U93-$U$90,'Registo Calibração'!$AI$15))</f>
        <v>----------</v>
      </c>
      <c r="AK93" s="1290"/>
      <c r="AL93" s="1290"/>
      <c r="AM93" s="1290"/>
      <c r="AN93" s="1290"/>
      <c r="AO93" s="1290"/>
      <c r="AP93" s="1290"/>
      <c r="AQ93" s="1290"/>
      <c r="AR93" s="1290"/>
      <c r="AS93" s="1290"/>
      <c r="AT93" s="1290"/>
      <c r="AU93" s="1290"/>
      <c r="AV93"/>
      <c r="AW93" s="406"/>
      <c r="FK93" s="46"/>
      <c r="FL93" s="46"/>
      <c r="FM93" s="46"/>
      <c r="FN93" s="46"/>
      <c r="FO93" s="46"/>
      <c r="FP93" s="46"/>
      <c r="FQ93" s="46"/>
      <c r="FR93" s="46"/>
      <c r="FS93" s="46"/>
      <c r="FT93" s="46"/>
      <c r="FU93" s="46"/>
      <c r="FV93" s="46"/>
      <c r="FW93" s="46"/>
      <c r="FX93" s="46"/>
      <c r="FY93" s="46"/>
      <c r="FZ93" s="46"/>
      <c r="GA93" s="46"/>
      <c r="GB93" s="46"/>
      <c r="GC93" s="46"/>
      <c r="GD93" s="46"/>
      <c r="GE93" s="46"/>
      <c r="GF93" s="46"/>
      <c r="GG93" s="46"/>
      <c r="GH93" s="46"/>
    </row>
    <row r="94" spans="1:190" s="47" customFormat="1" ht="24" hidden="1" customHeight="1">
      <c r="A94"/>
      <c r="Q94" s="1199">
        <v>5</v>
      </c>
      <c r="R94" s="1199"/>
      <c r="S94" s="1199"/>
      <c r="U94" s="1222">
        <f>IF($F$90="",0,IF('Registo Calibração'!E26="-------",0,'Registo Calibração'!E26))</f>
        <v>0</v>
      </c>
      <c r="V94" s="1222"/>
      <c r="W94" s="1222"/>
      <c r="X94" s="1222"/>
      <c r="Y94" s="1222"/>
      <c r="Z94" s="1222"/>
      <c r="AA94" s="1222"/>
      <c r="AB94" s="1222"/>
      <c r="AC94" s="1222"/>
      <c r="AD94" s="1222"/>
      <c r="AE94" s="1222"/>
      <c r="AF94" s="1222"/>
      <c r="AG94" s="1222"/>
      <c r="AH94" s="1222"/>
      <c r="AJ94" s="1290" t="str">
        <f>IF($F$90="","----------",FIXED(U94-$U$90,'Registo Calibração'!$AI$15))</f>
        <v>----------</v>
      </c>
      <c r="AK94" s="1290"/>
      <c r="AL94" s="1290"/>
      <c r="AM94" s="1290"/>
      <c r="AN94" s="1290"/>
      <c r="AO94" s="1290"/>
      <c r="AP94" s="1290"/>
      <c r="AQ94" s="1290"/>
      <c r="AR94" s="1290"/>
      <c r="AS94" s="1290"/>
      <c r="AT94" s="1290"/>
      <c r="AU94" s="1290"/>
      <c r="AV94"/>
      <c r="AW94" s="406"/>
      <c r="FK94" s="46"/>
      <c r="FL94" s="46"/>
      <c r="FM94" s="46"/>
      <c r="FN94" s="46"/>
      <c r="FO94" s="46"/>
      <c r="FP94" s="46"/>
      <c r="FQ94" s="46"/>
      <c r="FR94" s="46"/>
      <c r="FS94" s="46"/>
      <c r="FT94" s="46"/>
      <c r="FU94" s="46"/>
      <c r="FV94" s="46"/>
      <c r="FW94" s="46"/>
      <c r="FX94" s="46"/>
      <c r="FY94" s="46"/>
      <c r="FZ94" s="46"/>
      <c r="GA94" s="46"/>
      <c r="GB94" s="46"/>
      <c r="GC94" s="46"/>
      <c r="GD94" s="46"/>
      <c r="GE94" s="46"/>
      <c r="GF94" s="46"/>
      <c r="GG94" s="46"/>
      <c r="GH94" s="46"/>
    </row>
    <row r="95" spans="1:190" s="47" customFormat="1" ht="15" hidden="1" customHeight="1">
      <c r="Q95" s="1199">
        <v>6</v>
      </c>
      <c r="R95" s="1199"/>
      <c r="S95" s="1199"/>
      <c r="U95" s="1222">
        <f>IF($F$90="",0,IF('Registo Calibração'!F26="-------",0,'Registo Calibração'!F26))</f>
        <v>0</v>
      </c>
      <c r="V95" s="1222"/>
      <c r="W95" s="1222"/>
      <c r="X95" s="1222"/>
      <c r="Y95" s="1222"/>
      <c r="Z95" s="1222"/>
      <c r="AA95" s="1222"/>
      <c r="AB95" s="1222"/>
      <c r="AC95" s="1222"/>
      <c r="AD95" s="1222"/>
      <c r="AE95" s="1222"/>
      <c r="AF95" s="1222"/>
      <c r="AG95" s="1222"/>
      <c r="AH95" s="1222"/>
      <c r="AJ95" s="1290" t="str">
        <f>IF($F$90="","----------",FIXED(U95-$U$90,'Registo Calibração'!$AI$15))</f>
        <v>----------</v>
      </c>
      <c r="AK95" s="1290"/>
      <c r="AL95" s="1290"/>
      <c r="AM95" s="1290"/>
      <c r="AN95" s="1290"/>
      <c r="AO95" s="1290"/>
      <c r="AP95" s="1290"/>
      <c r="AQ95" s="1290"/>
      <c r="AR95" s="1290"/>
      <c r="AS95" s="1290"/>
      <c r="AT95" s="1290"/>
      <c r="AU95" s="1290"/>
      <c r="AW95" s="406"/>
      <c r="FK95" s="46"/>
      <c r="FL95" s="46"/>
      <c r="FM95" s="46"/>
      <c r="FN95" s="46"/>
      <c r="FO95" s="46"/>
      <c r="FP95" s="46"/>
      <c r="FQ95" s="46"/>
      <c r="FR95" s="46"/>
      <c r="FS95" s="46"/>
      <c r="FT95" s="46"/>
      <c r="FU95" s="46"/>
      <c r="FV95" s="46"/>
      <c r="FW95" s="46"/>
      <c r="FX95" s="46"/>
      <c r="FY95" s="46"/>
      <c r="FZ95" s="46"/>
      <c r="GA95" s="46"/>
      <c r="GB95" s="46"/>
      <c r="GC95" s="46"/>
      <c r="GD95" s="46"/>
      <c r="GE95" s="46"/>
      <c r="GF95" s="46"/>
      <c r="GG95" s="46"/>
      <c r="GH95" s="46"/>
    </row>
    <row r="96" spans="1:190" s="47" customFormat="1" ht="15" hidden="1">
      <c r="Q96" s="1199">
        <v>7</v>
      </c>
      <c r="R96" s="1199"/>
      <c r="S96" s="1199"/>
      <c r="U96" s="1222">
        <f>IF($F$90="",0,IF('Registo Calibração'!G26="-------",0,'Registo Calibração'!G26))</f>
        <v>0</v>
      </c>
      <c r="V96" s="1222"/>
      <c r="W96" s="1222"/>
      <c r="X96" s="1222"/>
      <c r="Y96" s="1222"/>
      <c r="Z96" s="1222"/>
      <c r="AA96" s="1222"/>
      <c r="AB96" s="1222"/>
      <c r="AC96" s="1222"/>
      <c r="AD96" s="1222"/>
      <c r="AE96" s="1222"/>
      <c r="AF96" s="1222"/>
      <c r="AG96" s="1222"/>
      <c r="AH96" s="1222"/>
      <c r="AJ96" s="1290" t="str">
        <f>IF($F$90="","----------",FIXED(U96-$U$90,'Registo Calibração'!$AI$15))</f>
        <v>----------</v>
      </c>
      <c r="AK96" s="1290"/>
      <c r="AL96" s="1290"/>
      <c r="AM96" s="1290"/>
      <c r="AN96" s="1290"/>
      <c r="AO96" s="1290"/>
      <c r="AP96" s="1290"/>
      <c r="AQ96" s="1290"/>
      <c r="AR96" s="1290"/>
      <c r="AS96" s="1290"/>
      <c r="AT96" s="1290"/>
      <c r="AU96" s="1290"/>
      <c r="AW96" s="406"/>
      <c r="FK96" s="46"/>
      <c r="FL96" s="46"/>
      <c r="FM96" s="46"/>
      <c r="FN96" s="46"/>
      <c r="FO96" s="46"/>
      <c r="FP96" s="46"/>
      <c r="FQ96" s="46"/>
      <c r="FR96" s="46"/>
      <c r="FS96" s="46"/>
      <c r="FT96" s="46"/>
      <c r="FU96" s="46"/>
      <c r="FV96" s="46"/>
      <c r="FW96" s="46"/>
      <c r="FX96" s="46"/>
      <c r="FY96" s="46"/>
      <c r="FZ96" s="46"/>
      <c r="GA96" s="46"/>
      <c r="GB96" s="46"/>
      <c r="GC96" s="46"/>
      <c r="GD96" s="46"/>
      <c r="GE96" s="46"/>
      <c r="GF96" s="46"/>
      <c r="GG96" s="46"/>
      <c r="GH96" s="46"/>
    </row>
    <row r="97" spans="2:190" s="47" customFormat="1" ht="15" hidden="1" customHeight="1">
      <c r="Q97" s="1199">
        <v>8</v>
      </c>
      <c r="R97" s="1199"/>
      <c r="S97" s="1199"/>
      <c r="U97" s="1222">
        <f>IF($F$90="",0,IF('Registo Calibração'!H26="-------",0,'Registo Calibração'!H26))</f>
        <v>0</v>
      </c>
      <c r="V97" s="1222"/>
      <c r="W97" s="1222"/>
      <c r="X97" s="1222"/>
      <c r="Y97" s="1222"/>
      <c r="Z97" s="1222"/>
      <c r="AA97" s="1222"/>
      <c r="AB97" s="1222"/>
      <c r="AC97" s="1222"/>
      <c r="AD97" s="1222"/>
      <c r="AE97" s="1222"/>
      <c r="AF97" s="1222"/>
      <c r="AG97" s="1222"/>
      <c r="AH97" s="1222"/>
      <c r="AJ97" s="1290" t="str">
        <f>IF($F$90="","----------",FIXED(U97-$U$90,'Registo Calibração'!$AI$15))</f>
        <v>----------</v>
      </c>
      <c r="AK97" s="1290"/>
      <c r="AL97" s="1290"/>
      <c r="AM97" s="1290"/>
      <c r="AN97" s="1290"/>
      <c r="AO97" s="1290"/>
      <c r="AP97" s="1290"/>
      <c r="AQ97" s="1290"/>
      <c r="AR97" s="1290"/>
      <c r="AS97" s="1290"/>
      <c r="AT97" s="1290"/>
      <c r="AU97" s="1290"/>
      <c r="AW97" s="406"/>
      <c r="FK97" s="46"/>
      <c r="FL97" s="46"/>
      <c r="FM97" s="46"/>
      <c r="FN97" s="46"/>
      <c r="FO97" s="46"/>
      <c r="FP97" s="46"/>
      <c r="FQ97" s="46"/>
      <c r="FR97" s="46"/>
      <c r="FS97" s="46"/>
      <c r="FT97" s="46"/>
      <c r="FU97" s="46"/>
      <c r="FV97" s="46"/>
      <c r="FW97" s="46"/>
      <c r="FX97" s="46"/>
      <c r="FY97" s="46"/>
      <c r="FZ97" s="46"/>
      <c r="GA97" s="46"/>
      <c r="GB97" s="46"/>
      <c r="GC97" s="46"/>
      <c r="GD97" s="46"/>
      <c r="GE97" s="46"/>
      <c r="GF97" s="46"/>
      <c r="GG97" s="46"/>
      <c r="GH97" s="46"/>
    </row>
    <row r="98" spans="2:190" s="47" customFormat="1" ht="15" hidden="1">
      <c r="Q98" s="1199">
        <v>9</v>
      </c>
      <c r="R98" s="1199"/>
      <c r="S98" s="1199"/>
      <c r="U98" s="1222">
        <f>IF($F$90="",0,IF('Registo Calibração'!I26="-------",0,'Registo Calibração'!I26))</f>
        <v>0</v>
      </c>
      <c r="V98" s="1222"/>
      <c r="W98" s="1222"/>
      <c r="X98" s="1222"/>
      <c r="Y98" s="1222"/>
      <c r="Z98" s="1222"/>
      <c r="AA98" s="1222"/>
      <c r="AB98" s="1222"/>
      <c r="AC98" s="1222"/>
      <c r="AD98" s="1222"/>
      <c r="AE98" s="1222"/>
      <c r="AF98" s="1222"/>
      <c r="AG98" s="1222"/>
      <c r="AH98" s="1222"/>
      <c r="AJ98" s="1290" t="str">
        <f>IF($F$90="","----------",FIXED(U98-$U$90,'Registo Calibração'!$AI$15))</f>
        <v>----------</v>
      </c>
      <c r="AK98" s="1290"/>
      <c r="AL98" s="1290"/>
      <c r="AM98" s="1290"/>
      <c r="AN98" s="1290"/>
      <c r="AO98" s="1290"/>
      <c r="AP98" s="1290"/>
      <c r="AQ98" s="1290"/>
      <c r="AR98" s="1290"/>
      <c r="AS98" s="1290"/>
      <c r="AT98" s="1290"/>
      <c r="AU98" s="1290"/>
      <c r="AW98" s="406"/>
      <c r="FK98" s="46"/>
      <c r="FL98" s="46"/>
      <c r="FM98" s="46"/>
      <c r="FN98" s="46"/>
      <c r="FO98" s="46"/>
      <c r="FP98" s="46"/>
      <c r="FQ98" s="46"/>
      <c r="FR98" s="46"/>
      <c r="FS98" s="46"/>
      <c r="FT98" s="46"/>
      <c r="FU98" s="46"/>
      <c r="FV98" s="46"/>
      <c r="FW98" s="46"/>
      <c r="FX98" s="46"/>
      <c r="FY98" s="46"/>
      <c r="FZ98" s="46"/>
      <c r="GA98" s="46"/>
      <c r="GB98" s="46"/>
      <c r="GC98" s="46"/>
      <c r="GD98" s="46"/>
      <c r="GE98" s="46"/>
      <c r="GF98" s="46"/>
      <c r="GG98" s="46"/>
      <c r="GH98" s="46"/>
    </row>
    <row r="99" spans="2:190" s="47" customFormat="1" ht="15" hidden="1" customHeight="1">
      <c r="Q99" s="1199">
        <v>10</v>
      </c>
      <c r="R99" s="1199"/>
      <c r="S99" s="1199"/>
      <c r="U99" s="1222">
        <f>IF($F$90="",0,IF('Registo Calibração'!J26="-------",0,'Registo Calibração'!J26))</f>
        <v>0</v>
      </c>
      <c r="V99" s="1222"/>
      <c r="W99" s="1222"/>
      <c r="X99" s="1222"/>
      <c r="Y99" s="1222"/>
      <c r="Z99" s="1222"/>
      <c r="AA99" s="1222"/>
      <c r="AB99" s="1222"/>
      <c r="AC99" s="1222"/>
      <c r="AD99" s="1222"/>
      <c r="AE99" s="1222"/>
      <c r="AF99" s="1222"/>
      <c r="AG99" s="1222"/>
      <c r="AH99" s="1222"/>
      <c r="AJ99" s="1290" t="str">
        <f>IF($F$90="","----------",FIXED(U99-$U$90,'Registo Calibração'!$AI$15))</f>
        <v>----------</v>
      </c>
      <c r="AK99" s="1290"/>
      <c r="AL99" s="1290"/>
      <c r="AM99" s="1290"/>
      <c r="AN99" s="1290"/>
      <c r="AO99" s="1290"/>
      <c r="AP99" s="1290"/>
      <c r="AQ99" s="1290"/>
      <c r="AR99" s="1290"/>
      <c r="AS99" s="1290"/>
      <c r="AT99" s="1290"/>
      <c r="AU99" s="1290"/>
      <c r="AW99" s="406"/>
      <c r="FK99" s="46"/>
      <c r="FL99" s="46"/>
      <c r="FM99" s="46"/>
      <c r="FN99" s="46"/>
      <c r="FO99" s="46"/>
      <c r="FP99" s="46"/>
      <c r="FQ99" s="46"/>
      <c r="FR99" s="46"/>
      <c r="FS99" s="46"/>
      <c r="FT99" s="46"/>
      <c r="FU99" s="46"/>
      <c r="FV99" s="46"/>
      <c r="FW99" s="46"/>
      <c r="FX99" s="46"/>
      <c r="FY99" s="46"/>
      <c r="FZ99" s="46"/>
      <c r="GA99" s="46"/>
      <c r="GB99" s="46"/>
      <c r="GC99" s="46"/>
      <c r="GD99" s="46"/>
      <c r="GE99" s="46"/>
      <c r="GF99" s="46"/>
      <c r="GG99" s="46"/>
      <c r="GH99" s="46"/>
    </row>
    <row r="100" spans="2:190" s="47" customFormat="1" ht="15" hidden="1">
      <c r="Q100" s="1199">
        <v>11</v>
      </c>
      <c r="R100" s="1199"/>
      <c r="S100" s="1199"/>
      <c r="U100" s="1222">
        <f>IF($F$90="",0,IF('Registo Calibração'!K26="-------",0,'Registo Calibração'!K26))</f>
        <v>0</v>
      </c>
      <c r="V100" s="1222"/>
      <c r="W100" s="1222"/>
      <c r="X100" s="1222"/>
      <c r="Y100" s="1222"/>
      <c r="Z100" s="1222"/>
      <c r="AA100" s="1222"/>
      <c r="AB100" s="1222"/>
      <c r="AC100" s="1222"/>
      <c r="AD100" s="1222"/>
      <c r="AE100" s="1222"/>
      <c r="AF100" s="1222"/>
      <c r="AG100" s="1222"/>
      <c r="AH100" s="1222"/>
      <c r="AJ100" s="1290" t="str">
        <f>IF($F$90="","----------",FIXED(U100-$U$90,'Registo Calibração'!$AI$15))</f>
        <v>----------</v>
      </c>
      <c r="AK100" s="1290"/>
      <c r="AL100" s="1290"/>
      <c r="AM100" s="1290"/>
      <c r="AN100" s="1290"/>
      <c r="AO100" s="1290"/>
      <c r="AP100" s="1290"/>
      <c r="AQ100" s="1290"/>
      <c r="AR100" s="1290"/>
      <c r="AS100" s="1290"/>
      <c r="AT100" s="1290"/>
      <c r="AU100" s="1290"/>
      <c r="AW100" s="406"/>
      <c r="FK100" s="46"/>
      <c r="FL100" s="46"/>
      <c r="FM100" s="46"/>
      <c r="FN100" s="46"/>
      <c r="FO100" s="46"/>
      <c r="FP100" s="46"/>
      <c r="FQ100" s="46"/>
      <c r="FR100" s="46"/>
      <c r="FS100" s="46"/>
      <c r="FT100" s="46"/>
      <c r="FU100" s="46"/>
      <c r="FV100" s="46"/>
      <c r="FW100" s="46"/>
      <c r="FX100" s="46"/>
      <c r="FY100" s="46"/>
      <c r="FZ100" s="46"/>
      <c r="GA100" s="46"/>
      <c r="GB100" s="46"/>
      <c r="GC100" s="46"/>
      <c r="GD100" s="46"/>
      <c r="GE100" s="46"/>
      <c r="GF100" s="46"/>
      <c r="GG100" s="46"/>
      <c r="GH100" s="46"/>
    </row>
    <row r="101" spans="2:190" s="47" customFormat="1" ht="48.75" customHeight="1">
      <c r="B101" s="1239" t="str">
        <f>IF($F$90="","Ensaio não aplicável.",CONCATENATE("O Erro de Excentricidade Máximo, calculado pela maior diferença de indicação entre cada posição e o centro (posição 1), para a carga considerada de ",'Registo Calibração'!I23," ",'Registo Calibração'!J23,", foi de ",'Registo Calibração'!L26," ",'Registo Calibração'!M26,"."))</f>
        <v>Ensaio não aplicável.</v>
      </c>
      <c r="C101" s="1239"/>
      <c r="D101" s="1239"/>
      <c r="E101" s="1239"/>
      <c r="F101" s="1239"/>
      <c r="G101" s="1239"/>
      <c r="H101" s="1239"/>
      <c r="I101" s="1239"/>
      <c r="J101" s="1239"/>
      <c r="K101" s="1239"/>
      <c r="L101" s="1239"/>
      <c r="M101" s="1239"/>
      <c r="N101" s="1239"/>
      <c r="O101" s="1239"/>
      <c r="P101" s="1239"/>
      <c r="Q101" s="1239"/>
      <c r="R101" s="1239"/>
      <c r="S101" s="1239"/>
      <c r="T101" s="1239"/>
      <c r="U101" s="1239"/>
      <c r="V101" s="1239"/>
      <c r="W101" s="1239"/>
      <c r="X101" s="1239"/>
      <c r="Y101" s="1239"/>
      <c r="Z101" s="1239"/>
      <c r="AA101" s="1239"/>
      <c r="AB101" s="1239"/>
      <c r="AC101" s="1239"/>
      <c r="AD101" s="1239"/>
      <c r="AE101" s="1239"/>
      <c r="AF101" s="1239"/>
      <c r="AG101" s="1239"/>
      <c r="AH101" s="1239"/>
      <c r="AI101" s="1239"/>
      <c r="AJ101" s="1239"/>
      <c r="AK101" s="1239"/>
      <c r="AL101" s="1239"/>
      <c r="AM101" s="1239"/>
      <c r="AN101" s="1239"/>
      <c r="AO101" s="1239"/>
      <c r="AP101" s="1239"/>
      <c r="AQ101" s="1239"/>
      <c r="AR101" s="1239"/>
      <c r="AS101" s="1239"/>
      <c r="AT101" s="1239"/>
      <c r="AU101" s="1239"/>
      <c r="AV101" s="1239"/>
      <c r="AW101" s="406"/>
      <c r="FK101" s="46"/>
      <c r="FL101" s="46"/>
      <c r="FM101" s="46"/>
      <c r="FN101" s="46"/>
      <c r="FO101" s="46"/>
      <c r="FP101" s="46"/>
      <c r="FQ101" s="46"/>
      <c r="FR101" s="46"/>
      <c r="FS101" s="46"/>
      <c r="FT101" s="46"/>
      <c r="FU101" s="46"/>
      <c r="FV101" s="46"/>
      <c r="FW101" s="46"/>
      <c r="FX101" s="46"/>
      <c r="FY101" s="46"/>
      <c r="FZ101" s="46"/>
      <c r="GA101" s="46"/>
      <c r="GB101" s="46"/>
      <c r="GC101" s="46"/>
      <c r="GD101" s="46"/>
      <c r="GE101" s="46"/>
      <c r="GF101" s="46"/>
      <c r="GG101" s="46"/>
      <c r="GH101" s="46"/>
    </row>
    <row r="102" spans="2:190" s="47" customFormat="1" ht="5.25" customHeight="1">
      <c r="B102" s="473"/>
      <c r="C102" s="473"/>
      <c r="D102" s="473"/>
      <c r="E102" s="473"/>
      <c r="F102" s="473"/>
      <c r="G102" s="473"/>
      <c r="H102" s="473"/>
      <c r="I102" s="473"/>
      <c r="J102" s="473"/>
      <c r="K102" s="473"/>
      <c r="L102" s="473"/>
      <c r="M102" s="473"/>
      <c r="N102" s="473"/>
      <c r="O102" s="473"/>
      <c r="P102" s="473"/>
      <c r="Q102" s="473"/>
      <c r="R102" s="473"/>
      <c r="S102" s="473"/>
      <c r="T102" s="473"/>
      <c r="U102" s="473"/>
      <c r="V102" s="473"/>
      <c r="W102" s="473"/>
      <c r="X102" s="473"/>
      <c r="Y102" s="473"/>
      <c r="Z102" s="473"/>
      <c r="AA102" s="473"/>
      <c r="AB102" s="473"/>
      <c r="AC102" s="473"/>
      <c r="AD102" s="473"/>
      <c r="AE102" s="473"/>
      <c r="AF102" s="473"/>
      <c r="AG102" s="473"/>
      <c r="AH102" s="473"/>
      <c r="AI102" s="473"/>
      <c r="AJ102" s="473"/>
      <c r="AK102" s="473"/>
      <c r="AL102" s="473"/>
      <c r="AM102" s="473"/>
      <c r="AN102" s="473"/>
      <c r="AO102" s="473"/>
      <c r="AP102" s="473"/>
      <c r="AQ102" s="473"/>
      <c r="AR102" s="473"/>
      <c r="AS102" s="473"/>
      <c r="AT102" s="473"/>
      <c r="AU102" s="473"/>
      <c r="AW102" s="406"/>
      <c r="FK102" s="46"/>
      <c r="FL102" s="46"/>
      <c r="FM102" s="46"/>
      <c r="FN102" s="46"/>
      <c r="FO102" s="46"/>
      <c r="FP102" s="46"/>
      <c r="FQ102" s="46"/>
      <c r="FR102" s="46"/>
      <c r="FS102" s="46"/>
      <c r="FT102" s="46"/>
      <c r="FU102" s="46"/>
      <c r="FV102" s="46"/>
      <c r="FW102" s="46"/>
      <c r="FX102" s="46"/>
      <c r="FY102" s="46"/>
      <c r="FZ102" s="46"/>
      <c r="GA102" s="46"/>
      <c r="GB102" s="46"/>
      <c r="GC102" s="46"/>
      <c r="GD102" s="46"/>
      <c r="GE102" s="46"/>
      <c r="GF102" s="46"/>
      <c r="GG102" s="46"/>
      <c r="GH102" s="46"/>
    </row>
    <row r="103" spans="2:190" s="47" customFormat="1" ht="15">
      <c r="B103" s="1221" t="s">
        <v>420</v>
      </c>
      <c r="C103" s="1221"/>
      <c r="D103" s="1221"/>
      <c r="E103" s="1221"/>
      <c r="F103" s="1221"/>
      <c r="G103" s="1221"/>
      <c r="H103" s="1221"/>
      <c r="I103" s="1221"/>
      <c r="J103" s="1221"/>
      <c r="K103" s="1221"/>
      <c r="L103" s="1221"/>
      <c r="M103" s="1221"/>
      <c r="N103" s="1221"/>
      <c r="O103" s="1221"/>
      <c r="P103" s="1221"/>
      <c r="Q103" s="1221"/>
      <c r="R103" s="1221"/>
      <c r="S103" s="1221"/>
      <c r="T103" s="1221"/>
      <c r="U103" s="1221"/>
      <c r="V103" s="1221"/>
      <c r="W103" s="1221"/>
      <c r="X103" s="1221"/>
      <c r="Y103" s="1221"/>
      <c r="Z103" s="1221"/>
      <c r="AA103" s="1221"/>
      <c r="AB103" s="1221"/>
      <c r="AC103" s="1221"/>
      <c r="AD103" s="1221"/>
      <c r="AE103" s="1221"/>
      <c r="AF103" s="1221"/>
      <c r="AG103" s="1221"/>
      <c r="AH103" s="1221"/>
      <c r="AI103" s="1221"/>
      <c r="AJ103" s="1221"/>
      <c r="AK103" s="1221"/>
      <c r="AL103" s="1221"/>
      <c r="AM103" s="1221"/>
      <c r="AN103" s="1221"/>
      <c r="AO103" s="1221"/>
      <c r="AP103" s="1221"/>
      <c r="AQ103" s="1221"/>
      <c r="AR103" s="1221"/>
      <c r="AS103" s="1221"/>
      <c r="AT103" s="1221"/>
      <c r="AU103" s="1221"/>
      <c r="AV103" s="1221"/>
      <c r="AW103" s="406"/>
      <c r="FK103" s="46"/>
      <c r="FL103" s="46"/>
      <c r="FM103" s="46"/>
      <c r="FN103" s="46"/>
      <c r="FO103" s="46"/>
      <c r="FP103" s="46"/>
      <c r="FQ103" s="46"/>
      <c r="FR103" s="46"/>
      <c r="FS103" s="46"/>
      <c r="FT103" s="46"/>
      <c r="FU103" s="46"/>
      <c r="FV103" s="46"/>
      <c r="FW103" s="46"/>
      <c r="FX103" s="46"/>
      <c r="FY103" s="46"/>
      <c r="FZ103" s="46"/>
      <c r="GA103" s="46"/>
      <c r="GB103" s="46"/>
      <c r="GC103" s="46"/>
      <c r="GD103" s="46"/>
      <c r="GE103" s="46"/>
      <c r="GF103" s="46"/>
      <c r="GG103" s="46"/>
      <c r="GH103" s="46"/>
    </row>
    <row r="104" spans="2:190" s="47" customFormat="1" ht="4.5" customHeight="1">
      <c r="B104" s="474"/>
      <c r="C104" s="474"/>
      <c r="D104" s="474"/>
      <c r="E104" s="474"/>
      <c r="F104" s="474"/>
      <c r="G104" s="474"/>
      <c r="H104" s="474"/>
      <c r="I104" s="474"/>
      <c r="J104" s="474"/>
      <c r="K104" s="474"/>
      <c r="L104" s="474"/>
      <c r="M104" s="64"/>
      <c r="N104" s="64"/>
      <c r="O104" s="474"/>
      <c r="P104" s="474"/>
      <c r="Q104" s="474"/>
      <c r="R104" s="474"/>
      <c r="S104" s="474"/>
      <c r="T104" s="474"/>
      <c r="U104" s="474"/>
      <c r="V104" s="474"/>
      <c r="W104" s="474"/>
      <c r="X104" s="474"/>
      <c r="Y104" s="474"/>
      <c r="Z104" s="474"/>
      <c r="AA104" s="474"/>
      <c r="AB104" s="474"/>
      <c r="AC104" s="474"/>
      <c r="AD104" s="474"/>
      <c r="AE104" s="474"/>
      <c r="AF104" s="474"/>
      <c r="AG104" s="474"/>
      <c r="AH104" s="474"/>
      <c r="AI104" s="474"/>
      <c r="AJ104" s="474"/>
      <c r="AK104" s="474"/>
      <c r="AL104" s="474"/>
      <c r="AM104" s="474"/>
      <c r="AN104" s="474"/>
      <c r="AO104" s="474"/>
      <c r="AP104" s="474"/>
      <c r="AQ104" s="474"/>
      <c r="AR104" s="474"/>
      <c r="AS104" s="474"/>
      <c r="AT104" s="474"/>
      <c r="AU104" s="474"/>
      <c r="AW104" s="406"/>
      <c r="FK104" s="46"/>
      <c r="FL104" s="46"/>
      <c r="FM104" s="46"/>
      <c r="FN104" s="46"/>
      <c r="FO104" s="46"/>
      <c r="FP104" s="46"/>
      <c r="FQ104" s="46"/>
      <c r="FR104" s="46"/>
      <c r="FS104" s="46"/>
      <c r="FT104" s="46"/>
      <c r="FU104" s="46"/>
      <c r="FV104" s="46"/>
      <c r="FW104" s="46"/>
      <c r="FX104" s="46"/>
      <c r="FY104" s="46"/>
      <c r="FZ104" s="46"/>
      <c r="GA104" s="46"/>
      <c r="GB104" s="46"/>
      <c r="GC104" s="46"/>
      <c r="GD104" s="46"/>
      <c r="GE104" s="46"/>
      <c r="GF104" s="46"/>
      <c r="GG104" s="46"/>
      <c r="GH104" s="46"/>
    </row>
    <row r="105" spans="2:190" s="47" customFormat="1" ht="16.5">
      <c r="B105" s="1221" t="s">
        <v>285</v>
      </c>
      <c r="C105" s="1221"/>
      <c r="D105" s="1221"/>
      <c r="E105" s="1221"/>
      <c r="F105" s="1221"/>
      <c r="G105" s="1221"/>
      <c r="H105" s="1221"/>
      <c r="I105" s="1221"/>
      <c r="J105" s="1221"/>
      <c r="K105" s="380"/>
      <c r="L105" s="1221" t="s">
        <v>411</v>
      </c>
      <c r="M105" s="1221"/>
      <c r="N105" s="1221"/>
      <c r="O105" s="1221"/>
      <c r="P105" s="1221"/>
      <c r="Q105" s="1221"/>
      <c r="R105" s="1221"/>
      <c r="S105" s="1221"/>
      <c r="T105" s="1221"/>
      <c r="U105" s="1221"/>
      <c r="V105" s="1221"/>
      <c r="W105" s="474"/>
      <c r="X105" s="1221" t="s">
        <v>2</v>
      </c>
      <c r="Y105" s="1221"/>
      <c r="Z105" s="1221"/>
      <c r="AA105" s="1221"/>
      <c r="AB105" s="1221"/>
      <c r="AC105" s="1221"/>
      <c r="AD105" s="1221"/>
      <c r="AE105" s="1221"/>
      <c r="AF105" s="1221"/>
      <c r="AG105" s="1221"/>
      <c r="AH105" s="470"/>
      <c r="AI105" s="1256" t="s">
        <v>421</v>
      </c>
      <c r="AJ105" s="1256"/>
      <c r="AK105" s="1256"/>
      <c r="AL105" s="474"/>
      <c r="AM105" s="1257" t="s">
        <v>6</v>
      </c>
      <c r="AN105" s="1257"/>
      <c r="AO105" s="1257"/>
      <c r="AP105" s="1257"/>
      <c r="AQ105" s="470"/>
      <c r="AR105" s="1257" t="s">
        <v>7</v>
      </c>
      <c r="AS105" s="1257"/>
      <c r="AT105" s="1257"/>
      <c r="AU105" s="1257"/>
      <c r="AV105" s="1257"/>
      <c r="AW105" s="406"/>
      <c r="FK105" s="46"/>
      <c r="FL105" s="46"/>
      <c r="FM105" s="46"/>
      <c r="FN105" s="46"/>
      <c r="FO105" s="46"/>
      <c r="FP105" s="46"/>
      <c r="FQ105" s="46"/>
      <c r="FR105" s="46"/>
      <c r="FS105" s="46"/>
      <c r="FT105" s="46"/>
      <c r="FU105" s="46"/>
      <c r="FV105" s="46"/>
      <c r="FW105" s="46"/>
      <c r="FX105" s="46"/>
      <c r="FY105" s="46"/>
      <c r="FZ105" s="46"/>
      <c r="GA105" s="46"/>
      <c r="GB105" s="46"/>
      <c r="GC105" s="46"/>
      <c r="GD105" s="46"/>
      <c r="GE105" s="46"/>
      <c r="GF105" s="46"/>
      <c r="GG105" s="46"/>
      <c r="GH105" s="46"/>
    </row>
    <row r="106" spans="2:190" s="47" customFormat="1" ht="18.75" customHeight="1">
      <c r="B106" s="1255" t="str">
        <f>CONCATENATE("[ ",$AV$69," ]")</f>
        <v>[ g ]</v>
      </c>
      <c r="C106" s="1255"/>
      <c r="D106" s="1255"/>
      <c r="E106" s="1255"/>
      <c r="F106" s="1255"/>
      <c r="G106" s="1255"/>
      <c r="H106" s="1255"/>
      <c r="I106" s="1255"/>
      <c r="J106" s="1255"/>
      <c r="K106" s="476"/>
      <c r="L106" s="1255" t="str">
        <f>CONCATENATE("I ","[ ",$AV$69," ]")</f>
        <v>I [ g ]</v>
      </c>
      <c r="M106" s="1255"/>
      <c r="N106" s="1255"/>
      <c r="O106" s="1255"/>
      <c r="P106" s="1255"/>
      <c r="Q106" s="1255"/>
      <c r="R106" s="1255"/>
      <c r="S106" s="1255"/>
      <c r="T106" s="1255"/>
      <c r="U106" s="1255"/>
      <c r="V106" s="1255"/>
      <c r="W106" s="474"/>
      <c r="X106" s="1255" t="str">
        <f>CONCATENATE("E ","[ ",$AV$69," ]")</f>
        <v>E [ g ]</v>
      </c>
      <c r="Y106" s="1255"/>
      <c r="Z106" s="1255"/>
      <c r="AA106" s="1255"/>
      <c r="AB106" s="1255"/>
      <c r="AC106" s="1255"/>
      <c r="AD106" s="1255"/>
      <c r="AE106" s="1255"/>
      <c r="AF106" s="1255"/>
      <c r="AG106" s="1255"/>
      <c r="AH106" s="470"/>
      <c r="AI106" s="1256"/>
      <c r="AJ106" s="1256"/>
      <c r="AK106" s="1256"/>
      <c r="AL106" s="474"/>
      <c r="AM106" s="1257"/>
      <c r="AN106" s="1257"/>
      <c r="AO106" s="1257"/>
      <c r="AP106" s="1257"/>
      <c r="AQ106" s="470"/>
      <c r="AR106" s="1244" t="s">
        <v>422</v>
      </c>
      <c r="AS106" s="1245"/>
      <c r="AT106" s="1261" t="str">
        <f>CONCATENATE("[ ",$AV$69," ]")</f>
        <v>[ g ]</v>
      </c>
      <c r="AU106" s="1261"/>
      <c r="AV106" s="1261"/>
      <c r="AW106" s="406"/>
      <c r="FK106" s="46"/>
      <c r="FL106" s="46"/>
      <c r="FM106" s="46"/>
      <c r="FN106" s="46"/>
      <c r="FO106" s="46"/>
      <c r="FP106" s="46"/>
      <c r="FQ106" s="46"/>
      <c r="FR106" s="46"/>
      <c r="FS106" s="46"/>
      <c r="FT106" s="46"/>
      <c r="FU106" s="46"/>
      <c r="FV106" s="46"/>
      <c r="FW106" s="46"/>
      <c r="FX106" s="46"/>
      <c r="FY106" s="46"/>
      <c r="FZ106" s="46"/>
      <c r="GA106" s="46"/>
      <c r="GB106" s="46"/>
      <c r="GC106" s="46"/>
      <c r="GD106" s="46"/>
      <c r="GE106" s="46"/>
      <c r="GF106" s="46"/>
      <c r="GG106" s="46"/>
      <c r="GH106" s="46"/>
    </row>
    <row r="107" spans="2:190" s="47" customFormat="1" ht="11.1" hidden="1" customHeight="1">
      <c r="B107" s="476"/>
      <c r="C107" s="476"/>
      <c r="D107" s="476"/>
      <c r="E107" s="476"/>
      <c r="F107" s="476"/>
      <c r="G107" s="476"/>
      <c r="H107" s="476"/>
      <c r="I107" s="476"/>
      <c r="J107" s="476"/>
      <c r="K107" s="476"/>
      <c r="L107" s="476"/>
      <c r="M107" s="476"/>
      <c r="N107" s="476"/>
      <c r="O107" s="474"/>
      <c r="P107" s="474"/>
      <c r="Q107" s="474"/>
      <c r="R107" s="474"/>
      <c r="S107" s="474"/>
      <c r="T107" s="474"/>
      <c r="U107" s="474"/>
      <c r="V107" s="474"/>
      <c r="W107" s="474"/>
      <c r="X107" s="474"/>
      <c r="Y107" s="474"/>
      <c r="Z107" s="474"/>
      <c r="AA107" s="474"/>
      <c r="AB107" s="474"/>
      <c r="AC107" s="470"/>
      <c r="AD107" s="470"/>
      <c r="AE107" s="470"/>
      <c r="AF107" s="470"/>
      <c r="AG107" s="470"/>
      <c r="AH107" s="470"/>
      <c r="AI107" s="470"/>
      <c r="AJ107" s="470"/>
      <c r="AK107" s="470"/>
      <c r="AL107" s="470"/>
      <c r="AM107" s="470"/>
      <c r="AN107" s="470"/>
      <c r="AO107" s="470"/>
      <c r="AP107" s="470"/>
      <c r="AQ107" s="470"/>
      <c r="AR107" s="470"/>
      <c r="AS107" s="470"/>
      <c r="AW107" s="406"/>
      <c r="FK107" s="46"/>
      <c r="FL107" s="46"/>
      <c r="FM107" s="46"/>
      <c r="FN107" s="46"/>
      <c r="FO107" s="46"/>
      <c r="FP107" s="46"/>
      <c r="FQ107" s="46"/>
      <c r="FR107" s="46"/>
      <c r="FS107" s="46"/>
      <c r="FT107" s="46"/>
      <c r="FU107" s="46"/>
      <c r="FV107" s="46"/>
      <c r="FW107" s="46"/>
      <c r="FX107" s="46"/>
      <c r="FY107" s="46"/>
      <c r="FZ107" s="46"/>
      <c r="GA107" s="46"/>
      <c r="GB107" s="46"/>
      <c r="GC107" s="46"/>
      <c r="GD107" s="46"/>
      <c r="GE107" s="46"/>
      <c r="GF107" s="46"/>
      <c r="GG107" s="46"/>
      <c r="GH107" s="46"/>
    </row>
    <row r="108" spans="2:190" s="47" customFormat="1" ht="15.75" customHeight="1">
      <c r="B108" s="1223">
        <f>'Registo Calibração'!D31</f>
        <v>0</v>
      </c>
      <c r="C108" s="1223"/>
      <c r="D108" s="1223"/>
      <c r="E108" s="1223"/>
      <c r="F108" s="1223"/>
      <c r="G108" s="1223"/>
      <c r="H108" s="1223"/>
      <c r="I108" s="1223"/>
      <c r="J108" s="1223"/>
      <c r="K108" s="477"/>
      <c r="L108" s="1223" t="str">
        <f>'Registo Calibração'!H31</f>
        <v>0,0000000</v>
      </c>
      <c r="M108" s="1223"/>
      <c r="N108" s="1223"/>
      <c r="O108" s="1223"/>
      <c r="P108" s="1223"/>
      <c r="Q108" s="1223"/>
      <c r="R108" s="1223"/>
      <c r="S108" s="1223"/>
      <c r="T108" s="1223"/>
      <c r="U108" s="1223"/>
      <c r="V108" s="1223"/>
      <c r="W108" s="478"/>
      <c r="X108" s="1220" t="str">
        <f>'Registo Calibração'!I31</f>
        <v>0,0000000</v>
      </c>
      <c r="Y108" s="1220"/>
      <c r="Z108" s="1220"/>
      <c r="AA108" s="1220"/>
      <c r="AB108" s="1220"/>
      <c r="AC108" s="1220"/>
      <c r="AD108" s="1220"/>
      <c r="AE108" s="1220"/>
      <c r="AF108" s="1220"/>
      <c r="AG108" s="1220"/>
      <c r="AH108" s="479"/>
      <c r="AI108" s="1223" t="str">
        <f>'Registo Calibração'!J31</f>
        <v>&gt; 500</v>
      </c>
      <c r="AJ108" s="1220"/>
      <c r="AK108" s="1220"/>
      <c r="AL108" s="479"/>
      <c r="AM108" s="1219">
        <f>'Registo Calibração'!K31</f>
        <v>2</v>
      </c>
      <c r="AN108" s="1220"/>
      <c r="AO108" s="1220"/>
      <c r="AP108" s="1220"/>
      <c r="AQ108" s="479"/>
      <c r="AR108" s="1220" t="str">
        <f>'Registo Calibração'!L31</f>
        <v>0,0000000</v>
      </c>
      <c r="AS108" s="1220"/>
      <c r="AT108" s="1220"/>
      <c r="AU108" s="1220"/>
      <c r="AV108" s="1220"/>
      <c r="AW108" s="406"/>
      <c r="FK108" s="46"/>
      <c r="FL108" s="46"/>
      <c r="FM108" s="46"/>
      <c r="FN108" s="46"/>
      <c r="FO108" s="46"/>
      <c r="FP108" s="46"/>
      <c r="FQ108" s="46"/>
      <c r="FR108" s="46"/>
      <c r="FS108" s="46"/>
      <c r="FT108" s="46"/>
      <c r="FU108" s="46"/>
      <c r="FV108" s="46"/>
      <c r="FW108" s="46"/>
      <c r="FX108" s="46"/>
      <c r="FY108" s="46"/>
      <c r="FZ108" s="46"/>
      <c r="GA108" s="46"/>
      <c r="GB108" s="46"/>
      <c r="GC108" s="46"/>
      <c r="GD108" s="46"/>
      <c r="GE108" s="46"/>
      <c r="GF108" s="46"/>
      <c r="GG108" s="46"/>
      <c r="GH108" s="46"/>
    </row>
    <row r="109" spans="2:190" s="47" customFormat="1" ht="15" hidden="1">
      <c r="B109" s="1223" t="str">
        <f>'Registo Calibração'!D34</f>
        <v>0,0</v>
      </c>
      <c r="C109" s="1223"/>
      <c r="D109" s="1223"/>
      <c r="E109" s="1223"/>
      <c r="F109" s="1223"/>
      <c r="G109" s="1223"/>
      <c r="H109" s="1223"/>
      <c r="I109" s="1223"/>
      <c r="J109" s="1223"/>
      <c r="K109" s="477"/>
      <c r="L109" s="1223" t="str">
        <f>'Registo Calibração'!H36</f>
        <v>------</v>
      </c>
      <c r="M109" s="1223"/>
      <c r="N109" s="1223"/>
      <c r="O109" s="1223"/>
      <c r="P109" s="1223"/>
      <c r="Q109" s="1223"/>
      <c r="R109" s="1223"/>
      <c r="S109" s="1223"/>
      <c r="T109" s="1223"/>
      <c r="U109" s="1223"/>
      <c r="V109" s="1223"/>
      <c r="W109" s="478"/>
      <c r="X109" s="1224" t="str">
        <f>'Registo Calibração'!I36</f>
        <v>------</v>
      </c>
      <c r="Y109" s="1220"/>
      <c r="Z109" s="1220"/>
      <c r="AA109" s="1220"/>
      <c r="AB109" s="1220"/>
      <c r="AC109" s="1220"/>
      <c r="AD109" s="1220"/>
      <c r="AE109" s="1220"/>
      <c r="AF109" s="1220"/>
      <c r="AG109" s="1220"/>
      <c r="AH109" s="479"/>
      <c r="AI109" s="1223" t="str">
        <f>'Registo Calibração'!J36</f>
        <v>&gt; 500</v>
      </c>
      <c r="AJ109" s="1220"/>
      <c r="AK109" s="1220"/>
      <c r="AL109" s="479"/>
      <c r="AM109" s="1219" t="e">
        <f>'Registo Calibração'!K36</f>
        <v>#DIV/0!</v>
      </c>
      <c r="AN109" s="1220"/>
      <c r="AO109" s="1220"/>
      <c r="AP109" s="1220"/>
      <c r="AQ109" s="479"/>
      <c r="AR109" s="1224" t="str">
        <f>'Registo Calibração'!L36</f>
        <v>------</v>
      </c>
      <c r="AS109" s="1220"/>
      <c r="AT109" s="1220"/>
      <c r="AU109" s="1220"/>
      <c r="AV109" s="1220"/>
      <c r="AW109" s="406"/>
      <c r="FK109" s="46"/>
      <c r="FL109" s="46"/>
      <c r="FM109" s="46"/>
      <c r="FN109" s="46"/>
      <c r="FO109" s="46"/>
      <c r="FP109" s="46"/>
      <c r="FQ109" s="46"/>
      <c r="FR109" s="46"/>
      <c r="FS109" s="46"/>
      <c r="FT109" s="46"/>
      <c r="FU109" s="46"/>
      <c r="FV109" s="46"/>
      <c r="FW109" s="46"/>
      <c r="FX109" s="46"/>
      <c r="FY109" s="46"/>
      <c r="FZ109" s="46"/>
      <c r="GA109" s="46"/>
      <c r="GB109" s="46"/>
      <c r="GC109" s="46"/>
      <c r="GD109" s="46"/>
      <c r="GE109" s="46"/>
      <c r="GF109" s="46"/>
      <c r="GG109" s="46"/>
      <c r="GH109" s="46"/>
    </row>
    <row r="110" spans="2:190" s="47" customFormat="1" ht="15" hidden="1">
      <c r="B110" s="1223" t="str">
        <f>'Registo Calibração'!D39</f>
        <v>0,0</v>
      </c>
      <c r="C110" s="1223"/>
      <c r="D110" s="1223"/>
      <c r="E110" s="1223"/>
      <c r="F110" s="1223"/>
      <c r="G110" s="1223"/>
      <c r="H110" s="1223"/>
      <c r="I110" s="1223"/>
      <c r="J110" s="1223"/>
      <c r="K110" s="477"/>
      <c r="L110" s="1223" t="str">
        <f>'Registo Calibração'!H41</f>
        <v>------</v>
      </c>
      <c r="M110" s="1223"/>
      <c r="N110" s="1223"/>
      <c r="O110" s="1223"/>
      <c r="P110" s="1223"/>
      <c r="Q110" s="1223"/>
      <c r="R110" s="1223"/>
      <c r="S110" s="1223"/>
      <c r="T110" s="1223"/>
      <c r="U110" s="1223"/>
      <c r="V110" s="1223"/>
      <c r="W110" s="478"/>
      <c r="X110" s="1224" t="str">
        <f>'Registo Calibração'!I41</f>
        <v>------</v>
      </c>
      <c r="Y110" s="1220"/>
      <c r="Z110" s="1220"/>
      <c r="AA110" s="1220"/>
      <c r="AB110" s="1220"/>
      <c r="AC110" s="1220"/>
      <c r="AD110" s="1220"/>
      <c r="AE110" s="1220"/>
      <c r="AF110" s="1220"/>
      <c r="AG110" s="1220"/>
      <c r="AH110" s="479"/>
      <c r="AI110" s="1223" t="str">
        <f>'Registo Calibração'!J41</f>
        <v>&gt; 500</v>
      </c>
      <c r="AJ110" s="1220"/>
      <c r="AK110" s="1220"/>
      <c r="AL110" s="479"/>
      <c r="AM110" s="1219" t="e">
        <f>'Registo Calibração'!K41</f>
        <v>#DIV/0!</v>
      </c>
      <c r="AN110" s="1220"/>
      <c r="AO110" s="1220"/>
      <c r="AP110" s="1220"/>
      <c r="AQ110" s="479"/>
      <c r="AR110" s="1224" t="str">
        <f>'Registo Calibração'!L41</f>
        <v>------</v>
      </c>
      <c r="AS110" s="1220"/>
      <c r="AT110" s="1220"/>
      <c r="AU110" s="1220"/>
      <c r="AV110" s="1220"/>
      <c r="AW110" s="406"/>
      <c r="FK110" s="46"/>
      <c r="FL110" s="46"/>
      <c r="FM110" s="46"/>
      <c r="FN110" s="46"/>
      <c r="FO110" s="46"/>
      <c r="FP110" s="46"/>
      <c r="FQ110" s="46"/>
      <c r="FR110" s="46"/>
      <c r="FS110" s="46"/>
      <c r="FT110" s="46"/>
      <c r="FU110" s="46"/>
      <c r="FV110" s="46"/>
      <c r="FW110" s="46"/>
      <c r="FX110" s="46"/>
      <c r="FY110" s="46"/>
      <c r="FZ110" s="46"/>
      <c r="GA110" s="46"/>
      <c r="GB110" s="46"/>
      <c r="GC110" s="46"/>
      <c r="GD110" s="46"/>
      <c r="GE110" s="46"/>
      <c r="GF110" s="46"/>
      <c r="GG110" s="46"/>
      <c r="GH110" s="46"/>
    </row>
    <row r="111" spans="2:190" s="47" customFormat="1" ht="15" hidden="1">
      <c r="B111" s="1223" t="str">
        <f>'Registo Calibração'!D45</f>
        <v>0,0</v>
      </c>
      <c r="C111" s="1223"/>
      <c r="D111" s="1223"/>
      <c r="E111" s="1223"/>
      <c r="F111" s="1223"/>
      <c r="G111" s="1223"/>
      <c r="H111" s="1223"/>
      <c r="I111" s="1223"/>
      <c r="J111" s="1223"/>
      <c r="K111" s="477"/>
      <c r="L111" s="1223" t="str">
        <f>'Registo Calibração'!H47</f>
        <v>------</v>
      </c>
      <c r="M111" s="1223"/>
      <c r="N111" s="1223"/>
      <c r="O111" s="1223"/>
      <c r="P111" s="1223"/>
      <c r="Q111" s="1223"/>
      <c r="R111" s="1223"/>
      <c r="S111" s="1223"/>
      <c r="T111" s="1223"/>
      <c r="U111" s="1223"/>
      <c r="V111" s="1223"/>
      <c r="W111" s="478"/>
      <c r="X111" s="1224" t="str">
        <f>'Registo Calibração'!I47</f>
        <v>------</v>
      </c>
      <c r="Y111" s="1220"/>
      <c r="Z111" s="1220"/>
      <c r="AA111" s="1220"/>
      <c r="AB111" s="1220"/>
      <c r="AC111" s="1220"/>
      <c r="AD111" s="1220"/>
      <c r="AE111" s="1220"/>
      <c r="AF111" s="1220"/>
      <c r="AG111" s="1220"/>
      <c r="AH111" s="479"/>
      <c r="AI111" s="1223" t="str">
        <f>'Registo Calibração'!J47</f>
        <v>&gt; 500</v>
      </c>
      <c r="AJ111" s="1220"/>
      <c r="AK111" s="1220"/>
      <c r="AL111" s="479"/>
      <c r="AM111" s="1219" t="e">
        <f>'Registo Calibração'!K47</f>
        <v>#DIV/0!</v>
      </c>
      <c r="AN111" s="1220"/>
      <c r="AO111" s="1220"/>
      <c r="AP111" s="1220"/>
      <c r="AQ111" s="479"/>
      <c r="AR111" s="1224" t="str">
        <f>'Registo Calibração'!L47</f>
        <v>------</v>
      </c>
      <c r="AS111" s="1220"/>
      <c r="AT111" s="1220"/>
      <c r="AU111" s="1220"/>
      <c r="AV111" s="1220"/>
      <c r="AW111" s="406"/>
      <c r="FK111" s="46"/>
      <c r="FL111" s="46"/>
      <c r="FM111" s="46"/>
      <c r="FN111" s="46"/>
      <c r="FO111" s="46"/>
      <c r="FP111" s="46"/>
      <c r="FQ111" s="46"/>
      <c r="FR111" s="46"/>
      <c r="FS111" s="46"/>
      <c r="FT111" s="46"/>
      <c r="FU111" s="46"/>
      <c r="FV111" s="46"/>
      <c r="FW111" s="46"/>
      <c r="FX111" s="46"/>
      <c r="FY111" s="46"/>
      <c r="FZ111" s="46"/>
      <c r="GA111" s="46"/>
      <c r="GB111" s="46"/>
      <c r="GC111" s="46"/>
      <c r="GD111" s="46"/>
      <c r="GE111" s="46"/>
      <c r="GF111" s="46"/>
      <c r="GG111" s="46"/>
      <c r="GH111" s="46"/>
    </row>
    <row r="112" spans="2:190" s="47" customFormat="1" ht="15" hidden="1">
      <c r="B112" s="1223" t="str">
        <f>'Registo Calibração'!D51</f>
        <v>0,0</v>
      </c>
      <c r="C112" s="1223"/>
      <c r="D112" s="1223"/>
      <c r="E112" s="1223"/>
      <c r="F112" s="1223"/>
      <c r="G112" s="1223"/>
      <c r="H112" s="1223"/>
      <c r="I112" s="1223"/>
      <c r="J112" s="1223"/>
      <c r="K112" s="477"/>
      <c r="L112" s="1223" t="str">
        <f>'Registo Calibração'!H53</f>
        <v>------</v>
      </c>
      <c r="M112" s="1223"/>
      <c r="N112" s="1223"/>
      <c r="O112" s="1223"/>
      <c r="P112" s="1223"/>
      <c r="Q112" s="1223"/>
      <c r="R112" s="1223"/>
      <c r="S112" s="1223"/>
      <c r="T112" s="1223"/>
      <c r="U112" s="1223"/>
      <c r="V112" s="1223"/>
      <c r="W112" s="478"/>
      <c r="X112" s="1224" t="str">
        <f>'Registo Calibração'!I53</f>
        <v>------</v>
      </c>
      <c r="Y112" s="1220"/>
      <c r="Z112" s="1220"/>
      <c r="AA112" s="1220"/>
      <c r="AB112" s="1220"/>
      <c r="AC112" s="1220"/>
      <c r="AD112" s="1220"/>
      <c r="AE112" s="1220"/>
      <c r="AF112" s="1220"/>
      <c r="AG112" s="1220"/>
      <c r="AH112" s="479"/>
      <c r="AI112" s="1223" t="str">
        <f>'Registo Calibração'!J53</f>
        <v>&gt; 500</v>
      </c>
      <c r="AJ112" s="1220"/>
      <c r="AK112" s="1220"/>
      <c r="AL112" s="479"/>
      <c r="AM112" s="1219" t="e">
        <f>'Registo Calibração'!K53</f>
        <v>#DIV/0!</v>
      </c>
      <c r="AN112" s="1220"/>
      <c r="AO112" s="1220"/>
      <c r="AP112" s="1220"/>
      <c r="AQ112" s="479"/>
      <c r="AR112" s="1224" t="str">
        <f>'Registo Calibração'!L53</f>
        <v>------</v>
      </c>
      <c r="AS112" s="1220"/>
      <c r="AT112" s="1220"/>
      <c r="AU112" s="1220"/>
      <c r="AV112" s="1220"/>
      <c r="AW112" s="406"/>
      <c r="FK112" s="46"/>
      <c r="FL112" s="46"/>
      <c r="FM112" s="46"/>
      <c r="FN112" s="46"/>
      <c r="FO112" s="46"/>
      <c r="FP112" s="46"/>
      <c r="FQ112" s="46"/>
      <c r="FR112" s="46"/>
      <c r="FS112" s="46"/>
      <c r="FT112" s="46"/>
      <c r="FU112" s="46"/>
      <c r="FV112" s="46"/>
      <c r="FW112" s="46"/>
      <c r="FX112" s="46"/>
      <c r="FY112" s="46"/>
      <c r="FZ112" s="46"/>
      <c r="GA112" s="46"/>
      <c r="GB112" s="46"/>
      <c r="GC112" s="46"/>
      <c r="GD112" s="46"/>
      <c r="GE112" s="46"/>
      <c r="GF112" s="46"/>
      <c r="GG112" s="46"/>
      <c r="GH112" s="46"/>
    </row>
    <row r="113" spans="1:190" s="47" customFormat="1" ht="15" hidden="1">
      <c r="B113" s="1223" t="str">
        <f>'Registo Calibração'!D57</f>
        <v>0,0</v>
      </c>
      <c r="C113" s="1223"/>
      <c r="D113" s="1223"/>
      <c r="E113" s="1223"/>
      <c r="F113" s="1223"/>
      <c r="G113" s="1223"/>
      <c r="H113" s="1223"/>
      <c r="I113" s="1223"/>
      <c r="J113" s="1223"/>
      <c r="K113" s="477"/>
      <c r="L113" s="1223" t="str">
        <f>'Registo Calibração'!H59</f>
        <v>------</v>
      </c>
      <c r="M113" s="1223"/>
      <c r="N113" s="1223"/>
      <c r="O113" s="1223"/>
      <c r="P113" s="1223"/>
      <c r="Q113" s="1223"/>
      <c r="R113" s="1223"/>
      <c r="S113" s="1223"/>
      <c r="T113" s="1223"/>
      <c r="U113" s="1223"/>
      <c r="V113" s="1223"/>
      <c r="W113" s="478"/>
      <c r="X113" s="1224" t="str">
        <f>'Registo Calibração'!I59</f>
        <v>------</v>
      </c>
      <c r="Y113" s="1220"/>
      <c r="Z113" s="1220"/>
      <c r="AA113" s="1220"/>
      <c r="AB113" s="1220"/>
      <c r="AC113" s="1220"/>
      <c r="AD113" s="1220"/>
      <c r="AE113" s="1220"/>
      <c r="AF113" s="1220"/>
      <c r="AG113" s="1220"/>
      <c r="AH113" s="479"/>
      <c r="AI113" s="1223" t="str">
        <f>'Registo Calibração'!J59</f>
        <v>&gt; 500</v>
      </c>
      <c r="AJ113" s="1220"/>
      <c r="AK113" s="1220"/>
      <c r="AL113" s="479"/>
      <c r="AM113" s="1219" t="e">
        <f>'Registo Calibração'!K59</f>
        <v>#DIV/0!</v>
      </c>
      <c r="AN113" s="1220"/>
      <c r="AO113" s="1220"/>
      <c r="AP113" s="1220"/>
      <c r="AQ113" s="479"/>
      <c r="AR113" s="1224" t="str">
        <f>'Registo Calibração'!L59</f>
        <v>------</v>
      </c>
      <c r="AS113" s="1220"/>
      <c r="AT113" s="1220"/>
      <c r="AU113" s="1220"/>
      <c r="AV113" s="1220"/>
      <c r="AW113" s="406"/>
      <c r="FK113" s="46"/>
      <c r="FL113" s="46"/>
      <c r="FM113" s="46"/>
      <c r="FN113" s="46"/>
      <c r="FO113" s="46"/>
      <c r="FP113" s="46"/>
      <c r="FQ113" s="46"/>
      <c r="FR113" s="46"/>
      <c r="FS113" s="46"/>
      <c r="FT113" s="46"/>
      <c r="FU113" s="46"/>
      <c r="FV113" s="46"/>
      <c r="FW113" s="46"/>
      <c r="FX113" s="46"/>
      <c r="FY113" s="46"/>
      <c r="FZ113" s="46"/>
      <c r="GA113" s="46"/>
      <c r="GB113" s="46"/>
      <c r="GC113" s="46"/>
      <c r="GD113" s="46"/>
      <c r="GE113" s="46"/>
      <c r="GF113" s="46"/>
      <c r="GG113" s="46"/>
      <c r="GH113" s="46"/>
    </row>
    <row r="114" spans="1:190" s="47" customFormat="1" ht="15" hidden="1">
      <c r="B114" s="1223" t="str">
        <f>'Registo Calibração'!D63</f>
        <v>0,0</v>
      </c>
      <c r="C114" s="1223"/>
      <c r="D114" s="1223"/>
      <c r="E114" s="1223"/>
      <c r="F114" s="1223"/>
      <c r="G114" s="1223"/>
      <c r="H114" s="1223"/>
      <c r="I114" s="1223"/>
      <c r="J114" s="1223"/>
      <c r="K114" s="477"/>
      <c r="L114" s="1223" t="str">
        <f>'Registo Calibração'!H65</f>
        <v>------</v>
      </c>
      <c r="M114" s="1223"/>
      <c r="N114" s="1223"/>
      <c r="O114" s="1223"/>
      <c r="P114" s="1223"/>
      <c r="Q114" s="1223"/>
      <c r="R114" s="1223"/>
      <c r="S114" s="1223"/>
      <c r="T114" s="1223"/>
      <c r="U114" s="1223"/>
      <c r="V114" s="1223"/>
      <c r="W114" s="478"/>
      <c r="X114" s="1224" t="str">
        <f>'Registo Calibração'!I65</f>
        <v>-------</v>
      </c>
      <c r="Y114" s="1220"/>
      <c r="Z114" s="1220"/>
      <c r="AA114" s="1220"/>
      <c r="AB114" s="1220"/>
      <c r="AC114" s="1220"/>
      <c r="AD114" s="1220"/>
      <c r="AE114" s="1220"/>
      <c r="AF114" s="1220"/>
      <c r="AG114" s="1220"/>
      <c r="AH114" s="479"/>
      <c r="AI114" s="1223" t="str">
        <f>'Registo Calibração'!J65</f>
        <v>&gt; 500</v>
      </c>
      <c r="AJ114" s="1220"/>
      <c r="AK114" s="1220"/>
      <c r="AL114" s="479"/>
      <c r="AM114" s="1219" t="e">
        <f>'Registo Calibração'!K65</f>
        <v>#DIV/0!</v>
      </c>
      <c r="AN114" s="1220"/>
      <c r="AO114" s="1220"/>
      <c r="AP114" s="1220"/>
      <c r="AQ114" s="479"/>
      <c r="AR114" s="1224" t="str">
        <f>'Registo Calibração'!L65</f>
        <v>-------</v>
      </c>
      <c r="AS114" s="1220"/>
      <c r="AT114" s="1220"/>
      <c r="AU114" s="1220"/>
      <c r="AV114" s="1220"/>
      <c r="AW114" s="406"/>
      <c r="FK114" s="46"/>
      <c r="FL114" s="46"/>
      <c r="FM114" s="46"/>
      <c r="FN114" s="46"/>
      <c r="FO114" s="46"/>
      <c r="FP114" s="46"/>
      <c r="FQ114" s="46"/>
      <c r="FR114" s="46"/>
      <c r="FS114" s="46"/>
      <c r="FT114" s="46"/>
      <c r="FU114" s="46"/>
      <c r="FV114" s="46"/>
      <c r="FW114" s="46"/>
      <c r="FX114" s="46"/>
      <c r="FY114" s="46"/>
      <c r="FZ114" s="46"/>
      <c r="GA114" s="46"/>
      <c r="GB114" s="46"/>
      <c r="GC114" s="46"/>
      <c r="GD114" s="46"/>
      <c r="GE114" s="46"/>
      <c r="GF114" s="46"/>
      <c r="GG114" s="46"/>
      <c r="GH114" s="46"/>
    </row>
    <row r="115" spans="1:190" s="47" customFormat="1" ht="15" hidden="1">
      <c r="B115" s="1223" t="str">
        <f>'Registo Calibração'!D69</f>
        <v>0,0</v>
      </c>
      <c r="C115" s="1223"/>
      <c r="D115" s="1223"/>
      <c r="E115" s="1223"/>
      <c r="F115" s="1223"/>
      <c r="G115" s="1223"/>
      <c r="H115" s="1223"/>
      <c r="I115" s="1223"/>
      <c r="J115" s="1223"/>
      <c r="K115" s="477"/>
      <c r="L115" s="1223" t="str">
        <f>'Registo Calibração'!H71</f>
        <v>------</v>
      </c>
      <c r="M115" s="1223"/>
      <c r="N115" s="1223"/>
      <c r="O115" s="1223"/>
      <c r="P115" s="1223"/>
      <c r="Q115" s="1223"/>
      <c r="R115" s="1223"/>
      <c r="S115" s="1223"/>
      <c r="T115" s="1223"/>
      <c r="U115" s="1223"/>
      <c r="V115" s="1223"/>
      <c r="W115" s="478"/>
      <c r="X115" s="1224" t="str">
        <f>'Registo Calibração'!I71</f>
        <v>-------</v>
      </c>
      <c r="Y115" s="1220"/>
      <c r="Z115" s="1220"/>
      <c r="AA115" s="1220"/>
      <c r="AB115" s="1220"/>
      <c r="AC115" s="1220"/>
      <c r="AD115" s="1220"/>
      <c r="AE115" s="1220"/>
      <c r="AF115" s="1220"/>
      <c r="AG115" s="1220"/>
      <c r="AH115" s="479"/>
      <c r="AI115" s="1223" t="str">
        <f>'Registo Calibração'!J71</f>
        <v>&gt; 500</v>
      </c>
      <c r="AJ115" s="1220"/>
      <c r="AK115" s="1220"/>
      <c r="AL115" s="479"/>
      <c r="AM115" s="1219" t="e">
        <f>'Registo Calibração'!K71</f>
        <v>#DIV/0!</v>
      </c>
      <c r="AN115" s="1220"/>
      <c r="AO115" s="1220"/>
      <c r="AP115" s="1220"/>
      <c r="AQ115" s="479"/>
      <c r="AR115" s="1224" t="str">
        <f>'Registo Calibração'!L71</f>
        <v>-------</v>
      </c>
      <c r="AS115" s="1220"/>
      <c r="AT115" s="1220"/>
      <c r="AU115" s="1220"/>
      <c r="AV115" s="1220"/>
      <c r="AW115" s="406"/>
      <c r="FK115" s="46"/>
      <c r="FL115" s="46"/>
      <c r="FM115" s="46"/>
      <c r="FN115" s="46"/>
      <c r="FO115" s="46"/>
      <c r="FP115" s="46"/>
      <c r="FQ115" s="46"/>
      <c r="FR115" s="46"/>
      <c r="FS115" s="46"/>
      <c r="FT115" s="46"/>
      <c r="FU115" s="46"/>
      <c r="FV115" s="46"/>
      <c r="FW115" s="46"/>
      <c r="FX115" s="46"/>
      <c r="FY115" s="46"/>
      <c r="FZ115" s="46"/>
      <c r="GA115" s="46"/>
      <c r="GB115" s="46"/>
      <c r="GC115" s="46"/>
      <c r="GD115" s="46"/>
      <c r="GE115" s="46"/>
      <c r="GF115" s="46"/>
      <c r="GG115" s="46"/>
      <c r="GH115" s="46"/>
    </row>
    <row r="116" spans="1:190" s="47" customFormat="1" ht="15" hidden="1">
      <c r="B116" s="1223" t="str">
        <f>'Registo Calibração'!D75</f>
        <v>0,0</v>
      </c>
      <c r="C116" s="1223"/>
      <c r="D116" s="1223"/>
      <c r="E116" s="1223"/>
      <c r="F116" s="1223"/>
      <c r="G116" s="1223"/>
      <c r="H116" s="1223"/>
      <c r="I116" s="1223"/>
      <c r="J116" s="1223"/>
      <c r="K116" s="477"/>
      <c r="L116" s="1223" t="str">
        <f>'Registo Calibração'!H75</f>
        <v>-------</v>
      </c>
      <c r="M116" s="1223"/>
      <c r="N116" s="1223"/>
      <c r="O116" s="1223"/>
      <c r="P116" s="1223"/>
      <c r="Q116" s="1223"/>
      <c r="R116" s="1223"/>
      <c r="S116" s="1223"/>
      <c r="T116" s="1223"/>
      <c r="U116" s="1223"/>
      <c r="V116" s="1223"/>
      <c r="W116" s="478"/>
      <c r="X116" s="1224" t="str">
        <f>'Registo Calibração'!I77</f>
        <v>-----</v>
      </c>
      <c r="Y116" s="1220"/>
      <c r="Z116" s="1220"/>
      <c r="AA116" s="1220"/>
      <c r="AB116" s="1220"/>
      <c r="AC116" s="1220"/>
      <c r="AD116" s="1220"/>
      <c r="AE116" s="1220"/>
      <c r="AF116" s="1220"/>
      <c r="AG116" s="1220"/>
      <c r="AH116" s="479"/>
      <c r="AI116" s="1223" t="str">
        <f>'Registo Calibração'!J77</f>
        <v>&gt; 500</v>
      </c>
      <c r="AJ116" s="1220"/>
      <c r="AK116" s="1220"/>
      <c r="AL116" s="479"/>
      <c r="AM116" s="1219" t="e">
        <f>'Registo Calibração'!K77</f>
        <v>#DIV/0!</v>
      </c>
      <c r="AN116" s="1220"/>
      <c r="AO116" s="1220"/>
      <c r="AP116" s="1220"/>
      <c r="AQ116" s="479"/>
      <c r="AR116" s="1224" t="str">
        <f>'Registo Calibração'!L77</f>
        <v>------</v>
      </c>
      <c r="AS116" s="1220"/>
      <c r="AT116" s="1220"/>
      <c r="AU116" s="1220"/>
      <c r="AV116" s="1220"/>
      <c r="AW116" s="406"/>
      <c r="FK116" s="46"/>
      <c r="FL116" s="46"/>
      <c r="FM116" s="46"/>
      <c r="FN116" s="46"/>
      <c r="FO116" s="46"/>
      <c r="FP116" s="46"/>
      <c r="FQ116" s="46"/>
      <c r="FR116" s="46"/>
      <c r="FS116" s="46"/>
      <c r="FT116" s="46"/>
      <c r="FU116" s="46"/>
      <c r="FV116" s="46"/>
      <c r="FW116" s="46"/>
      <c r="FX116" s="46"/>
      <c r="FY116" s="46"/>
      <c r="FZ116" s="46"/>
      <c r="GA116" s="46"/>
      <c r="GB116" s="46"/>
      <c r="GC116" s="46"/>
      <c r="GD116" s="46"/>
      <c r="GE116" s="46"/>
      <c r="GF116" s="46"/>
      <c r="GG116" s="46"/>
      <c r="GH116" s="46"/>
    </row>
    <row r="117" spans="1:190" s="47" customFormat="1" ht="6" customHeight="1">
      <c r="A117" s="484"/>
      <c r="B117" s="485"/>
      <c r="C117" s="485"/>
      <c r="D117" s="485"/>
      <c r="E117" s="485"/>
      <c r="F117" s="485"/>
      <c r="G117" s="485"/>
      <c r="H117" s="485"/>
      <c r="I117" s="485"/>
      <c r="J117" s="485"/>
      <c r="K117" s="485"/>
      <c r="L117" s="485"/>
      <c r="M117" s="485"/>
      <c r="N117" s="485"/>
      <c r="O117" s="486"/>
      <c r="P117" s="486"/>
      <c r="Q117" s="486"/>
      <c r="R117" s="486"/>
      <c r="S117" s="486"/>
      <c r="T117" s="486"/>
      <c r="U117" s="486"/>
      <c r="V117" s="486"/>
      <c r="W117" s="486"/>
      <c r="X117" s="486"/>
      <c r="Y117" s="486"/>
      <c r="Z117" s="486"/>
      <c r="AA117" s="486"/>
      <c r="AB117" s="486"/>
      <c r="AC117" s="487"/>
      <c r="AD117" s="487"/>
      <c r="AE117" s="487"/>
      <c r="AF117" s="487"/>
      <c r="AG117" s="487"/>
      <c r="AH117" s="487"/>
      <c r="AI117" s="487"/>
      <c r="AJ117" s="487"/>
      <c r="AK117" s="487"/>
      <c r="AL117" s="487"/>
      <c r="AM117" s="487"/>
      <c r="AN117" s="487"/>
      <c r="AO117" s="487"/>
      <c r="AP117" s="487"/>
      <c r="AQ117" s="487"/>
      <c r="AR117" s="487"/>
      <c r="AS117" s="487"/>
      <c r="AT117" s="487"/>
      <c r="AU117" s="487"/>
      <c r="AV117" s="484"/>
      <c r="AW117" s="427"/>
      <c r="FK117" s="46"/>
      <c r="FL117" s="46"/>
      <c r="FM117" s="46"/>
      <c r="FN117" s="46"/>
      <c r="FO117" s="46"/>
      <c r="FP117" s="46"/>
      <c r="FQ117" s="46"/>
      <c r="FR117" s="46"/>
      <c r="FS117" s="46"/>
      <c r="FT117" s="46"/>
      <c r="FU117" s="46"/>
      <c r="FV117" s="46"/>
      <c r="FW117" s="46"/>
      <c r="FX117" s="46"/>
      <c r="FY117" s="46"/>
      <c r="FZ117" s="46"/>
      <c r="GA117" s="46"/>
      <c r="GB117" s="46"/>
      <c r="GC117" s="46"/>
      <c r="GD117" s="46"/>
      <c r="GE117" s="46"/>
      <c r="GF117" s="46"/>
      <c r="GG117" s="46"/>
      <c r="GH117" s="46"/>
    </row>
    <row r="118" spans="1:190" s="47" customFormat="1" ht="33" customHeight="1">
      <c r="A118" s="88"/>
      <c r="B118" s="1192" t="str">
        <f>IF(AP73="","",CONCATENATE("Os ensaios foram realizados com uma resolução melhor que d ",", dT = ",AP73," ", AV73,", sendo as indicações obtidas através do “modo serviço”."))</f>
        <v/>
      </c>
      <c r="C118" s="1192"/>
      <c r="D118" s="1192"/>
      <c r="E118" s="1192"/>
      <c r="F118" s="1192"/>
      <c r="G118" s="1192"/>
      <c r="H118" s="1192"/>
      <c r="I118" s="1192"/>
      <c r="J118" s="1192"/>
      <c r="K118" s="1192"/>
      <c r="L118" s="1192"/>
      <c r="M118" s="1192"/>
      <c r="N118" s="1192"/>
      <c r="O118" s="1192"/>
      <c r="P118" s="1192"/>
      <c r="Q118" s="1192"/>
      <c r="R118" s="1192"/>
      <c r="S118" s="1192"/>
      <c r="T118" s="1192"/>
      <c r="U118" s="1192"/>
      <c r="V118" s="1192"/>
      <c r="W118" s="1192"/>
      <c r="X118" s="1192"/>
      <c r="Y118" s="1192"/>
      <c r="Z118" s="1192"/>
      <c r="AA118" s="1192"/>
      <c r="AB118" s="1192"/>
      <c r="AC118" s="1192"/>
      <c r="AD118" s="1192"/>
      <c r="AE118" s="1192"/>
      <c r="AF118" s="1192"/>
      <c r="AG118" s="1192"/>
      <c r="AH118" s="1192"/>
      <c r="AI118" s="1192"/>
      <c r="AJ118" s="1192"/>
      <c r="AK118" s="1192"/>
      <c r="AL118" s="1192"/>
      <c r="AM118" s="1192"/>
      <c r="AN118" s="1192"/>
      <c r="AO118" s="1192"/>
      <c r="AP118" s="1192"/>
      <c r="AQ118" s="1192"/>
      <c r="AR118" s="1192"/>
      <c r="AS118" s="1192"/>
      <c r="AT118" s="1192"/>
      <c r="AU118" s="1192"/>
      <c r="AV118" s="1192"/>
      <c r="AW118" s="406"/>
      <c r="FK118" s="46"/>
      <c r="FL118" s="46"/>
      <c r="FM118" s="46"/>
      <c r="FN118" s="46"/>
      <c r="FO118" s="46"/>
      <c r="FP118" s="46"/>
      <c r="FQ118" s="46"/>
      <c r="FR118" s="46"/>
      <c r="FS118" s="46"/>
      <c r="FT118" s="46"/>
      <c r="FU118" s="46"/>
      <c r="FV118" s="46"/>
      <c r="FW118" s="46"/>
      <c r="FX118" s="46"/>
      <c r="FY118" s="46"/>
      <c r="FZ118" s="46"/>
      <c r="GA118" s="46"/>
      <c r="GB118" s="46"/>
      <c r="GC118" s="46"/>
      <c r="GD118" s="46"/>
      <c r="GE118" s="46"/>
      <c r="GF118" s="46"/>
      <c r="GG118" s="46"/>
      <c r="GH118" s="46"/>
    </row>
    <row r="119" spans="1:190" ht="20.25" customHeight="1">
      <c r="A119" s="47"/>
      <c r="B119" s="1260" t="str">
        <f>IF('Registo Calibração'!AK3="Sim",CONCATENATE("Local de calibração: ",'Registo Calibração'!AI5),IF('Registo Calibração'!G5&lt;&gt;"",CONCATENATE("Local de calibração: ",'Registo Calibração'!G5," ",'Registo Calibração'!G6),CONCATENATE("Local de calibração: ",'Registo Calibração'!C5," ",'Registo Calibração'!C6)))</f>
        <v>Local de calibração: 0 0</v>
      </c>
      <c r="C119" s="1260"/>
      <c r="D119" s="1260"/>
      <c r="E119" s="1260"/>
      <c r="F119" s="1260"/>
      <c r="G119" s="1260"/>
      <c r="H119" s="1260"/>
      <c r="I119" s="1260"/>
      <c r="J119" s="1260"/>
      <c r="K119" s="1260"/>
      <c r="L119" s="1260"/>
      <c r="M119" s="1260"/>
      <c r="N119" s="1260"/>
      <c r="O119" s="1260"/>
      <c r="P119" s="1260"/>
      <c r="Q119" s="1260"/>
      <c r="R119" s="1260"/>
      <c r="S119" s="1260"/>
      <c r="T119" s="1260"/>
      <c r="U119" s="1260"/>
      <c r="V119" s="1260"/>
      <c r="W119" s="1260"/>
      <c r="X119" s="1260"/>
      <c r="Y119" s="1260"/>
      <c r="Z119" s="1260"/>
      <c r="AA119" s="1260"/>
      <c r="AB119" s="1260"/>
      <c r="AC119" s="1260"/>
      <c r="AD119" s="1260"/>
      <c r="AE119" s="1260"/>
      <c r="AF119" s="1260"/>
      <c r="AG119" s="1260"/>
      <c r="AH119" s="1260"/>
      <c r="AI119" s="1260"/>
      <c r="AJ119" s="1260"/>
      <c r="AK119" s="1260"/>
      <c r="AL119" s="1260"/>
      <c r="AM119" s="1260"/>
      <c r="AN119" s="1260"/>
      <c r="AO119" s="1260"/>
      <c r="AP119" s="1260"/>
      <c r="AQ119" s="1260"/>
      <c r="AR119" s="1260"/>
      <c r="AS119" s="1260"/>
      <c r="AT119" s="1260"/>
      <c r="AU119" s="1260"/>
      <c r="AV119" s="1260"/>
      <c r="AW119" s="406"/>
    </row>
    <row r="120" spans="1:190" ht="153.75" customHeight="1">
      <c r="B120" s="455" t="s">
        <v>404</v>
      </c>
      <c r="C120" s="455"/>
      <c r="D120" s="455"/>
      <c r="E120" s="455"/>
      <c r="F120" s="455"/>
      <c r="G120" s="1213"/>
      <c r="H120" s="1213"/>
      <c r="I120" s="1213"/>
      <c r="J120" s="1213"/>
      <c r="K120" s="1213"/>
      <c r="L120" s="1213"/>
      <c r="M120" s="1213"/>
      <c r="N120" s="1213"/>
      <c r="O120" s="1213"/>
      <c r="P120" s="1213"/>
      <c r="Q120" s="1213"/>
      <c r="R120" s="1213"/>
      <c r="S120" s="1213"/>
      <c r="T120" s="1213"/>
      <c r="W120" s="455"/>
      <c r="X120" s="456" t="s">
        <v>405</v>
      </c>
      <c r="Y120" s="455"/>
      <c r="Z120" s="455"/>
      <c r="AA120" s="455"/>
      <c r="AB120" s="455"/>
      <c r="AC120" s="455"/>
      <c r="AD120" s="455"/>
      <c r="AE120" s="455"/>
      <c r="AF120" s="455"/>
      <c r="AG120" s="1215"/>
      <c r="AH120" s="1215"/>
      <c r="AI120" s="1215"/>
      <c r="AJ120" s="1215"/>
      <c r="AK120" s="1215"/>
      <c r="AL120" s="1215"/>
      <c r="AM120" s="1215"/>
      <c r="AN120" s="1215"/>
      <c r="AO120" s="1215"/>
      <c r="AP120" s="1215"/>
      <c r="AQ120" s="1215"/>
      <c r="AR120" s="1215"/>
      <c r="AS120" s="1215"/>
      <c r="AT120" s="1215"/>
    </row>
    <row r="121" spans="1:190" ht="19.5" customHeight="1">
      <c r="G121" s="34"/>
      <c r="H121" s="34"/>
      <c r="I121" s="1214" t="str">
        <f>VLOOKUP('Registo Calibração'!AV$112,'Registo Calibração'!AT$102:$AU$110,2)</f>
        <v>Vitor Rodrigues</v>
      </c>
      <c r="J121" s="1214"/>
      <c r="K121" s="1214"/>
      <c r="L121" s="1214"/>
      <c r="M121" s="1214"/>
      <c r="N121" s="1214"/>
      <c r="O121" s="1214"/>
      <c r="P121" s="1214"/>
      <c r="Q121" s="1214"/>
      <c r="R121" s="1214"/>
      <c r="S121" s="457"/>
      <c r="T121" s="457"/>
      <c r="U121" s="458"/>
      <c r="V121" s="458"/>
      <c r="W121" s="458"/>
      <c r="X121" s="458"/>
      <c r="Y121" s="458"/>
      <c r="Z121" s="458"/>
      <c r="AA121" s="458"/>
      <c r="AB121" s="458"/>
      <c r="AC121" s="458"/>
      <c r="AD121" s="458"/>
      <c r="AE121" s="458"/>
      <c r="AF121" s="458"/>
      <c r="AG121" s="457"/>
      <c r="AH121" s="457"/>
      <c r="AI121" s="1214" t="s">
        <v>96</v>
      </c>
      <c r="AJ121" s="1214"/>
      <c r="AK121" s="1214"/>
      <c r="AL121" s="1214"/>
      <c r="AM121" s="1214"/>
      <c r="AN121" s="1214"/>
      <c r="AO121" s="1214"/>
      <c r="AP121" s="1214"/>
      <c r="AQ121" s="1214"/>
      <c r="AR121" s="1214"/>
      <c r="AS121" s="34"/>
      <c r="AT121" s="34"/>
      <c r="AW121" s="406"/>
    </row>
    <row r="123" spans="1:190">
      <c r="A123" s="1246" t="s">
        <v>471</v>
      </c>
      <c r="B123" s="1246"/>
      <c r="C123" s="1246"/>
      <c r="D123" s="1246"/>
      <c r="E123" s="1246"/>
      <c r="F123" s="1246"/>
      <c r="G123" s="1246"/>
      <c r="H123" s="1246"/>
      <c r="I123" s="1246"/>
      <c r="J123" s="1246"/>
      <c r="K123" s="1246"/>
      <c r="L123" s="1246"/>
      <c r="M123" s="1246"/>
      <c r="N123" s="1246"/>
      <c r="O123" s="1246"/>
      <c r="P123" s="1246"/>
      <c r="Q123" s="1246"/>
      <c r="R123" s="1246"/>
      <c r="S123" s="1246"/>
      <c r="T123" s="1246"/>
      <c r="U123" s="1246"/>
      <c r="V123" s="1246"/>
      <c r="W123" s="1246"/>
      <c r="X123" s="1246"/>
      <c r="Y123" s="1246"/>
      <c r="Z123" s="1246"/>
      <c r="AA123" s="1246"/>
      <c r="AB123" s="1246"/>
      <c r="AC123" s="1246"/>
      <c r="AD123" s="1246"/>
      <c r="AE123" s="1246"/>
      <c r="AF123" s="1246"/>
      <c r="AG123" s="1246"/>
      <c r="AH123" s="1246"/>
      <c r="AI123" s="1246"/>
      <c r="AJ123" s="1246"/>
      <c r="AK123" s="1246"/>
      <c r="AL123" s="1246"/>
      <c r="AM123" s="1246"/>
      <c r="AN123" s="1246"/>
      <c r="AO123" s="1246"/>
      <c r="AP123" s="1246"/>
      <c r="AQ123" s="1246"/>
      <c r="AR123" s="1246"/>
      <c r="AS123" s="1246"/>
      <c r="AT123" s="1246"/>
      <c r="AU123" s="1246"/>
      <c r="AV123" s="1246"/>
      <c r="AW123" s="1246"/>
    </row>
    <row r="124" spans="1:190" ht="53.25" customHeight="1">
      <c r="A124" s="281"/>
      <c r="B124" s="281"/>
      <c r="C124" s="281"/>
      <c r="D124" s="281"/>
      <c r="E124" s="281"/>
      <c r="F124" s="281"/>
      <c r="G124" s="281"/>
      <c r="H124" s="281"/>
      <c r="I124" s="281"/>
      <c r="J124" s="281"/>
      <c r="K124" s="281"/>
      <c r="L124" s="281"/>
      <c r="M124" s="281"/>
      <c r="N124" s="281"/>
      <c r="O124" s="753"/>
      <c r="P124" s="753"/>
      <c r="Q124" s="753"/>
      <c r="R124" s="753"/>
      <c r="S124" s="753"/>
      <c r="T124" s="753"/>
      <c r="U124" s="753"/>
      <c r="V124" s="753"/>
      <c r="W124" s="753"/>
      <c r="X124" s="753"/>
      <c r="Y124" s="754"/>
      <c r="Z124" s="754"/>
      <c r="AA124" s="754"/>
      <c r="AB124" s="754"/>
      <c r="AC124" s="281"/>
      <c r="AD124" s="281"/>
      <c r="AE124" s="281"/>
      <c r="AF124" s="281"/>
      <c r="AG124" s="281"/>
      <c r="AH124" s="281"/>
      <c r="AI124" s="281"/>
      <c r="AJ124" s="281"/>
      <c r="AK124" s="281"/>
      <c r="AL124" s="281"/>
      <c r="AM124" s="281"/>
      <c r="AN124" s="281"/>
      <c r="AO124" s="281"/>
      <c r="AP124" s="281"/>
      <c r="AQ124" s="281"/>
      <c r="AR124" s="281"/>
      <c r="AS124" s="281"/>
      <c r="AT124" s="281"/>
      <c r="AU124" s="281"/>
      <c r="AV124" s="281"/>
      <c r="AW124" s="755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</row>
    <row r="125" spans="1:190" ht="16.5" customHeight="1">
      <c r="AW125" s="406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</row>
    <row r="126" spans="1:190" ht="15.75" customHeight="1">
      <c r="A126" s="1209" t="s">
        <v>406</v>
      </c>
      <c r="B126" s="1209"/>
      <c r="C126" s="1209"/>
      <c r="D126" s="1209"/>
      <c r="E126" s="1209"/>
      <c r="F126" s="1209"/>
      <c r="G126" s="1209"/>
      <c r="H126" s="1209"/>
      <c r="I126" s="1209"/>
      <c r="J126" s="1209"/>
      <c r="K126" s="1249" t="str">
        <f>$F$4</f>
        <v/>
      </c>
      <c r="L126" s="1249"/>
      <c r="M126" s="1249"/>
      <c r="N126" s="1249"/>
      <c r="O126" s="1249"/>
      <c r="P126" s="1249"/>
      <c r="Q126" s="1249"/>
      <c r="R126" s="1249"/>
      <c r="S126" s="1249"/>
      <c r="Z126" s="1211"/>
      <c r="AA126" s="1211"/>
      <c r="AB126" s="1211"/>
      <c r="AC126" s="1211"/>
      <c r="AD126" s="1211"/>
      <c r="AE126" s="1211"/>
      <c r="AF126" s="1211"/>
      <c r="AG126" s="1211"/>
      <c r="AH126" s="1211"/>
      <c r="AI126" s="1211"/>
      <c r="AJ126" s="1211"/>
      <c r="AK126" s="1211"/>
      <c r="AW126" s="406"/>
      <c r="AX126"/>
      <c r="AY126"/>
      <c r="AZ126"/>
    </row>
    <row r="127" spans="1:190" ht="14.25" customHeight="1">
      <c r="A127" s="1210" t="s">
        <v>408</v>
      </c>
      <c r="B127" s="1210"/>
      <c r="C127" s="1210"/>
      <c r="D127" s="1210"/>
      <c r="E127" s="1210"/>
      <c r="F127" s="1210"/>
      <c r="K127" s="756"/>
      <c r="Z127" s="1211"/>
      <c r="AA127" s="1211"/>
      <c r="AB127" s="1211"/>
      <c r="AC127" s="1211"/>
      <c r="AD127" s="1211"/>
      <c r="AE127" s="1211"/>
      <c r="AF127" s="1211"/>
      <c r="AG127" s="1211"/>
      <c r="AH127" s="1211"/>
      <c r="AI127" s="1211"/>
      <c r="AJ127" s="1211"/>
      <c r="AK127" s="1211"/>
      <c r="AL127" s="410"/>
      <c r="AM127" s="410"/>
      <c r="AN127" s="410"/>
      <c r="AO127" s="410"/>
      <c r="AP127" s="410"/>
      <c r="AU127" s="63"/>
      <c r="AW127" s="406"/>
      <c r="AX127"/>
      <c r="AY127"/>
      <c r="AZ127"/>
    </row>
    <row r="128" spans="1:190" ht="42.75" customHeight="1">
      <c r="B128" s="756"/>
      <c r="C128" s="756"/>
      <c r="D128" s="756"/>
      <c r="E128" s="756"/>
      <c r="F128" s="756"/>
      <c r="G128" s="756"/>
      <c r="H128" s="756"/>
      <c r="I128" s="756"/>
      <c r="J128" s="756"/>
      <c r="K128" s="756"/>
      <c r="Z128" s="1212"/>
      <c r="AA128" s="1212"/>
      <c r="AB128" s="1212"/>
      <c r="AC128" s="1212"/>
      <c r="AD128" s="1212"/>
      <c r="AE128" s="1212"/>
      <c r="AF128" s="1212"/>
      <c r="AG128" s="1212"/>
      <c r="AH128" s="1212"/>
      <c r="AI128" s="1212"/>
      <c r="AJ128" s="1212"/>
      <c r="AK128" s="1212"/>
      <c r="AU128" s="63"/>
      <c r="AW128" s="406"/>
      <c r="AX128"/>
      <c r="AY128"/>
      <c r="AZ128"/>
      <c r="BY128" s="468"/>
      <c r="BZ128" s="468"/>
      <c r="CA128" s="468"/>
      <c r="CB128" s="468"/>
      <c r="CC128" s="468"/>
      <c r="CD128" s="468"/>
      <c r="CE128" s="468"/>
      <c r="CF128" s="468"/>
      <c r="CG128" s="468"/>
      <c r="CH128" s="468"/>
      <c r="CI128" s="468"/>
      <c r="CJ128" s="468"/>
      <c r="CK128" s="468"/>
      <c r="CL128" s="468"/>
      <c r="CM128" s="468"/>
    </row>
    <row r="129" spans="1:190" s="37" customFormat="1" ht="33" customHeight="1">
      <c r="A129" s="1"/>
      <c r="B129" s="1279" t="str">
        <f>'Registo Calibração'!$N$10</f>
        <v/>
      </c>
      <c r="C129" s="1279"/>
      <c r="D129" s="1279"/>
      <c r="E129" s="1279"/>
      <c r="F129" s="1279"/>
      <c r="G129" s="1279"/>
      <c r="H129" s="1279"/>
      <c r="I129" s="1279"/>
      <c r="J129" s="1279"/>
      <c r="K129" s="1279"/>
      <c r="L129" s="1279"/>
      <c r="M129" s="1279"/>
      <c r="N129" s="1279"/>
      <c r="O129" s="1279"/>
      <c r="P129" s="1279"/>
      <c r="Q129" s="1279"/>
      <c r="R129" s="1279"/>
      <c r="S129" s="1279"/>
      <c r="T129" s="1279"/>
      <c r="U129" s="1279"/>
      <c r="V129" s="1279"/>
      <c r="W129" s="1279"/>
      <c r="X129" s="1279"/>
      <c r="Y129" s="1279"/>
      <c r="Z129" s="1279"/>
      <c r="AA129" s="1279"/>
      <c r="AB129" s="1279"/>
      <c r="AC129" s="1279"/>
      <c r="AD129" s="1279"/>
      <c r="AE129" s="1280" t="str">
        <f>'Registo Calibração'!$Q$10</f>
        <v/>
      </c>
      <c r="AF129" s="1280"/>
      <c r="AG129" s="1280"/>
      <c r="AH129" s="1280"/>
      <c r="AI129" s="1280"/>
      <c r="AJ129" s="1280"/>
      <c r="AK129" s="1280"/>
      <c r="AL129" s="1280"/>
      <c r="AM129" s="1"/>
      <c r="AN129" s="1"/>
      <c r="AO129" s="1250" t="s">
        <v>472</v>
      </c>
      <c r="AP129" s="1250"/>
      <c r="AQ129" s="1250"/>
      <c r="AR129" s="1250"/>
      <c r="AS129" s="1250"/>
      <c r="AT129" s="1250"/>
      <c r="AU129" s="1250"/>
      <c r="AV129" s="1250"/>
      <c r="AW129" s="427"/>
      <c r="AX129"/>
      <c r="AY129"/>
      <c r="AZ129"/>
      <c r="BA129" s="90"/>
      <c r="BB129" s="90"/>
      <c r="CA129" s="468"/>
      <c r="CB129" s="468"/>
      <c r="CC129" s="468"/>
      <c r="CD129" s="468"/>
      <c r="CE129" s="468"/>
      <c r="CF129" s="468"/>
      <c r="CG129" s="468"/>
      <c r="CH129" s="468"/>
      <c r="CI129" s="468"/>
      <c r="CJ129" s="468"/>
      <c r="CK129" s="468"/>
      <c r="CL129" s="468"/>
      <c r="CM129" s="468"/>
      <c r="CN129"/>
      <c r="CO129"/>
      <c r="CP129"/>
      <c r="CQ129"/>
      <c r="FK129" s="35"/>
      <c r="FL129" s="35"/>
      <c r="FM129" s="35"/>
      <c r="FN129" s="35"/>
      <c r="FO129" s="35"/>
      <c r="FP129" s="35"/>
      <c r="FQ129" s="35"/>
      <c r="FR129" s="35"/>
      <c r="FS129" s="35"/>
      <c r="FT129" s="35"/>
      <c r="FU129" s="35"/>
      <c r="FV129" s="35"/>
      <c r="FW129" s="35"/>
      <c r="FX129" s="35"/>
      <c r="FY129" s="35"/>
      <c r="FZ129" s="35"/>
      <c r="GA129" s="35"/>
      <c r="GB129" s="35"/>
      <c r="GC129" s="35"/>
      <c r="GD129" s="35"/>
      <c r="GE129" s="35"/>
      <c r="GF129" s="35"/>
      <c r="GG129" s="35"/>
      <c r="GH129" s="35"/>
    </row>
    <row r="130" spans="1:190" ht="5.25" customHeight="1">
      <c r="O130" s="411"/>
      <c r="P130" s="411"/>
      <c r="Q130" s="411"/>
      <c r="R130" s="411"/>
      <c r="S130" s="411"/>
      <c r="T130" s="411"/>
      <c r="U130" s="411"/>
      <c r="V130" s="411"/>
      <c r="W130" s="411"/>
      <c r="X130" s="411"/>
      <c r="Y130" s="409"/>
      <c r="Z130" s="409"/>
      <c r="AA130" s="409"/>
      <c r="AB130" s="409"/>
      <c r="AW130" s="406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</row>
    <row r="131" spans="1:190" s="418" customFormat="1" ht="18" customHeight="1">
      <c r="B131" s="417" t="s">
        <v>357</v>
      </c>
      <c r="F131" s="433"/>
      <c r="G131" s="433" t="s">
        <v>394</v>
      </c>
      <c r="O131" s="423" t="str">
        <f>IF('Registo Calibração'!$C$7="","",'Registo Calibração'!$C$7)</f>
        <v/>
      </c>
      <c r="P131" s="424"/>
      <c r="Q131" s="424"/>
      <c r="R131" s="424"/>
      <c r="S131" s="424"/>
      <c r="T131" s="424"/>
      <c r="U131" s="424"/>
      <c r="V131" s="424"/>
      <c r="W131" s="424"/>
      <c r="X131" s="424"/>
      <c r="Y131" s="424"/>
      <c r="AT131" s="405"/>
      <c r="AU131" s="405"/>
      <c r="AV131" s="419"/>
      <c r="AW131" s="406"/>
      <c r="CR131" s="415"/>
      <c r="CS131" s="415"/>
      <c r="CT131" s="415"/>
      <c r="CU131" s="415"/>
      <c r="CV131" s="415"/>
      <c r="CW131" s="415"/>
      <c r="CX131" s="415"/>
      <c r="CY131" s="415"/>
      <c r="CZ131" s="415"/>
      <c r="DA131" s="415"/>
      <c r="DB131" s="415"/>
      <c r="DC131" s="415"/>
      <c r="DD131" s="415"/>
      <c r="DE131" s="415"/>
      <c r="DF131" s="415"/>
      <c r="DG131" s="415"/>
      <c r="DH131" s="415"/>
      <c r="DI131" s="415"/>
      <c r="DJ131" s="415"/>
      <c r="DK131" s="415"/>
      <c r="DL131" s="415"/>
      <c r="DM131" s="415"/>
      <c r="DN131" s="415"/>
      <c r="DO131" s="415"/>
      <c r="DP131" s="415"/>
      <c r="DQ131" s="415"/>
      <c r="DR131" s="415"/>
      <c r="DS131" s="415"/>
      <c r="DT131" s="415"/>
      <c r="DU131" s="415"/>
      <c r="DV131" s="415"/>
      <c r="DW131" s="415"/>
      <c r="DX131" s="415"/>
      <c r="DY131" s="415"/>
      <c r="DZ131" s="415"/>
      <c r="EA131" s="415"/>
      <c r="EB131" s="415"/>
      <c r="EC131" s="415"/>
      <c r="ED131" s="415"/>
      <c r="EE131" s="415"/>
      <c r="EF131" s="415"/>
      <c r="EG131" s="415"/>
      <c r="EH131" s="415"/>
      <c r="EI131" s="415"/>
      <c r="EJ131" s="415"/>
      <c r="EK131" s="415"/>
      <c r="EL131" s="415"/>
      <c r="EM131" s="415"/>
      <c r="EN131" s="415"/>
      <c r="EO131" s="415"/>
      <c r="EP131" s="415"/>
      <c r="EQ131" s="415"/>
      <c r="ER131" s="415"/>
      <c r="ES131" s="415"/>
      <c r="ET131" s="415"/>
      <c r="EU131" s="415"/>
      <c r="EV131" s="415"/>
      <c r="EW131" s="415"/>
      <c r="EX131" s="415"/>
      <c r="EY131" s="415"/>
      <c r="EZ131" s="415"/>
      <c r="FA131" s="415"/>
      <c r="FB131" s="415"/>
      <c r="FC131" s="415"/>
      <c r="FD131" s="415"/>
      <c r="FE131" s="415"/>
      <c r="FF131" s="415"/>
      <c r="FG131" s="415"/>
      <c r="FH131" s="415"/>
      <c r="FI131" s="415"/>
      <c r="FJ131" s="415"/>
      <c r="FK131" s="420"/>
      <c r="FL131" s="420"/>
      <c r="FM131" s="420"/>
      <c r="FN131" s="420"/>
      <c r="FO131" s="420"/>
      <c r="FP131" s="420"/>
      <c r="FQ131" s="420"/>
      <c r="FR131" s="420"/>
      <c r="FS131" s="420"/>
      <c r="FT131" s="420"/>
      <c r="FU131" s="420"/>
      <c r="FV131" s="420"/>
      <c r="FW131" s="420"/>
      <c r="FX131" s="420"/>
      <c r="FY131" s="420"/>
      <c r="FZ131" s="420"/>
      <c r="GA131" s="420"/>
      <c r="GB131" s="420"/>
      <c r="GC131" s="420"/>
      <c r="GD131" s="420"/>
      <c r="GE131" s="420"/>
      <c r="GF131" s="420"/>
      <c r="GG131" s="420"/>
      <c r="GH131" s="420"/>
    </row>
    <row r="132" spans="1:190" ht="3" customHeight="1">
      <c r="B132" s="1217"/>
      <c r="C132" s="1217"/>
      <c r="D132" s="1217"/>
      <c r="E132" s="1217"/>
      <c r="F132" s="421"/>
      <c r="G132" s="421"/>
      <c r="H132" s="421"/>
      <c r="O132" s="421"/>
      <c r="P132" s="414"/>
      <c r="W132" s="449"/>
      <c r="X132" s="449"/>
      <c r="Y132" s="449"/>
      <c r="Z132" s="449"/>
      <c r="AW132" s="406"/>
      <c r="AX132"/>
      <c r="AY132"/>
      <c r="AZ132"/>
      <c r="BA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</row>
    <row r="133" spans="1:190" ht="15.75" customHeight="1">
      <c r="B133" s="417" t="s">
        <v>360</v>
      </c>
      <c r="F133" s="37" t="s">
        <v>393</v>
      </c>
      <c r="O133" s="423" t="str">
        <f>IF('Registo Calibração'!$C$8="","N/C",'Registo Calibração'!$C$8)</f>
        <v>N/C</v>
      </c>
      <c r="P133" s="87"/>
      <c r="Q133" s="425"/>
      <c r="R133" s="425"/>
      <c r="S133" s="425"/>
      <c r="T133" s="425"/>
      <c r="U133" s="425"/>
      <c r="V133" s="425"/>
      <c r="W133" s="425"/>
      <c r="X133" s="425"/>
      <c r="Y133" s="425"/>
      <c r="Z133" s="425"/>
      <c r="AX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</row>
    <row r="134" spans="1:190" ht="3.75" customHeight="1">
      <c r="B134" s="421"/>
      <c r="Z134" s="282"/>
      <c r="AX134"/>
      <c r="AY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</row>
    <row r="135" spans="1:190" ht="13.5" customHeight="1">
      <c r="B135" s="417" t="s">
        <v>361</v>
      </c>
      <c r="G135" s="415" t="s">
        <v>395</v>
      </c>
      <c r="O135" s="423" t="str">
        <f>IF('Registo Calibração'!$C$9="","N/C",'Registo Calibração'!$C$9)</f>
        <v>N/C</v>
      </c>
      <c r="P135" s="423"/>
      <c r="Q135" s="423"/>
      <c r="R135" s="423"/>
      <c r="S135" s="423"/>
      <c r="T135" s="423"/>
      <c r="U135" s="423"/>
      <c r="V135" s="423"/>
      <c r="W135" s="423"/>
      <c r="X135" s="423"/>
      <c r="Y135" s="423"/>
      <c r="AA135" s="462" t="s">
        <v>467</v>
      </c>
      <c r="AC135" s="463"/>
      <c r="AD135" s="463"/>
      <c r="AE135" s="463"/>
      <c r="AF135" s="463"/>
      <c r="AG135" s="463"/>
      <c r="AO135" s="87"/>
      <c r="AP135" s="1278">
        <f>'2º MR-MI'!C13</f>
        <v>0</v>
      </c>
      <c r="AQ135" s="1278"/>
      <c r="AR135" s="1278"/>
      <c r="AS135" s="1278"/>
      <c r="AT135" s="1278"/>
      <c r="AU135" s="1278"/>
      <c r="AV135" s="1205" t="str">
        <f>'Registo Calibração'!$AV$77</f>
        <v>g</v>
      </c>
      <c r="AW135" s="1205"/>
      <c r="AX135"/>
    </row>
    <row r="136" spans="1:190" ht="3" customHeight="1">
      <c r="B136" s="421"/>
      <c r="AA136" s="282"/>
      <c r="AG136" s="461"/>
      <c r="AH136" s="461"/>
      <c r="AI136" s="461"/>
      <c r="AJ136" s="461"/>
      <c r="AK136" s="461"/>
      <c r="AL136" s="461"/>
      <c r="AM136" s="461"/>
      <c r="AN136" s="461"/>
      <c r="AO136" s="547"/>
      <c r="AP136" s="547"/>
      <c r="AQ136" s="547"/>
      <c r="AR136" s="547"/>
      <c r="AS136" s="547"/>
      <c r="AT136" s="87"/>
      <c r="AU136" s="87"/>
      <c r="AV136" s="467"/>
      <c r="AW136" s="381"/>
      <c r="AX136" s="2"/>
      <c r="AY136"/>
    </row>
    <row r="137" spans="1:190" ht="15.75" customHeight="1">
      <c r="B137" s="417" t="s">
        <v>362</v>
      </c>
      <c r="C137" s="417"/>
      <c r="D137" s="417"/>
      <c r="E137" s="417"/>
      <c r="F137" s="417"/>
      <c r="G137" s="416" t="s">
        <v>396</v>
      </c>
      <c r="H137" s="417"/>
      <c r="O137" s="1198" t="str">
        <f>IF('Registo Calibração'!$C$10="","N/C",'Registo Calibração'!$C$10)</f>
        <v>N/C</v>
      </c>
      <c r="P137" s="1198"/>
      <c r="Q137" s="1198"/>
      <c r="R137" s="1198"/>
      <c r="S137" s="1198"/>
      <c r="T137" s="1198"/>
      <c r="U137" s="1198"/>
      <c r="V137" s="1198"/>
      <c r="W137" s="1198"/>
      <c r="X137" s="1198"/>
      <c r="Y137" s="1198"/>
      <c r="AA137" s="464" t="s">
        <v>468</v>
      </c>
      <c r="AB137" s="465"/>
      <c r="AC137" s="465"/>
      <c r="AD137" s="465"/>
      <c r="AE137" s="465"/>
      <c r="AF137" s="465"/>
      <c r="AG137" s="418"/>
      <c r="AH137" s="418"/>
      <c r="AI137" s="418"/>
      <c r="AJ137" s="418"/>
      <c r="AK137" s="418"/>
      <c r="AL137" s="418"/>
      <c r="AO137" s="87"/>
      <c r="AP137" s="1291">
        <f>'2º MR-MI'!$C$14</f>
        <v>0</v>
      </c>
      <c r="AQ137" s="1277"/>
      <c r="AR137" s="1277"/>
      <c r="AS137" s="1277"/>
      <c r="AT137" s="1277"/>
      <c r="AU137" s="1277"/>
      <c r="AV137" s="1205" t="str">
        <f>'Registo Calibração'!$AV$77</f>
        <v>g</v>
      </c>
      <c r="AW137" s="1205"/>
      <c r="AX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/>
    </row>
    <row r="138" spans="1:190" ht="3" customHeight="1">
      <c r="B138" s="421"/>
      <c r="AA138" s="464"/>
      <c r="AO138" s="1277"/>
      <c r="AP138" s="1277"/>
      <c r="AQ138" s="1277"/>
      <c r="AR138" s="1277"/>
      <c r="AS138" s="1277"/>
      <c r="AT138" s="1277"/>
      <c r="AU138" s="87"/>
      <c r="AV138" s="466"/>
      <c r="AW138" s="466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</row>
    <row r="139" spans="1:190" ht="15.75" customHeight="1">
      <c r="B139" s="417" t="s">
        <v>363</v>
      </c>
      <c r="C139" s="417"/>
      <c r="D139" s="417"/>
      <c r="E139" s="417"/>
      <c r="F139" s="417"/>
      <c r="H139" s="422"/>
      <c r="I139" s="37" t="s">
        <v>397</v>
      </c>
      <c r="J139" s="422"/>
      <c r="K139" s="422"/>
      <c r="L139" s="422"/>
      <c r="M139" s="422"/>
      <c r="N139" s="422"/>
      <c r="O139" s="425" t="str">
        <f>IF('Registo Calibração'!$C$11="","------",'Registo Calibração'!$C$11)</f>
        <v>------</v>
      </c>
      <c r="AA139" s="464" t="str">
        <f>IF('2º MR-MI'!$E$14="","","Resolução de trabalho (dT):")</f>
        <v/>
      </c>
      <c r="AO139" s="87"/>
      <c r="AP139" s="1277" t="str">
        <f>IF('2º MR-MI'!E14="","",'2º MR-MI'!$E$14)</f>
        <v/>
      </c>
      <c r="AQ139" s="1277"/>
      <c r="AR139" s="1277"/>
      <c r="AS139" s="1277"/>
      <c r="AT139" s="1277"/>
      <c r="AU139" s="1277"/>
      <c r="AV139" s="1205" t="str">
        <f>IF('2º MR-MI'!$E$14="","",'Registo Calibração'!$AV$77)</f>
        <v/>
      </c>
      <c r="AW139" s="1205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</row>
    <row r="140" spans="1:190" ht="3" customHeight="1">
      <c r="A140" s="1"/>
      <c r="B140" s="426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427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</row>
    <row r="141" spans="1:190" ht="6.75" customHeight="1">
      <c r="AW141" s="406"/>
    </row>
    <row r="142" spans="1:190" s="47" customFormat="1" ht="18" customHeight="1">
      <c r="A142"/>
      <c r="B142" s="1221" t="s">
        <v>410</v>
      </c>
      <c r="C142" s="1221"/>
      <c r="D142" s="1221"/>
      <c r="E142" s="1221"/>
      <c r="F142" s="1221"/>
      <c r="G142" s="1221"/>
      <c r="H142" s="1221"/>
      <c r="I142" s="1221"/>
      <c r="J142" s="1221"/>
      <c r="K142" s="1221"/>
      <c r="L142" s="1221"/>
      <c r="M142" s="1221"/>
      <c r="N142" s="1221"/>
      <c r="O142" s="1221"/>
      <c r="P142" s="1221"/>
      <c r="Q142" s="1221"/>
      <c r="R142" s="1221"/>
      <c r="S142" s="1221"/>
      <c r="T142" s="1221"/>
      <c r="U142" s="1221"/>
      <c r="V142" s="1221"/>
      <c r="W142" s="1221"/>
      <c r="X142" s="1221"/>
      <c r="Y142" s="1221"/>
      <c r="Z142" s="1221"/>
      <c r="AA142" s="1221"/>
      <c r="AB142" s="1221"/>
      <c r="AC142" s="1221"/>
      <c r="AD142" s="1221"/>
      <c r="AE142" s="1221"/>
      <c r="AF142" s="1221"/>
      <c r="AG142" s="1221"/>
      <c r="AH142" s="1221"/>
      <c r="AI142" s="1221"/>
      <c r="AJ142" s="1221"/>
      <c r="AK142" s="1221"/>
      <c r="AL142" s="1221"/>
      <c r="AM142" s="1221"/>
      <c r="AN142" s="1221"/>
      <c r="AO142" s="1221"/>
      <c r="AP142" s="1221"/>
      <c r="AQ142" s="1221"/>
      <c r="AR142" s="1221"/>
      <c r="AS142" s="1221"/>
      <c r="AT142" s="1221"/>
      <c r="AU142" s="1221"/>
      <c r="AV142" s="1221"/>
      <c r="AW142" s="406"/>
      <c r="FK142" s="46"/>
      <c r="FL142" s="46"/>
      <c r="FM142" s="46"/>
      <c r="FN142" s="46"/>
      <c r="FO142" s="46"/>
      <c r="FP142" s="46"/>
      <c r="FQ142" s="46"/>
      <c r="FR142" s="46"/>
      <c r="FS142" s="46"/>
      <c r="FT142" s="46"/>
      <c r="FU142" s="46"/>
      <c r="FV142" s="46"/>
      <c r="FW142" s="46"/>
      <c r="FX142" s="46"/>
      <c r="FY142" s="46"/>
      <c r="FZ142" s="46"/>
      <c r="GA142" s="46"/>
      <c r="GB142" s="46"/>
      <c r="GC142" s="46"/>
      <c r="GD142" s="46"/>
      <c r="GE142" s="46"/>
      <c r="GF142" s="46"/>
      <c r="GG142" s="46"/>
      <c r="GH142" s="46"/>
    </row>
    <row r="143" spans="1:190" s="47" customFormat="1" ht="4.5" customHeigh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 s="406"/>
      <c r="FK143" s="46"/>
      <c r="FL143" s="46"/>
      <c r="FM143" s="46"/>
      <c r="FN143" s="46"/>
      <c r="FO143" s="46"/>
      <c r="FP143" s="46"/>
      <c r="FQ143" s="46"/>
      <c r="FR143" s="46"/>
      <c r="FS143" s="46"/>
      <c r="FT143" s="46"/>
      <c r="FU143" s="46"/>
      <c r="FV143" s="46"/>
      <c r="FW143" s="46"/>
      <c r="FX143" s="46"/>
      <c r="FY143" s="46"/>
      <c r="FZ143" s="46"/>
      <c r="GA143" s="46"/>
      <c r="GB143" s="46"/>
      <c r="GC143" s="46"/>
      <c r="GD143" s="46"/>
      <c r="GE143" s="46"/>
      <c r="GF143" s="46"/>
      <c r="GG143" s="46"/>
      <c r="GH143" s="46"/>
    </row>
    <row r="144" spans="1:190" s="47" customFormat="1" ht="17.25" customHeight="1">
      <c r="A144"/>
      <c r="B144" s="1216" t="s">
        <v>285</v>
      </c>
      <c r="C144" s="1216"/>
      <c r="D144" s="1216"/>
      <c r="E144" s="1216"/>
      <c r="F144" s="1216"/>
      <c r="G144" s="1216"/>
      <c r="H144" s="1216"/>
      <c r="I144" s="1216"/>
      <c r="J144" s="1216"/>
      <c r="K144" s="1216"/>
      <c r="L144" s="1206" t="str">
        <f>CONCATENATE("[ ",$AV$69," ]")</f>
        <v>[ g ]</v>
      </c>
      <c r="M144" s="1206"/>
      <c r="N144" s="1206"/>
      <c r="O144" s="1206"/>
      <c r="P144"/>
      <c r="Q144" s="1216" t="s">
        <v>411</v>
      </c>
      <c r="R144" s="1216"/>
      <c r="S144" s="1216"/>
      <c r="T144" s="1216"/>
      <c r="U144" s="1216"/>
      <c r="V144" s="1216"/>
      <c r="W144" s="1216"/>
      <c r="X144" s="1216"/>
      <c r="Y144" s="1216"/>
      <c r="Z144" s="1216"/>
      <c r="AA144" s="1216"/>
      <c r="AB144" s="1206" t="str">
        <f>CONCATENATE("[ ",$AV$69," ]")</f>
        <v>[ g ]</v>
      </c>
      <c r="AC144" s="1206"/>
      <c r="AD144" s="1206"/>
      <c r="AE144" s="1206"/>
      <c r="AF144"/>
      <c r="AG144" s="1216" t="s">
        <v>2</v>
      </c>
      <c r="AH144" s="1216"/>
      <c r="AI144" s="1216"/>
      <c r="AJ144" s="1216"/>
      <c r="AK144" s="1216"/>
      <c r="AL144" s="1216"/>
      <c r="AM144" s="1216"/>
      <c r="AN144" s="1216"/>
      <c r="AO144" s="1216"/>
      <c r="AP144" s="1216"/>
      <c r="AQ144" s="1216"/>
      <c r="AR144" s="1216"/>
      <c r="AS144" s="548" t="str">
        <f>CONCATENATE("[ ",$AV$69," ]")</f>
        <v>[ g ]</v>
      </c>
      <c r="AT144" s="548"/>
      <c r="AU144" s="548"/>
      <c r="AV144" s="548"/>
      <c r="FK144" s="46"/>
      <c r="FL144" s="46"/>
      <c r="FM144" s="46"/>
      <c r="FN144" s="46"/>
      <c r="FO144" s="46"/>
      <c r="FP144" s="46"/>
      <c r="FQ144" s="46"/>
      <c r="FR144" s="46"/>
      <c r="FS144" s="46"/>
      <c r="FT144" s="46"/>
      <c r="FU144" s="46"/>
      <c r="FV144" s="46"/>
      <c r="FW144" s="46"/>
      <c r="FX144" s="46"/>
      <c r="FY144" s="46"/>
      <c r="FZ144" s="46"/>
      <c r="GA144" s="46"/>
      <c r="GB144" s="46"/>
      <c r="GC144" s="46"/>
      <c r="GD144" s="46"/>
      <c r="GE144" s="46"/>
      <c r="GF144" s="46"/>
      <c r="GG144" s="46"/>
      <c r="GH144" s="46"/>
    </row>
    <row r="145" spans="1:190" s="47" customFormat="1" ht="16.5">
      <c r="A145"/>
      <c r="B145" s="1275" t="str">
        <f>IF('2º MR-MI'!$F$19&lt;&gt;"",'2º MR-MI'!$C$19,"------")</f>
        <v>------</v>
      </c>
      <c r="C145" s="1275"/>
      <c r="D145" s="1275"/>
      <c r="E145" s="1275"/>
      <c r="F145" s="1275"/>
      <c r="G145" s="1275"/>
      <c r="H145" s="1275"/>
      <c r="I145" s="1275"/>
      <c r="J145" s="1275"/>
      <c r="K145" s="1275"/>
      <c r="L145" s="1275"/>
      <c r="M145" s="1275"/>
      <c r="N145" s="1275"/>
      <c r="O145" s="1275"/>
      <c r="P145" s="469"/>
      <c r="Q145" s="1275" t="str">
        <f>'2º MR-MI'!$E$19</f>
        <v>------</v>
      </c>
      <c r="R145" s="1276"/>
      <c r="S145" s="1276"/>
      <c r="T145" s="1276"/>
      <c r="U145" s="1276"/>
      <c r="V145" s="1276"/>
      <c r="W145" s="1276"/>
      <c r="X145" s="1276"/>
      <c r="Y145" s="1276"/>
      <c r="Z145" s="1276"/>
      <c r="AA145" s="1276"/>
      <c r="AB145" s="1276"/>
      <c r="AC145" s="1276"/>
      <c r="AD145" s="1276"/>
      <c r="AE145" s="1276"/>
      <c r="AF145" s="475"/>
      <c r="AG145" s="1276" t="str">
        <f>IF('2º MR-MI'!$F$19&lt;&gt;"",'2º MR-MI'!$G$19,"------")</f>
        <v>------</v>
      </c>
      <c r="AH145" s="1276"/>
      <c r="AI145" s="1276"/>
      <c r="AJ145" s="1276"/>
      <c r="AK145" s="1276"/>
      <c r="AL145" s="1276"/>
      <c r="AM145" s="1276"/>
      <c r="AN145" s="1276"/>
      <c r="AO145" s="1276"/>
      <c r="AP145" s="1276"/>
      <c r="AQ145" s="1276"/>
      <c r="AR145" s="1276"/>
      <c r="AS145" s="1276"/>
      <c r="AT145" s="1276"/>
      <c r="AU145" s="1276"/>
      <c r="AV145" s="1276"/>
      <c r="AW145" s="406"/>
      <c r="FK145" s="46"/>
      <c r="FL145" s="46"/>
      <c r="FM145" s="46"/>
      <c r="FN145" s="46"/>
      <c r="FO145" s="46"/>
      <c r="FP145" s="46"/>
      <c r="FQ145" s="46"/>
      <c r="FR145" s="46"/>
      <c r="FS145" s="46"/>
      <c r="FT145" s="46"/>
      <c r="FU145" s="46"/>
      <c r="FV145" s="46"/>
      <c r="FW145" s="46"/>
      <c r="FX145" s="46"/>
      <c r="FY145" s="46"/>
      <c r="FZ145" s="46"/>
      <c r="GA145" s="46"/>
      <c r="GB145" s="46"/>
      <c r="GC145" s="46"/>
      <c r="GD145" s="46"/>
      <c r="GE145" s="46"/>
      <c r="GF145" s="46"/>
      <c r="GG145" s="46"/>
      <c r="GH145" s="46"/>
    </row>
    <row r="146" spans="1:190" s="47" customFormat="1" ht="16.5" hidden="1">
      <c r="A146"/>
      <c r="B146" s="1275" t="str">
        <f>IF('2º MR-MI'!$F$20&lt;&gt;"",'2º MR-MI'!$C$20,"------")</f>
        <v>------</v>
      </c>
      <c r="C146" s="1275"/>
      <c r="D146" s="1275"/>
      <c r="E146" s="1275"/>
      <c r="F146" s="1275"/>
      <c r="G146" s="1275"/>
      <c r="H146" s="1275"/>
      <c r="I146" s="1275"/>
      <c r="J146" s="1275"/>
      <c r="K146" s="1275"/>
      <c r="L146" s="1275"/>
      <c r="M146" s="1275"/>
      <c r="N146" s="1275"/>
      <c r="O146" s="1275"/>
      <c r="P146" s="469"/>
      <c r="Q146" s="1276" t="str">
        <f>'2º MR-MI'!$E$20</f>
        <v>------</v>
      </c>
      <c r="R146" s="1276"/>
      <c r="S146" s="1276"/>
      <c r="T146" s="1276"/>
      <c r="U146" s="1276"/>
      <c r="V146" s="1276"/>
      <c r="W146" s="1276"/>
      <c r="X146" s="1276"/>
      <c r="Y146" s="1276"/>
      <c r="Z146" s="1276"/>
      <c r="AA146" s="1276"/>
      <c r="AB146" s="1276"/>
      <c r="AC146" s="1276"/>
      <c r="AD146" s="1276"/>
      <c r="AE146" s="1276"/>
      <c r="AF146" s="475"/>
      <c r="AG146" s="1276" t="str">
        <f>IF('2º MR-MI'!$F$20&lt;&gt;"",'2º MR-MI'!$G$20,"------")</f>
        <v>------</v>
      </c>
      <c r="AH146" s="1276"/>
      <c r="AI146" s="1276"/>
      <c r="AJ146" s="1276"/>
      <c r="AK146" s="1276"/>
      <c r="AL146" s="1276"/>
      <c r="AM146" s="1276"/>
      <c r="AN146" s="1276"/>
      <c r="AO146" s="1276"/>
      <c r="AP146" s="1276"/>
      <c r="AQ146" s="1276"/>
      <c r="AR146" s="1276"/>
      <c r="AS146" s="1276"/>
      <c r="AT146" s="1276"/>
      <c r="AU146" s="1276"/>
      <c r="AV146" s="1276"/>
      <c r="AW146" s="406"/>
      <c r="FK146" s="46"/>
      <c r="FL146" s="46"/>
      <c r="FM146" s="46"/>
      <c r="FN146" s="46"/>
      <c r="FO146" s="46"/>
      <c r="FP146" s="46"/>
      <c r="FQ146" s="46"/>
      <c r="FR146" s="46"/>
      <c r="FS146" s="46"/>
      <c r="FT146" s="46"/>
      <c r="FU146" s="46"/>
      <c r="FV146" s="46"/>
      <c r="FW146" s="46"/>
      <c r="FX146" s="46"/>
      <c r="FY146" s="46"/>
      <c r="FZ146" s="46"/>
      <c r="GA146" s="46"/>
      <c r="GB146" s="46"/>
      <c r="GC146" s="46"/>
      <c r="GD146" s="46"/>
      <c r="GE146" s="46"/>
      <c r="GF146" s="46"/>
      <c r="GG146" s="46"/>
      <c r="GH146" s="46"/>
    </row>
    <row r="147" spans="1:190" s="47" customFormat="1" ht="5.25" customHeight="1">
      <c r="A147"/>
      <c r="B147"/>
      <c r="D147" s="469"/>
      <c r="E147" s="469"/>
      <c r="F147" s="469"/>
      <c r="G147" s="469"/>
      <c r="H147" s="469"/>
      <c r="I147" s="469"/>
      <c r="J147" s="469"/>
      <c r="K147" s="469"/>
      <c r="L147" s="469"/>
      <c r="M147" s="469"/>
      <c r="N147" s="469"/>
      <c r="O147" s="469"/>
      <c r="P147" s="469"/>
      <c r="Q147" s="469"/>
      <c r="S147" s="470"/>
      <c r="T147" s="470"/>
      <c r="U147" s="470"/>
      <c r="V147" s="470"/>
      <c r="W147" s="470"/>
      <c r="X147" s="470"/>
      <c r="Y147" s="470"/>
      <c r="Z147" s="470"/>
      <c r="AA147" s="470"/>
      <c r="AB147" s="470"/>
      <c r="AC147" s="470"/>
      <c r="AD147" s="470"/>
      <c r="AE147" s="470"/>
      <c r="AF147" s="470"/>
      <c r="AG147" s="470"/>
      <c r="AI147" s="470"/>
      <c r="AJ147" s="470"/>
      <c r="AK147" s="470"/>
      <c r="AL147" s="470"/>
      <c r="AM147" s="470"/>
      <c r="AN147" s="470"/>
      <c r="AO147" s="470"/>
      <c r="AP147" s="470"/>
      <c r="AQ147" s="470"/>
      <c r="AR147" s="470"/>
      <c r="AS147" s="470"/>
      <c r="AT147" s="470"/>
      <c r="AU147" s="470"/>
      <c r="AV147" s="470"/>
      <c r="AW147" s="406"/>
      <c r="FK147" s="46"/>
      <c r="FL147" s="46"/>
      <c r="FM147" s="46"/>
      <c r="FN147" s="46"/>
      <c r="FO147" s="46"/>
      <c r="FP147" s="46"/>
      <c r="FQ147" s="46"/>
      <c r="FR147" s="46"/>
      <c r="FS147" s="46"/>
      <c r="FT147" s="46"/>
      <c r="FU147" s="46"/>
      <c r="FV147" s="46"/>
      <c r="FW147" s="46"/>
      <c r="FX147" s="46"/>
      <c r="FY147" s="46"/>
      <c r="FZ147" s="46"/>
      <c r="GA147" s="46"/>
      <c r="GB147" s="46"/>
      <c r="GC147" s="46"/>
      <c r="GD147" s="46"/>
      <c r="GE147" s="46"/>
      <c r="GF147" s="46"/>
      <c r="GG147" s="46"/>
      <c r="GH147" s="46"/>
    </row>
    <row r="148" spans="1:190" s="47" customFormat="1" ht="11.1" customHeight="1">
      <c r="A148"/>
      <c r="B148" s="1192" t="str">
        <f>'2º MR-MI'!$AI$21</f>
        <v>Ensaio Prévio aplicável somente a equipamento com possibilidade de se aceder ao ajuste interno.</v>
      </c>
      <c r="C148" s="1192"/>
      <c r="D148" s="1192"/>
      <c r="E148" s="1192"/>
      <c r="F148" s="1192"/>
      <c r="G148" s="1192"/>
      <c r="H148" s="1192"/>
      <c r="I148" s="1192"/>
      <c r="J148" s="1192"/>
      <c r="K148" s="1192"/>
      <c r="L148" s="1192"/>
      <c r="M148" s="1192"/>
      <c r="N148" s="1192"/>
      <c r="O148" s="1192"/>
      <c r="P148" s="1192"/>
      <c r="Q148" s="1192"/>
      <c r="R148" s="1192"/>
      <c r="S148" s="1192"/>
      <c r="T148" s="1192"/>
      <c r="U148" s="1192"/>
      <c r="V148" s="1192"/>
      <c r="W148" s="1192"/>
      <c r="X148" s="1192"/>
      <c r="Y148" s="1192"/>
      <c r="Z148" s="1192"/>
      <c r="AA148" s="1192"/>
      <c r="AB148" s="1192"/>
      <c r="AC148" s="1192"/>
      <c r="AD148" s="1192"/>
      <c r="AE148" s="1192"/>
      <c r="AF148" s="1192"/>
      <c r="AG148" s="1192"/>
      <c r="AH148" s="1192"/>
      <c r="AI148" s="1192"/>
      <c r="AJ148" s="1192"/>
      <c r="AK148" s="1192"/>
      <c r="AL148" s="1192"/>
      <c r="AM148" s="1192"/>
      <c r="AN148" s="1192"/>
      <c r="AO148" s="1192"/>
      <c r="AP148" s="1192"/>
      <c r="AQ148" s="1192"/>
      <c r="AR148" s="1192"/>
      <c r="AS148" s="1192"/>
      <c r="AT148" s="1192"/>
      <c r="AU148" s="1192"/>
      <c r="AV148" s="1192"/>
      <c r="AW148" s="406"/>
      <c r="FK148" s="46"/>
      <c r="FL148" s="46"/>
      <c r="FM148" s="46"/>
      <c r="FN148" s="46"/>
      <c r="FO148" s="46"/>
      <c r="FP148" s="46"/>
      <c r="FQ148" s="46"/>
      <c r="FR148" s="46"/>
      <c r="FS148" s="46"/>
      <c r="FT148" s="46"/>
      <c r="FU148" s="46"/>
      <c r="FV148" s="46"/>
      <c r="FW148" s="46"/>
      <c r="FX148" s="46"/>
      <c r="FY148" s="46"/>
      <c r="FZ148" s="46"/>
      <c r="GA148" s="46"/>
      <c r="GB148" s="46"/>
      <c r="GC148" s="46"/>
      <c r="GD148" s="46"/>
      <c r="GE148" s="46"/>
      <c r="GF148" s="46"/>
      <c r="GG148" s="46"/>
      <c r="GH148" s="46"/>
    </row>
    <row r="149" spans="1:190" s="47" customFormat="1" ht="11.1" customHeight="1">
      <c r="A149"/>
      <c r="B149" s="1192"/>
      <c r="C149" s="1192"/>
      <c r="D149" s="1192"/>
      <c r="E149" s="1192"/>
      <c r="F149" s="1192"/>
      <c r="G149" s="1192"/>
      <c r="H149" s="1192"/>
      <c r="I149" s="1192"/>
      <c r="J149" s="1192"/>
      <c r="K149" s="1192"/>
      <c r="L149" s="1192"/>
      <c r="M149" s="1192"/>
      <c r="N149" s="1192"/>
      <c r="O149" s="1192"/>
      <c r="P149" s="1192"/>
      <c r="Q149" s="1192"/>
      <c r="R149" s="1192"/>
      <c r="S149" s="1192"/>
      <c r="T149" s="1192"/>
      <c r="U149" s="1192"/>
      <c r="V149" s="1192"/>
      <c r="W149" s="1192"/>
      <c r="X149" s="1192"/>
      <c r="Y149" s="1192"/>
      <c r="Z149" s="1192"/>
      <c r="AA149" s="1192"/>
      <c r="AB149" s="1192"/>
      <c r="AC149" s="1192"/>
      <c r="AD149" s="1192"/>
      <c r="AE149" s="1192"/>
      <c r="AF149" s="1192"/>
      <c r="AG149" s="1192"/>
      <c r="AH149" s="1192"/>
      <c r="AI149" s="1192"/>
      <c r="AJ149" s="1192"/>
      <c r="AK149" s="1192"/>
      <c r="AL149" s="1192"/>
      <c r="AM149" s="1192"/>
      <c r="AN149" s="1192"/>
      <c r="AO149" s="1192"/>
      <c r="AP149" s="1192"/>
      <c r="AQ149" s="1192"/>
      <c r="AR149" s="1192"/>
      <c r="AS149" s="1192"/>
      <c r="AT149" s="1192"/>
      <c r="AU149" s="1192"/>
      <c r="AV149" s="1192"/>
      <c r="AW149" s="406"/>
      <c r="FK149" s="46"/>
      <c r="FL149" s="46"/>
      <c r="FM149" s="46"/>
      <c r="FN149" s="46"/>
      <c r="FO149" s="46"/>
      <c r="FP149" s="46"/>
      <c r="FQ149" s="46"/>
      <c r="FR149" s="46"/>
      <c r="FS149" s="46"/>
      <c r="FT149" s="46"/>
      <c r="FU149" s="46"/>
      <c r="FV149" s="46"/>
      <c r="FW149" s="46"/>
      <c r="FX149" s="46"/>
      <c r="FY149" s="46"/>
      <c r="FZ149" s="46"/>
      <c r="GA149" s="46"/>
      <c r="GB149" s="46"/>
      <c r="GC149" s="46"/>
      <c r="GD149" s="46"/>
      <c r="GE149" s="46"/>
      <c r="GF149" s="46"/>
      <c r="GG149" s="46"/>
      <c r="GH149" s="46"/>
    </row>
    <row r="150" spans="1:190" s="47" customFormat="1" ht="11.1" customHeight="1">
      <c r="A150"/>
      <c r="B150" s="1192"/>
      <c r="C150" s="1192"/>
      <c r="D150" s="1192"/>
      <c r="E150" s="1192"/>
      <c r="F150" s="1192"/>
      <c r="G150" s="1192"/>
      <c r="H150" s="1192"/>
      <c r="I150" s="1192"/>
      <c r="J150" s="1192"/>
      <c r="K150" s="1192"/>
      <c r="L150" s="1192"/>
      <c r="M150" s="1192"/>
      <c r="N150" s="1192"/>
      <c r="O150" s="1192"/>
      <c r="P150" s="1192"/>
      <c r="Q150" s="1192"/>
      <c r="R150" s="1192"/>
      <c r="S150" s="1192"/>
      <c r="T150" s="1192"/>
      <c r="U150" s="1192"/>
      <c r="V150" s="1192"/>
      <c r="W150" s="1192"/>
      <c r="X150" s="1192"/>
      <c r="Y150" s="1192"/>
      <c r="Z150" s="1192"/>
      <c r="AA150" s="1192"/>
      <c r="AB150" s="1192"/>
      <c r="AC150" s="1192"/>
      <c r="AD150" s="1192"/>
      <c r="AE150" s="1192"/>
      <c r="AF150" s="1192"/>
      <c r="AG150" s="1192"/>
      <c r="AH150" s="1192"/>
      <c r="AI150" s="1192"/>
      <c r="AJ150" s="1192"/>
      <c r="AK150" s="1192"/>
      <c r="AL150" s="1192"/>
      <c r="AM150" s="1192"/>
      <c r="AN150" s="1192"/>
      <c r="AO150" s="1192"/>
      <c r="AP150" s="1192"/>
      <c r="AQ150" s="1192"/>
      <c r="AR150" s="1192"/>
      <c r="AS150" s="1192"/>
      <c r="AT150" s="1192"/>
      <c r="AU150" s="1192"/>
      <c r="AV150" s="1192"/>
      <c r="AW150" s="406"/>
      <c r="FK150" s="46"/>
      <c r="FL150" s="46"/>
      <c r="FM150" s="46"/>
      <c r="FN150" s="46"/>
      <c r="FO150" s="46"/>
      <c r="FP150" s="46"/>
      <c r="FQ150" s="46"/>
      <c r="FR150" s="46"/>
      <c r="FS150" s="46"/>
      <c r="FT150" s="46"/>
      <c r="FU150" s="46"/>
      <c r="FV150" s="46"/>
      <c r="FW150" s="46"/>
      <c r="FX150" s="46"/>
      <c r="FY150" s="46"/>
      <c r="FZ150" s="46"/>
      <c r="GA150" s="46"/>
      <c r="GB150" s="46"/>
      <c r="GC150" s="46"/>
      <c r="GD150" s="46"/>
      <c r="GE150" s="46"/>
      <c r="GF150" s="46"/>
      <c r="GG150" s="46"/>
      <c r="GH150" s="46"/>
    </row>
    <row r="151" spans="1:190" s="47" customFormat="1" ht="4.5" customHeight="1">
      <c r="A151"/>
      <c r="B151" s="473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 s="406"/>
      <c r="FK151" s="46"/>
      <c r="FL151" s="46"/>
      <c r="FM151" s="46"/>
      <c r="FN151" s="46"/>
      <c r="FO151" s="46"/>
      <c r="FP151" s="46"/>
      <c r="FQ151" s="46"/>
      <c r="FR151" s="46"/>
      <c r="FS151" s="46"/>
      <c r="FT151" s="46"/>
      <c r="FU151" s="46"/>
      <c r="FV151" s="46"/>
      <c r="FW151" s="46"/>
      <c r="FX151" s="46"/>
      <c r="FY151" s="46"/>
      <c r="FZ151" s="46"/>
      <c r="GA151" s="46"/>
      <c r="GB151" s="46"/>
      <c r="GC151" s="46"/>
      <c r="GD151" s="46"/>
      <c r="GE151" s="46"/>
      <c r="GF151" s="46"/>
      <c r="GG151" s="46"/>
      <c r="GH151" s="46"/>
    </row>
    <row r="152" spans="1:190" s="47" customFormat="1" ht="18" customHeight="1">
      <c r="A152"/>
      <c r="B152" s="1221" t="s">
        <v>417</v>
      </c>
      <c r="C152" s="1221"/>
      <c r="D152" s="1221"/>
      <c r="E152" s="1221"/>
      <c r="F152" s="1221"/>
      <c r="G152" s="1221"/>
      <c r="H152" s="1221"/>
      <c r="I152" s="1221"/>
      <c r="J152" s="1221"/>
      <c r="K152" s="1221"/>
      <c r="L152" s="1221"/>
      <c r="M152" s="1221"/>
      <c r="N152" s="1221"/>
      <c r="O152" s="1221"/>
      <c r="P152" s="1221"/>
      <c r="Q152" s="1221"/>
      <c r="R152" s="1221"/>
      <c r="S152" s="1221"/>
      <c r="T152" s="1221"/>
      <c r="U152" s="1221"/>
      <c r="V152" s="1221"/>
      <c r="W152" s="1221"/>
      <c r="X152" s="1221"/>
      <c r="Y152" s="1221"/>
      <c r="Z152" s="1221"/>
      <c r="AA152" s="1221"/>
      <c r="AB152" s="1221"/>
      <c r="AC152" s="1221"/>
      <c r="AD152" s="1221"/>
      <c r="AE152" s="1221"/>
      <c r="AF152" s="1221"/>
      <c r="AG152" s="1221"/>
      <c r="AH152" s="1221"/>
      <c r="AI152" s="1221"/>
      <c r="AJ152" s="1221"/>
      <c r="AK152" s="1221"/>
      <c r="AL152" s="1221"/>
      <c r="AM152" s="1221"/>
      <c r="AN152" s="1221"/>
      <c r="AO152" s="1221"/>
      <c r="AP152" s="1221"/>
      <c r="AQ152" s="1221"/>
      <c r="AR152" s="1221"/>
      <c r="AS152" s="1221"/>
      <c r="AT152" s="1221"/>
      <c r="AU152" s="1221"/>
      <c r="AV152" s="1221"/>
      <c r="AW152" s="406"/>
      <c r="FK152" s="46"/>
      <c r="FL152" s="46"/>
      <c r="FM152" s="46"/>
      <c r="FN152" s="46"/>
      <c r="FO152" s="46"/>
      <c r="FP152" s="46"/>
      <c r="FQ152" s="46"/>
      <c r="FR152" s="46"/>
      <c r="FS152" s="46"/>
      <c r="FT152" s="46"/>
      <c r="FU152" s="46"/>
      <c r="FV152" s="46"/>
      <c r="FW152" s="46"/>
      <c r="FX152" s="46"/>
      <c r="FY152" s="46"/>
      <c r="FZ152" s="46"/>
      <c r="GA152" s="46"/>
      <c r="GB152" s="46"/>
      <c r="GC152" s="46"/>
      <c r="GD152" s="46"/>
      <c r="GE152" s="46"/>
      <c r="GF152" s="46"/>
      <c r="GG152" s="46"/>
      <c r="GH152" s="46"/>
    </row>
    <row r="153" spans="1:190" s="47" customFormat="1" ht="11.1" customHeight="1">
      <c r="A153"/>
      <c r="B153" s="474"/>
      <c r="C153" s="474"/>
      <c r="D153" s="474"/>
      <c r="E153" s="474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2"/>
      <c r="Q153" s="474"/>
      <c r="R153" s="474"/>
      <c r="S153" s="474"/>
      <c r="T153" s="474"/>
      <c r="U153" s="474"/>
      <c r="V153" s="474"/>
      <c r="W153" s="474"/>
      <c r="X153" s="474"/>
      <c r="Y153" s="474"/>
      <c r="Z153" s="474"/>
      <c r="AA153" s="474"/>
      <c r="AB153" s="474"/>
      <c r="AC153" s="474"/>
      <c r="AD153" s="474"/>
      <c r="AE153" s="474"/>
      <c r="AF153" s="474"/>
      <c r="AG153" s="474"/>
      <c r="AH153" s="474"/>
      <c r="AI153" s="474"/>
      <c r="AJ153" s="474"/>
      <c r="AK153" s="474"/>
      <c r="AL153" s="474"/>
      <c r="AM153" s="474"/>
      <c r="AN153" s="474"/>
      <c r="AO153" s="474"/>
      <c r="AP153" s="474"/>
      <c r="AQ153" s="474"/>
      <c r="AR153" s="474"/>
      <c r="AS153" s="474"/>
      <c r="AT153" s="474"/>
      <c r="AU153" s="474"/>
      <c r="AV153"/>
      <c r="AW153" s="406"/>
      <c r="FK153" s="46"/>
      <c r="FL153" s="46"/>
      <c r="FM153" s="46"/>
      <c r="FN153" s="46"/>
      <c r="FO153" s="46"/>
      <c r="FP153" s="46"/>
      <c r="FQ153" s="46"/>
      <c r="FR153" s="46"/>
      <c r="FS153" s="46"/>
      <c r="FT153" s="46"/>
      <c r="FU153" s="46"/>
      <c r="FV153" s="46"/>
      <c r="FW153" s="46"/>
      <c r="FX153" s="46"/>
      <c r="FY153" s="46"/>
      <c r="FZ153" s="46"/>
      <c r="GA153" s="46"/>
      <c r="GB153" s="46"/>
      <c r="GC153" s="46"/>
      <c r="GD153" s="46"/>
      <c r="GE153" s="46"/>
      <c r="GF153" s="46"/>
      <c r="GG153" s="46"/>
      <c r="GH153" s="46"/>
    </row>
    <row r="154" spans="1:190" s="47" customFormat="1" ht="17.25" customHeight="1">
      <c r="A154"/>
      <c r="B154" s="1221" t="s">
        <v>285</v>
      </c>
      <c r="C154" s="1221"/>
      <c r="D154" s="1221"/>
      <c r="E154" s="1221"/>
      <c r="F154" s="1221"/>
      <c r="G154" s="1221"/>
      <c r="H154" s="1221"/>
      <c r="I154" s="1221"/>
      <c r="J154" s="1221"/>
      <c r="K154" s="1221"/>
      <c r="L154" s="1206" t="str">
        <f>CONCATENATE("[ ",$AV$69," ]")</f>
        <v>[ g ]</v>
      </c>
      <c r="M154" s="1206"/>
      <c r="N154" s="1206"/>
      <c r="O154" s="1206"/>
      <c r="P154"/>
      <c r="Q154" s="1221" t="s">
        <v>1</v>
      </c>
      <c r="R154" s="1221"/>
      <c r="S154" s="1221"/>
      <c r="U154" s="1216" t="s">
        <v>411</v>
      </c>
      <c r="V154" s="1216"/>
      <c r="W154" s="1216"/>
      <c r="X154" s="1216"/>
      <c r="Y154" s="1216"/>
      <c r="Z154" s="1216"/>
      <c r="AA154" s="1216"/>
      <c r="AB154" s="1216"/>
      <c r="AC154" s="1216"/>
      <c r="AD154" s="1216"/>
      <c r="AE154" s="1216"/>
      <c r="AF154" s="1254" t="str">
        <f>CONCATENATE("[ ",$AV$69," ]")</f>
        <v>[ g ]</v>
      </c>
      <c r="AG154" s="1254"/>
      <c r="AH154" s="1254"/>
      <c r="AJ154" s="1221" t="s">
        <v>2</v>
      </c>
      <c r="AK154" s="1221"/>
      <c r="AL154" s="1221"/>
      <c r="AM154" s="1221"/>
      <c r="AN154" s="1221"/>
      <c r="AO154" s="1221"/>
      <c r="AP154" s="1221"/>
      <c r="AQ154" s="1221"/>
      <c r="AR154" s="1221"/>
      <c r="AS154" s="1221"/>
      <c r="AT154" s="1206" t="str">
        <f>CONCATENATE("[ ",$AV$69," ]")</f>
        <v>[ g ]</v>
      </c>
      <c r="AU154" s="1206"/>
      <c r="AV154" s="1206"/>
      <c r="FK154" s="46"/>
      <c r="FL154" s="46"/>
      <c r="FM154" s="46"/>
      <c r="FN154" s="46"/>
      <c r="FO154" s="46"/>
      <c r="FP154" s="46"/>
      <c r="FQ154" s="46"/>
      <c r="FR154" s="46"/>
      <c r="FS154" s="46"/>
      <c r="FT154" s="46"/>
      <c r="FU154" s="46"/>
      <c r="FV154" s="46"/>
      <c r="FW154" s="46"/>
      <c r="FX154" s="46"/>
      <c r="FY154" s="46"/>
      <c r="FZ154" s="46"/>
      <c r="GA154" s="46"/>
      <c r="GB154" s="46"/>
      <c r="GC154" s="46"/>
      <c r="GD154" s="46"/>
      <c r="GE154" s="46"/>
      <c r="GF154" s="46"/>
      <c r="GG154" s="46"/>
      <c r="GH154" s="46"/>
    </row>
    <row r="155" spans="1:190" s="47" customFormat="1" ht="4.5" customHeight="1">
      <c r="A155"/>
      <c r="AV155"/>
      <c r="AW155" s="406"/>
      <c r="FK155" s="46"/>
      <c r="FL155" s="46"/>
      <c r="FM155" s="46"/>
      <c r="FN155" s="46"/>
      <c r="FO155" s="46"/>
      <c r="FP155" s="46"/>
      <c r="FQ155" s="46"/>
      <c r="FR155" s="46"/>
      <c r="FS155" s="46"/>
      <c r="FT155" s="46"/>
      <c r="FU155" s="46"/>
      <c r="FV155" s="46"/>
      <c r="FW155" s="46"/>
      <c r="FX155" s="46"/>
      <c r="FY155" s="46"/>
      <c r="FZ155" s="46"/>
      <c r="GA155" s="46"/>
      <c r="GB155" s="46"/>
      <c r="GC155" s="46"/>
      <c r="GD155" s="46"/>
      <c r="GE155" s="46"/>
      <c r="GF155" s="46"/>
      <c r="GG155" s="46"/>
      <c r="GH155" s="46"/>
    </row>
    <row r="156" spans="1:190" s="47" customFormat="1" ht="15.75" hidden="1" thickBot="1">
      <c r="A156"/>
      <c r="F156" s="1231" t="str">
        <f>IF('2º MR-MI'!$I$23="","",IF('2º MR-MI'!$I$23&lt;1,FIXED('2º MR-MI'!$I$23,'2º MR-MI'!$AI$15,TRUE),'2º MR-MI'!$I$23))</f>
        <v/>
      </c>
      <c r="G156" s="1232"/>
      <c r="H156" s="1232"/>
      <c r="I156" s="1232"/>
      <c r="J156" s="1232"/>
      <c r="K156" s="1232"/>
      <c r="L156" s="1233"/>
      <c r="Q156" s="1199">
        <v>1</v>
      </c>
      <c r="R156" s="1199"/>
      <c r="S156" s="1199"/>
      <c r="U156" s="1222">
        <f>IF($F$156="",0,IF('2º MR-MI'!A26="-------",0,'2º MR-MI'!A26))</f>
        <v>0</v>
      </c>
      <c r="V156" s="1222"/>
      <c r="W156" s="1222"/>
      <c r="X156" s="1222"/>
      <c r="Y156" s="1222"/>
      <c r="Z156" s="1222"/>
      <c r="AA156" s="1222"/>
      <c r="AB156" s="1222"/>
      <c r="AC156" s="1222"/>
      <c r="AD156" s="1222"/>
      <c r="AE156" s="1222"/>
      <c r="AF156" s="1222"/>
      <c r="AG156" s="1222"/>
      <c r="AH156" s="1222"/>
      <c r="AJ156" s="1253" t="s">
        <v>418</v>
      </c>
      <c r="AK156" s="1222"/>
      <c r="AL156" s="1222"/>
      <c r="AM156" s="1222"/>
      <c r="AN156" s="1222"/>
      <c r="AO156" s="1222"/>
      <c r="AP156" s="1222"/>
      <c r="AQ156" s="1222"/>
      <c r="AR156" s="1222"/>
      <c r="AS156" s="1222"/>
      <c r="AT156" s="1222"/>
      <c r="AU156" s="1222"/>
      <c r="AV156"/>
      <c r="AW156" s="406"/>
      <c r="FK156" s="46"/>
      <c r="FL156" s="46"/>
      <c r="FM156" s="46"/>
      <c r="FN156" s="46"/>
      <c r="FO156" s="46"/>
      <c r="FP156" s="46"/>
      <c r="FQ156" s="46"/>
      <c r="FR156" s="46"/>
      <c r="FS156" s="46"/>
      <c r="FT156" s="46"/>
      <c r="FU156" s="46"/>
      <c r="FV156" s="46"/>
      <c r="FW156" s="46"/>
      <c r="FX156" s="46"/>
      <c r="FY156" s="46"/>
      <c r="FZ156" s="46"/>
      <c r="GA156" s="46"/>
      <c r="GB156" s="46"/>
      <c r="GC156" s="46"/>
      <c r="GD156" s="46"/>
      <c r="GE156" s="46"/>
      <c r="GF156" s="46"/>
      <c r="GG156" s="46"/>
      <c r="GH156" s="46"/>
    </row>
    <row r="157" spans="1:190" s="47" customFormat="1" ht="18.75" hidden="1" customHeight="1">
      <c r="A157"/>
      <c r="Q157" s="1199">
        <v>2</v>
      </c>
      <c r="R157" s="1199"/>
      <c r="S157" s="1199"/>
      <c r="U157" s="1222">
        <f>IF($F$156="",0,IF('2º MR-MI'!B26="-------",0,'2º MR-MI'!B26))</f>
        <v>0</v>
      </c>
      <c r="V157" s="1222"/>
      <c r="W157" s="1222"/>
      <c r="X157" s="1222"/>
      <c r="Y157" s="1222"/>
      <c r="Z157" s="1222"/>
      <c r="AA157" s="1222"/>
      <c r="AB157" s="1222"/>
      <c r="AC157" s="1222"/>
      <c r="AD157" s="1222"/>
      <c r="AE157" s="1222"/>
      <c r="AF157" s="1222"/>
      <c r="AG157" s="1222"/>
      <c r="AH157" s="1222"/>
      <c r="AJ157" s="1292" t="str">
        <f>IF($F$156="","----------",FIXED(U157-$U$156,'Registo Calibração'!$AI$15))</f>
        <v>----------</v>
      </c>
      <c r="AK157" s="1292"/>
      <c r="AL157" s="1292"/>
      <c r="AM157" s="1292"/>
      <c r="AN157" s="1292"/>
      <c r="AO157" s="1292"/>
      <c r="AP157" s="1292"/>
      <c r="AQ157" s="1292"/>
      <c r="AR157" s="1292"/>
      <c r="AS157" s="1292"/>
      <c r="AT157" s="1292"/>
      <c r="AU157" s="1292"/>
      <c r="AV157"/>
      <c r="AW157" s="406"/>
      <c r="FK157" s="46"/>
      <c r="FL157" s="46"/>
      <c r="FM157" s="46"/>
      <c r="FN157" s="46"/>
      <c r="FO157" s="46"/>
      <c r="FP157" s="46"/>
      <c r="FQ157" s="46"/>
      <c r="FR157" s="46"/>
      <c r="FS157" s="46"/>
      <c r="FT157" s="46"/>
      <c r="FU157" s="46"/>
      <c r="FV157" s="46"/>
      <c r="FW157" s="46"/>
      <c r="FX157" s="46"/>
      <c r="FY157" s="46"/>
      <c r="FZ157" s="46"/>
      <c r="GA157" s="46"/>
      <c r="GB157" s="46"/>
      <c r="GC157" s="46"/>
      <c r="GD157" s="46"/>
      <c r="GE157" s="46"/>
      <c r="GF157" s="46"/>
      <c r="GG157" s="46"/>
      <c r="GH157" s="46"/>
    </row>
    <row r="158" spans="1:190" s="47" customFormat="1" ht="24.75" hidden="1" customHeight="1">
      <c r="A158"/>
      <c r="Q158" s="1199">
        <v>3</v>
      </c>
      <c r="R158" s="1199"/>
      <c r="S158" s="1199"/>
      <c r="U158" s="1222">
        <f>IF($F$156="",0,IF('2º MR-MI'!C26="-------",0,'2º MR-MI'!C26))</f>
        <v>0</v>
      </c>
      <c r="V158" s="1222"/>
      <c r="W158" s="1222"/>
      <c r="X158" s="1222"/>
      <c r="Y158" s="1222"/>
      <c r="Z158" s="1222"/>
      <c r="AA158" s="1222"/>
      <c r="AB158" s="1222"/>
      <c r="AC158" s="1222"/>
      <c r="AD158" s="1222"/>
      <c r="AE158" s="1222"/>
      <c r="AF158" s="1222"/>
      <c r="AG158" s="1222"/>
      <c r="AH158" s="1222"/>
      <c r="AJ158" s="1292" t="str">
        <f>IF($F$156="","----------",FIXED(U158-$U$156,'Registo Calibração'!$AI$15))</f>
        <v>----------</v>
      </c>
      <c r="AK158" s="1292"/>
      <c r="AL158" s="1292"/>
      <c r="AM158" s="1292"/>
      <c r="AN158" s="1292"/>
      <c r="AO158" s="1292"/>
      <c r="AP158" s="1292"/>
      <c r="AQ158" s="1292"/>
      <c r="AR158" s="1292"/>
      <c r="AS158" s="1292"/>
      <c r="AT158" s="1292"/>
      <c r="AU158" s="1292"/>
      <c r="AV158"/>
      <c r="AW158" s="406"/>
      <c r="FK158" s="46"/>
      <c r="FL158" s="46"/>
      <c r="FM158" s="46"/>
      <c r="FN158" s="46"/>
      <c r="FO158" s="46"/>
      <c r="FP158" s="46"/>
      <c r="FQ158" s="46"/>
      <c r="FR158" s="46"/>
      <c r="FS158" s="46"/>
      <c r="FT158" s="46"/>
      <c r="FU158" s="46"/>
      <c r="FV158" s="46"/>
      <c r="FW158" s="46"/>
      <c r="FX158" s="46"/>
      <c r="FY158" s="46"/>
      <c r="FZ158" s="46"/>
      <c r="GA158" s="46"/>
      <c r="GB158" s="46"/>
      <c r="GC158" s="46"/>
      <c r="GD158" s="46"/>
      <c r="GE158" s="46"/>
      <c r="GF158" s="46"/>
      <c r="GG158" s="46"/>
      <c r="GH158" s="46"/>
    </row>
    <row r="159" spans="1:190" s="47" customFormat="1" ht="23.25" hidden="1" customHeight="1">
      <c r="A159"/>
      <c r="B159" s="855" t="s">
        <v>672</v>
      </c>
      <c r="Q159" s="1199">
        <v>4</v>
      </c>
      <c r="R159" s="1199"/>
      <c r="S159" s="1199"/>
      <c r="U159" s="1222">
        <f>IF($F$156="",0,IF('2º MR-MI'!D26="-------",0,'2º MR-MI'!D26))</f>
        <v>0</v>
      </c>
      <c r="V159" s="1222"/>
      <c r="W159" s="1222"/>
      <c r="X159" s="1222"/>
      <c r="Y159" s="1222"/>
      <c r="Z159" s="1222"/>
      <c r="AA159" s="1222"/>
      <c r="AB159" s="1222"/>
      <c r="AC159" s="1222"/>
      <c r="AD159" s="1222"/>
      <c r="AE159" s="1222"/>
      <c r="AF159" s="1222"/>
      <c r="AG159" s="1222"/>
      <c r="AH159" s="1222"/>
      <c r="AJ159" s="1292" t="str">
        <f>IF($F$156="","----------",FIXED(U159-$U$156,'Registo Calibração'!$AI$15))</f>
        <v>----------</v>
      </c>
      <c r="AK159" s="1292"/>
      <c r="AL159" s="1292"/>
      <c r="AM159" s="1292"/>
      <c r="AN159" s="1292"/>
      <c r="AO159" s="1292"/>
      <c r="AP159" s="1292"/>
      <c r="AQ159" s="1292"/>
      <c r="AR159" s="1292"/>
      <c r="AS159" s="1292"/>
      <c r="AT159" s="1292"/>
      <c r="AU159" s="1292"/>
      <c r="AV159"/>
      <c r="AW159" s="406"/>
      <c r="FK159" s="46"/>
      <c r="FL159" s="46"/>
      <c r="FM159" s="46"/>
      <c r="FN159" s="46"/>
      <c r="FO159" s="46"/>
      <c r="FP159" s="46"/>
      <c r="FQ159" s="46"/>
      <c r="FR159" s="46"/>
      <c r="FS159" s="46"/>
      <c r="FT159" s="46"/>
      <c r="FU159" s="46"/>
      <c r="FV159" s="46"/>
      <c r="FW159" s="46"/>
      <c r="FX159" s="46"/>
      <c r="FY159" s="46"/>
      <c r="FZ159" s="46"/>
      <c r="GA159" s="46"/>
      <c r="GB159" s="46"/>
      <c r="GC159" s="46"/>
      <c r="GD159" s="46"/>
      <c r="GE159" s="46"/>
      <c r="GF159" s="46"/>
      <c r="GG159" s="46"/>
      <c r="GH159" s="46"/>
    </row>
    <row r="160" spans="1:190" s="47" customFormat="1" ht="21.75" hidden="1" customHeight="1">
      <c r="A160"/>
      <c r="Q160" s="1199">
        <v>5</v>
      </c>
      <c r="R160" s="1199"/>
      <c r="S160" s="1199"/>
      <c r="U160" s="1222">
        <f>IF($F$156="",0,IF('2º MR-MI'!E26="-------",0,'2º MR-MI'!E26))</f>
        <v>0</v>
      </c>
      <c r="V160" s="1222"/>
      <c r="W160" s="1222"/>
      <c r="X160" s="1222"/>
      <c r="Y160" s="1222"/>
      <c r="Z160" s="1222"/>
      <c r="AA160" s="1222"/>
      <c r="AB160" s="1222"/>
      <c r="AC160" s="1222"/>
      <c r="AD160" s="1222"/>
      <c r="AE160" s="1222"/>
      <c r="AF160" s="1222"/>
      <c r="AG160" s="1222"/>
      <c r="AH160" s="1222"/>
      <c r="AJ160" s="1292" t="str">
        <f>IF($F$156="","----------",FIXED(U160-$U$156,'Registo Calibração'!$AI$15))</f>
        <v>----------</v>
      </c>
      <c r="AK160" s="1292"/>
      <c r="AL160" s="1292"/>
      <c r="AM160" s="1292"/>
      <c r="AN160" s="1292"/>
      <c r="AO160" s="1292"/>
      <c r="AP160" s="1292"/>
      <c r="AQ160" s="1292"/>
      <c r="AR160" s="1292"/>
      <c r="AS160" s="1292"/>
      <c r="AT160" s="1292"/>
      <c r="AU160" s="1292"/>
      <c r="AV160"/>
      <c r="AW160" s="406"/>
      <c r="FK160" s="46"/>
      <c r="FL160" s="46"/>
      <c r="FM160" s="46"/>
      <c r="FN160" s="46"/>
      <c r="FO160" s="46"/>
      <c r="FP160" s="46"/>
      <c r="FQ160" s="46"/>
      <c r="FR160" s="46"/>
      <c r="FS160" s="46"/>
      <c r="FT160" s="46"/>
      <c r="FU160" s="46"/>
      <c r="FV160" s="46"/>
      <c r="FW160" s="46"/>
      <c r="FX160" s="46"/>
      <c r="FY160" s="46"/>
      <c r="FZ160" s="46"/>
      <c r="GA160" s="46"/>
      <c r="GB160" s="46"/>
      <c r="GC160" s="46"/>
      <c r="GD160" s="46"/>
      <c r="GE160" s="46"/>
      <c r="GF160" s="46"/>
      <c r="GG160" s="46"/>
      <c r="GH160" s="46"/>
    </row>
    <row r="161" spans="2:190" s="47" customFormat="1" ht="15" hidden="1">
      <c r="Q161" s="1199">
        <v>6</v>
      </c>
      <c r="R161" s="1199"/>
      <c r="S161" s="1199"/>
      <c r="U161" s="1222">
        <f>IF($F$156="",0,IF('2º MR-MI'!F26="-------",0,'2º MR-MI'!F26))</f>
        <v>0</v>
      </c>
      <c r="V161" s="1222"/>
      <c r="W161" s="1222"/>
      <c r="X161" s="1222"/>
      <c r="Y161" s="1222"/>
      <c r="Z161" s="1222"/>
      <c r="AA161" s="1222"/>
      <c r="AB161" s="1222"/>
      <c r="AC161" s="1222"/>
      <c r="AD161" s="1222"/>
      <c r="AE161" s="1222"/>
      <c r="AF161" s="1222"/>
      <c r="AG161" s="1222"/>
      <c r="AH161" s="1222"/>
      <c r="AJ161" s="1292" t="str">
        <f>IF($F$156="","----------",FIXED(U161-$U$156,'Registo Calibração'!$AI$15))</f>
        <v>----------</v>
      </c>
      <c r="AK161" s="1292"/>
      <c r="AL161" s="1292"/>
      <c r="AM161" s="1292"/>
      <c r="AN161" s="1292"/>
      <c r="AO161" s="1292"/>
      <c r="AP161" s="1292"/>
      <c r="AQ161" s="1292"/>
      <c r="AR161" s="1292"/>
      <c r="AS161" s="1292"/>
      <c r="AT161" s="1292"/>
      <c r="AU161" s="1292"/>
      <c r="AW161" s="406"/>
      <c r="FK161" s="46"/>
      <c r="FL161" s="46"/>
      <c r="FM161" s="46"/>
      <c r="FN161" s="46"/>
      <c r="FO161" s="46"/>
      <c r="FP161" s="46"/>
      <c r="FQ161" s="46"/>
      <c r="FR161" s="46"/>
      <c r="FS161" s="46"/>
      <c r="FT161" s="46"/>
      <c r="FU161" s="46"/>
      <c r="FV161" s="46"/>
      <c r="FW161" s="46"/>
      <c r="FX161" s="46"/>
      <c r="FY161" s="46"/>
      <c r="FZ161" s="46"/>
      <c r="GA161" s="46"/>
      <c r="GB161" s="46"/>
      <c r="GC161" s="46"/>
      <c r="GD161" s="46"/>
      <c r="GE161" s="46"/>
      <c r="GF161" s="46"/>
      <c r="GG161" s="46"/>
      <c r="GH161" s="46"/>
    </row>
    <row r="162" spans="2:190" s="47" customFormat="1" ht="15" hidden="1">
      <c r="Q162" s="1199">
        <v>7</v>
      </c>
      <c r="R162" s="1199"/>
      <c r="S162" s="1199"/>
      <c r="U162" s="1222">
        <f>IF($F$156="",0,IF('2º MR-MI'!G26="-------",0,'2º MR-MI'!G26))</f>
        <v>0</v>
      </c>
      <c r="V162" s="1222"/>
      <c r="W162" s="1222"/>
      <c r="X162" s="1222"/>
      <c r="Y162" s="1222"/>
      <c r="Z162" s="1222"/>
      <c r="AA162" s="1222"/>
      <c r="AB162" s="1222"/>
      <c r="AC162" s="1222"/>
      <c r="AD162" s="1222"/>
      <c r="AE162" s="1222"/>
      <c r="AF162" s="1222"/>
      <c r="AG162" s="1222"/>
      <c r="AH162" s="1222"/>
      <c r="AJ162" s="1292" t="str">
        <f>IF($F$156="","----------",FIXED(U162-$U$156,'Registo Calibração'!$AI$15))</f>
        <v>----------</v>
      </c>
      <c r="AK162" s="1292"/>
      <c r="AL162" s="1292"/>
      <c r="AM162" s="1292"/>
      <c r="AN162" s="1292"/>
      <c r="AO162" s="1292"/>
      <c r="AP162" s="1292"/>
      <c r="AQ162" s="1292"/>
      <c r="AR162" s="1292"/>
      <c r="AS162" s="1292"/>
      <c r="AT162" s="1292"/>
      <c r="AU162" s="1292"/>
      <c r="AW162" s="406"/>
      <c r="FK162" s="46"/>
      <c r="FL162" s="46"/>
      <c r="FM162" s="46"/>
      <c r="FN162" s="46"/>
      <c r="FO162" s="46"/>
      <c r="FP162" s="46"/>
      <c r="FQ162" s="46"/>
      <c r="FR162" s="46"/>
      <c r="FS162" s="46"/>
      <c r="FT162" s="46"/>
      <c r="FU162" s="46"/>
      <c r="FV162" s="46"/>
      <c r="FW162" s="46"/>
      <c r="FX162" s="46"/>
      <c r="FY162" s="46"/>
      <c r="FZ162" s="46"/>
      <c r="GA162" s="46"/>
      <c r="GB162" s="46"/>
      <c r="GC162" s="46"/>
      <c r="GD162" s="46"/>
      <c r="GE162" s="46"/>
      <c r="GF162" s="46"/>
      <c r="GG162" s="46"/>
      <c r="GH162" s="46"/>
    </row>
    <row r="163" spans="2:190" s="47" customFormat="1" ht="15" hidden="1">
      <c r="Q163" s="1199">
        <v>8</v>
      </c>
      <c r="R163" s="1199"/>
      <c r="S163" s="1199"/>
      <c r="U163" s="1222">
        <f>IF($F$156="",0,IF('2º MR-MI'!H26="-------",0,'2º MR-MI'!H26))</f>
        <v>0</v>
      </c>
      <c r="V163" s="1222"/>
      <c r="W163" s="1222"/>
      <c r="X163" s="1222"/>
      <c r="Y163" s="1222"/>
      <c r="Z163" s="1222"/>
      <c r="AA163" s="1222"/>
      <c r="AB163" s="1222"/>
      <c r="AC163" s="1222"/>
      <c r="AD163" s="1222"/>
      <c r="AE163" s="1222"/>
      <c r="AF163" s="1222"/>
      <c r="AG163" s="1222"/>
      <c r="AH163" s="1222"/>
      <c r="AJ163" s="1292" t="str">
        <f>IF($F$156="","----------",FIXED(U163-$U$156,'Registo Calibração'!$AI$15))</f>
        <v>----------</v>
      </c>
      <c r="AK163" s="1292"/>
      <c r="AL163" s="1292"/>
      <c r="AM163" s="1292"/>
      <c r="AN163" s="1292"/>
      <c r="AO163" s="1292"/>
      <c r="AP163" s="1292"/>
      <c r="AQ163" s="1292"/>
      <c r="AR163" s="1292"/>
      <c r="AS163" s="1292"/>
      <c r="AT163" s="1292"/>
      <c r="AU163" s="1292"/>
      <c r="AW163" s="406"/>
      <c r="FK163" s="46"/>
      <c r="FL163" s="46"/>
      <c r="FM163" s="46"/>
      <c r="FN163" s="46"/>
      <c r="FO163" s="46"/>
      <c r="FP163" s="46"/>
      <c r="FQ163" s="46"/>
      <c r="FR163" s="46"/>
      <c r="FS163" s="46"/>
      <c r="FT163" s="46"/>
      <c r="FU163" s="46"/>
      <c r="FV163" s="46"/>
      <c r="FW163" s="46"/>
      <c r="FX163" s="46"/>
      <c r="FY163" s="46"/>
      <c r="FZ163" s="46"/>
      <c r="GA163" s="46"/>
      <c r="GB163" s="46"/>
      <c r="GC163" s="46"/>
      <c r="GD163" s="46"/>
      <c r="GE163" s="46"/>
      <c r="GF163" s="46"/>
      <c r="GG163" s="46"/>
      <c r="GH163" s="46"/>
    </row>
    <row r="164" spans="2:190" s="47" customFormat="1" ht="15" hidden="1">
      <c r="Q164" s="1199">
        <v>9</v>
      </c>
      <c r="R164" s="1199"/>
      <c r="S164" s="1199"/>
      <c r="U164" s="1222">
        <f>IF($F$156="",0,IF('2º MR-MI'!I26="-------",0,'2º MR-MI'!I26))</f>
        <v>0</v>
      </c>
      <c r="V164" s="1222"/>
      <c r="W164" s="1222"/>
      <c r="X164" s="1222"/>
      <c r="Y164" s="1222"/>
      <c r="Z164" s="1222"/>
      <c r="AA164" s="1222"/>
      <c r="AB164" s="1222"/>
      <c r="AC164" s="1222"/>
      <c r="AD164" s="1222"/>
      <c r="AE164" s="1222"/>
      <c r="AF164" s="1222"/>
      <c r="AG164" s="1222"/>
      <c r="AH164" s="1222"/>
      <c r="AJ164" s="1292" t="str">
        <f>IF($F$156="","----------",FIXED(U164-$U$156,'Registo Calibração'!$AI$15))</f>
        <v>----------</v>
      </c>
      <c r="AK164" s="1292"/>
      <c r="AL164" s="1292"/>
      <c r="AM164" s="1292"/>
      <c r="AN164" s="1292"/>
      <c r="AO164" s="1292"/>
      <c r="AP164" s="1292"/>
      <c r="AQ164" s="1292"/>
      <c r="AR164" s="1292"/>
      <c r="AS164" s="1292"/>
      <c r="AT164" s="1292"/>
      <c r="AU164" s="1292"/>
      <c r="AW164" s="406"/>
      <c r="FK164" s="46"/>
      <c r="FL164" s="46"/>
      <c r="FM164" s="46"/>
      <c r="FN164" s="46"/>
      <c r="FO164" s="46"/>
      <c r="FP164" s="46"/>
      <c r="FQ164" s="46"/>
      <c r="FR164" s="46"/>
      <c r="FS164" s="46"/>
      <c r="FT164" s="46"/>
      <c r="FU164" s="46"/>
      <c r="FV164" s="46"/>
      <c r="FW164" s="46"/>
      <c r="FX164" s="46"/>
      <c r="FY164" s="46"/>
      <c r="FZ164" s="46"/>
      <c r="GA164" s="46"/>
      <c r="GB164" s="46"/>
      <c r="GC164" s="46"/>
      <c r="GD164" s="46"/>
      <c r="GE164" s="46"/>
      <c r="GF164" s="46"/>
      <c r="GG164" s="46"/>
      <c r="GH164" s="46"/>
    </row>
    <row r="165" spans="2:190" s="47" customFormat="1" ht="15" hidden="1">
      <c r="Q165" s="1199">
        <v>10</v>
      </c>
      <c r="R165" s="1199"/>
      <c r="S165" s="1199"/>
      <c r="U165" s="1222">
        <f>IF($F$156="",0,IF('2º MR-MI'!J26="-------",0,'2º MR-MI'!J26))</f>
        <v>0</v>
      </c>
      <c r="V165" s="1222"/>
      <c r="W165" s="1222"/>
      <c r="X165" s="1222"/>
      <c r="Y165" s="1222"/>
      <c r="Z165" s="1222"/>
      <c r="AA165" s="1222"/>
      <c r="AB165" s="1222"/>
      <c r="AC165" s="1222"/>
      <c r="AD165" s="1222"/>
      <c r="AE165" s="1222"/>
      <c r="AF165" s="1222"/>
      <c r="AG165" s="1222"/>
      <c r="AH165" s="1222"/>
      <c r="AJ165" s="1292" t="str">
        <f>IF($F$156="","----------",FIXED(U165-$U$156,'Registo Calibração'!$AI$15))</f>
        <v>----------</v>
      </c>
      <c r="AK165" s="1292"/>
      <c r="AL165" s="1292"/>
      <c r="AM165" s="1292"/>
      <c r="AN165" s="1292"/>
      <c r="AO165" s="1292"/>
      <c r="AP165" s="1292"/>
      <c r="AQ165" s="1292"/>
      <c r="AR165" s="1292"/>
      <c r="AS165" s="1292"/>
      <c r="AT165" s="1292"/>
      <c r="AU165" s="1292"/>
      <c r="AW165" s="406"/>
      <c r="FK165" s="46"/>
      <c r="FL165" s="46"/>
      <c r="FM165" s="46"/>
      <c r="FN165" s="46"/>
      <c r="FO165" s="46"/>
      <c r="FP165" s="46"/>
      <c r="FQ165" s="46"/>
      <c r="FR165" s="46"/>
      <c r="FS165" s="46"/>
      <c r="FT165" s="46"/>
      <c r="FU165" s="46"/>
      <c r="FV165" s="46"/>
      <c r="FW165" s="46"/>
      <c r="FX165" s="46"/>
      <c r="FY165" s="46"/>
      <c r="FZ165" s="46"/>
      <c r="GA165" s="46"/>
      <c r="GB165" s="46"/>
      <c r="GC165" s="46"/>
      <c r="GD165" s="46"/>
      <c r="GE165" s="46"/>
      <c r="GF165" s="46"/>
      <c r="GG165" s="46"/>
      <c r="GH165" s="46"/>
    </row>
    <row r="166" spans="2:190" s="47" customFormat="1" ht="15" hidden="1">
      <c r="Q166" s="1199">
        <v>11</v>
      </c>
      <c r="R166" s="1199"/>
      <c r="S166" s="1199"/>
      <c r="U166" s="1222">
        <f>IF($F$156="",0,IF('2º MR-MI'!K26="-------",0,'2º MR-MI'!K26))</f>
        <v>0</v>
      </c>
      <c r="V166" s="1222"/>
      <c r="W166" s="1222"/>
      <c r="X166" s="1222"/>
      <c r="Y166" s="1222"/>
      <c r="Z166" s="1222"/>
      <c r="AA166" s="1222"/>
      <c r="AB166" s="1222"/>
      <c r="AC166" s="1222"/>
      <c r="AD166" s="1222"/>
      <c r="AE166" s="1222"/>
      <c r="AF166" s="1222"/>
      <c r="AG166" s="1222"/>
      <c r="AH166" s="1222"/>
      <c r="AJ166" s="1292" t="str">
        <f>IF($F$156="","----------",FIXED(U166-$U$156,'Registo Calibração'!$AI$15))</f>
        <v>----------</v>
      </c>
      <c r="AK166" s="1292"/>
      <c r="AL166" s="1292"/>
      <c r="AM166" s="1292"/>
      <c r="AN166" s="1292"/>
      <c r="AO166" s="1292"/>
      <c r="AP166" s="1292"/>
      <c r="AQ166" s="1292"/>
      <c r="AR166" s="1292"/>
      <c r="AS166" s="1292"/>
      <c r="AT166" s="1292"/>
      <c r="AU166" s="1292"/>
      <c r="AW166" s="406"/>
      <c r="FK166" s="46"/>
      <c r="FL166" s="46"/>
      <c r="FM166" s="46"/>
      <c r="FN166" s="46"/>
      <c r="FO166" s="46"/>
      <c r="FP166" s="46"/>
      <c r="FQ166" s="46"/>
      <c r="FR166" s="46"/>
      <c r="FS166" s="46"/>
      <c r="FT166" s="46"/>
      <c r="FU166" s="46"/>
      <c r="FV166" s="46"/>
      <c r="FW166" s="46"/>
      <c r="FX166" s="46"/>
      <c r="FY166" s="46"/>
      <c r="FZ166" s="46"/>
      <c r="GA166" s="46"/>
      <c r="GB166" s="46"/>
      <c r="GC166" s="46"/>
      <c r="GD166" s="46"/>
      <c r="GE166" s="46"/>
      <c r="GF166" s="46"/>
      <c r="GG166" s="46"/>
      <c r="GH166" s="46"/>
    </row>
    <row r="167" spans="2:190" s="47" customFormat="1" ht="45.75" customHeight="1">
      <c r="B167" s="1192" t="str">
        <f>IF($F$156="","Ensaio não aplicável.",CONCATENATE("O Erro de Excentricidade Máximo, calculado pela maior diferença de indicação entre cada posição e o centro (posição 1), para a carga considerada de ",'2º MR-MI'!$I$23," ",'2º MR-MI'!$J$23,", foi de ",'2º MR-MI'!$L$26,"",'2º MR-MI'!$M$25," ", '2º MR-MI'!M26, "."," A posição do terminal de pesagem relativamente ao recetor de carga está indicada ao lado do esquema pela palavra 'Visor'."))</f>
        <v>Ensaio não aplicável.</v>
      </c>
      <c r="C167" s="1192"/>
      <c r="D167" s="1192"/>
      <c r="E167" s="1192"/>
      <c r="F167" s="1192"/>
      <c r="G167" s="1192"/>
      <c r="H167" s="1192"/>
      <c r="I167" s="1192"/>
      <c r="J167" s="1192"/>
      <c r="K167" s="1192"/>
      <c r="L167" s="1192"/>
      <c r="M167" s="1192"/>
      <c r="N167" s="1192"/>
      <c r="O167" s="1192"/>
      <c r="P167" s="1192"/>
      <c r="Q167" s="1192"/>
      <c r="R167" s="1192"/>
      <c r="S167" s="1192"/>
      <c r="T167" s="1192"/>
      <c r="U167" s="1192"/>
      <c r="V167" s="1192"/>
      <c r="W167" s="1192"/>
      <c r="X167" s="1192"/>
      <c r="Y167" s="1192"/>
      <c r="Z167" s="1192"/>
      <c r="AA167" s="1192"/>
      <c r="AB167" s="1192"/>
      <c r="AC167" s="1192"/>
      <c r="AD167" s="1192"/>
      <c r="AE167" s="1192"/>
      <c r="AF167" s="1192"/>
      <c r="AG167" s="1192"/>
      <c r="AH167" s="1192"/>
      <c r="AI167" s="1192"/>
      <c r="AJ167" s="1192"/>
      <c r="AK167" s="1192"/>
      <c r="AL167" s="1192"/>
      <c r="AM167" s="1192"/>
      <c r="AN167" s="1192"/>
      <c r="AO167" s="1192"/>
      <c r="AP167" s="1192"/>
      <c r="AQ167" s="1192"/>
      <c r="AR167" s="1192"/>
      <c r="AS167" s="1192"/>
      <c r="AT167" s="1192"/>
      <c r="AU167" s="1192"/>
      <c r="AV167" s="1192"/>
      <c r="AW167" s="406"/>
      <c r="FK167" s="46"/>
      <c r="FL167" s="46"/>
      <c r="FM167" s="46"/>
      <c r="FN167" s="46"/>
      <c r="FO167" s="46"/>
      <c r="FP167" s="46"/>
      <c r="FQ167" s="46"/>
      <c r="FR167" s="46"/>
      <c r="FS167" s="46"/>
      <c r="FT167" s="46"/>
      <c r="FU167" s="46"/>
      <c r="FV167" s="46"/>
      <c r="FW167" s="46"/>
      <c r="FX167" s="46"/>
      <c r="FY167" s="46"/>
      <c r="FZ167" s="46"/>
      <c r="GA167" s="46"/>
      <c r="GB167" s="46"/>
      <c r="GC167" s="46"/>
      <c r="GD167" s="46"/>
      <c r="GE167" s="46"/>
      <c r="GF167" s="46"/>
      <c r="GG167" s="46"/>
      <c r="GH167" s="46"/>
    </row>
    <row r="168" spans="2:190" s="47" customFormat="1" ht="3.75" customHeight="1">
      <c r="B168" s="473"/>
      <c r="C168" s="473"/>
      <c r="D168" s="473"/>
      <c r="E168" s="473"/>
      <c r="F168" s="473"/>
      <c r="G168" s="473"/>
      <c r="H168" s="473"/>
      <c r="I168" s="473"/>
      <c r="J168" s="473"/>
      <c r="K168" s="473"/>
      <c r="L168" s="473"/>
      <c r="M168" s="473"/>
      <c r="N168" s="473"/>
      <c r="O168" s="473"/>
      <c r="P168" s="473"/>
      <c r="Q168" s="473"/>
      <c r="R168" s="473"/>
      <c r="S168" s="473"/>
      <c r="T168" s="473"/>
      <c r="U168" s="473"/>
      <c r="V168" s="473"/>
      <c r="W168" s="473"/>
      <c r="X168" s="473"/>
      <c r="Y168" s="473"/>
      <c r="Z168" s="473"/>
      <c r="AA168" s="473"/>
      <c r="AB168" s="473"/>
      <c r="AC168" s="473"/>
      <c r="AD168" s="473"/>
      <c r="AE168" s="473"/>
      <c r="AF168" s="473"/>
      <c r="AG168" s="473"/>
      <c r="AH168" s="473"/>
      <c r="AI168" s="473"/>
      <c r="AJ168" s="473"/>
      <c r="AK168" s="473"/>
      <c r="AL168" s="473"/>
      <c r="AM168" s="473"/>
      <c r="AN168" s="473"/>
      <c r="AO168" s="473"/>
      <c r="AP168" s="473"/>
      <c r="AQ168" s="473"/>
      <c r="AR168" s="473"/>
      <c r="AS168" s="473"/>
      <c r="AT168" s="473"/>
      <c r="AU168" s="473"/>
      <c r="AW168" s="406"/>
      <c r="FK168" s="46"/>
      <c r="FL168" s="46"/>
      <c r="FM168" s="46"/>
      <c r="FN168" s="46"/>
      <c r="FO168" s="46"/>
      <c r="FP168" s="46"/>
      <c r="FQ168" s="46"/>
      <c r="FR168" s="46"/>
      <c r="FS168" s="46"/>
      <c r="FT168" s="46"/>
      <c r="FU168" s="46"/>
      <c r="FV168" s="46"/>
      <c r="FW168" s="46"/>
      <c r="FX168" s="46"/>
      <c r="FY168" s="46"/>
      <c r="FZ168" s="46"/>
      <c r="GA168" s="46"/>
      <c r="GB168" s="46"/>
      <c r="GC168" s="46"/>
      <c r="GD168" s="46"/>
      <c r="GE168" s="46"/>
      <c r="GF168" s="46"/>
      <c r="GG168" s="46"/>
      <c r="GH168" s="46"/>
    </row>
    <row r="169" spans="2:190" s="47" customFormat="1" ht="15">
      <c r="B169" s="1221" t="s">
        <v>420</v>
      </c>
      <c r="C169" s="1221"/>
      <c r="D169" s="1221"/>
      <c r="E169" s="1221"/>
      <c r="F169" s="1221"/>
      <c r="G169" s="1221"/>
      <c r="H169" s="1221"/>
      <c r="I169" s="1221"/>
      <c r="J169" s="1221"/>
      <c r="K169" s="1221"/>
      <c r="L169" s="1221"/>
      <c r="M169" s="1221"/>
      <c r="N169" s="1221"/>
      <c r="O169" s="1221"/>
      <c r="P169" s="1221"/>
      <c r="Q169" s="1221"/>
      <c r="R169" s="1221"/>
      <c r="S169" s="1221"/>
      <c r="T169" s="1221"/>
      <c r="U169" s="1221"/>
      <c r="V169" s="1221"/>
      <c r="W169" s="1221"/>
      <c r="X169" s="1221"/>
      <c r="Y169" s="1221"/>
      <c r="Z169" s="1221"/>
      <c r="AA169" s="1221"/>
      <c r="AB169" s="1221"/>
      <c r="AC169" s="1221"/>
      <c r="AD169" s="1221"/>
      <c r="AE169" s="1221"/>
      <c r="AF169" s="1221"/>
      <c r="AG169" s="1221"/>
      <c r="AH169" s="1221"/>
      <c r="AI169" s="1221"/>
      <c r="AJ169" s="1221"/>
      <c r="AK169" s="1221"/>
      <c r="AL169" s="1221"/>
      <c r="AM169" s="1221"/>
      <c r="AN169" s="1221"/>
      <c r="AO169" s="1221"/>
      <c r="AP169" s="1221"/>
      <c r="AQ169" s="1221"/>
      <c r="AR169" s="1221"/>
      <c r="AS169" s="1221"/>
      <c r="AT169" s="1221"/>
      <c r="AU169" s="1221"/>
      <c r="AV169" s="1221"/>
      <c r="AW169" s="406"/>
      <c r="BH169" s="1223"/>
      <c r="BI169" s="1223"/>
      <c r="BJ169" s="1223"/>
      <c r="BK169" s="1223"/>
      <c r="BL169" s="1223"/>
      <c r="BM169" s="1223"/>
      <c r="BN169" s="1223"/>
      <c r="BO169" s="1223"/>
      <c r="BP169" s="1223"/>
      <c r="BQ169" s="1223"/>
      <c r="BR169" s="1223"/>
      <c r="FK169" s="46"/>
      <c r="FL169" s="46"/>
      <c r="FM169" s="46"/>
      <c r="FN169" s="46"/>
      <c r="FO169" s="46"/>
      <c r="FP169" s="46"/>
      <c r="FQ169" s="46"/>
      <c r="FR169" s="46"/>
      <c r="FS169" s="46"/>
      <c r="FT169" s="46"/>
      <c r="FU169" s="46"/>
      <c r="FV169" s="46"/>
      <c r="FW169" s="46"/>
      <c r="FX169" s="46"/>
      <c r="FY169" s="46"/>
      <c r="FZ169" s="46"/>
      <c r="GA169" s="46"/>
      <c r="GB169" s="46"/>
      <c r="GC169" s="46"/>
      <c r="GD169" s="46"/>
      <c r="GE169" s="46"/>
      <c r="GF169" s="46"/>
      <c r="GG169" s="46"/>
      <c r="GH169" s="46"/>
    </row>
    <row r="170" spans="2:190" s="47" customFormat="1" ht="5.25" customHeight="1">
      <c r="B170" s="474"/>
      <c r="C170" s="474"/>
      <c r="D170" s="474"/>
      <c r="E170" s="474"/>
      <c r="F170" s="474"/>
      <c r="G170" s="474"/>
      <c r="H170" s="474"/>
      <c r="I170" s="474"/>
      <c r="J170" s="474"/>
      <c r="K170" s="474"/>
      <c r="L170" s="474"/>
      <c r="M170" s="64"/>
      <c r="N170" s="64"/>
      <c r="O170" s="474"/>
      <c r="P170" s="474"/>
      <c r="Q170" s="474"/>
      <c r="R170" s="474"/>
      <c r="S170" s="474"/>
      <c r="T170" s="474"/>
      <c r="U170" s="474"/>
      <c r="V170" s="474"/>
      <c r="W170" s="474"/>
      <c r="X170" s="474"/>
      <c r="Y170" s="474"/>
      <c r="Z170" s="474"/>
      <c r="AA170" s="474"/>
      <c r="AB170" s="474"/>
      <c r="AC170" s="474"/>
      <c r="AD170" s="474"/>
      <c r="AE170" s="474"/>
      <c r="AF170" s="474"/>
      <c r="AG170" s="474"/>
      <c r="AH170" s="474"/>
      <c r="AI170" s="474"/>
      <c r="AJ170" s="474"/>
      <c r="AK170" s="474"/>
      <c r="AL170" s="474"/>
      <c r="AM170" s="474"/>
      <c r="AN170" s="474"/>
      <c r="AO170" s="474"/>
      <c r="AP170" s="474"/>
      <c r="AQ170" s="474"/>
      <c r="AR170" s="474"/>
      <c r="AS170" s="474"/>
      <c r="AT170" s="474"/>
      <c r="AU170" s="474"/>
      <c r="AW170" s="406"/>
      <c r="BH170" s="1223"/>
      <c r="BI170" s="1223"/>
      <c r="BJ170" s="1223"/>
      <c r="BK170" s="1223"/>
      <c r="BL170" s="1223"/>
      <c r="BM170" s="1223"/>
      <c r="BN170" s="1223"/>
      <c r="BO170" s="1223"/>
      <c r="BP170" s="1223"/>
      <c r="BQ170" s="1223"/>
      <c r="BR170" s="1223"/>
      <c r="FK170" s="46"/>
      <c r="FL170" s="46"/>
      <c r="FM170" s="46"/>
      <c r="FN170" s="46"/>
      <c r="FO170" s="46"/>
      <c r="FP170" s="46"/>
      <c r="FQ170" s="46"/>
      <c r="FR170" s="46"/>
      <c r="FS170" s="46"/>
      <c r="FT170" s="46"/>
      <c r="FU170" s="46"/>
      <c r="FV170" s="46"/>
      <c r="FW170" s="46"/>
      <c r="FX170" s="46"/>
      <c r="FY170" s="46"/>
      <c r="FZ170" s="46"/>
      <c r="GA170" s="46"/>
      <c r="GB170" s="46"/>
      <c r="GC170" s="46"/>
      <c r="GD170" s="46"/>
      <c r="GE170" s="46"/>
      <c r="GF170" s="46"/>
      <c r="GG170" s="46"/>
      <c r="GH170" s="46"/>
    </row>
    <row r="171" spans="2:190" s="47" customFormat="1" ht="16.5">
      <c r="B171" s="1221" t="s">
        <v>285</v>
      </c>
      <c r="C171" s="1221"/>
      <c r="D171" s="1221"/>
      <c r="E171" s="1221"/>
      <c r="F171" s="1221"/>
      <c r="G171" s="1221"/>
      <c r="H171" s="1221"/>
      <c r="I171" s="1221"/>
      <c r="J171" s="1221"/>
      <c r="K171" s="380"/>
      <c r="L171" s="1221" t="s">
        <v>411</v>
      </c>
      <c r="M171" s="1221"/>
      <c r="N171" s="1221"/>
      <c r="O171" s="1221"/>
      <c r="P171" s="1221"/>
      <c r="Q171" s="1221"/>
      <c r="R171" s="1221"/>
      <c r="S171" s="1221"/>
      <c r="T171" s="1221"/>
      <c r="U171" s="1221"/>
      <c r="V171" s="1221"/>
      <c r="W171" s="474"/>
      <c r="X171" s="1221" t="s">
        <v>2</v>
      </c>
      <c r="Y171" s="1221"/>
      <c r="Z171" s="1221"/>
      <c r="AA171" s="1221"/>
      <c r="AB171" s="1221"/>
      <c r="AC171" s="1221"/>
      <c r="AD171" s="1221"/>
      <c r="AE171" s="1221"/>
      <c r="AF171" s="1221"/>
      <c r="AG171" s="1221"/>
      <c r="AH171" s="470"/>
      <c r="AI171" s="1256" t="s">
        <v>421</v>
      </c>
      <c r="AJ171" s="1256"/>
      <c r="AK171" s="1256"/>
      <c r="AL171" s="474"/>
      <c r="AM171" s="1257" t="s">
        <v>6</v>
      </c>
      <c r="AN171" s="1257"/>
      <c r="AO171" s="1257"/>
      <c r="AP171" s="1257"/>
      <c r="AQ171" s="470"/>
      <c r="AR171" s="1257" t="s">
        <v>7</v>
      </c>
      <c r="AS171" s="1257"/>
      <c r="AT171" s="1257"/>
      <c r="AU171" s="1257"/>
      <c r="AV171" s="1257"/>
      <c r="AW171" s="406"/>
      <c r="BH171" s="1223"/>
      <c r="BI171" s="1223"/>
      <c r="BJ171" s="1223"/>
      <c r="BK171" s="1223"/>
      <c r="BL171" s="1223"/>
      <c r="BM171" s="1223"/>
      <c r="BN171" s="1223"/>
      <c r="BO171" s="1223"/>
      <c r="BP171" s="1223"/>
      <c r="BQ171" s="1223"/>
      <c r="BR171" s="1223"/>
      <c r="FK171" s="46"/>
      <c r="FL171" s="46"/>
      <c r="FM171" s="46"/>
      <c r="FN171" s="46"/>
      <c r="FO171" s="46"/>
      <c r="FP171" s="46"/>
      <c r="FQ171" s="46"/>
      <c r="FR171" s="46"/>
      <c r="FS171" s="46"/>
      <c r="FT171" s="46"/>
      <c r="FU171" s="46"/>
      <c r="FV171" s="46"/>
      <c r="FW171" s="46"/>
      <c r="FX171" s="46"/>
      <c r="FY171" s="46"/>
      <c r="FZ171" s="46"/>
      <c r="GA171" s="46"/>
      <c r="GB171" s="46"/>
      <c r="GC171" s="46"/>
      <c r="GD171" s="46"/>
      <c r="GE171" s="46"/>
      <c r="GF171" s="46"/>
      <c r="GG171" s="46"/>
      <c r="GH171" s="46"/>
    </row>
    <row r="172" spans="2:190" s="47" customFormat="1" ht="16.5">
      <c r="B172" s="1255" t="str">
        <f>CONCATENATE("[ ",$AV$69," ]")</f>
        <v>[ g ]</v>
      </c>
      <c r="C172" s="1255"/>
      <c r="D172" s="1255"/>
      <c r="E172" s="1255"/>
      <c r="F172" s="1255"/>
      <c r="G172" s="1255"/>
      <c r="H172" s="1255"/>
      <c r="I172" s="1255"/>
      <c r="J172" s="1255"/>
      <c r="K172" s="476"/>
      <c r="L172" s="1255" t="str">
        <f>CONCATENATE("I ","[ ",$AV$69," ]")</f>
        <v>I [ g ]</v>
      </c>
      <c r="M172" s="1255"/>
      <c r="N172" s="1255"/>
      <c r="O172" s="1255"/>
      <c r="P172" s="1255"/>
      <c r="Q172" s="1255"/>
      <c r="R172" s="1255"/>
      <c r="S172" s="1255"/>
      <c r="T172" s="1255"/>
      <c r="U172" s="1255"/>
      <c r="V172" s="1255"/>
      <c r="W172" s="474"/>
      <c r="X172" s="1255" t="str">
        <f>CONCATENATE("E ","[ ",$AV$69," ]")</f>
        <v>E [ g ]</v>
      </c>
      <c r="Y172" s="1255"/>
      <c r="Z172" s="1255"/>
      <c r="AA172" s="1255"/>
      <c r="AB172" s="1255"/>
      <c r="AC172" s="1255"/>
      <c r="AD172" s="1255"/>
      <c r="AE172" s="1255"/>
      <c r="AF172" s="1255"/>
      <c r="AG172" s="1255"/>
      <c r="AH172" s="470"/>
      <c r="AI172" s="1256"/>
      <c r="AJ172" s="1256"/>
      <c r="AK172" s="1256"/>
      <c r="AL172" s="474"/>
      <c r="AM172" s="1257"/>
      <c r="AN172" s="1257"/>
      <c r="AO172" s="1257"/>
      <c r="AP172" s="1257"/>
      <c r="AQ172" s="470"/>
      <c r="AR172" s="1244" t="s">
        <v>422</v>
      </c>
      <c r="AS172" s="1245"/>
      <c r="AT172" s="1261" t="str">
        <f>CONCATENATE("[ ",$AV$69," ]")</f>
        <v>[ g ]</v>
      </c>
      <c r="AU172" s="1261"/>
      <c r="AV172" s="1261"/>
      <c r="AW172" s="406"/>
      <c r="BH172" s="1223"/>
      <c r="BI172" s="1223"/>
      <c r="BJ172" s="1223"/>
      <c r="BK172" s="1223"/>
      <c r="BL172" s="1223"/>
      <c r="BM172" s="1223"/>
      <c r="BN172" s="1223"/>
      <c r="BO172" s="1223"/>
      <c r="BP172" s="1223"/>
      <c r="BQ172" s="1223"/>
      <c r="BR172" s="1223"/>
      <c r="FK172" s="46"/>
      <c r="FL172" s="46"/>
      <c r="FM172" s="46"/>
      <c r="FN172" s="46"/>
      <c r="FO172" s="46"/>
      <c r="FP172" s="46"/>
      <c r="FQ172" s="46"/>
      <c r="FR172" s="46"/>
      <c r="FS172" s="46"/>
      <c r="FT172" s="46"/>
      <c r="FU172" s="46"/>
      <c r="FV172" s="46"/>
      <c r="FW172" s="46"/>
      <c r="FX172" s="46"/>
      <c r="FY172" s="46"/>
      <c r="FZ172" s="46"/>
      <c r="GA172" s="46"/>
      <c r="GB172" s="46"/>
      <c r="GC172" s="46"/>
      <c r="GD172" s="46"/>
      <c r="GE172" s="46"/>
      <c r="GF172" s="46"/>
      <c r="GG172" s="46"/>
      <c r="GH172" s="46"/>
    </row>
    <row r="173" spans="2:190" s="47" customFormat="1" ht="6.75" hidden="1" customHeight="1">
      <c r="B173" s="476"/>
      <c r="C173" s="476"/>
      <c r="D173" s="476"/>
      <c r="E173" s="476"/>
      <c r="F173" s="476"/>
      <c r="G173" s="476"/>
      <c r="H173" s="476"/>
      <c r="I173" s="476"/>
      <c r="J173" s="476"/>
      <c r="K173" s="476"/>
      <c r="L173" s="476"/>
      <c r="M173" s="476"/>
      <c r="N173" s="476"/>
      <c r="O173" s="474"/>
      <c r="P173" s="474"/>
      <c r="Q173" s="474"/>
      <c r="R173" s="474"/>
      <c r="S173" s="474"/>
      <c r="T173" s="474"/>
      <c r="U173" s="474"/>
      <c r="V173" s="474"/>
      <c r="W173" s="474"/>
      <c r="X173" s="474"/>
      <c r="Y173" s="474"/>
      <c r="Z173" s="474"/>
      <c r="AA173" s="474"/>
      <c r="AB173" s="474"/>
      <c r="AC173" s="470"/>
      <c r="AD173" s="470"/>
      <c r="AE173" s="470"/>
      <c r="AF173" s="470"/>
      <c r="AG173" s="470"/>
      <c r="AH173" s="470"/>
      <c r="AI173" s="470"/>
      <c r="AJ173" s="470"/>
      <c r="AK173" s="470"/>
      <c r="AL173" s="470"/>
      <c r="AM173" s="470"/>
      <c r="AN173" s="470"/>
      <c r="AO173" s="470"/>
      <c r="AP173" s="470"/>
      <c r="AQ173" s="470"/>
      <c r="AR173" s="470"/>
      <c r="AS173" s="470"/>
      <c r="AW173" s="406"/>
      <c r="BH173" s="1223"/>
      <c r="BI173" s="1223"/>
      <c r="BJ173" s="1223"/>
      <c r="BK173" s="1223"/>
      <c r="BL173" s="1223"/>
      <c r="BM173" s="1223"/>
      <c r="BN173" s="1223"/>
      <c r="BO173" s="1223"/>
      <c r="BP173" s="1223"/>
      <c r="BQ173" s="1223"/>
      <c r="BR173" s="1223"/>
      <c r="FK173" s="46"/>
      <c r="FL173" s="46"/>
      <c r="FM173" s="46"/>
      <c r="FN173" s="46"/>
      <c r="FO173" s="46"/>
      <c r="FP173" s="46"/>
      <c r="FQ173" s="46"/>
      <c r="FR173" s="46"/>
      <c r="FS173" s="46"/>
      <c r="FT173" s="46"/>
      <c r="FU173" s="46"/>
      <c r="FV173" s="46"/>
      <c r="FW173" s="46"/>
      <c r="FX173" s="46"/>
      <c r="FY173" s="46"/>
      <c r="FZ173" s="46"/>
      <c r="GA173" s="46"/>
      <c r="GB173" s="46"/>
      <c r="GC173" s="46"/>
      <c r="GD173" s="46"/>
      <c r="GE173" s="46"/>
      <c r="GF173" s="46"/>
      <c r="GG173" s="46"/>
      <c r="GH173" s="46"/>
    </row>
    <row r="174" spans="2:190" s="47" customFormat="1" ht="15" hidden="1" customHeight="1">
      <c r="B174" s="1223">
        <f>'2º MR-MI'!$D$31</f>
        <v>0</v>
      </c>
      <c r="C174" s="1223"/>
      <c r="D174" s="1223"/>
      <c r="E174" s="1223"/>
      <c r="F174" s="1223"/>
      <c r="G174" s="1223"/>
      <c r="H174" s="1223"/>
      <c r="I174" s="1223"/>
      <c r="J174" s="1223"/>
      <c r="K174" s="477"/>
      <c r="L174" s="1223" t="str">
        <f>'2º MR-MI'!$H$31</f>
        <v>0</v>
      </c>
      <c r="M174" s="1223"/>
      <c r="N174" s="1223"/>
      <c r="O174" s="1223"/>
      <c r="P174" s="1223"/>
      <c r="Q174" s="1223"/>
      <c r="R174" s="1223"/>
      <c r="S174" s="1223"/>
      <c r="T174" s="1223"/>
      <c r="U174" s="1223"/>
      <c r="V174" s="1223"/>
      <c r="W174" s="478"/>
      <c r="X174" s="1220" t="str">
        <f>'2º MR-MI'!$I$31</f>
        <v>0</v>
      </c>
      <c r="Y174" s="1220"/>
      <c r="Z174" s="1220"/>
      <c r="AA174" s="1220"/>
      <c r="AB174" s="1220"/>
      <c r="AC174" s="1220"/>
      <c r="AD174" s="1220"/>
      <c r="AE174" s="1220"/>
      <c r="AF174" s="1220"/>
      <c r="AG174" s="1220"/>
      <c r="AH174" s="479"/>
      <c r="AI174" s="1223" t="str">
        <f>'2º MR-MI'!$J$31</f>
        <v>&gt; 500</v>
      </c>
      <c r="AJ174" s="1220"/>
      <c r="AK174" s="1220"/>
      <c r="AL174" s="479"/>
      <c r="AM174" s="1219">
        <f>'2º MR-MI'!$K$31</f>
        <v>2</v>
      </c>
      <c r="AN174" s="1220"/>
      <c r="AO174" s="1220"/>
      <c r="AP174" s="1220"/>
      <c r="AQ174" s="479"/>
      <c r="AR174" s="1223" t="str">
        <f>'2º MR-MI'!$L$31</f>
        <v>0,0000000</v>
      </c>
      <c r="AS174" s="1220"/>
      <c r="AT174" s="1220"/>
      <c r="AU174" s="1220"/>
      <c r="AV174" s="1220"/>
      <c r="AW174" s="406"/>
      <c r="BH174" s="1223"/>
      <c r="BI174" s="1223"/>
      <c r="BJ174" s="1223"/>
      <c r="BK174" s="1223"/>
      <c r="BL174" s="1223"/>
      <c r="BM174" s="1223"/>
      <c r="BN174" s="1223"/>
      <c r="BO174" s="1223"/>
      <c r="BP174" s="1223"/>
      <c r="BQ174" s="1223"/>
      <c r="BR174" s="1223"/>
      <c r="FK174" s="46"/>
      <c r="FL174" s="46"/>
      <c r="FM174" s="46"/>
      <c r="FN174" s="46"/>
      <c r="FO174" s="46"/>
      <c r="FP174" s="46"/>
      <c r="FQ174" s="46"/>
      <c r="FR174" s="46"/>
      <c r="FS174" s="46"/>
      <c r="FT174" s="46"/>
      <c r="FU174" s="46"/>
      <c r="FV174" s="46"/>
      <c r="FW174" s="46"/>
      <c r="FX174" s="46"/>
      <c r="FY174" s="46"/>
      <c r="FZ174" s="46"/>
      <c r="GA174" s="46"/>
      <c r="GB174" s="46"/>
      <c r="GC174" s="46"/>
      <c r="GD174" s="46"/>
      <c r="GE174" s="46"/>
      <c r="GF174" s="46"/>
      <c r="GG174" s="46"/>
      <c r="GH174" s="46"/>
    </row>
    <row r="175" spans="2:190" s="47" customFormat="1" ht="15" hidden="1" customHeight="1">
      <c r="B175" s="1223" t="str">
        <f>'2º MR-MI'!$D$34</f>
        <v>0,0</v>
      </c>
      <c r="C175" s="1223"/>
      <c r="D175" s="1223"/>
      <c r="E175" s="1223"/>
      <c r="F175" s="1223"/>
      <c r="G175" s="1223"/>
      <c r="H175" s="1223"/>
      <c r="I175" s="1223"/>
      <c r="J175" s="1223"/>
      <c r="K175" s="477"/>
      <c r="L175" s="1223" t="str">
        <f>'2º MR-MI'!$H$36</f>
        <v>------</v>
      </c>
      <c r="M175" s="1223"/>
      <c r="N175" s="1223"/>
      <c r="O175" s="1223"/>
      <c r="P175" s="1223"/>
      <c r="Q175" s="1223"/>
      <c r="R175" s="1223"/>
      <c r="S175" s="1223"/>
      <c r="T175" s="1223"/>
      <c r="U175" s="1223"/>
      <c r="V175" s="1223"/>
      <c r="W175" s="478"/>
      <c r="X175" s="1224" t="str">
        <f>'2º MR-MI'!$I$36</f>
        <v>------</v>
      </c>
      <c r="Y175" s="1220"/>
      <c r="Z175" s="1220"/>
      <c r="AA175" s="1220"/>
      <c r="AB175" s="1220"/>
      <c r="AC175" s="1220"/>
      <c r="AD175" s="1220"/>
      <c r="AE175" s="1220"/>
      <c r="AF175" s="1220"/>
      <c r="AG175" s="1220"/>
      <c r="AH175" s="479"/>
      <c r="AI175" s="1223" t="str">
        <f>'2º MR-MI'!$J$36</f>
        <v>&gt; 500</v>
      </c>
      <c r="AJ175" s="1220"/>
      <c r="AK175" s="1220"/>
      <c r="AL175" s="479"/>
      <c r="AM175" s="1219" t="e">
        <f>'2º MR-MI'!$K$36</f>
        <v>#DIV/0!</v>
      </c>
      <c r="AN175" s="1220"/>
      <c r="AO175" s="1220"/>
      <c r="AP175" s="1220"/>
      <c r="AQ175" s="479"/>
      <c r="AR175" s="1224" t="str">
        <f>'2º MR-MI'!$L$36</f>
        <v>------</v>
      </c>
      <c r="AS175" s="1220"/>
      <c r="AT175" s="1220"/>
      <c r="AU175" s="1220"/>
      <c r="AV175" s="1220"/>
      <c r="AW175" s="406"/>
      <c r="BH175" s="1223"/>
      <c r="BI175" s="1223"/>
      <c r="BJ175" s="1223"/>
      <c r="BK175" s="1223"/>
      <c r="BL175" s="1223"/>
      <c r="BM175" s="1223"/>
      <c r="BN175" s="1223"/>
      <c r="BO175" s="1223"/>
      <c r="BP175" s="1223"/>
      <c r="BQ175" s="1223"/>
      <c r="BR175" s="1223"/>
      <c r="FK175" s="46"/>
      <c r="FL175" s="46"/>
      <c r="FM175" s="46"/>
      <c r="FN175" s="46"/>
      <c r="FO175" s="46"/>
      <c r="FP175" s="46"/>
      <c r="FQ175" s="46"/>
      <c r="FR175" s="46"/>
      <c r="FS175" s="46"/>
      <c r="FT175" s="46"/>
      <c r="FU175" s="46"/>
      <c r="FV175" s="46"/>
      <c r="FW175" s="46"/>
      <c r="FX175" s="46"/>
      <c r="FY175" s="46"/>
      <c r="FZ175" s="46"/>
      <c r="GA175" s="46"/>
      <c r="GB175" s="46"/>
      <c r="GC175" s="46"/>
      <c r="GD175" s="46"/>
      <c r="GE175" s="46"/>
      <c r="GF175" s="46"/>
      <c r="GG175" s="46"/>
      <c r="GH175" s="46"/>
    </row>
    <row r="176" spans="2:190" s="47" customFormat="1" ht="15" hidden="1">
      <c r="B176" s="1223" t="str">
        <f>'2º MR-MI'!$D$39</f>
        <v>0,0</v>
      </c>
      <c r="C176" s="1223"/>
      <c r="D176" s="1223"/>
      <c r="E176" s="1223"/>
      <c r="F176" s="1223"/>
      <c r="G176" s="1223"/>
      <c r="H176" s="1223"/>
      <c r="I176" s="1223"/>
      <c r="J176" s="1223"/>
      <c r="K176" s="477"/>
      <c r="L176" s="1223" t="str">
        <f>'2º MR-MI'!$H$41</f>
        <v>------</v>
      </c>
      <c r="M176" s="1223"/>
      <c r="N176" s="1223"/>
      <c r="O176" s="1223"/>
      <c r="P176" s="1223"/>
      <c r="Q176" s="1223"/>
      <c r="R176" s="1223"/>
      <c r="S176" s="1223"/>
      <c r="T176" s="1223"/>
      <c r="U176" s="1223"/>
      <c r="V176" s="1223"/>
      <c r="W176" s="478"/>
      <c r="X176" s="1224" t="str">
        <f>'2º MR-MI'!$I$41</f>
        <v>------</v>
      </c>
      <c r="Y176" s="1220"/>
      <c r="Z176" s="1220"/>
      <c r="AA176" s="1220"/>
      <c r="AB176" s="1220"/>
      <c r="AC176" s="1220"/>
      <c r="AD176" s="1220"/>
      <c r="AE176" s="1220"/>
      <c r="AF176" s="1220"/>
      <c r="AG176" s="1220"/>
      <c r="AH176" s="479"/>
      <c r="AI176" s="1223" t="str">
        <f>'2º MR-MI'!$J$41</f>
        <v>&gt; 500</v>
      </c>
      <c r="AJ176" s="1220"/>
      <c r="AK176" s="1220"/>
      <c r="AL176" s="479"/>
      <c r="AM176" s="1219" t="e">
        <f>'2º MR-MI'!$K$41</f>
        <v>#DIV/0!</v>
      </c>
      <c r="AN176" s="1220"/>
      <c r="AO176" s="1220"/>
      <c r="AP176" s="1220"/>
      <c r="AQ176" s="479"/>
      <c r="AR176" s="1224" t="str">
        <f>'2º MR-MI'!$L$41</f>
        <v>------</v>
      </c>
      <c r="AS176" s="1220"/>
      <c r="AT176" s="1220"/>
      <c r="AU176" s="1220"/>
      <c r="AV176" s="1220"/>
      <c r="AW176" s="406"/>
      <c r="BH176" s="1223"/>
      <c r="BI176" s="1223"/>
      <c r="BJ176" s="1223"/>
      <c r="BK176" s="1223"/>
      <c r="BL176" s="1223"/>
      <c r="BM176" s="1223"/>
      <c r="BN176" s="1223"/>
      <c r="BO176" s="1223"/>
      <c r="BP176" s="1223"/>
      <c r="BQ176" s="1223"/>
      <c r="BR176" s="1223"/>
      <c r="FK176" s="46"/>
      <c r="FL176" s="46"/>
      <c r="FM176" s="46"/>
      <c r="FN176" s="46"/>
      <c r="FO176" s="46"/>
      <c r="FP176" s="46"/>
      <c r="FQ176" s="46"/>
      <c r="FR176" s="46"/>
      <c r="FS176" s="46"/>
      <c r="FT176" s="46"/>
      <c r="FU176" s="46"/>
      <c r="FV176" s="46"/>
      <c r="FW176" s="46"/>
      <c r="FX176" s="46"/>
      <c r="FY176" s="46"/>
      <c r="FZ176" s="46"/>
      <c r="GA176" s="46"/>
      <c r="GB176" s="46"/>
      <c r="GC176" s="46"/>
      <c r="GD176" s="46"/>
      <c r="GE176" s="46"/>
      <c r="GF176" s="46"/>
      <c r="GG176" s="46"/>
      <c r="GH176" s="46"/>
    </row>
    <row r="177" spans="1:190" s="47" customFormat="1" ht="15" hidden="1">
      <c r="B177" s="1223" t="str">
        <f>'2º MR-MI'!$D$45</f>
        <v>0,0</v>
      </c>
      <c r="C177" s="1223"/>
      <c r="D177" s="1223"/>
      <c r="E177" s="1223"/>
      <c r="F177" s="1223"/>
      <c r="G177" s="1223"/>
      <c r="H177" s="1223"/>
      <c r="I177" s="1223"/>
      <c r="J177" s="1223"/>
      <c r="K177" s="477"/>
      <c r="L177" s="1223" t="str">
        <f>'2º MR-MI'!$H$47</f>
        <v>------</v>
      </c>
      <c r="M177" s="1223"/>
      <c r="N177" s="1223"/>
      <c r="O177" s="1223"/>
      <c r="P177" s="1223"/>
      <c r="Q177" s="1223"/>
      <c r="R177" s="1223"/>
      <c r="S177" s="1223"/>
      <c r="T177" s="1223"/>
      <c r="U177" s="1223"/>
      <c r="V177" s="1223"/>
      <c r="W177" s="478"/>
      <c r="X177" s="1224" t="str">
        <f>'2º MR-MI'!$I$47</f>
        <v>------</v>
      </c>
      <c r="Y177" s="1220"/>
      <c r="Z177" s="1220"/>
      <c r="AA177" s="1220"/>
      <c r="AB177" s="1220"/>
      <c r="AC177" s="1220"/>
      <c r="AD177" s="1220"/>
      <c r="AE177" s="1220"/>
      <c r="AF177" s="1220"/>
      <c r="AG177" s="1220"/>
      <c r="AH177" s="479"/>
      <c r="AI177" s="1223" t="str">
        <f>'2º MR-MI'!$J$47</f>
        <v>&gt; 500</v>
      </c>
      <c r="AJ177" s="1220"/>
      <c r="AK177" s="1220"/>
      <c r="AL177" s="479"/>
      <c r="AM177" s="1219" t="e">
        <f>'2º MR-MI'!$K$47</f>
        <v>#DIV/0!</v>
      </c>
      <c r="AN177" s="1220"/>
      <c r="AO177" s="1220"/>
      <c r="AP177" s="1220"/>
      <c r="AQ177" s="479"/>
      <c r="AR177" s="1224" t="str">
        <f>'2º MR-MI'!$L$47</f>
        <v>------</v>
      </c>
      <c r="AS177" s="1220"/>
      <c r="AT177" s="1220"/>
      <c r="AU177" s="1220"/>
      <c r="AV177" s="1220"/>
      <c r="AW177" s="406"/>
      <c r="BH177" s="1223"/>
      <c r="BI177" s="1223"/>
      <c r="BJ177" s="1223"/>
      <c r="BK177" s="1223"/>
      <c r="BL177" s="1223"/>
      <c r="BM177" s="1223"/>
      <c r="BN177" s="1223"/>
      <c r="BO177" s="1223"/>
      <c r="BP177" s="1223"/>
      <c r="BQ177" s="1223"/>
      <c r="BR177" s="1223"/>
      <c r="FK177" s="46"/>
      <c r="FL177" s="46"/>
      <c r="FM177" s="46"/>
      <c r="FN177" s="46"/>
      <c r="FO177" s="46"/>
      <c r="FP177" s="46"/>
      <c r="FQ177" s="46"/>
      <c r="FR177" s="46"/>
      <c r="FS177" s="46"/>
      <c r="FT177" s="46"/>
      <c r="FU177" s="46"/>
      <c r="FV177" s="46"/>
      <c r="FW177" s="46"/>
      <c r="FX177" s="46"/>
      <c r="FY177" s="46"/>
      <c r="FZ177" s="46"/>
      <c r="GA177" s="46"/>
      <c r="GB177" s="46"/>
      <c r="GC177" s="46"/>
      <c r="GD177" s="46"/>
      <c r="GE177" s="46"/>
      <c r="GF177" s="46"/>
      <c r="GG177" s="46"/>
      <c r="GH177" s="46"/>
    </row>
    <row r="178" spans="1:190" s="47" customFormat="1" ht="15" hidden="1">
      <c r="B178" s="1223" t="str">
        <f>'2º MR-MI'!$D$51</f>
        <v>0,0</v>
      </c>
      <c r="C178" s="1223"/>
      <c r="D178" s="1223"/>
      <c r="E178" s="1223"/>
      <c r="F178" s="1223"/>
      <c r="G178" s="1223"/>
      <c r="H178" s="1223"/>
      <c r="I178" s="1223"/>
      <c r="J178" s="1223"/>
      <c r="K178" s="477"/>
      <c r="L178" s="1223" t="str">
        <f>'2º MR-MI'!$H$53</f>
        <v>------</v>
      </c>
      <c r="M178" s="1223"/>
      <c r="N178" s="1223"/>
      <c r="O178" s="1223"/>
      <c r="P178" s="1223"/>
      <c r="Q178" s="1223"/>
      <c r="R178" s="1223"/>
      <c r="S178" s="1223"/>
      <c r="T178" s="1223"/>
      <c r="U178" s="1223"/>
      <c r="V178" s="1223"/>
      <c r="W178" s="478"/>
      <c r="X178" s="1224" t="str">
        <f>'2º MR-MI'!$I$53</f>
        <v>------</v>
      </c>
      <c r="Y178" s="1220"/>
      <c r="Z178" s="1220"/>
      <c r="AA178" s="1220"/>
      <c r="AB178" s="1220"/>
      <c r="AC178" s="1220"/>
      <c r="AD178" s="1220"/>
      <c r="AE178" s="1220"/>
      <c r="AF178" s="1220"/>
      <c r="AG178" s="1220"/>
      <c r="AH178" s="479"/>
      <c r="AI178" s="1223" t="str">
        <f>'2º MR-MI'!$J$53</f>
        <v>&gt; 500</v>
      </c>
      <c r="AJ178" s="1220"/>
      <c r="AK178" s="1220"/>
      <c r="AL178" s="479"/>
      <c r="AM178" s="1219" t="e">
        <f>'2º MR-MI'!$K$53</f>
        <v>#DIV/0!</v>
      </c>
      <c r="AN178" s="1220"/>
      <c r="AO178" s="1220"/>
      <c r="AP178" s="1220"/>
      <c r="AQ178" s="479"/>
      <c r="AR178" s="1224" t="str">
        <f>'2º MR-MI'!$L$53</f>
        <v>------</v>
      </c>
      <c r="AS178" s="1220"/>
      <c r="AT178" s="1220"/>
      <c r="AU178" s="1220"/>
      <c r="AV178" s="1220"/>
      <c r="AW178" s="406"/>
      <c r="FK178" s="46"/>
      <c r="FL178" s="46"/>
      <c r="FM178" s="46"/>
      <c r="FN178" s="46"/>
      <c r="FO178" s="46"/>
      <c r="FP178" s="46"/>
      <c r="FQ178" s="46"/>
      <c r="FR178" s="46"/>
      <c r="FS178" s="46"/>
      <c r="FT178" s="46"/>
      <c r="FU178" s="46"/>
      <c r="FV178" s="46"/>
      <c r="FW178" s="46"/>
      <c r="FX178" s="46"/>
      <c r="FY178" s="46"/>
      <c r="FZ178" s="46"/>
      <c r="GA178" s="46"/>
      <c r="GB178" s="46"/>
      <c r="GC178" s="46"/>
      <c r="GD178" s="46"/>
      <c r="GE178" s="46"/>
      <c r="GF178" s="46"/>
      <c r="GG178" s="46"/>
      <c r="GH178" s="46"/>
    </row>
    <row r="179" spans="1:190" s="47" customFormat="1" ht="15" hidden="1">
      <c r="B179" s="1223" t="str">
        <f>'2º MR-MI'!$D$57</f>
        <v>0,0</v>
      </c>
      <c r="C179" s="1223"/>
      <c r="D179" s="1223"/>
      <c r="E179" s="1223"/>
      <c r="F179" s="1223"/>
      <c r="G179" s="1223"/>
      <c r="H179" s="1223"/>
      <c r="I179" s="1223"/>
      <c r="J179" s="1223"/>
      <c r="K179" s="477"/>
      <c r="L179" s="1223" t="str">
        <f>'2º MR-MI'!$H$59</f>
        <v>------</v>
      </c>
      <c r="M179" s="1223"/>
      <c r="N179" s="1223"/>
      <c r="O179" s="1223"/>
      <c r="P179" s="1223"/>
      <c r="Q179" s="1223"/>
      <c r="R179" s="1223"/>
      <c r="S179" s="1223"/>
      <c r="T179" s="1223"/>
      <c r="U179" s="1223"/>
      <c r="V179" s="1223"/>
      <c r="W179" s="478"/>
      <c r="X179" s="1224" t="str">
        <f>'2º MR-MI'!$I$59</f>
        <v>------</v>
      </c>
      <c r="Y179" s="1220"/>
      <c r="Z179" s="1220"/>
      <c r="AA179" s="1220"/>
      <c r="AB179" s="1220"/>
      <c r="AC179" s="1220"/>
      <c r="AD179" s="1220"/>
      <c r="AE179" s="1220"/>
      <c r="AF179" s="1220"/>
      <c r="AG179" s="1220"/>
      <c r="AH179" s="479"/>
      <c r="AI179" s="1223" t="str">
        <f>'2º MR-MI'!$J$59</f>
        <v>&gt; 500</v>
      </c>
      <c r="AJ179" s="1220"/>
      <c r="AK179" s="1220"/>
      <c r="AL179" s="479"/>
      <c r="AM179" s="1219" t="e">
        <f>'2º MR-MI'!$K$59</f>
        <v>#DIV/0!</v>
      </c>
      <c r="AN179" s="1220"/>
      <c r="AO179" s="1220"/>
      <c r="AP179" s="1220"/>
      <c r="AQ179" s="479"/>
      <c r="AR179" s="1224" t="str">
        <f>'2º MR-MI'!$L$59</f>
        <v>------</v>
      </c>
      <c r="AS179" s="1220"/>
      <c r="AT179" s="1220"/>
      <c r="AU179" s="1220"/>
      <c r="AV179" s="1220"/>
      <c r="AW179" s="406"/>
      <c r="FK179" s="46"/>
      <c r="FL179" s="46"/>
      <c r="FM179" s="46"/>
      <c r="FN179" s="46"/>
      <c r="FO179" s="46"/>
      <c r="FP179" s="46"/>
      <c r="FQ179" s="46"/>
      <c r="FR179" s="46"/>
      <c r="FS179" s="46"/>
      <c r="FT179" s="46"/>
      <c r="FU179" s="46"/>
      <c r="FV179" s="46"/>
      <c r="FW179" s="46"/>
      <c r="FX179" s="46"/>
      <c r="FY179" s="46"/>
      <c r="FZ179" s="46"/>
      <c r="GA179" s="46"/>
      <c r="GB179" s="46"/>
      <c r="GC179" s="46"/>
      <c r="GD179" s="46"/>
      <c r="GE179" s="46"/>
      <c r="GF179" s="46"/>
      <c r="GG179" s="46"/>
      <c r="GH179" s="46"/>
    </row>
    <row r="180" spans="1:190" s="47" customFormat="1" ht="15" hidden="1">
      <c r="B180" s="1223" t="str">
        <f>'2º MR-MI'!$D$63</f>
        <v>0,0</v>
      </c>
      <c r="C180" s="1223"/>
      <c r="D180" s="1223"/>
      <c r="E180" s="1223"/>
      <c r="F180" s="1223"/>
      <c r="G180" s="1223"/>
      <c r="H180" s="1223"/>
      <c r="I180" s="1223"/>
      <c r="J180" s="1223"/>
      <c r="K180" s="477"/>
      <c r="L180" s="1223" t="str">
        <f>'2º MR-MI'!$H$65</f>
        <v>------</v>
      </c>
      <c r="M180" s="1223"/>
      <c r="N180" s="1223"/>
      <c r="O180" s="1223"/>
      <c r="P180" s="1223"/>
      <c r="Q180" s="1223"/>
      <c r="R180" s="1223"/>
      <c r="S180" s="1223"/>
      <c r="T180" s="1223"/>
      <c r="U180" s="1223"/>
      <c r="V180" s="1223"/>
      <c r="W180" s="478"/>
      <c r="X180" s="1224" t="str">
        <f>'2º MR-MI'!$I$65</f>
        <v>------</v>
      </c>
      <c r="Y180" s="1220"/>
      <c r="Z180" s="1220"/>
      <c r="AA180" s="1220"/>
      <c r="AB180" s="1220"/>
      <c r="AC180" s="1220"/>
      <c r="AD180" s="1220"/>
      <c r="AE180" s="1220"/>
      <c r="AF180" s="1220"/>
      <c r="AG180" s="1220"/>
      <c r="AH180" s="479"/>
      <c r="AI180" s="1223" t="str">
        <f>'2º MR-MI'!$J$65</f>
        <v>&gt; 500</v>
      </c>
      <c r="AJ180" s="1220"/>
      <c r="AK180" s="1220"/>
      <c r="AL180" s="479"/>
      <c r="AM180" s="1219" t="e">
        <f>'2º MR-MI'!$K$65</f>
        <v>#DIV/0!</v>
      </c>
      <c r="AN180" s="1220"/>
      <c r="AO180" s="1220"/>
      <c r="AP180" s="1220"/>
      <c r="AQ180" s="479"/>
      <c r="AR180" s="1224" t="str">
        <f>'2º MR-MI'!$L$65</f>
        <v>------</v>
      </c>
      <c r="AS180" s="1220"/>
      <c r="AT180" s="1220"/>
      <c r="AU180" s="1220"/>
      <c r="AV180" s="1220"/>
      <c r="AW180" s="406"/>
      <c r="FK180" s="46"/>
      <c r="FL180" s="46"/>
      <c r="FM180" s="46"/>
      <c r="FN180" s="46"/>
      <c r="FO180" s="46"/>
      <c r="FP180" s="46"/>
      <c r="FQ180" s="46"/>
      <c r="FR180" s="46"/>
      <c r="FS180" s="46"/>
      <c r="FT180" s="46"/>
      <c r="FU180" s="46"/>
      <c r="FV180" s="46"/>
      <c r="FW180" s="46"/>
      <c r="FX180" s="46"/>
      <c r="FY180" s="46"/>
      <c r="FZ180" s="46"/>
      <c r="GA180" s="46"/>
      <c r="GB180" s="46"/>
      <c r="GC180" s="46"/>
      <c r="GD180" s="46"/>
      <c r="GE180" s="46"/>
      <c r="GF180" s="46"/>
      <c r="GG180" s="46"/>
      <c r="GH180" s="46"/>
    </row>
    <row r="181" spans="1:190" s="47" customFormat="1" ht="15" hidden="1">
      <c r="B181" s="1223" t="str">
        <f>'2º MR-MI'!$D$69</f>
        <v>0,0</v>
      </c>
      <c r="C181" s="1223"/>
      <c r="D181" s="1223"/>
      <c r="E181" s="1223"/>
      <c r="F181" s="1223"/>
      <c r="G181" s="1223"/>
      <c r="H181" s="1223"/>
      <c r="I181" s="1223"/>
      <c r="J181" s="1223"/>
      <c r="K181" s="477"/>
      <c r="L181" s="1223" t="str">
        <f>'2º MR-MI'!$H$71</f>
        <v>------</v>
      </c>
      <c r="M181" s="1223"/>
      <c r="N181" s="1223"/>
      <c r="O181" s="1223"/>
      <c r="P181" s="1223"/>
      <c r="Q181" s="1223"/>
      <c r="R181" s="1223"/>
      <c r="S181" s="1223"/>
      <c r="T181" s="1223"/>
      <c r="U181" s="1223"/>
      <c r="V181" s="1223"/>
      <c r="W181" s="478"/>
      <c r="X181" s="1224" t="str">
        <f>'2º MR-MI'!$I$71</f>
        <v>------</v>
      </c>
      <c r="Y181" s="1220"/>
      <c r="Z181" s="1220"/>
      <c r="AA181" s="1220"/>
      <c r="AB181" s="1220"/>
      <c r="AC181" s="1220"/>
      <c r="AD181" s="1220"/>
      <c r="AE181" s="1220"/>
      <c r="AF181" s="1220"/>
      <c r="AG181" s="1220"/>
      <c r="AH181" s="479"/>
      <c r="AI181" s="1223" t="str">
        <f>'2º MR-MI'!$J$71</f>
        <v>&gt; 500</v>
      </c>
      <c r="AJ181" s="1220"/>
      <c r="AK181" s="1220"/>
      <c r="AL181" s="479"/>
      <c r="AM181" s="1219" t="e">
        <f>'2º MR-MI'!$K$71</f>
        <v>#DIV/0!</v>
      </c>
      <c r="AN181" s="1220"/>
      <c r="AO181" s="1220"/>
      <c r="AP181" s="1220"/>
      <c r="AQ181" s="479"/>
      <c r="AR181" s="1224" t="str">
        <f>'2º MR-MI'!$L$71</f>
        <v>-------</v>
      </c>
      <c r="AS181" s="1220"/>
      <c r="AT181" s="1220"/>
      <c r="AU181" s="1220"/>
      <c r="AV181" s="1220"/>
      <c r="AW181" s="406"/>
      <c r="FK181" s="46"/>
      <c r="FL181" s="46"/>
      <c r="FM181" s="46"/>
      <c r="FN181" s="46"/>
      <c r="FO181" s="46"/>
      <c r="FP181" s="46"/>
      <c r="FQ181" s="46"/>
      <c r="FR181" s="46"/>
      <c r="FS181" s="46"/>
      <c r="FT181" s="46"/>
      <c r="FU181" s="46"/>
      <c r="FV181" s="46"/>
      <c r="FW181" s="46"/>
      <c r="FX181" s="46"/>
      <c r="FY181" s="46"/>
      <c r="FZ181" s="46"/>
      <c r="GA181" s="46"/>
      <c r="GB181" s="46"/>
      <c r="GC181" s="46"/>
      <c r="GD181" s="46"/>
      <c r="GE181" s="46"/>
      <c r="GF181" s="46"/>
      <c r="GG181" s="46"/>
      <c r="GH181" s="46"/>
    </row>
    <row r="182" spans="1:190" s="47" customFormat="1" ht="15" hidden="1">
      <c r="B182" s="1223" t="str">
        <f>'2º MR-MI'!$D$75</f>
        <v>0,0</v>
      </c>
      <c r="C182" s="1223"/>
      <c r="D182" s="1223"/>
      <c r="E182" s="1223"/>
      <c r="F182" s="1223"/>
      <c r="G182" s="1223"/>
      <c r="H182" s="1223"/>
      <c r="I182" s="1223"/>
      <c r="J182" s="1223"/>
      <c r="K182" s="477"/>
      <c r="L182" s="1223" t="str">
        <f>'2º MR-MI'!$H$77</f>
        <v>------</v>
      </c>
      <c r="M182" s="1223"/>
      <c r="N182" s="1223"/>
      <c r="O182" s="1223"/>
      <c r="P182" s="1223"/>
      <c r="Q182" s="1223"/>
      <c r="R182" s="1223"/>
      <c r="S182" s="1223"/>
      <c r="T182" s="1223"/>
      <c r="U182" s="1223"/>
      <c r="V182" s="1223"/>
      <c r="W182" s="478"/>
      <c r="X182" s="1224" t="str">
        <f>'2º MR-MI'!$I$77</f>
        <v>------</v>
      </c>
      <c r="Y182" s="1220"/>
      <c r="Z182" s="1220"/>
      <c r="AA182" s="1220"/>
      <c r="AB182" s="1220"/>
      <c r="AC182" s="1220"/>
      <c r="AD182" s="1220"/>
      <c r="AE182" s="1220"/>
      <c r="AF182" s="1220"/>
      <c r="AG182" s="1220"/>
      <c r="AH182" s="479"/>
      <c r="AI182" s="1223" t="str">
        <f>'2º MR-MI'!$J$77</f>
        <v>&gt; 500</v>
      </c>
      <c r="AJ182" s="1220"/>
      <c r="AK182" s="1220"/>
      <c r="AL182" s="479"/>
      <c r="AM182" s="1219" t="e">
        <f>'2º MR-MI'!$K$77</f>
        <v>#DIV/0!</v>
      </c>
      <c r="AN182" s="1220"/>
      <c r="AO182" s="1220"/>
      <c r="AP182" s="1220"/>
      <c r="AQ182" s="479"/>
      <c r="AR182" s="1224" t="str">
        <f>'2º MR-MI'!$L$77</f>
        <v>------</v>
      </c>
      <c r="AS182" s="1220"/>
      <c r="AT182" s="1220"/>
      <c r="AU182" s="1220"/>
      <c r="AV182" s="1220"/>
      <c r="AW182" s="406"/>
      <c r="FK182" s="46"/>
      <c r="FL182" s="46"/>
      <c r="FM182" s="46"/>
      <c r="FN182" s="46"/>
      <c r="FO182" s="46"/>
      <c r="FP182" s="46"/>
      <c r="FQ182" s="46"/>
      <c r="FR182" s="46"/>
      <c r="FS182" s="46"/>
      <c r="FT182" s="46"/>
      <c r="FU182" s="46"/>
      <c r="FV182" s="46"/>
      <c r="FW182" s="46"/>
      <c r="FX182" s="46"/>
      <c r="FY182" s="46"/>
      <c r="FZ182" s="46"/>
      <c r="GA182" s="46"/>
      <c r="GB182" s="46"/>
      <c r="GC182" s="46"/>
      <c r="GD182" s="46"/>
      <c r="GE182" s="46"/>
      <c r="GF182" s="46"/>
      <c r="GG182" s="46"/>
      <c r="GH182" s="46"/>
    </row>
    <row r="183" spans="1:190" ht="5.25" hidden="1" customHeight="1">
      <c r="A183" s="484"/>
      <c r="B183" s="485"/>
      <c r="C183" s="485"/>
      <c r="D183" s="485"/>
      <c r="E183" s="485"/>
      <c r="F183" s="485"/>
      <c r="G183" s="485"/>
      <c r="H183" s="485"/>
      <c r="I183" s="485"/>
      <c r="J183" s="485"/>
      <c r="K183" s="485"/>
      <c r="L183" s="485"/>
      <c r="M183" s="485"/>
      <c r="N183" s="485"/>
      <c r="O183" s="486"/>
      <c r="P183" s="486"/>
      <c r="Q183" s="486"/>
      <c r="R183" s="486"/>
      <c r="S183" s="486"/>
      <c r="T183" s="486"/>
      <c r="U183" s="486"/>
      <c r="V183" s="486"/>
      <c r="W183" s="486"/>
      <c r="X183" s="486"/>
      <c r="Y183" s="486"/>
      <c r="Z183" s="486"/>
      <c r="AA183" s="486"/>
      <c r="AB183" s="486"/>
      <c r="AC183" s="487"/>
      <c r="AD183" s="487"/>
      <c r="AE183" s="487"/>
      <c r="AF183" s="487"/>
      <c r="AG183" s="487"/>
      <c r="AH183" s="487"/>
      <c r="AI183" s="487"/>
      <c r="AJ183" s="487"/>
      <c r="AK183" s="487"/>
      <c r="AL183" s="487"/>
      <c r="AM183" s="487"/>
      <c r="AN183" s="487"/>
      <c r="AO183" s="487"/>
      <c r="AP183" s="487"/>
      <c r="AQ183" s="487"/>
      <c r="AR183" s="487"/>
      <c r="AS183" s="487"/>
      <c r="AT183" s="487"/>
      <c r="AU183" s="487"/>
      <c r="AV183" s="484"/>
      <c r="AW183" s="427"/>
    </row>
    <row r="184" spans="1:190" ht="30.75" customHeight="1">
      <c r="A184" s="88"/>
      <c r="B184" s="1281" t="str">
        <f>IF(AP139="","",CONCATENATE("Os ensaios foram realizados com uma resolução melhor que d ",", dT = ",AP139," ", AV139,", sendo as indicações obtidas através do “modo serviço”."))</f>
        <v/>
      </c>
      <c r="C184" s="1281"/>
      <c r="D184" s="1281"/>
      <c r="E184" s="1281"/>
      <c r="F184" s="1281"/>
      <c r="G184" s="1281"/>
      <c r="H184" s="1281"/>
      <c r="I184" s="1281"/>
      <c r="J184" s="1281"/>
      <c r="K184" s="1281"/>
      <c r="L184" s="1281"/>
      <c r="M184" s="1281"/>
      <c r="N184" s="1281"/>
      <c r="O184" s="1281"/>
      <c r="P184" s="1281"/>
      <c r="Q184" s="1281"/>
      <c r="R184" s="1281"/>
      <c r="S184" s="1281"/>
      <c r="T184" s="1281"/>
      <c r="U184" s="1281"/>
      <c r="V184" s="1281"/>
      <c r="W184" s="1281"/>
      <c r="X184" s="1281"/>
      <c r="Y184" s="1281"/>
      <c r="Z184" s="1281"/>
      <c r="AA184" s="1281"/>
      <c r="AB184" s="1281"/>
      <c r="AC184" s="1281"/>
      <c r="AD184" s="1281"/>
      <c r="AE184" s="1281"/>
      <c r="AF184" s="1281"/>
      <c r="AG184" s="1281"/>
      <c r="AH184" s="1281"/>
      <c r="AI184" s="1281"/>
      <c r="AJ184" s="1281"/>
      <c r="AK184" s="1281"/>
      <c r="AL184" s="1281"/>
      <c r="AM184" s="1281"/>
      <c r="AN184" s="1281"/>
      <c r="AO184" s="1281"/>
      <c r="AP184" s="1281"/>
      <c r="AQ184" s="1281"/>
      <c r="AR184" s="1281"/>
      <c r="AS184" s="1281"/>
      <c r="AT184" s="1281"/>
      <c r="AU184" s="1281"/>
      <c r="AV184" s="1281"/>
      <c r="AW184" s="406"/>
    </row>
    <row r="185" spans="1:190" ht="14.25">
      <c r="A185" s="47"/>
      <c r="B185" s="1260" t="str">
        <f>IF('Registo Calibração'!$AK$3="Sim",CONCATENATE("Local de calibração: ",'Registo Calibração'!$AI$5),IF('Registo Calibração'!$AK$3&lt;&gt;"Sim",CONCATENATE("Local de calibração: ",'Registo Calibração'!$G$5," ",'Registo Calibração'!$G$6),CONCATENATE("Local de calibração: ",'Registo Calibração'!$C$5," ",'Registo Calibração'!$C$6)))</f>
        <v>Local de calibração: 0 0</v>
      </c>
      <c r="C185" s="1260"/>
      <c r="D185" s="1260"/>
      <c r="E185" s="1260"/>
      <c r="F185" s="1260"/>
      <c r="G185" s="1260"/>
      <c r="H185" s="1260"/>
      <c r="I185" s="1260"/>
      <c r="J185" s="1260"/>
      <c r="K185" s="1260"/>
      <c r="L185" s="1260"/>
      <c r="M185" s="1260"/>
      <c r="N185" s="1260"/>
      <c r="O185" s="1260"/>
      <c r="P185" s="1260"/>
      <c r="Q185" s="1260"/>
      <c r="R185" s="1260"/>
      <c r="S185" s="1260"/>
      <c r="T185" s="1260"/>
      <c r="U185" s="1260"/>
      <c r="V185" s="1260"/>
      <c r="W185" s="1260"/>
      <c r="X185" s="1260"/>
      <c r="Y185" s="1260"/>
      <c r="Z185" s="1260"/>
      <c r="AA185" s="1260"/>
      <c r="AB185" s="1260"/>
      <c r="AC185" s="1260"/>
      <c r="AD185" s="1260"/>
      <c r="AE185" s="1260"/>
      <c r="AF185" s="1260"/>
      <c r="AG185" s="1260"/>
      <c r="AH185" s="1260"/>
      <c r="AI185" s="1260"/>
      <c r="AJ185" s="1260"/>
      <c r="AK185" s="1260"/>
      <c r="AL185" s="1260"/>
      <c r="AM185" s="1260"/>
      <c r="AN185" s="1260"/>
      <c r="AO185" s="1260"/>
      <c r="AP185" s="1260"/>
      <c r="AQ185" s="1260"/>
      <c r="AR185" s="1260"/>
      <c r="AS185" s="1260"/>
      <c r="AT185" s="1260"/>
      <c r="AU185" s="1260"/>
      <c r="AV185" s="1260"/>
      <c r="AW185" s="406"/>
    </row>
    <row r="186" spans="1:190" ht="170.25" customHeight="1">
      <c r="B186" s="455" t="s">
        <v>404</v>
      </c>
      <c r="C186" s="455"/>
      <c r="D186" s="455"/>
      <c r="E186" s="455"/>
      <c r="F186" s="455"/>
      <c r="G186" s="1213"/>
      <c r="H186" s="1213"/>
      <c r="I186" s="1213"/>
      <c r="J186" s="1213"/>
      <c r="K186" s="1213"/>
      <c r="L186" s="1213"/>
      <c r="M186" s="1213"/>
      <c r="N186" s="1213"/>
      <c r="O186" s="1213"/>
      <c r="P186" s="1213"/>
      <c r="Q186" s="1213"/>
      <c r="R186" s="1213"/>
      <c r="S186" s="1213"/>
      <c r="T186" s="1213"/>
      <c r="W186" s="455"/>
      <c r="X186" s="456" t="s">
        <v>405</v>
      </c>
      <c r="Y186" s="455"/>
      <c r="Z186" s="455"/>
      <c r="AA186" s="455"/>
      <c r="AB186" s="455"/>
      <c r="AC186" s="455"/>
      <c r="AD186" s="455"/>
      <c r="AE186" s="455"/>
      <c r="AF186" s="455"/>
      <c r="AG186" s="1215"/>
      <c r="AH186" s="1215"/>
      <c r="AI186" s="1215"/>
      <c r="AJ186" s="1215"/>
      <c r="AK186" s="1215"/>
      <c r="AL186" s="1215"/>
      <c r="AM186" s="1215"/>
      <c r="AN186" s="1215"/>
      <c r="AO186" s="1215"/>
      <c r="AP186" s="1215"/>
      <c r="AQ186" s="1215"/>
      <c r="AR186" s="1215"/>
      <c r="AS186" s="1215"/>
      <c r="AT186" s="1215"/>
    </row>
    <row r="187" spans="1:190" ht="15">
      <c r="G187" s="34"/>
      <c r="H187" s="34"/>
      <c r="I187" s="1214" t="str">
        <f>VLOOKUP('Registo Calibração'!AV$112,'Registo Calibração'!AT$102:$AU$110,2)</f>
        <v>Vitor Rodrigues</v>
      </c>
      <c r="J187" s="1214"/>
      <c r="K187" s="1214"/>
      <c r="L187" s="1214"/>
      <c r="M187" s="1214"/>
      <c r="N187" s="1214"/>
      <c r="O187" s="1214"/>
      <c r="P187" s="1214"/>
      <c r="Q187" s="1214"/>
      <c r="R187" s="1214"/>
      <c r="S187" s="457"/>
      <c r="T187" s="457"/>
      <c r="U187" s="458"/>
      <c r="V187" s="458"/>
      <c r="W187" s="458"/>
      <c r="X187" s="458"/>
      <c r="Y187" s="458"/>
      <c r="Z187" s="458"/>
      <c r="AA187" s="458"/>
      <c r="AB187" s="458"/>
      <c r="AC187" s="458"/>
      <c r="AD187" s="458"/>
      <c r="AE187" s="458"/>
      <c r="AF187" s="458"/>
      <c r="AG187" s="457"/>
      <c r="AH187" s="457"/>
      <c r="AI187" s="1214" t="s">
        <v>96</v>
      </c>
      <c r="AJ187" s="1214"/>
      <c r="AK187" s="1214"/>
      <c r="AL187" s="1214"/>
      <c r="AM187" s="1214"/>
      <c r="AN187" s="1214"/>
      <c r="AO187" s="1214"/>
      <c r="AP187" s="1214"/>
      <c r="AQ187" s="1214"/>
      <c r="AR187" s="1214"/>
      <c r="AS187" s="34"/>
      <c r="AT187" s="34"/>
      <c r="AW187" s="406"/>
    </row>
    <row r="188" spans="1:190" ht="21.75" customHeight="1"/>
    <row r="189" spans="1:190">
      <c r="A189" s="1246" t="s">
        <v>471</v>
      </c>
      <c r="B189" s="1246"/>
      <c r="C189" s="1246"/>
      <c r="D189" s="1246"/>
      <c r="E189" s="1246"/>
      <c r="F189" s="1246"/>
      <c r="G189" s="1246"/>
      <c r="H189" s="1246"/>
      <c r="I189" s="1246"/>
      <c r="J189" s="1246"/>
      <c r="K189" s="1246"/>
      <c r="L189" s="1246"/>
      <c r="M189" s="1246"/>
      <c r="N189" s="1246"/>
      <c r="O189" s="1246"/>
      <c r="P189" s="1246"/>
      <c r="Q189" s="1246"/>
      <c r="R189" s="1246"/>
      <c r="S189" s="1246"/>
      <c r="T189" s="1246"/>
      <c r="U189" s="1246"/>
      <c r="V189" s="1246"/>
      <c r="W189" s="1246"/>
      <c r="X189" s="1246"/>
      <c r="Y189" s="1246"/>
      <c r="Z189" s="1246"/>
      <c r="AA189" s="1246"/>
      <c r="AB189" s="1246"/>
      <c r="AC189" s="1246"/>
      <c r="AD189" s="1246"/>
      <c r="AE189" s="1246"/>
      <c r="AF189" s="1246"/>
      <c r="AG189" s="1246"/>
      <c r="AH189" s="1246"/>
      <c r="AI189" s="1246"/>
      <c r="AJ189" s="1246"/>
      <c r="AK189" s="1246"/>
      <c r="AL189" s="1246"/>
      <c r="AM189" s="1246"/>
      <c r="AN189" s="1246"/>
      <c r="AO189" s="1246"/>
      <c r="AP189" s="1246"/>
      <c r="AQ189" s="1246"/>
      <c r="AR189" s="1246"/>
      <c r="AS189" s="1246"/>
      <c r="AT189" s="1246"/>
      <c r="AU189" s="1246"/>
      <c r="AV189" s="1246"/>
      <c r="AW189" s="1246"/>
    </row>
    <row r="190" spans="1:190" ht="53.25" customHeight="1">
      <c r="A190" s="281"/>
      <c r="B190" s="281"/>
      <c r="C190" s="281"/>
      <c r="D190" s="281"/>
      <c r="E190" s="281"/>
      <c r="F190" s="281"/>
      <c r="G190" s="281"/>
      <c r="H190" s="281"/>
      <c r="I190" s="281"/>
      <c r="J190" s="281"/>
      <c r="K190" s="281"/>
      <c r="L190" s="281"/>
      <c r="M190" s="281"/>
      <c r="N190" s="281"/>
      <c r="O190" s="753"/>
      <c r="P190" s="753"/>
      <c r="Q190" s="753"/>
      <c r="R190" s="753"/>
      <c r="S190" s="753"/>
      <c r="T190" s="753"/>
      <c r="U190" s="753"/>
      <c r="V190" s="753"/>
      <c r="W190" s="753"/>
      <c r="X190" s="753"/>
      <c r="Y190" s="754"/>
      <c r="Z190" s="754"/>
      <c r="AA190" s="754"/>
      <c r="AB190" s="754"/>
      <c r="AC190" s="281"/>
      <c r="AD190" s="281"/>
      <c r="AE190" s="281"/>
      <c r="AF190" s="281"/>
      <c r="AG190" s="281"/>
      <c r="AH190" s="281"/>
      <c r="AI190" s="281"/>
      <c r="AJ190" s="281"/>
      <c r="AK190" s="281"/>
      <c r="AL190" s="281"/>
      <c r="AM190" s="281"/>
      <c r="AN190" s="281"/>
      <c r="AO190" s="281"/>
      <c r="AP190" s="281"/>
      <c r="AQ190" s="281"/>
      <c r="AR190" s="281"/>
      <c r="AS190" s="281"/>
      <c r="AT190" s="281"/>
      <c r="AU190" s="281"/>
      <c r="AV190" s="281"/>
      <c r="AW190" s="755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</row>
    <row r="191" spans="1:190" ht="16.5" customHeight="1">
      <c r="AW191" s="406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</row>
    <row r="192" spans="1:190" ht="15.75" customHeight="1">
      <c r="A192" s="1209" t="s">
        <v>406</v>
      </c>
      <c r="B192" s="1209"/>
      <c r="C192" s="1209"/>
      <c r="D192" s="1209"/>
      <c r="E192" s="1209"/>
      <c r="F192" s="1209"/>
      <c r="G192" s="1209"/>
      <c r="H192" s="1209"/>
      <c r="I192" s="1209"/>
      <c r="J192" s="1209"/>
      <c r="K192" s="1249" t="str">
        <f>$F$4</f>
        <v/>
      </c>
      <c r="L192" s="1249"/>
      <c r="M192" s="1249"/>
      <c r="N192" s="1249"/>
      <c r="O192" s="1249"/>
      <c r="P192" s="1249"/>
      <c r="Q192" s="1249"/>
      <c r="R192" s="1249"/>
      <c r="S192" s="1249"/>
      <c r="Z192" s="1211"/>
      <c r="AA192" s="1211"/>
      <c r="AB192" s="1211"/>
      <c r="AC192" s="1211"/>
      <c r="AD192" s="1211"/>
      <c r="AE192" s="1211"/>
      <c r="AF192" s="1211"/>
      <c r="AG192" s="1211"/>
      <c r="AH192" s="1211"/>
      <c r="AI192" s="1211"/>
      <c r="AJ192" s="1211"/>
      <c r="AK192" s="1211"/>
      <c r="AW192" s="406"/>
      <c r="AX192"/>
      <c r="AY192"/>
      <c r="AZ192"/>
    </row>
    <row r="193" spans="1:190" ht="14.25" customHeight="1">
      <c r="A193" s="1210" t="s">
        <v>408</v>
      </c>
      <c r="B193" s="1210"/>
      <c r="C193" s="1210"/>
      <c r="D193" s="1210"/>
      <c r="E193" s="1210"/>
      <c r="F193" s="1210"/>
      <c r="K193" s="756"/>
      <c r="Z193" s="1211"/>
      <c r="AA193" s="1211"/>
      <c r="AB193" s="1211"/>
      <c r="AC193" s="1211"/>
      <c r="AD193" s="1211"/>
      <c r="AE193" s="1211"/>
      <c r="AF193" s="1211"/>
      <c r="AG193" s="1211"/>
      <c r="AH193" s="1211"/>
      <c r="AI193" s="1211"/>
      <c r="AJ193" s="1211"/>
      <c r="AK193" s="1211"/>
      <c r="AL193" s="410"/>
      <c r="AM193" s="410"/>
      <c r="AN193" s="410"/>
      <c r="AO193" s="410"/>
      <c r="AP193" s="410"/>
      <c r="AU193" s="63"/>
      <c r="AW193" s="406"/>
      <c r="AX193"/>
      <c r="AY193"/>
      <c r="AZ193"/>
    </row>
    <row r="194" spans="1:190" ht="51.75" customHeight="1">
      <c r="B194" s="756"/>
      <c r="C194" s="756"/>
      <c r="D194" s="756"/>
      <c r="E194" s="756"/>
      <c r="F194" s="756"/>
      <c r="G194" s="756"/>
      <c r="H194" s="756"/>
      <c r="I194" s="756"/>
      <c r="J194" s="756"/>
      <c r="K194" s="756"/>
      <c r="Z194" s="1212"/>
      <c r="AA194" s="1212"/>
      <c r="AB194" s="1212"/>
      <c r="AC194" s="1212"/>
      <c r="AD194" s="1212"/>
      <c r="AE194" s="1212"/>
      <c r="AF194" s="1212"/>
      <c r="AG194" s="1212"/>
      <c r="AH194" s="1212"/>
      <c r="AI194" s="1212"/>
      <c r="AJ194" s="1212"/>
      <c r="AK194" s="1212"/>
      <c r="AU194" s="63"/>
      <c r="AW194" s="406"/>
      <c r="AX194"/>
      <c r="AY194"/>
      <c r="AZ194"/>
      <c r="BY194" s="468"/>
      <c r="BZ194" s="468"/>
      <c r="CA194" s="468"/>
      <c r="CB194" s="468"/>
      <c r="CC194" s="468"/>
      <c r="CD194" s="468"/>
      <c r="CE194" s="468"/>
      <c r="CF194" s="468"/>
      <c r="CG194" s="468"/>
      <c r="CH194" s="468"/>
      <c r="CI194" s="468"/>
      <c r="CJ194" s="468"/>
      <c r="CK194" s="468"/>
      <c r="CL194" s="468"/>
      <c r="CM194" s="468"/>
    </row>
    <row r="195" spans="1:190" s="37" customFormat="1" ht="21.75" customHeight="1">
      <c r="A195" s="1"/>
      <c r="B195" s="1279" t="str">
        <f>'Registo Calibração'!$N$10</f>
        <v/>
      </c>
      <c r="C195" s="1279"/>
      <c r="D195" s="1279"/>
      <c r="E195" s="1279"/>
      <c r="F195" s="1279"/>
      <c r="G195" s="1279"/>
      <c r="H195" s="1279"/>
      <c r="I195" s="1279"/>
      <c r="J195" s="1279"/>
      <c r="K195" s="1279"/>
      <c r="L195" s="1279"/>
      <c r="M195" s="1279"/>
      <c r="N195" s="1279"/>
      <c r="O195" s="1279"/>
      <c r="P195" s="1279"/>
      <c r="Q195" s="1279"/>
      <c r="R195" s="1279"/>
      <c r="S195" s="1279"/>
      <c r="T195" s="1279"/>
      <c r="U195" s="1279"/>
      <c r="V195" s="1279"/>
      <c r="W195" s="1279"/>
      <c r="X195" s="1279"/>
      <c r="Y195" s="1279"/>
      <c r="Z195" s="1279"/>
      <c r="AA195" s="1279"/>
      <c r="AB195" s="1279"/>
      <c r="AC195" s="1279"/>
      <c r="AD195" s="1279"/>
      <c r="AE195" s="1280" t="str">
        <f>'Registo Calibração'!$Q$10</f>
        <v/>
      </c>
      <c r="AF195" s="1280"/>
      <c r="AG195" s="1280"/>
      <c r="AH195" s="1280"/>
      <c r="AI195" s="1280"/>
      <c r="AJ195" s="1280"/>
      <c r="AK195" s="1280"/>
      <c r="AL195" s="1280"/>
      <c r="AM195" s="1"/>
      <c r="AN195" s="1"/>
      <c r="AO195" s="1250" t="s">
        <v>473</v>
      </c>
      <c r="AP195" s="1250"/>
      <c r="AQ195" s="1250"/>
      <c r="AR195" s="1250"/>
      <c r="AS195" s="1250"/>
      <c r="AT195" s="1250"/>
      <c r="AU195" s="1250"/>
      <c r="AV195" s="1250"/>
      <c r="AW195" s="427"/>
      <c r="AX195"/>
      <c r="AY195"/>
      <c r="AZ195"/>
      <c r="BA195" s="90"/>
      <c r="BB195" s="90"/>
      <c r="CA195" s="468"/>
      <c r="CB195" s="468"/>
      <c r="CC195" s="468"/>
      <c r="CD195" s="468"/>
      <c r="CE195" s="468"/>
      <c r="CF195" s="468"/>
      <c r="CG195" s="468"/>
      <c r="CH195" s="468"/>
      <c r="CI195" s="468"/>
      <c r="CJ195" s="468"/>
      <c r="CK195" s="468"/>
      <c r="CL195" s="468"/>
      <c r="CM195" s="468"/>
      <c r="CN195"/>
      <c r="CO195"/>
      <c r="CP195"/>
      <c r="CQ195"/>
      <c r="FK195" s="35"/>
      <c r="FL195" s="35"/>
      <c r="FM195" s="35"/>
      <c r="FN195" s="35"/>
      <c r="FO195" s="35"/>
      <c r="FP195" s="35"/>
      <c r="FQ195" s="35"/>
      <c r="FR195" s="35"/>
      <c r="FS195" s="35"/>
      <c r="FT195" s="35"/>
      <c r="FU195" s="35"/>
      <c r="FV195" s="35"/>
      <c r="FW195" s="35"/>
      <c r="FX195" s="35"/>
      <c r="FY195" s="35"/>
      <c r="FZ195" s="35"/>
      <c r="GA195" s="35"/>
      <c r="GB195" s="35"/>
      <c r="GC195" s="35"/>
      <c r="GD195" s="35"/>
      <c r="GE195" s="35"/>
      <c r="GF195" s="35"/>
      <c r="GG195" s="35"/>
      <c r="GH195" s="35"/>
    </row>
    <row r="196" spans="1:190" ht="5.25" customHeight="1">
      <c r="O196" s="411"/>
      <c r="P196" s="411"/>
      <c r="Q196" s="411"/>
      <c r="R196" s="411"/>
      <c r="S196" s="411"/>
      <c r="T196" s="411"/>
      <c r="U196" s="411"/>
      <c r="V196" s="411"/>
      <c r="W196" s="411"/>
      <c r="X196" s="411"/>
      <c r="Y196" s="409"/>
      <c r="Z196" s="409"/>
      <c r="AA196" s="409"/>
      <c r="AB196" s="409"/>
      <c r="AW196" s="40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</row>
    <row r="197" spans="1:190" s="418" customFormat="1" ht="18" customHeight="1">
      <c r="B197" s="417" t="s">
        <v>357</v>
      </c>
      <c r="F197" s="433"/>
      <c r="G197" s="433" t="s">
        <v>394</v>
      </c>
      <c r="O197" s="423" t="str">
        <f>IF('Registo Calibração'!$C$7="","",'Registo Calibração'!$C$7)</f>
        <v/>
      </c>
      <c r="P197" s="424"/>
      <c r="Q197" s="424"/>
      <c r="R197" s="424"/>
      <c r="S197" s="424"/>
      <c r="T197" s="424"/>
      <c r="U197" s="424"/>
      <c r="V197" s="424"/>
      <c r="W197" s="424"/>
      <c r="X197" s="424"/>
      <c r="Y197" s="424"/>
      <c r="AT197" s="405"/>
      <c r="AU197" s="405"/>
      <c r="AV197" s="419"/>
      <c r="AW197" s="406"/>
      <c r="CR197" s="415"/>
      <c r="CS197" s="415"/>
      <c r="CT197" s="415"/>
      <c r="CU197" s="415"/>
      <c r="CV197" s="415"/>
      <c r="CW197" s="415"/>
      <c r="CX197" s="415"/>
      <c r="CY197" s="415"/>
      <c r="CZ197" s="415"/>
      <c r="DA197" s="415"/>
      <c r="DB197" s="415"/>
      <c r="DC197" s="415"/>
      <c r="DD197" s="415"/>
      <c r="DE197" s="415"/>
      <c r="DF197" s="415"/>
      <c r="DG197" s="415"/>
      <c r="DH197" s="415"/>
      <c r="DI197" s="415"/>
      <c r="DJ197" s="415"/>
      <c r="DK197" s="415"/>
      <c r="DL197" s="415"/>
      <c r="DM197" s="415"/>
      <c r="DN197" s="415"/>
      <c r="DO197" s="415"/>
      <c r="DP197" s="415"/>
      <c r="DQ197" s="415"/>
      <c r="DR197" s="415"/>
      <c r="DS197" s="415"/>
      <c r="DT197" s="415"/>
      <c r="DU197" s="415"/>
      <c r="DV197" s="415"/>
      <c r="DW197" s="415"/>
      <c r="DX197" s="415"/>
      <c r="DY197" s="415"/>
      <c r="DZ197" s="415"/>
      <c r="EA197" s="415"/>
      <c r="EB197" s="415"/>
      <c r="EC197" s="415"/>
      <c r="ED197" s="415"/>
      <c r="EE197" s="415"/>
      <c r="EF197" s="415"/>
      <c r="EG197" s="415"/>
      <c r="EH197" s="415"/>
      <c r="EI197" s="415"/>
      <c r="EJ197" s="415"/>
      <c r="EK197" s="415"/>
      <c r="EL197" s="415"/>
      <c r="EM197" s="415"/>
      <c r="EN197" s="415"/>
      <c r="EO197" s="415"/>
      <c r="EP197" s="415"/>
      <c r="EQ197" s="415"/>
      <c r="ER197" s="415"/>
      <c r="ES197" s="415"/>
      <c r="ET197" s="415"/>
      <c r="EU197" s="415"/>
      <c r="EV197" s="415"/>
      <c r="EW197" s="415"/>
      <c r="EX197" s="415"/>
      <c r="EY197" s="415"/>
      <c r="EZ197" s="415"/>
      <c r="FA197" s="415"/>
      <c r="FB197" s="415"/>
      <c r="FC197" s="415"/>
      <c r="FD197" s="415"/>
      <c r="FE197" s="415"/>
      <c r="FF197" s="415"/>
      <c r="FG197" s="415"/>
      <c r="FH197" s="415"/>
      <c r="FI197" s="415"/>
      <c r="FJ197" s="415"/>
      <c r="FK197" s="420"/>
      <c r="FL197" s="420"/>
      <c r="FM197" s="420"/>
      <c r="FN197" s="420"/>
      <c r="FO197" s="420"/>
      <c r="FP197" s="420"/>
      <c r="FQ197" s="420"/>
      <c r="FR197" s="420"/>
      <c r="FS197" s="420"/>
      <c r="FT197" s="420"/>
      <c r="FU197" s="420"/>
      <c r="FV197" s="420"/>
      <c r="FW197" s="420"/>
      <c r="FX197" s="420"/>
      <c r="FY197" s="420"/>
      <c r="FZ197" s="420"/>
      <c r="GA197" s="420"/>
      <c r="GB197" s="420"/>
      <c r="GC197" s="420"/>
      <c r="GD197" s="420"/>
      <c r="GE197" s="420"/>
      <c r="GF197" s="420"/>
      <c r="GG197" s="420"/>
      <c r="GH197" s="420"/>
    </row>
    <row r="198" spans="1:190" ht="3" customHeight="1">
      <c r="B198" s="1217"/>
      <c r="C198" s="1217"/>
      <c r="D198" s="1217"/>
      <c r="E198" s="1217"/>
      <c r="F198" s="421"/>
      <c r="G198" s="421"/>
      <c r="H198" s="421"/>
      <c r="O198" s="421"/>
      <c r="P198" s="414"/>
      <c r="W198" s="449"/>
      <c r="X198" s="449"/>
      <c r="Y198" s="449"/>
      <c r="Z198" s="449"/>
      <c r="AW198" s="406"/>
      <c r="AX198"/>
      <c r="AY198"/>
      <c r="AZ198"/>
      <c r="BA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</row>
    <row r="199" spans="1:190" ht="15.75" customHeight="1">
      <c r="B199" s="417" t="s">
        <v>360</v>
      </c>
      <c r="F199" s="37" t="s">
        <v>393</v>
      </c>
      <c r="O199" s="423" t="str">
        <f>IF('Registo Calibração'!$C$8="","N/C",'Registo Calibração'!$C$8)</f>
        <v>N/C</v>
      </c>
      <c r="P199" s="87"/>
      <c r="Q199" s="425"/>
      <c r="R199" s="425"/>
      <c r="S199" s="425"/>
      <c r="T199" s="425"/>
      <c r="U199" s="425"/>
      <c r="V199" s="425"/>
      <c r="W199" s="425"/>
      <c r="X199" s="425"/>
      <c r="Y199" s="425"/>
      <c r="Z199" s="425"/>
      <c r="AX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</row>
    <row r="200" spans="1:190" ht="3.75" customHeight="1">
      <c r="B200" s="421"/>
      <c r="Z200" s="282"/>
      <c r="AX200"/>
      <c r="AY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</row>
    <row r="201" spans="1:190" ht="13.5" customHeight="1">
      <c r="B201" s="417" t="s">
        <v>361</v>
      </c>
      <c r="G201" s="415" t="s">
        <v>395</v>
      </c>
      <c r="O201" s="423" t="str">
        <f>IF('Registo Calibração'!$C$9="","N/C",'Registo Calibração'!$C$9)</f>
        <v>N/C</v>
      </c>
      <c r="P201" s="423"/>
      <c r="Q201" s="423"/>
      <c r="R201" s="423"/>
      <c r="S201" s="423"/>
      <c r="T201" s="423"/>
      <c r="U201" s="423"/>
      <c r="V201" s="423"/>
      <c r="W201" s="423"/>
      <c r="X201" s="423"/>
      <c r="Y201" s="423"/>
      <c r="AA201" s="462" t="s">
        <v>465</v>
      </c>
      <c r="AC201" s="463"/>
      <c r="AD201" s="463"/>
      <c r="AE201" s="463"/>
      <c r="AF201" s="463"/>
      <c r="AG201" s="463"/>
      <c r="AO201" s="87"/>
      <c r="AP201" s="1278">
        <f>'3º MR-MI'!C13</f>
        <v>0</v>
      </c>
      <c r="AQ201" s="1278"/>
      <c r="AR201" s="1278"/>
      <c r="AS201" s="1278"/>
      <c r="AT201" s="1278"/>
      <c r="AU201" s="1278"/>
      <c r="AV201" s="1205" t="str">
        <f>'Registo Calibração'!$AV$77</f>
        <v>g</v>
      </c>
      <c r="AW201" s="1205"/>
      <c r="AX201"/>
    </row>
    <row r="202" spans="1:190" ht="3" customHeight="1">
      <c r="B202" s="421"/>
      <c r="AA202" s="282"/>
      <c r="AG202" s="461"/>
      <c r="AH202" s="461"/>
      <c r="AI202" s="461"/>
      <c r="AJ202" s="461"/>
      <c r="AK202" s="461"/>
      <c r="AL202" s="461"/>
      <c r="AM202" s="461"/>
      <c r="AN202" s="461"/>
      <c r="AO202" s="547"/>
      <c r="AP202" s="547"/>
      <c r="AQ202" s="547"/>
      <c r="AR202" s="547"/>
      <c r="AS202" s="547"/>
      <c r="AT202" s="87"/>
      <c r="AU202" s="87"/>
      <c r="AV202" s="467"/>
      <c r="AW202" s="381"/>
      <c r="AX202" s="2"/>
      <c r="AY202"/>
    </row>
    <row r="203" spans="1:190" ht="15.75" customHeight="1">
      <c r="B203" s="417" t="s">
        <v>362</v>
      </c>
      <c r="C203" s="417"/>
      <c r="D203" s="417"/>
      <c r="E203" s="417"/>
      <c r="F203" s="417"/>
      <c r="G203" s="416" t="s">
        <v>396</v>
      </c>
      <c r="H203" s="417"/>
      <c r="O203" s="1198" t="str">
        <f>IF('Registo Calibração'!$C$10="","N/C",'Registo Calibração'!$C$10)</f>
        <v>N/C</v>
      </c>
      <c r="P203" s="1198"/>
      <c r="Q203" s="1198"/>
      <c r="R203" s="1198"/>
      <c r="S203" s="1198"/>
      <c r="T203" s="1198"/>
      <c r="U203" s="1198"/>
      <c r="V203" s="1198"/>
      <c r="W203" s="1198"/>
      <c r="X203" s="1198"/>
      <c r="Y203" s="1198"/>
      <c r="AA203" s="464" t="s">
        <v>466</v>
      </c>
      <c r="AB203" s="465"/>
      <c r="AC203" s="465"/>
      <c r="AD203" s="465"/>
      <c r="AE203" s="465"/>
      <c r="AF203" s="465"/>
      <c r="AG203" s="418"/>
      <c r="AH203" s="418"/>
      <c r="AI203" s="418"/>
      <c r="AJ203" s="418"/>
      <c r="AK203" s="418"/>
      <c r="AL203" s="418"/>
      <c r="AO203" s="87"/>
      <c r="AP203" s="1291">
        <f>'3º MR-MI'!$C$14</f>
        <v>0</v>
      </c>
      <c r="AQ203" s="1277"/>
      <c r="AR203" s="1277"/>
      <c r="AS203" s="1277"/>
      <c r="AT203" s="1277"/>
      <c r="AU203" s="1277"/>
      <c r="AV203" s="1205" t="str">
        <f>'Registo Calibração'!$AV$77</f>
        <v>g</v>
      </c>
      <c r="AW203" s="1205"/>
      <c r="AX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/>
    </row>
    <row r="204" spans="1:190" ht="3" customHeight="1">
      <c r="B204" s="421"/>
      <c r="AA204" s="464"/>
      <c r="AO204" s="1277"/>
      <c r="AP204" s="1277"/>
      <c r="AQ204" s="1277"/>
      <c r="AR204" s="1277"/>
      <c r="AS204" s="1277"/>
      <c r="AT204" s="1277"/>
      <c r="AU204" s="87"/>
      <c r="AV204" s="466"/>
      <c r="AW204" s="466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</row>
    <row r="205" spans="1:190" ht="15.75" customHeight="1">
      <c r="B205" s="417" t="s">
        <v>363</v>
      </c>
      <c r="C205" s="417"/>
      <c r="D205" s="417"/>
      <c r="E205" s="417"/>
      <c r="F205" s="417"/>
      <c r="H205" s="422"/>
      <c r="I205" s="37" t="s">
        <v>397</v>
      </c>
      <c r="J205" s="422"/>
      <c r="K205" s="422"/>
      <c r="L205" s="422"/>
      <c r="M205" s="422"/>
      <c r="N205" s="422"/>
      <c r="O205" s="425" t="str">
        <f>IF('Registo Calibração'!$C$11="","------",'Registo Calibração'!$C$11)</f>
        <v>------</v>
      </c>
      <c r="AA205" s="464" t="str">
        <f>IF('2º MR-MI'!$E$14="","","Resolução de trabalho (dT):")</f>
        <v/>
      </c>
      <c r="AO205" s="87"/>
      <c r="AP205" s="1277" t="str">
        <f>IF('3º MR-MI'!E14="","",'3º MR-MI'!$E$14)</f>
        <v/>
      </c>
      <c r="AQ205" s="1277"/>
      <c r="AR205" s="1277"/>
      <c r="AS205" s="1277"/>
      <c r="AT205" s="1277"/>
      <c r="AU205" s="1277"/>
      <c r="AV205" s="1205" t="str">
        <f>IF('2º MR-MI'!$E$14="","",'Registo Calibração'!$AV$77)</f>
        <v/>
      </c>
      <c r="AW205" s="1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</row>
    <row r="206" spans="1:190" ht="3" customHeight="1">
      <c r="A206" s="1"/>
      <c r="B206" s="426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427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</row>
    <row r="207" spans="1:190" ht="6.75" customHeight="1">
      <c r="AW207" s="406"/>
    </row>
    <row r="208" spans="1:190" s="47" customFormat="1" ht="18" customHeight="1">
      <c r="A208"/>
      <c r="B208" s="1221" t="s">
        <v>410</v>
      </c>
      <c r="C208" s="1221"/>
      <c r="D208" s="1221"/>
      <c r="E208" s="1221"/>
      <c r="F208" s="1221"/>
      <c r="G208" s="1221"/>
      <c r="H208" s="1221"/>
      <c r="I208" s="1221"/>
      <c r="J208" s="1221"/>
      <c r="K208" s="1221"/>
      <c r="L208" s="1221"/>
      <c r="M208" s="1221"/>
      <c r="N208" s="1221"/>
      <c r="O208" s="1221"/>
      <c r="P208" s="1221"/>
      <c r="Q208" s="1221"/>
      <c r="R208" s="1221"/>
      <c r="S208" s="1221"/>
      <c r="T208" s="1221"/>
      <c r="U208" s="1221"/>
      <c r="V208" s="1221"/>
      <c r="W208" s="1221"/>
      <c r="X208" s="1221"/>
      <c r="Y208" s="1221"/>
      <c r="Z208" s="1221"/>
      <c r="AA208" s="1221"/>
      <c r="AB208" s="1221"/>
      <c r="AC208" s="1221"/>
      <c r="AD208" s="1221"/>
      <c r="AE208" s="1221"/>
      <c r="AF208" s="1221"/>
      <c r="AG208" s="1221"/>
      <c r="AH208" s="1221"/>
      <c r="AI208" s="1221"/>
      <c r="AJ208" s="1221"/>
      <c r="AK208" s="1221"/>
      <c r="AL208" s="1221"/>
      <c r="AM208" s="1221"/>
      <c r="AN208" s="1221"/>
      <c r="AO208" s="1221"/>
      <c r="AP208" s="1221"/>
      <c r="AQ208" s="1221"/>
      <c r="AR208" s="1221"/>
      <c r="AS208" s="1221"/>
      <c r="AT208" s="1221"/>
      <c r="AU208" s="1221"/>
      <c r="AV208" s="1221"/>
      <c r="AW208" s="406"/>
      <c r="FK208" s="46"/>
      <c r="FL208" s="46"/>
      <c r="FM208" s="46"/>
      <c r="FN208" s="46"/>
      <c r="FO208" s="46"/>
      <c r="FP208" s="46"/>
      <c r="FQ208" s="46"/>
      <c r="FR208" s="46"/>
      <c r="FS208" s="46"/>
      <c r="FT208" s="46"/>
      <c r="FU208" s="46"/>
      <c r="FV208" s="46"/>
      <c r="FW208" s="46"/>
      <c r="FX208" s="46"/>
      <c r="FY208" s="46"/>
      <c r="FZ208" s="46"/>
      <c r="GA208" s="46"/>
      <c r="GB208" s="46"/>
      <c r="GC208" s="46"/>
      <c r="GD208" s="46"/>
      <c r="GE208" s="46"/>
      <c r="GF208" s="46"/>
      <c r="GG208" s="46"/>
      <c r="GH208" s="46"/>
    </row>
    <row r="209" spans="1:190" s="47" customFormat="1" ht="4.5" customHeigh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 s="406"/>
      <c r="FK209" s="46"/>
      <c r="FL209" s="46"/>
      <c r="FM209" s="46"/>
      <c r="FN209" s="46"/>
      <c r="FO209" s="46"/>
      <c r="FP209" s="46"/>
      <c r="FQ209" s="46"/>
      <c r="FR209" s="46"/>
      <c r="FS209" s="46"/>
      <c r="FT209" s="46"/>
      <c r="FU209" s="46"/>
      <c r="FV209" s="46"/>
      <c r="FW209" s="46"/>
      <c r="FX209" s="46"/>
      <c r="FY209" s="46"/>
      <c r="FZ209" s="46"/>
      <c r="GA209" s="46"/>
      <c r="GB209" s="46"/>
      <c r="GC209" s="46"/>
      <c r="GD209" s="46"/>
      <c r="GE209" s="46"/>
      <c r="GF209" s="46"/>
      <c r="GG209" s="46"/>
      <c r="GH209" s="46"/>
    </row>
    <row r="210" spans="1:190" s="47" customFormat="1" ht="17.25" customHeight="1">
      <c r="A210"/>
      <c r="B210" s="1216" t="s">
        <v>285</v>
      </c>
      <c r="C210" s="1216"/>
      <c r="D210" s="1216"/>
      <c r="E210" s="1216"/>
      <c r="F210" s="1216"/>
      <c r="G210" s="1216"/>
      <c r="H210" s="1216"/>
      <c r="I210" s="1216"/>
      <c r="J210" s="1216"/>
      <c r="K210" s="1216"/>
      <c r="L210" s="1206" t="str">
        <f>CONCATENATE("[ ",$AV$69," ]")</f>
        <v>[ g ]</v>
      </c>
      <c r="M210" s="1206"/>
      <c r="N210" s="1206"/>
      <c r="O210" s="1206"/>
      <c r="P210"/>
      <c r="Q210" s="1216" t="s">
        <v>411</v>
      </c>
      <c r="R210" s="1216"/>
      <c r="S210" s="1216"/>
      <c r="T210" s="1216"/>
      <c r="U210" s="1216"/>
      <c r="V210" s="1216"/>
      <c r="W210" s="1216"/>
      <c r="X210" s="1216"/>
      <c r="Y210" s="1216"/>
      <c r="Z210" s="1216"/>
      <c r="AA210" s="1216"/>
      <c r="AB210" s="1206" t="str">
        <f>CONCATENATE("[ ",$AV$69," ]")</f>
        <v>[ g ]</v>
      </c>
      <c r="AC210" s="1206"/>
      <c r="AD210" s="1206"/>
      <c r="AE210" s="1206"/>
      <c r="AF210"/>
      <c r="AG210" s="1216" t="s">
        <v>2</v>
      </c>
      <c r="AH210" s="1216"/>
      <c r="AI210" s="1216"/>
      <c r="AJ210" s="1216"/>
      <c r="AK210" s="1216"/>
      <c r="AL210" s="1216"/>
      <c r="AM210" s="1216"/>
      <c r="AN210" s="1216"/>
      <c r="AO210" s="1216"/>
      <c r="AP210" s="1216"/>
      <c r="AQ210" s="1216"/>
      <c r="AR210" s="1216"/>
      <c r="AS210" s="548" t="str">
        <f>CONCATENATE("[ ",$AV$69," ]")</f>
        <v>[ g ]</v>
      </c>
      <c r="AT210" s="548"/>
      <c r="AU210" s="548"/>
      <c r="AV210" s="548"/>
      <c r="FK210" s="46"/>
      <c r="FL210" s="46"/>
      <c r="FM210" s="46"/>
      <c r="FN210" s="46"/>
      <c r="FO210" s="46"/>
      <c r="FP210" s="46"/>
      <c r="FQ210" s="46"/>
      <c r="FR210" s="46"/>
      <c r="FS210" s="46"/>
      <c r="FT210" s="46"/>
      <c r="FU210" s="46"/>
      <c r="FV210" s="46"/>
      <c r="FW210" s="46"/>
      <c r="FX210" s="46"/>
      <c r="FY210" s="46"/>
      <c r="FZ210" s="46"/>
      <c r="GA210" s="46"/>
      <c r="GB210" s="46"/>
      <c r="GC210" s="46"/>
      <c r="GD210" s="46"/>
      <c r="GE210" s="46"/>
      <c r="GF210" s="46"/>
      <c r="GG210" s="46"/>
      <c r="GH210" s="46"/>
    </row>
    <row r="211" spans="1:190" s="47" customFormat="1" ht="14.25" hidden="1">
      <c r="A211"/>
      <c r="B211" s="1218" t="str">
        <f>IF('3º MR-MI'!$F$19&lt;&gt;"",'3º MR-MI'!$C$19,"------")</f>
        <v>------</v>
      </c>
      <c r="C211" s="1218"/>
      <c r="D211" s="1218"/>
      <c r="E211" s="1218"/>
      <c r="F211" s="1218"/>
      <c r="G211" s="1218"/>
      <c r="H211" s="1218"/>
      <c r="I211" s="1218"/>
      <c r="J211" s="1218"/>
      <c r="K211" s="1218"/>
      <c r="L211" s="1218"/>
      <c r="M211" s="1218"/>
      <c r="N211" s="1218"/>
      <c r="O211" s="1218"/>
      <c r="P211" s="549"/>
      <c r="Q211" s="1218" t="str">
        <f>'3º MR-MI'!$E$19</f>
        <v>------</v>
      </c>
      <c r="R211" s="1222"/>
      <c r="S211" s="1222"/>
      <c r="T211" s="1222"/>
      <c r="U211" s="1222"/>
      <c r="V211" s="1222"/>
      <c r="W211" s="1222"/>
      <c r="X211" s="1222"/>
      <c r="Y211" s="1222"/>
      <c r="Z211" s="1222"/>
      <c r="AA211" s="1222"/>
      <c r="AB211" s="1222"/>
      <c r="AC211" s="1222"/>
      <c r="AD211" s="1222"/>
      <c r="AE211" s="1222"/>
      <c r="AG211" s="1222" t="str">
        <f>IF('3º MR-MI'!$F$19&lt;&gt;"",'3º MR-MI'!$G$19,"------")</f>
        <v>------</v>
      </c>
      <c r="AH211" s="1222"/>
      <c r="AI211" s="1222"/>
      <c r="AJ211" s="1222"/>
      <c r="AK211" s="1222"/>
      <c r="AL211" s="1222"/>
      <c r="AM211" s="1222"/>
      <c r="AN211" s="1222"/>
      <c r="AO211" s="1222"/>
      <c r="AP211" s="1222"/>
      <c r="AQ211" s="1222"/>
      <c r="AR211" s="1222"/>
      <c r="AS211" s="1222"/>
      <c r="AT211" s="1222"/>
      <c r="AU211" s="1222"/>
      <c r="AV211" s="1222"/>
      <c r="AW211" s="406"/>
      <c r="FK211" s="46"/>
      <c r="FL211" s="46"/>
      <c r="FM211" s="46"/>
      <c r="FN211" s="46"/>
      <c r="FO211" s="46"/>
      <c r="FP211" s="46"/>
      <c r="FQ211" s="46"/>
      <c r="FR211" s="46"/>
      <c r="FS211" s="46"/>
      <c r="FT211" s="46"/>
      <c r="FU211" s="46"/>
      <c r="FV211" s="46"/>
      <c r="FW211" s="46"/>
      <c r="FX211" s="46"/>
      <c r="FY211" s="46"/>
      <c r="FZ211" s="46"/>
      <c r="GA211" s="46"/>
      <c r="GB211" s="46"/>
      <c r="GC211" s="46"/>
      <c r="GD211" s="46"/>
      <c r="GE211" s="46"/>
      <c r="GF211" s="46"/>
      <c r="GG211" s="46"/>
      <c r="GH211" s="46"/>
    </row>
    <row r="212" spans="1:190" s="47" customFormat="1" ht="14.25" hidden="1">
      <c r="A212"/>
      <c r="B212" s="1218" t="str">
        <f>IF('3º MR-MI'!$F$20&lt;&gt;"",'3º MR-MI'!$C$20,"------")</f>
        <v>------</v>
      </c>
      <c r="C212" s="1218"/>
      <c r="D212" s="1218"/>
      <c r="E212" s="1218"/>
      <c r="F212" s="1218"/>
      <c r="G212" s="1218"/>
      <c r="H212" s="1218"/>
      <c r="I212" s="1218"/>
      <c r="J212" s="1218"/>
      <c r="K212" s="1218"/>
      <c r="L212" s="1218"/>
      <c r="M212" s="1218"/>
      <c r="N212" s="1218"/>
      <c r="O212" s="1218"/>
      <c r="P212" s="549"/>
      <c r="Q212" s="1222" t="str">
        <f>'3º MR-MI'!$E$20</f>
        <v>------</v>
      </c>
      <c r="R212" s="1222"/>
      <c r="S212" s="1222"/>
      <c r="T212" s="1222"/>
      <c r="U212" s="1222"/>
      <c r="V212" s="1222"/>
      <c r="W212" s="1222"/>
      <c r="X212" s="1222"/>
      <c r="Y212" s="1222"/>
      <c r="Z212" s="1222"/>
      <c r="AA212" s="1222"/>
      <c r="AB212" s="1222"/>
      <c r="AC212" s="1222"/>
      <c r="AD212" s="1222"/>
      <c r="AE212" s="1222"/>
      <c r="AG212" s="1222" t="str">
        <f>IF('3º MR-MI'!$F$20&lt;&gt;"",'3º MR-MI'!$G$20,"------")</f>
        <v>------</v>
      </c>
      <c r="AH212" s="1222"/>
      <c r="AI212" s="1222"/>
      <c r="AJ212" s="1222"/>
      <c r="AK212" s="1222"/>
      <c r="AL212" s="1222"/>
      <c r="AM212" s="1222"/>
      <c r="AN212" s="1222"/>
      <c r="AO212" s="1222"/>
      <c r="AP212" s="1222"/>
      <c r="AQ212" s="1222"/>
      <c r="AR212" s="1222"/>
      <c r="AS212" s="1222"/>
      <c r="AT212" s="1222"/>
      <c r="AU212" s="1222"/>
      <c r="AV212" s="1222"/>
      <c r="AW212" s="406"/>
      <c r="FK212" s="46"/>
      <c r="FL212" s="46"/>
      <c r="FM212" s="46"/>
      <c r="FN212" s="46"/>
      <c r="FO212" s="46"/>
      <c r="FP212" s="46"/>
      <c r="FQ212" s="46"/>
      <c r="FR212" s="46"/>
      <c r="FS212" s="46"/>
      <c r="FT212" s="46"/>
      <c r="FU212" s="46"/>
      <c r="FV212" s="46"/>
      <c r="FW212" s="46"/>
      <c r="FX212" s="46"/>
      <c r="FY212" s="46"/>
      <c r="FZ212" s="46"/>
      <c r="GA212" s="46"/>
      <c r="GB212" s="46"/>
      <c r="GC212" s="46"/>
      <c r="GD212" s="46"/>
      <c r="GE212" s="46"/>
      <c r="GF212" s="46"/>
      <c r="GG212" s="46"/>
      <c r="GH212" s="46"/>
    </row>
    <row r="213" spans="1:190" s="47" customFormat="1" ht="5.25" customHeight="1">
      <c r="A213"/>
      <c r="B213"/>
      <c r="D213" s="469"/>
      <c r="E213" s="469"/>
      <c r="F213" s="469"/>
      <c r="G213" s="469"/>
      <c r="H213" s="469"/>
      <c r="I213" s="469"/>
      <c r="J213" s="469"/>
      <c r="K213" s="469"/>
      <c r="L213" s="469"/>
      <c r="M213" s="469"/>
      <c r="N213" s="469"/>
      <c r="O213" s="469"/>
      <c r="P213" s="469"/>
      <c r="Q213" s="469"/>
      <c r="S213" s="470"/>
      <c r="T213" s="470"/>
      <c r="U213" s="470"/>
      <c r="V213" s="470"/>
      <c r="W213" s="470"/>
      <c r="X213" s="470"/>
      <c r="Y213" s="470"/>
      <c r="Z213" s="470"/>
      <c r="AA213" s="470"/>
      <c r="AB213" s="470"/>
      <c r="AC213" s="470"/>
      <c r="AD213" s="470"/>
      <c r="AE213" s="470"/>
      <c r="AF213" s="470"/>
      <c r="AG213" s="470"/>
      <c r="AI213" s="470"/>
      <c r="AJ213" s="470"/>
      <c r="AK213" s="470"/>
      <c r="AL213" s="470"/>
      <c r="AM213" s="470"/>
      <c r="AN213" s="470"/>
      <c r="AO213" s="470"/>
      <c r="AP213" s="470"/>
      <c r="AQ213" s="470"/>
      <c r="AR213" s="470"/>
      <c r="AS213" s="470"/>
      <c r="AT213" s="470"/>
      <c r="AU213" s="470"/>
      <c r="AV213" s="470"/>
      <c r="AW213" s="406"/>
      <c r="FK213" s="46"/>
      <c r="FL213" s="46"/>
      <c r="FM213" s="46"/>
      <c r="FN213" s="46"/>
      <c r="FO213" s="46"/>
      <c r="FP213" s="46"/>
      <c r="FQ213" s="46"/>
      <c r="FR213" s="46"/>
      <c r="FS213" s="46"/>
      <c r="FT213" s="46"/>
      <c r="FU213" s="46"/>
      <c r="FV213" s="46"/>
      <c r="FW213" s="46"/>
      <c r="FX213" s="46"/>
      <c r="FY213" s="46"/>
      <c r="FZ213" s="46"/>
      <c r="GA213" s="46"/>
      <c r="GB213" s="46"/>
      <c r="GC213" s="46"/>
      <c r="GD213" s="46"/>
      <c r="GE213" s="46"/>
      <c r="GF213" s="46"/>
      <c r="GG213" s="46"/>
      <c r="GH213" s="46"/>
    </row>
    <row r="214" spans="1:190" s="47" customFormat="1" ht="11.1" customHeight="1">
      <c r="A214"/>
      <c r="B214" s="1192" t="str">
        <f>'3º MR-MI'!$AI$21</f>
        <v>Ensaio Prévio aplicável somente a equipamento com possibilidade de se aceder ao ajuste interno.</v>
      </c>
      <c r="C214" s="1192"/>
      <c r="D214" s="1192"/>
      <c r="E214" s="1192"/>
      <c r="F214" s="1192"/>
      <c r="G214" s="1192"/>
      <c r="H214" s="1192"/>
      <c r="I214" s="1192"/>
      <c r="J214" s="1192"/>
      <c r="K214" s="1192"/>
      <c r="L214" s="1192"/>
      <c r="M214" s="1192"/>
      <c r="N214" s="1192"/>
      <c r="O214" s="1192"/>
      <c r="P214" s="1192"/>
      <c r="Q214" s="1192"/>
      <c r="R214" s="1192"/>
      <c r="S214" s="1192"/>
      <c r="T214" s="1192"/>
      <c r="U214" s="1192"/>
      <c r="V214" s="1192"/>
      <c r="W214" s="1192"/>
      <c r="X214" s="1192"/>
      <c r="Y214" s="1192"/>
      <c r="Z214" s="1192"/>
      <c r="AA214" s="1192"/>
      <c r="AB214" s="1192"/>
      <c r="AC214" s="1192"/>
      <c r="AD214" s="1192"/>
      <c r="AE214" s="1192"/>
      <c r="AF214" s="1192"/>
      <c r="AG214" s="1192"/>
      <c r="AH214" s="1192"/>
      <c r="AI214" s="1192"/>
      <c r="AJ214" s="1192"/>
      <c r="AK214" s="1192"/>
      <c r="AL214" s="1192"/>
      <c r="AM214" s="1192"/>
      <c r="AN214" s="1192"/>
      <c r="AO214" s="1192"/>
      <c r="AP214" s="1192"/>
      <c r="AQ214" s="1192"/>
      <c r="AR214" s="1192"/>
      <c r="AS214" s="1192"/>
      <c r="AT214" s="1192"/>
      <c r="AU214" s="1192"/>
      <c r="AV214" s="1192"/>
      <c r="AW214" s="406"/>
      <c r="FK214" s="46"/>
      <c r="FL214" s="46"/>
      <c r="FM214" s="46"/>
      <c r="FN214" s="46"/>
      <c r="FO214" s="46"/>
      <c r="FP214" s="46"/>
      <c r="FQ214" s="46"/>
      <c r="FR214" s="46"/>
      <c r="FS214" s="46"/>
      <c r="FT214" s="46"/>
      <c r="FU214" s="46"/>
      <c r="FV214" s="46"/>
      <c r="FW214" s="46"/>
      <c r="FX214" s="46"/>
      <c r="FY214" s="46"/>
      <c r="FZ214" s="46"/>
      <c r="GA214" s="46"/>
      <c r="GB214" s="46"/>
      <c r="GC214" s="46"/>
      <c r="GD214" s="46"/>
      <c r="GE214" s="46"/>
      <c r="GF214" s="46"/>
      <c r="GG214" s="46"/>
      <c r="GH214" s="46"/>
    </row>
    <row r="215" spans="1:190" s="47" customFormat="1" ht="11.1" customHeight="1">
      <c r="A215"/>
      <c r="B215" s="1192"/>
      <c r="C215" s="1192"/>
      <c r="D215" s="1192"/>
      <c r="E215" s="1192"/>
      <c r="F215" s="1192"/>
      <c r="G215" s="1192"/>
      <c r="H215" s="1192"/>
      <c r="I215" s="1192"/>
      <c r="J215" s="1192"/>
      <c r="K215" s="1192"/>
      <c r="L215" s="1192"/>
      <c r="M215" s="1192"/>
      <c r="N215" s="1192"/>
      <c r="O215" s="1192"/>
      <c r="P215" s="1192"/>
      <c r="Q215" s="1192"/>
      <c r="R215" s="1192"/>
      <c r="S215" s="1192"/>
      <c r="T215" s="1192"/>
      <c r="U215" s="1192"/>
      <c r="V215" s="1192"/>
      <c r="W215" s="1192"/>
      <c r="X215" s="1192"/>
      <c r="Y215" s="1192"/>
      <c r="Z215" s="1192"/>
      <c r="AA215" s="1192"/>
      <c r="AB215" s="1192"/>
      <c r="AC215" s="1192"/>
      <c r="AD215" s="1192"/>
      <c r="AE215" s="1192"/>
      <c r="AF215" s="1192"/>
      <c r="AG215" s="1192"/>
      <c r="AH215" s="1192"/>
      <c r="AI215" s="1192"/>
      <c r="AJ215" s="1192"/>
      <c r="AK215" s="1192"/>
      <c r="AL215" s="1192"/>
      <c r="AM215" s="1192"/>
      <c r="AN215" s="1192"/>
      <c r="AO215" s="1192"/>
      <c r="AP215" s="1192"/>
      <c r="AQ215" s="1192"/>
      <c r="AR215" s="1192"/>
      <c r="AS215" s="1192"/>
      <c r="AT215" s="1192"/>
      <c r="AU215" s="1192"/>
      <c r="AV215" s="1192"/>
      <c r="AW215" s="406"/>
      <c r="FK215" s="46"/>
      <c r="FL215" s="46"/>
      <c r="FM215" s="46"/>
      <c r="FN215" s="46"/>
      <c r="FO215" s="46"/>
      <c r="FP215" s="46"/>
      <c r="FQ215" s="46"/>
      <c r="FR215" s="46"/>
      <c r="FS215" s="46"/>
      <c r="FT215" s="46"/>
      <c r="FU215" s="46"/>
      <c r="FV215" s="46"/>
      <c r="FW215" s="46"/>
      <c r="FX215" s="46"/>
      <c r="FY215" s="46"/>
      <c r="FZ215" s="46"/>
      <c r="GA215" s="46"/>
      <c r="GB215" s="46"/>
      <c r="GC215" s="46"/>
      <c r="GD215" s="46"/>
      <c r="GE215" s="46"/>
      <c r="GF215" s="46"/>
      <c r="GG215" s="46"/>
      <c r="GH215" s="46"/>
    </row>
    <row r="216" spans="1:190" s="47" customFormat="1" ht="11.1" customHeight="1">
      <c r="A216"/>
      <c r="B216" s="1192"/>
      <c r="C216" s="1192"/>
      <c r="D216" s="1192"/>
      <c r="E216" s="1192"/>
      <c r="F216" s="1192"/>
      <c r="G216" s="1192"/>
      <c r="H216" s="1192"/>
      <c r="I216" s="1192"/>
      <c r="J216" s="1192"/>
      <c r="K216" s="1192"/>
      <c r="L216" s="1192"/>
      <c r="M216" s="1192"/>
      <c r="N216" s="1192"/>
      <c r="O216" s="1192"/>
      <c r="P216" s="1192"/>
      <c r="Q216" s="1192"/>
      <c r="R216" s="1192"/>
      <c r="S216" s="1192"/>
      <c r="T216" s="1192"/>
      <c r="U216" s="1192"/>
      <c r="V216" s="1192"/>
      <c r="W216" s="1192"/>
      <c r="X216" s="1192"/>
      <c r="Y216" s="1192"/>
      <c r="Z216" s="1192"/>
      <c r="AA216" s="1192"/>
      <c r="AB216" s="1192"/>
      <c r="AC216" s="1192"/>
      <c r="AD216" s="1192"/>
      <c r="AE216" s="1192"/>
      <c r="AF216" s="1192"/>
      <c r="AG216" s="1192"/>
      <c r="AH216" s="1192"/>
      <c r="AI216" s="1192"/>
      <c r="AJ216" s="1192"/>
      <c r="AK216" s="1192"/>
      <c r="AL216" s="1192"/>
      <c r="AM216" s="1192"/>
      <c r="AN216" s="1192"/>
      <c r="AO216" s="1192"/>
      <c r="AP216" s="1192"/>
      <c r="AQ216" s="1192"/>
      <c r="AR216" s="1192"/>
      <c r="AS216" s="1192"/>
      <c r="AT216" s="1192"/>
      <c r="AU216" s="1192"/>
      <c r="AV216" s="1192"/>
      <c r="AW216" s="406"/>
      <c r="FK216" s="46"/>
      <c r="FL216" s="46"/>
      <c r="FM216" s="46"/>
      <c r="FN216" s="46"/>
      <c r="FO216" s="46"/>
      <c r="FP216" s="46"/>
      <c r="FQ216" s="46"/>
      <c r="FR216" s="46"/>
      <c r="FS216" s="46"/>
      <c r="FT216" s="46"/>
      <c r="FU216" s="46"/>
      <c r="FV216" s="46"/>
      <c r="FW216" s="46"/>
      <c r="FX216" s="46"/>
      <c r="FY216" s="46"/>
      <c r="FZ216" s="46"/>
      <c r="GA216" s="46"/>
      <c r="GB216" s="46"/>
      <c r="GC216" s="46"/>
      <c r="GD216" s="46"/>
      <c r="GE216" s="46"/>
      <c r="GF216" s="46"/>
      <c r="GG216" s="46"/>
      <c r="GH216" s="46"/>
    </row>
    <row r="217" spans="1:190" s="47" customFormat="1" ht="4.5" customHeight="1">
      <c r="A217"/>
      <c r="B217" s="473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 s="406"/>
      <c r="FK217" s="46"/>
      <c r="FL217" s="46"/>
      <c r="FM217" s="46"/>
      <c r="FN217" s="46"/>
      <c r="FO217" s="46"/>
      <c r="FP217" s="46"/>
      <c r="FQ217" s="46"/>
      <c r="FR217" s="46"/>
      <c r="FS217" s="46"/>
      <c r="FT217" s="46"/>
      <c r="FU217" s="46"/>
      <c r="FV217" s="46"/>
      <c r="FW217" s="46"/>
      <c r="FX217" s="46"/>
      <c r="FY217" s="46"/>
      <c r="FZ217" s="46"/>
      <c r="GA217" s="46"/>
      <c r="GB217" s="46"/>
      <c r="GC217" s="46"/>
      <c r="GD217" s="46"/>
      <c r="GE217" s="46"/>
      <c r="GF217" s="46"/>
      <c r="GG217" s="46"/>
      <c r="GH217" s="46"/>
    </row>
    <row r="218" spans="1:190" s="47" customFormat="1" ht="18" customHeight="1">
      <c r="A218"/>
      <c r="B218" s="1221" t="s">
        <v>417</v>
      </c>
      <c r="C218" s="1221"/>
      <c r="D218" s="1221"/>
      <c r="E218" s="1221"/>
      <c r="F218" s="1221"/>
      <c r="G218" s="1221"/>
      <c r="H218" s="1221"/>
      <c r="I218" s="1221"/>
      <c r="J218" s="1221"/>
      <c r="K218" s="1221"/>
      <c r="L218" s="1221"/>
      <c r="M218" s="1221"/>
      <c r="N218" s="1221"/>
      <c r="O218" s="1221"/>
      <c r="P218" s="1221"/>
      <c r="Q218" s="1221"/>
      <c r="R218" s="1221"/>
      <c r="S218" s="1221"/>
      <c r="T218" s="1221"/>
      <c r="U218" s="1221"/>
      <c r="V218" s="1221"/>
      <c r="W218" s="1221"/>
      <c r="X218" s="1221"/>
      <c r="Y218" s="1221"/>
      <c r="Z218" s="1221"/>
      <c r="AA218" s="1221"/>
      <c r="AB218" s="1221"/>
      <c r="AC218" s="1221"/>
      <c r="AD218" s="1221"/>
      <c r="AE218" s="1221"/>
      <c r="AF218" s="1221"/>
      <c r="AG218" s="1221"/>
      <c r="AH218" s="1221"/>
      <c r="AI218" s="1221"/>
      <c r="AJ218" s="1221"/>
      <c r="AK218" s="1221"/>
      <c r="AL218" s="1221"/>
      <c r="AM218" s="1221"/>
      <c r="AN218" s="1221"/>
      <c r="AO218" s="1221"/>
      <c r="AP218" s="1221"/>
      <c r="AQ218" s="1221"/>
      <c r="AR218" s="1221"/>
      <c r="AS218" s="1221"/>
      <c r="AT218" s="1221"/>
      <c r="AU218" s="1221"/>
      <c r="AV218" s="1221"/>
      <c r="AW218" s="406"/>
      <c r="FK218" s="46"/>
      <c r="FL218" s="46"/>
      <c r="FM218" s="46"/>
      <c r="FN218" s="46"/>
      <c r="FO218" s="46"/>
      <c r="FP218" s="46"/>
      <c r="FQ218" s="46"/>
      <c r="FR218" s="46"/>
      <c r="FS218" s="46"/>
      <c r="FT218" s="46"/>
      <c r="FU218" s="46"/>
      <c r="FV218" s="46"/>
      <c r="FW218" s="46"/>
      <c r="FX218" s="46"/>
      <c r="FY218" s="46"/>
      <c r="FZ218" s="46"/>
      <c r="GA218" s="46"/>
      <c r="GB218" s="46"/>
      <c r="GC218" s="46"/>
      <c r="GD218" s="46"/>
      <c r="GE218" s="46"/>
      <c r="GF218" s="46"/>
      <c r="GG218" s="46"/>
      <c r="GH218" s="46"/>
    </row>
    <row r="219" spans="1:190" s="47" customFormat="1" ht="11.1" customHeight="1">
      <c r="A219"/>
      <c r="B219" s="474"/>
      <c r="C219" s="474"/>
      <c r="D219" s="474"/>
      <c r="E219" s="474"/>
      <c r="F219" s="474"/>
      <c r="G219" s="474"/>
      <c r="H219" s="474"/>
      <c r="I219" s="474"/>
      <c r="J219" s="474"/>
      <c r="K219" s="474"/>
      <c r="L219" s="474"/>
      <c r="M219" s="474"/>
      <c r="N219" s="474"/>
      <c r="O219" s="474"/>
      <c r="P219" s="472"/>
      <c r="Q219" s="474"/>
      <c r="R219" s="474"/>
      <c r="S219" s="474"/>
      <c r="T219" s="474"/>
      <c r="U219" s="474"/>
      <c r="V219" s="474"/>
      <c r="W219" s="474"/>
      <c r="X219" s="474"/>
      <c r="Y219" s="474"/>
      <c r="Z219" s="474"/>
      <c r="AA219" s="474"/>
      <c r="AB219" s="474"/>
      <c r="AC219" s="474"/>
      <c r="AD219" s="474"/>
      <c r="AE219" s="474"/>
      <c r="AF219" s="474"/>
      <c r="AG219" s="474"/>
      <c r="AH219" s="474"/>
      <c r="AI219" s="474"/>
      <c r="AJ219" s="474"/>
      <c r="AK219" s="474"/>
      <c r="AL219" s="474"/>
      <c r="AM219" s="474"/>
      <c r="AN219" s="474"/>
      <c r="AO219" s="474"/>
      <c r="AP219" s="474"/>
      <c r="AQ219" s="474"/>
      <c r="AR219" s="474"/>
      <c r="AS219" s="474"/>
      <c r="AT219" s="474"/>
      <c r="AU219" s="474"/>
      <c r="AV219"/>
      <c r="AW219" s="406"/>
      <c r="FK219" s="46"/>
      <c r="FL219" s="46"/>
      <c r="FM219" s="46"/>
      <c r="FN219" s="46"/>
      <c r="FO219" s="46"/>
      <c r="FP219" s="46"/>
      <c r="FQ219" s="46"/>
      <c r="FR219" s="46"/>
      <c r="FS219" s="46"/>
      <c r="FT219" s="46"/>
      <c r="FU219" s="46"/>
      <c r="FV219" s="46"/>
      <c r="FW219" s="46"/>
      <c r="FX219" s="46"/>
      <c r="FY219" s="46"/>
      <c r="FZ219" s="46"/>
      <c r="GA219" s="46"/>
      <c r="GB219" s="46"/>
      <c r="GC219" s="46"/>
      <c r="GD219" s="46"/>
      <c r="GE219" s="46"/>
      <c r="GF219" s="46"/>
      <c r="GG219" s="46"/>
      <c r="GH219" s="46"/>
    </row>
    <row r="220" spans="1:190" s="47" customFormat="1" ht="17.25" customHeight="1">
      <c r="A220"/>
      <c r="B220" s="1221" t="s">
        <v>285</v>
      </c>
      <c r="C220" s="1221"/>
      <c r="D220" s="1221"/>
      <c r="E220" s="1221"/>
      <c r="F220" s="1221"/>
      <c r="G220" s="1221"/>
      <c r="H220" s="1221"/>
      <c r="I220" s="1221"/>
      <c r="J220" s="1221"/>
      <c r="K220" s="1221"/>
      <c r="L220" s="1206" t="str">
        <f>CONCATENATE("[ ",$AV$69," ]")</f>
        <v>[ g ]</v>
      </c>
      <c r="M220" s="1206"/>
      <c r="N220" s="1206"/>
      <c r="O220" s="1206"/>
      <c r="P220"/>
      <c r="Q220" s="1221" t="s">
        <v>1</v>
      </c>
      <c r="R220" s="1221"/>
      <c r="S220" s="1221"/>
      <c r="U220" s="1216" t="s">
        <v>411</v>
      </c>
      <c r="V220" s="1216"/>
      <c r="W220" s="1216"/>
      <c r="X220" s="1216"/>
      <c r="Y220" s="1216"/>
      <c r="Z220" s="1216"/>
      <c r="AA220" s="1216"/>
      <c r="AB220" s="1216"/>
      <c r="AC220" s="1216"/>
      <c r="AD220" s="1216"/>
      <c r="AE220" s="1216"/>
      <c r="AF220" s="1254" t="str">
        <f>CONCATENATE("[ ",$AV$69," ]")</f>
        <v>[ g ]</v>
      </c>
      <c r="AG220" s="1254"/>
      <c r="AH220" s="1254"/>
      <c r="AJ220" s="1221" t="s">
        <v>2</v>
      </c>
      <c r="AK220" s="1221"/>
      <c r="AL220" s="1221"/>
      <c r="AM220" s="1221"/>
      <c r="AN220" s="1221"/>
      <c r="AO220" s="1221"/>
      <c r="AP220" s="1221"/>
      <c r="AQ220" s="1221"/>
      <c r="AR220" s="1221"/>
      <c r="AS220" s="1221"/>
      <c r="AT220" s="1206" t="str">
        <f>CONCATENATE("[ ",$AV$69," ]")</f>
        <v>[ g ]</v>
      </c>
      <c r="AU220" s="1206"/>
      <c r="AV220" s="1206"/>
      <c r="FK220" s="46"/>
      <c r="FL220" s="46"/>
      <c r="FM220" s="46"/>
      <c r="FN220" s="46"/>
      <c r="FO220" s="46"/>
      <c r="FP220" s="46"/>
      <c r="FQ220" s="46"/>
      <c r="FR220" s="46"/>
      <c r="FS220" s="46"/>
      <c r="FT220" s="46"/>
      <c r="FU220" s="46"/>
      <c r="FV220" s="46"/>
      <c r="FW220" s="46"/>
      <c r="FX220" s="46"/>
      <c r="FY220" s="46"/>
      <c r="FZ220" s="46"/>
      <c r="GA220" s="46"/>
      <c r="GB220" s="46"/>
      <c r="GC220" s="46"/>
      <c r="GD220" s="46"/>
      <c r="GE220" s="46"/>
      <c r="GF220" s="46"/>
      <c r="GG220" s="46"/>
      <c r="GH220" s="46"/>
    </row>
    <row r="221" spans="1:190" s="47" customFormat="1" ht="4.5" customHeight="1">
      <c r="A221"/>
      <c r="AV221"/>
      <c r="AW221" s="406"/>
      <c r="FK221" s="46"/>
      <c r="FL221" s="46"/>
      <c r="FM221" s="46"/>
      <c r="FN221" s="46"/>
      <c r="FO221" s="46"/>
      <c r="FP221" s="46"/>
      <c r="FQ221" s="46"/>
      <c r="FR221" s="46"/>
      <c r="FS221" s="46"/>
      <c r="FT221" s="46"/>
      <c r="FU221" s="46"/>
      <c r="FV221" s="46"/>
      <c r="FW221" s="46"/>
      <c r="FX221" s="46"/>
      <c r="FY221" s="46"/>
      <c r="FZ221" s="46"/>
      <c r="GA221" s="46"/>
      <c r="GB221" s="46"/>
      <c r="GC221" s="46"/>
      <c r="GD221" s="46"/>
      <c r="GE221" s="46"/>
      <c r="GF221" s="46"/>
      <c r="GG221" s="46"/>
      <c r="GH221" s="46"/>
    </row>
    <row r="222" spans="1:190" s="47" customFormat="1" ht="15.75" hidden="1" thickBot="1">
      <c r="A222"/>
      <c r="F222" s="1231" t="str">
        <f>IF('3º MR-MI'!$I$23="","",IF('3º MR-MI'!$I$23&lt;1,FIXED('3º MR-MI'!$I$23,'3º MR-MI'!$AI$15,TRUE),'3º MR-MI'!$I$23))</f>
        <v/>
      </c>
      <c r="G222" s="1232"/>
      <c r="H222" s="1232"/>
      <c r="I222" s="1232"/>
      <c r="J222" s="1232"/>
      <c r="K222" s="1232"/>
      <c r="L222" s="1233"/>
      <c r="Q222" s="1199">
        <v>1</v>
      </c>
      <c r="R222" s="1199"/>
      <c r="S222" s="1199"/>
      <c r="U222" s="1222">
        <f>IF($F$222="",0,IF('3º MR-MI'!A26="-------",0,'3º MR-MI'!A26))</f>
        <v>0</v>
      </c>
      <c r="V222" s="1222"/>
      <c r="W222" s="1222"/>
      <c r="X222" s="1222"/>
      <c r="Y222" s="1222"/>
      <c r="Z222" s="1222"/>
      <c r="AA222" s="1222"/>
      <c r="AB222" s="1222"/>
      <c r="AC222" s="1222"/>
      <c r="AD222" s="1222"/>
      <c r="AE222" s="1222"/>
      <c r="AF222" s="1222"/>
      <c r="AG222" s="1222"/>
      <c r="AH222" s="1222"/>
      <c r="AJ222" s="1253" t="s">
        <v>418</v>
      </c>
      <c r="AK222" s="1222"/>
      <c r="AL222" s="1222"/>
      <c r="AM222" s="1222"/>
      <c r="AN222" s="1222"/>
      <c r="AO222" s="1222"/>
      <c r="AP222" s="1222"/>
      <c r="AQ222" s="1222"/>
      <c r="AR222" s="1222"/>
      <c r="AS222" s="1222"/>
      <c r="AT222" s="1222"/>
      <c r="AU222" s="1222"/>
      <c r="AV222"/>
      <c r="AW222" s="406"/>
      <c r="FK222" s="46"/>
      <c r="FL222" s="46"/>
      <c r="FM222" s="46"/>
      <c r="FN222" s="46"/>
      <c r="FO222" s="46"/>
      <c r="FP222" s="46"/>
      <c r="FQ222" s="46"/>
      <c r="FR222" s="46"/>
      <c r="FS222" s="46"/>
      <c r="FT222" s="46"/>
      <c r="FU222" s="46"/>
      <c r="FV222" s="46"/>
      <c r="FW222" s="46"/>
      <c r="FX222" s="46"/>
      <c r="FY222" s="46"/>
      <c r="FZ222" s="46"/>
      <c r="GA222" s="46"/>
      <c r="GB222" s="46"/>
      <c r="GC222" s="46"/>
      <c r="GD222" s="46"/>
      <c r="GE222" s="46"/>
      <c r="GF222" s="46"/>
      <c r="GG222" s="46"/>
      <c r="GH222" s="46"/>
    </row>
    <row r="223" spans="1:190" s="47" customFormat="1" ht="20.25" hidden="1" customHeight="1">
      <c r="A223"/>
      <c r="H223" s="47" t="s">
        <v>672</v>
      </c>
      <c r="Q223" s="1199">
        <v>2</v>
      </c>
      <c r="R223" s="1199"/>
      <c r="S223" s="1199"/>
      <c r="U223" s="1222">
        <f>IF($F$222="",0,IF('3º MR-MI'!B26="-------",0,'3º MR-MI'!B26))</f>
        <v>0</v>
      </c>
      <c r="V223" s="1222"/>
      <c r="W223" s="1222"/>
      <c r="X223" s="1222"/>
      <c r="Y223" s="1222"/>
      <c r="Z223" s="1222"/>
      <c r="AA223" s="1222"/>
      <c r="AB223" s="1222"/>
      <c r="AC223" s="1222"/>
      <c r="AD223" s="1222"/>
      <c r="AE223" s="1222"/>
      <c r="AF223" s="1222"/>
      <c r="AG223" s="1222"/>
      <c r="AH223" s="1222"/>
      <c r="AJ223" s="1218" t="str">
        <f>IF($F$222="","----------",FIXED(U223-$U$222,'Registo Calibração'!$AI$15))</f>
        <v>----------</v>
      </c>
      <c r="AK223" s="1218"/>
      <c r="AL223" s="1218"/>
      <c r="AM223" s="1218"/>
      <c r="AN223" s="1218"/>
      <c r="AO223" s="1218"/>
      <c r="AP223" s="1218"/>
      <c r="AQ223" s="1218"/>
      <c r="AR223" s="1218"/>
      <c r="AS223" s="1218"/>
      <c r="AT223" s="1218"/>
      <c r="AU223" s="1218"/>
      <c r="AV223"/>
      <c r="AW223" s="406"/>
      <c r="FK223" s="46"/>
      <c r="FL223" s="46"/>
      <c r="FM223" s="46"/>
      <c r="FN223" s="46"/>
      <c r="FO223" s="46"/>
      <c r="FP223" s="46"/>
      <c r="FQ223" s="46"/>
      <c r="FR223" s="46"/>
      <c r="FS223" s="46"/>
      <c r="FT223" s="46"/>
      <c r="FU223" s="46"/>
      <c r="FV223" s="46"/>
      <c r="FW223" s="46"/>
      <c r="FX223" s="46"/>
      <c r="FY223" s="46"/>
      <c r="FZ223" s="46"/>
      <c r="GA223" s="46"/>
      <c r="GB223" s="46"/>
      <c r="GC223" s="46"/>
      <c r="GD223" s="46"/>
      <c r="GE223" s="46"/>
      <c r="GF223" s="46"/>
      <c r="GG223" s="46"/>
      <c r="GH223" s="46"/>
    </row>
    <row r="224" spans="1:190" s="47" customFormat="1" ht="26.25" hidden="1" customHeight="1">
      <c r="A224"/>
      <c r="Q224" s="1199">
        <v>3</v>
      </c>
      <c r="R224" s="1199"/>
      <c r="S224" s="1199"/>
      <c r="U224" s="1222">
        <f>IF($F$222="",0,IF('3º MR-MI'!C26="-------",0,'3º MR-MI'!C26))</f>
        <v>0</v>
      </c>
      <c r="V224" s="1222"/>
      <c r="W224" s="1222"/>
      <c r="X224" s="1222"/>
      <c r="Y224" s="1222"/>
      <c r="Z224" s="1222"/>
      <c r="AA224" s="1222"/>
      <c r="AB224" s="1222"/>
      <c r="AC224" s="1222"/>
      <c r="AD224" s="1222"/>
      <c r="AE224" s="1222"/>
      <c r="AF224" s="1222"/>
      <c r="AG224" s="1222"/>
      <c r="AH224" s="1222"/>
      <c r="AJ224" s="1218" t="str">
        <f>IF($F$222="","----------",FIXED(U224-$U$222,'Registo Calibração'!$AI$15))</f>
        <v>----------</v>
      </c>
      <c r="AK224" s="1218"/>
      <c r="AL224" s="1218"/>
      <c r="AM224" s="1218"/>
      <c r="AN224" s="1218"/>
      <c r="AO224" s="1218"/>
      <c r="AP224" s="1218"/>
      <c r="AQ224" s="1218"/>
      <c r="AR224" s="1218"/>
      <c r="AS224" s="1218"/>
      <c r="AT224" s="1218"/>
      <c r="AU224" s="1218"/>
      <c r="AV224"/>
      <c r="AW224" s="406"/>
      <c r="FK224" s="46"/>
      <c r="FL224" s="46"/>
      <c r="FM224" s="46"/>
      <c r="FN224" s="46"/>
      <c r="FO224" s="46"/>
      <c r="FP224" s="46"/>
      <c r="FQ224" s="46"/>
      <c r="FR224" s="46"/>
      <c r="FS224" s="46"/>
      <c r="FT224" s="46"/>
      <c r="FU224" s="46"/>
      <c r="FV224" s="46"/>
      <c r="FW224" s="46"/>
      <c r="FX224" s="46"/>
      <c r="FY224" s="46"/>
      <c r="FZ224" s="46"/>
      <c r="GA224" s="46"/>
      <c r="GB224" s="46"/>
      <c r="GC224" s="46"/>
      <c r="GD224" s="46"/>
      <c r="GE224" s="46"/>
      <c r="GF224" s="46"/>
      <c r="GG224" s="46"/>
      <c r="GH224" s="46"/>
    </row>
    <row r="225" spans="1:190" s="47" customFormat="1" ht="22.5" hidden="1" customHeight="1">
      <c r="A225"/>
      <c r="Q225" s="1199">
        <v>4</v>
      </c>
      <c r="R225" s="1199"/>
      <c r="S225" s="1199"/>
      <c r="U225" s="1222">
        <f>IF($F$222="",0,IF('3º MR-MI'!D26="-------",0,'3º MR-MI'!D26))</f>
        <v>0</v>
      </c>
      <c r="V225" s="1222"/>
      <c r="W225" s="1222"/>
      <c r="X225" s="1222"/>
      <c r="Y225" s="1222"/>
      <c r="Z225" s="1222"/>
      <c r="AA225" s="1222"/>
      <c r="AB225" s="1222"/>
      <c r="AC225" s="1222"/>
      <c r="AD225" s="1222"/>
      <c r="AE225" s="1222"/>
      <c r="AF225" s="1222"/>
      <c r="AG225" s="1222"/>
      <c r="AH225" s="1222"/>
      <c r="AJ225" s="1218" t="str">
        <f>IF($F$222="","----------",FIXED(U225-$U$222,'Registo Calibração'!$AI$15))</f>
        <v>----------</v>
      </c>
      <c r="AK225" s="1218"/>
      <c r="AL225" s="1218"/>
      <c r="AM225" s="1218"/>
      <c r="AN225" s="1218"/>
      <c r="AO225" s="1218"/>
      <c r="AP225" s="1218"/>
      <c r="AQ225" s="1218"/>
      <c r="AR225" s="1218"/>
      <c r="AS225" s="1218"/>
      <c r="AT225" s="1218"/>
      <c r="AU225" s="1218"/>
      <c r="AV225"/>
      <c r="AW225" s="406"/>
      <c r="FK225" s="46"/>
      <c r="FL225" s="46"/>
      <c r="FM225" s="46"/>
      <c r="FN225" s="46"/>
      <c r="FO225" s="46"/>
      <c r="FP225" s="46"/>
      <c r="FQ225" s="46"/>
      <c r="FR225" s="46"/>
      <c r="FS225" s="46"/>
      <c r="FT225" s="46"/>
      <c r="FU225" s="46"/>
      <c r="FV225" s="46"/>
      <c r="FW225" s="46"/>
      <c r="FX225" s="46"/>
      <c r="FY225" s="46"/>
      <c r="FZ225" s="46"/>
      <c r="GA225" s="46"/>
      <c r="GB225" s="46"/>
      <c r="GC225" s="46"/>
      <c r="GD225" s="46"/>
      <c r="GE225" s="46"/>
      <c r="GF225" s="46"/>
      <c r="GG225" s="46"/>
      <c r="GH225" s="46"/>
    </row>
    <row r="226" spans="1:190" s="47" customFormat="1" ht="22.5" hidden="1" customHeight="1">
      <c r="A226"/>
      <c r="Q226" s="1199">
        <v>5</v>
      </c>
      <c r="R226" s="1199"/>
      <c r="S226" s="1199"/>
      <c r="U226" s="1222">
        <f>IF($F$222="",0,IF('3º MR-MI'!E26="-------",0,'3º MR-MI'!E26))</f>
        <v>0</v>
      </c>
      <c r="V226" s="1222"/>
      <c r="W226" s="1222"/>
      <c r="X226" s="1222"/>
      <c r="Y226" s="1222"/>
      <c r="Z226" s="1222"/>
      <c r="AA226" s="1222"/>
      <c r="AB226" s="1222"/>
      <c r="AC226" s="1222"/>
      <c r="AD226" s="1222"/>
      <c r="AE226" s="1222"/>
      <c r="AF226" s="1222"/>
      <c r="AG226" s="1222"/>
      <c r="AH226" s="1222"/>
      <c r="AJ226" s="1218" t="str">
        <f>IF($F$222="","----------",FIXED(U226-$U$222,'Registo Calibração'!$AI$15))</f>
        <v>----------</v>
      </c>
      <c r="AK226" s="1218"/>
      <c r="AL226" s="1218"/>
      <c r="AM226" s="1218"/>
      <c r="AN226" s="1218"/>
      <c r="AO226" s="1218"/>
      <c r="AP226" s="1218"/>
      <c r="AQ226" s="1218"/>
      <c r="AR226" s="1218"/>
      <c r="AS226" s="1218"/>
      <c r="AT226" s="1218"/>
      <c r="AU226" s="1218"/>
      <c r="AV226"/>
      <c r="AW226" s="406"/>
      <c r="FK226" s="46"/>
      <c r="FL226" s="46"/>
      <c r="FM226" s="46"/>
      <c r="FN226" s="46"/>
      <c r="FO226" s="46"/>
      <c r="FP226" s="46"/>
      <c r="FQ226" s="46"/>
      <c r="FR226" s="46"/>
      <c r="FS226" s="46"/>
      <c r="FT226" s="46"/>
      <c r="FU226" s="46"/>
      <c r="FV226" s="46"/>
      <c r="FW226" s="46"/>
      <c r="FX226" s="46"/>
      <c r="FY226" s="46"/>
      <c r="FZ226" s="46"/>
      <c r="GA226" s="46"/>
      <c r="GB226" s="46"/>
      <c r="GC226" s="46"/>
      <c r="GD226" s="46"/>
      <c r="GE226" s="46"/>
      <c r="GF226" s="46"/>
      <c r="GG226" s="46"/>
      <c r="GH226" s="46"/>
    </row>
    <row r="227" spans="1:190" s="47" customFormat="1" ht="15" hidden="1">
      <c r="Q227" s="1199">
        <v>6</v>
      </c>
      <c r="R227" s="1199"/>
      <c r="S227" s="1199"/>
      <c r="U227" s="1222">
        <f>IF($F$222="",0,IF('3º MR-MI'!F26="-------",0,'3º MR-MI'!F26))</f>
        <v>0</v>
      </c>
      <c r="V227" s="1222"/>
      <c r="W227" s="1222"/>
      <c r="X227" s="1222"/>
      <c r="Y227" s="1222"/>
      <c r="Z227" s="1222"/>
      <c r="AA227" s="1222"/>
      <c r="AB227" s="1222"/>
      <c r="AC227" s="1222"/>
      <c r="AD227" s="1222"/>
      <c r="AE227" s="1222"/>
      <c r="AF227" s="1222"/>
      <c r="AG227" s="1222"/>
      <c r="AH227" s="1222"/>
      <c r="AJ227" s="1218" t="str">
        <f>IF($F$222="","----------",FIXED(U227-$U$222,'Registo Calibração'!$AI$15))</f>
        <v>----------</v>
      </c>
      <c r="AK227" s="1218"/>
      <c r="AL227" s="1218"/>
      <c r="AM227" s="1218"/>
      <c r="AN227" s="1218"/>
      <c r="AO227" s="1218"/>
      <c r="AP227" s="1218"/>
      <c r="AQ227" s="1218"/>
      <c r="AR227" s="1218"/>
      <c r="AS227" s="1218"/>
      <c r="AT227" s="1218"/>
      <c r="AU227" s="1218"/>
      <c r="AW227" s="406"/>
      <c r="FK227" s="46"/>
      <c r="FL227" s="46"/>
      <c r="FM227" s="46"/>
      <c r="FN227" s="46"/>
      <c r="FO227" s="46"/>
      <c r="FP227" s="46"/>
      <c r="FQ227" s="46"/>
      <c r="FR227" s="46"/>
      <c r="FS227" s="46"/>
      <c r="FT227" s="46"/>
      <c r="FU227" s="46"/>
      <c r="FV227" s="46"/>
      <c r="FW227" s="46"/>
      <c r="FX227" s="46"/>
      <c r="FY227" s="46"/>
      <c r="FZ227" s="46"/>
      <c r="GA227" s="46"/>
      <c r="GB227" s="46"/>
      <c r="GC227" s="46"/>
      <c r="GD227" s="46"/>
      <c r="GE227" s="46"/>
      <c r="GF227" s="46"/>
      <c r="GG227" s="46"/>
      <c r="GH227" s="46"/>
    </row>
    <row r="228" spans="1:190" s="47" customFormat="1" ht="15" hidden="1">
      <c r="Q228" s="1199">
        <v>7</v>
      </c>
      <c r="R228" s="1199"/>
      <c r="S228" s="1199"/>
      <c r="U228" s="1222">
        <f>IF($F$222="",0,IF('3º MR-MI'!G26="-------",0,'3º MR-MI'!G26))</f>
        <v>0</v>
      </c>
      <c r="V228" s="1222"/>
      <c r="W228" s="1222"/>
      <c r="X228" s="1222"/>
      <c r="Y228" s="1222"/>
      <c r="Z228" s="1222"/>
      <c r="AA228" s="1222"/>
      <c r="AB228" s="1222"/>
      <c r="AC228" s="1222"/>
      <c r="AD228" s="1222"/>
      <c r="AE228" s="1222"/>
      <c r="AF228" s="1222"/>
      <c r="AG228" s="1222"/>
      <c r="AH228" s="1222"/>
      <c r="AJ228" s="1218" t="str">
        <f>IF($F$222="","----------",FIXED(U228-$U$222,'Registo Calibração'!$AI$15))</f>
        <v>----------</v>
      </c>
      <c r="AK228" s="1218"/>
      <c r="AL228" s="1218"/>
      <c r="AM228" s="1218"/>
      <c r="AN228" s="1218"/>
      <c r="AO228" s="1218"/>
      <c r="AP228" s="1218"/>
      <c r="AQ228" s="1218"/>
      <c r="AR228" s="1218"/>
      <c r="AS228" s="1218"/>
      <c r="AT228" s="1218"/>
      <c r="AU228" s="1218"/>
      <c r="AW228" s="406"/>
      <c r="FK228" s="46"/>
      <c r="FL228" s="46"/>
      <c r="FM228" s="46"/>
      <c r="FN228" s="46"/>
      <c r="FO228" s="46"/>
      <c r="FP228" s="46"/>
      <c r="FQ228" s="46"/>
      <c r="FR228" s="46"/>
      <c r="FS228" s="46"/>
      <c r="FT228" s="46"/>
      <c r="FU228" s="46"/>
      <c r="FV228" s="46"/>
      <c r="FW228" s="46"/>
      <c r="FX228" s="46"/>
      <c r="FY228" s="46"/>
      <c r="FZ228" s="46"/>
      <c r="GA228" s="46"/>
      <c r="GB228" s="46"/>
      <c r="GC228" s="46"/>
      <c r="GD228" s="46"/>
      <c r="GE228" s="46"/>
      <c r="GF228" s="46"/>
      <c r="GG228" s="46"/>
      <c r="GH228" s="46"/>
    </row>
    <row r="229" spans="1:190" s="47" customFormat="1" ht="15" hidden="1">
      <c r="Q229" s="1199">
        <v>8</v>
      </c>
      <c r="R229" s="1199"/>
      <c r="S229" s="1199"/>
      <c r="U229" s="1222">
        <f>IF($F$222="",0,IF('3º MR-MI'!H26="-------",0,'3º MR-MI'!H26))</f>
        <v>0</v>
      </c>
      <c r="V229" s="1222"/>
      <c r="W229" s="1222"/>
      <c r="X229" s="1222"/>
      <c r="Y229" s="1222"/>
      <c r="Z229" s="1222"/>
      <c r="AA229" s="1222"/>
      <c r="AB229" s="1222"/>
      <c r="AC229" s="1222"/>
      <c r="AD229" s="1222"/>
      <c r="AE229" s="1222"/>
      <c r="AF229" s="1222"/>
      <c r="AG229" s="1222"/>
      <c r="AH229" s="1222"/>
      <c r="AJ229" s="1218" t="str">
        <f>IF($F$222="","----------",FIXED(U229-$U$222,'Registo Calibração'!$AI$15))</f>
        <v>----------</v>
      </c>
      <c r="AK229" s="1218"/>
      <c r="AL229" s="1218"/>
      <c r="AM229" s="1218"/>
      <c r="AN229" s="1218"/>
      <c r="AO229" s="1218"/>
      <c r="AP229" s="1218"/>
      <c r="AQ229" s="1218"/>
      <c r="AR229" s="1218"/>
      <c r="AS229" s="1218"/>
      <c r="AT229" s="1218"/>
      <c r="AU229" s="1218"/>
      <c r="AW229" s="406"/>
      <c r="FK229" s="46"/>
      <c r="FL229" s="46"/>
      <c r="FM229" s="46"/>
      <c r="FN229" s="46"/>
      <c r="FO229" s="46"/>
      <c r="FP229" s="46"/>
      <c r="FQ229" s="46"/>
      <c r="FR229" s="46"/>
      <c r="FS229" s="46"/>
      <c r="FT229" s="46"/>
      <c r="FU229" s="46"/>
      <c r="FV229" s="46"/>
      <c r="FW229" s="46"/>
      <c r="FX229" s="46"/>
      <c r="FY229" s="46"/>
      <c r="FZ229" s="46"/>
      <c r="GA229" s="46"/>
      <c r="GB229" s="46"/>
      <c r="GC229" s="46"/>
      <c r="GD229" s="46"/>
      <c r="GE229" s="46"/>
      <c r="GF229" s="46"/>
      <c r="GG229" s="46"/>
      <c r="GH229" s="46"/>
    </row>
    <row r="230" spans="1:190" s="47" customFormat="1" ht="15" hidden="1">
      <c r="Q230" s="1199">
        <v>9</v>
      </c>
      <c r="R230" s="1199"/>
      <c r="S230" s="1199"/>
      <c r="U230" s="1222">
        <f>IF($F$222="",0,IF('3º MR-MI'!I26="-------",0,'3º MR-MI'!I26))</f>
        <v>0</v>
      </c>
      <c r="V230" s="1222"/>
      <c r="W230" s="1222"/>
      <c r="X230" s="1222"/>
      <c r="Y230" s="1222"/>
      <c r="Z230" s="1222"/>
      <c r="AA230" s="1222"/>
      <c r="AB230" s="1222"/>
      <c r="AC230" s="1222"/>
      <c r="AD230" s="1222"/>
      <c r="AE230" s="1222"/>
      <c r="AF230" s="1222"/>
      <c r="AG230" s="1222"/>
      <c r="AH230" s="1222"/>
      <c r="AJ230" s="1218" t="str">
        <f>IF($F$222="","----------",FIXED(U230-$U$222,'Registo Calibração'!$AI$15))</f>
        <v>----------</v>
      </c>
      <c r="AK230" s="1218"/>
      <c r="AL230" s="1218"/>
      <c r="AM230" s="1218"/>
      <c r="AN230" s="1218"/>
      <c r="AO230" s="1218"/>
      <c r="AP230" s="1218"/>
      <c r="AQ230" s="1218"/>
      <c r="AR230" s="1218"/>
      <c r="AS230" s="1218"/>
      <c r="AT230" s="1218"/>
      <c r="AU230" s="1218"/>
      <c r="AW230" s="406"/>
      <c r="FK230" s="46"/>
      <c r="FL230" s="46"/>
      <c r="FM230" s="46"/>
      <c r="FN230" s="46"/>
      <c r="FO230" s="46"/>
      <c r="FP230" s="46"/>
      <c r="FQ230" s="46"/>
      <c r="FR230" s="46"/>
      <c r="FS230" s="46"/>
      <c r="FT230" s="46"/>
      <c r="FU230" s="46"/>
      <c r="FV230" s="46"/>
      <c r="FW230" s="46"/>
      <c r="FX230" s="46"/>
      <c r="FY230" s="46"/>
      <c r="FZ230" s="46"/>
      <c r="GA230" s="46"/>
      <c r="GB230" s="46"/>
      <c r="GC230" s="46"/>
      <c r="GD230" s="46"/>
      <c r="GE230" s="46"/>
      <c r="GF230" s="46"/>
      <c r="GG230" s="46"/>
      <c r="GH230" s="46"/>
    </row>
    <row r="231" spans="1:190" s="47" customFormat="1" ht="15" hidden="1">
      <c r="Q231" s="1199">
        <v>10</v>
      </c>
      <c r="R231" s="1199"/>
      <c r="S231" s="1199"/>
      <c r="U231" s="1222">
        <f>IF($F$222="",0,IF('3º MR-MI'!J26="-------",0,'3º MR-MI'!J26))</f>
        <v>0</v>
      </c>
      <c r="V231" s="1222"/>
      <c r="W231" s="1222"/>
      <c r="X231" s="1222"/>
      <c r="Y231" s="1222"/>
      <c r="Z231" s="1222"/>
      <c r="AA231" s="1222"/>
      <c r="AB231" s="1222"/>
      <c r="AC231" s="1222"/>
      <c r="AD231" s="1222"/>
      <c r="AE231" s="1222"/>
      <c r="AF231" s="1222"/>
      <c r="AG231" s="1222"/>
      <c r="AH231" s="1222"/>
      <c r="AJ231" s="1218" t="str">
        <f>IF($F$222="","----------",FIXED(U231-$U$222,'Registo Calibração'!$AI$15))</f>
        <v>----------</v>
      </c>
      <c r="AK231" s="1218"/>
      <c r="AL231" s="1218"/>
      <c r="AM231" s="1218"/>
      <c r="AN231" s="1218"/>
      <c r="AO231" s="1218"/>
      <c r="AP231" s="1218"/>
      <c r="AQ231" s="1218"/>
      <c r="AR231" s="1218"/>
      <c r="AS231" s="1218"/>
      <c r="AT231" s="1218"/>
      <c r="AU231" s="1218"/>
      <c r="AW231" s="406"/>
      <c r="FK231" s="46"/>
      <c r="FL231" s="46"/>
      <c r="FM231" s="46"/>
      <c r="FN231" s="46"/>
      <c r="FO231" s="46"/>
      <c r="FP231" s="46"/>
      <c r="FQ231" s="46"/>
      <c r="FR231" s="46"/>
      <c r="FS231" s="46"/>
      <c r="FT231" s="46"/>
      <c r="FU231" s="46"/>
      <c r="FV231" s="46"/>
      <c r="FW231" s="46"/>
      <c r="FX231" s="46"/>
      <c r="FY231" s="46"/>
      <c r="FZ231" s="46"/>
      <c r="GA231" s="46"/>
      <c r="GB231" s="46"/>
      <c r="GC231" s="46"/>
      <c r="GD231" s="46"/>
      <c r="GE231" s="46"/>
      <c r="GF231" s="46"/>
      <c r="GG231" s="46"/>
      <c r="GH231" s="46"/>
    </row>
    <row r="232" spans="1:190" s="47" customFormat="1" ht="15" hidden="1">
      <c r="Q232" s="1199">
        <v>11</v>
      </c>
      <c r="R232" s="1199"/>
      <c r="S232" s="1199"/>
      <c r="U232" s="1222">
        <f>IF($F$222="",0,IF('3º MR-MI'!K26="-------",0,'3º MR-MI'!K26))</f>
        <v>0</v>
      </c>
      <c r="V232" s="1222"/>
      <c r="W232" s="1222"/>
      <c r="X232" s="1222"/>
      <c r="Y232" s="1222"/>
      <c r="Z232" s="1222"/>
      <c r="AA232" s="1222"/>
      <c r="AB232" s="1222"/>
      <c r="AC232" s="1222"/>
      <c r="AD232" s="1222"/>
      <c r="AE232" s="1222"/>
      <c r="AF232" s="1222"/>
      <c r="AG232" s="1222"/>
      <c r="AH232" s="1222"/>
      <c r="AJ232" s="1218" t="str">
        <f>IF($F$222="","----------",FIXED(U232-$U$222,'Registo Calibração'!$AI$15))</f>
        <v>----------</v>
      </c>
      <c r="AK232" s="1218"/>
      <c r="AL232" s="1218"/>
      <c r="AM232" s="1218"/>
      <c r="AN232" s="1218"/>
      <c r="AO232" s="1218"/>
      <c r="AP232" s="1218"/>
      <c r="AQ232" s="1218"/>
      <c r="AR232" s="1218"/>
      <c r="AS232" s="1218"/>
      <c r="AT232" s="1218"/>
      <c r="AU232" s="1218"/>
      <c r="AW232" s="406"/>
      <c r="FK232" s="46"/>
      <c r="FL232" s="46"/>
      <c r="FM232" s="46"/>
      <c r="FN232" s="46"/>
      <c r="FO232" s="46"/>
      <c r="FP232" s="46"/>
      <c r="FQ232" s="46"/>
      <c r="FR232" s="46"/>
      <c r="FS232" s="46"/>
      <c r="FT232" s="46"/>
      <c r="FU232" s="46"/>
      <c r="FV232" s="46"/>
      <c r="FW232" s="46"/>
      <c r="FX232" s="46"/>
      <c r="FY232" s="46"/>
      <c r="FZ232" s="46"/>
      <c r="GA232" s="46"/>
      <c r="GB232" s="46"/>
      <c r="GC232" s="46"/>
      <c r="GD232" s="46"/>
      <c r="GE232" s="46"/>
      <c r="GF232" s="46"/>
      <c r="GG232" s="46"/>
      <c r="GH232" s="46"/>
    </row>
    <row r="233" spans="1:190" s="47" customFormat="1" ht="58.5" customHeight="1">
      <c r="B233" s="1192" t="str">
        <f>IF($F$90="","Ensaio não aplicável.",CONCATENATE("O Erro de Excentricidade Máximo, calculado pela maior diferença de indicação entre cada posição e o centro (posição 1), para a carga considerada de ",'2º MR-MI'!$I$23," ",'2º MR-MI'!$J$23,", foi de ",'2º MR-MI'!$L$26,"",'2º MR-MI'!$M$25, '2º MR-MI'!M26, "."," A posição do terminal de pesagem relativamente ao recetor de carga está indicada ao lado do esquema pela palavra 'Visor'."))</f>
        <v>Ensaio não aplicável.</v>
      </c>
      <c r="C233" s="1192"/>
      <c r="D233" s="1192"/>
      <c r="E233" s="1192"/>
      <c r="F233" s="1192"/>
      <c r="G233" s="1192"/>
      <c r="H233" s="1192"/>
      <c r="I233" s="1192"/>
      <c r="J233" s="1192"/>
      <c r="K233" s="1192"/>
      <c r="L233" s="1192"/>
      <c r="M233" s="1192"/>
      <c r="N233" s="1192"/>
      <c r="O233" s="1192"/>
      <c r="P233" s="1192"/>
      <c r="Q233" s="1192"/>
      <c r="R233" s="1192"/>
      <c r="S233" s="1192"/>
      <c r="T233" s="1192"/>
      <c r="U233" s="1192"/>
      <c r="V233" s="1192"/>
      <c r="W233" s="1192"/>
      <c r="X233" s="1192"/>
      <c r="Y233" s="1192"/>
      <c r="Z233" s="1192"/>
      <c r="AA233" s="1192"/>
      <c r="AB233" s="1192"/>
      <c r="AC233" s="1192"/>
      <c r="AD233" s="1192"/>
      <c r="AE233" s="1192"/>
      <c r="AF233" s="1192"/>
      <c r="AG233" s="1192"/>
      <c r="AH233" s="1192"/>
      <c r="AI233" s="1192"/>
      <c r="AJ233" s="1192"/>
      <c r="AK233" s="1192"/>
      <c r="AL233" s="1192"/>
      <c r="AM233" s="1192"/>
      <c r="AN233" s="1192"/>
      <c r="AO233" s="1192"/>
      <c r="AP233" s="1192"/>
      <c r="AQ233" s="1192"/>
      <c r="AR233" s="1192"/>
      <c r="AS233" s="1192"/>
      <c r="AT233" s="1192"/>
      <c r="AU233" s="1192"/>
      <c r="AV233" s="1192"/>
      <c r="AW233" s="406"/>
      <c r="FK233" s="46"/>
      <c r="FL233" s="46"/>
      <c r="FM233" s="46"/>
      <c r="FN233" s="46"/>
      <c r="FO233" s="46"/>
      <c r="FP233" s="46"/>
      <c r="FQ233" s="46"/>
      <c r="FR233" s="46"/>
      <c r="FS233" s="46"/>
      <c r="FT233" s="46"/>
      <c r="FU233" s="46"/>
      <c r="FV233" s="46"/>
      <c r="FW233" s="46"/>
      <c r="FX233" s="46"/>
      <c r="FY233" s="46"/>
      <c r="FZ233" s="46"/>
      <c r="GA233" s="46"/>
      <c r="GB233" s="46"/>
      <c r="GC233" s="46"/>
      <c r="GD233" s="46"/>
      <c r="GE233" s="46"/>
      <c r="GF233" s="46"/>
      <c r="GG233" s="46"/>
      <c r="GH233" s="46"/>
    </row>
    <row r="234" spans="1:190" s="47" customFormat="1" ht="6.75" customHeight="1">
      <c r="B234" s="473"/>
      <c r="C234" s="473"/>
      <c r="D234" s="473"/>
      <c r="E234" s="473"/>
      <c r="F234" s="473"/>
      <c r="G234" s="473"/>
      <c r="H234" s="473"/>
      <c r="I234" s="473"/>
      <c r="J234" s="473"/>
      <c r="K234" s="473"/>
      <c r="L234" s="473"/>
      <c r="M234" s="473"/>
      <c r="N234" s="473"/>
      <c r="O234" s="473"/>
      <c r="P234" s="473"/>
      <c r="Q234" s="473"/>
      <c r="R234" s="473"/>
      <c r="S234" s="473"/>
      <c r="T234" s="473"/>
      <c r="U234" s="473"/>
      <c r="V234" s="473"/>
      <c r="W234" s="473"/>
      <c r="X234" s="473"/>
      <c r="Y234" s="473"/>
      <c r="Z234" s="473"/>
      <c r="AA234" s="473"/>
      <c r="AB234" s="473"/>
      <c r="AC234" s="473"/>
      <c r="AD234" s="473"/>
      <c r="AE234" s="473"/>
      <c r="AF234" s="473"/>
      <c r="AG234" s="473"/>
      <c r="AH234" s="473"/>
      <c r="AI234" s="473"/>
      <c r="AJ234" s="473"/>
      <c r="AK234" s="473"/>
      <c r="AL234" s="473"/>
      <c r="AM234" s="473"/>
      <c r="AN234" s="473"/>
      <c r="AO234" s="473"/>
      <c r="AP234" s="473"/>
      <c r="AQ234" s="473"/>
      <c r="AR234" s="473"/>
      <c r="AS234" s="473"/>
      <c r="AT234" s="473"/>
      <c r="AU234" s="473"/>
      <c r="AW234" s="406"/>
      <c r="FK234" s="46"/>
      <c r="FL234" s="46"/>
      <c r="FM234" s="46"/>
      <c r="FN234" s="46"/>
      <c r="FO234" s="46"/>
      <c r="FP234" s="46"/>
      <c r="FQ234" s="46"/>
      <c r="FR234" s="46"/>
      <c r="FS234" s="46"/>
      <c r="FT234" s="46"/>
      <c r="FU234" s="46"/>
      <c r="FV234" s="46"/>
      <c r="FW234" s="46"/>
      <c r="FX234" s="46"/>
      <c r="FY234" s="46"/>
      <c r="FZ234" s="46"/>
      <c r="GA234" s="46"/>
      <c r="GB234" s="46"/>
      <c r="GC234" s="46"/>
      <c r="GD234" s="46"/>
      <c r="GE234" s="46"/>
      <c r="GF234" s="46"/>
      <c r="GG234" s="46"/>
      <c r="GH234" s="46"/>
    </row>
    <row r="235" spans="1:190" s="47" customFormat="1" ht="15">
      <c r="B235" s="1221" t="s">
        <v>420</v>
      </c>
      <c r="C235" s="1221"/>
      <c r="D235" s="1221"/>
      <c r="E235" s="1221"/>
      <c r="F235" s="1221"/>
      <c r="G235" s="1221"/>
      <c r="H235" s="1221"/>
      <c r="I235" s="1221"/>
      <c r="J235" s="1221"/>
      <c r="K235" s="1221"/>
      <c r="L235" s="1221"/>
      <c r="M235" s="1221"/>
      <c r="N235" s="1221"/>
      <c r="O235" s="1221"/>
      <c r="P235" s="1221"/>
      <c r="Q235" s="1221"/>
      <c r="R235" s="1221"/>
      <c r="S235" s="1221"/>
      <c r="T235" s="1221"/>
      <c r="U235" s="1221"/>
      <c r="V235" s="1221"/>
      <c r="W235" s="1221"/>
      <c r="X235" s="1221"/>
      <c r="Y235" s="1221"/>
      <c r="Z235" s="1221"/>
      <c r="AA235" s="1221"/>
      <c r="AB235" s="1221"/>
      <c r="AC235" s="1221"/>
      <c r="AD235" s="1221"/>
      <c r="AE235" s="1221"/>
      <c r="AF235" s="1221"/>
      <c r="AG235" s="1221"/>
      <c r="AH235" s="1221"/>
      <c r="AI235" s="1221"/>
      <c r="AJ235" s="1221"/>
      <c r="AK235" s="1221"/>
      <c r="AL235" s="1221"/>
      <c r="AM235" s="1221"/>
      <c r="AN235" s="1221"/>
      <c r="AO235" s="1221"/>
      <c r="AP235" s="1221"/>
      <c r="AQ235" s="1221"/>
      <c r="AR235" s="1221"/>
      <c r="AS235" s="1221"/>
      <c r="AT235" s="1221"/>
      <c r="AU235" s="1221"/>
      <c r="AV235" s="1221"/>
      <c r="AW235" s="406"/>
      <c r="BH235" s="1223"/>
      <c r="BI235" s="1223"/>
      <c r="BJ235" s="1223"/>
      <c r="BK235" s="1223"/>
      <c r="BL235" s="1223"/>
      <c r="BM235" s="1223"/>
      <c r="BN235" s="1223"/>
      <c r="BO235" s="1223"/>
      <c r="BP235" s="1223"/>
      <c r="BQ235" s="1223"/>
      <c r="BR235" s="1223"/>
      <c r="FK235" s="46"/>
      <c r="FL235" s="46"/>
      <c r="FM235" s="46"/>
      <c r="FN235" s="46"/>
      <c r="FO235" s="46"/>
      <c r="FP235" s="46"/>
      <c r="FQ235" s="46"/>
      <c r="FR235" s="46"/>
      <c r="FS235" s="46"/>
      <c r="FT235" s="46"/>
      <c r="FU235" s="46"/>
      <c r="FV235" s="46"/>
      <c r="FW235" s="46"/>
      <c r="FX235" s="46"/>
      <c r="FY235" s="46"/>
      <c r="FZ235" s="46"/>
      <c r="GA235" s="46"/>
      <c r="GB235" s="46"/>
      <c r="GC235" s="46"/>
      <c r="GD235" s="46"/>
      <c r="GE235" s="46"/>
      <c r="GF235" s="46"/>
      <c r="GG235" s="46"/>
      <c r="GH235" s="46"/>
    </row>
    <row r="236" spans="1:190" s="47" customFormat="1" ht="5.25" customHeight="1">
      <c r="B236" s="474"/>
      <c r="C236" s="474"/>
      <c r="D236" s="474"/>
      <c r="E236" s="474"/>
      <c r="F236" s="474"/>
      <c r="G236" s="474"/>
      <c r="H236" s="474"/>
      <c r="I236" s="474"/>
      <c r="J236" s="474"/>
      <c r="K236" s="474"/>
      <c r="L236" s="474"/>
      <c r="M236" s="64"/>
      <c r="N236" s="64"/>
      <c r="O236" s="474"/>
      <c r="P236" s="474"/>
      <c r="Q236" s="474"/>
      <c r="R236" s="474"/>
      <c r="S236" s="474"/>
      <c r="T236" s="474"/>
      <c r="U236" s="474"/>
      <c r="V236" s="474"/>
      <c r="W236" s="474"/>
      <c r="X236" s="474"/>
      <c r="Y236" s="474"/>
      <c r="Z236" s="474"/>
      <c r="AA236" s="474"/>
      <c r="AB236" s="474"/>
      <c r="AC236" s="474"/>
      <c r="AD236" s="474"/>
      <c r="AE236" s="474"/>
      <c r="AF236" s="474"/>
      <c r="AG236" s="474"/>
      <c r="AH236" s="474"/>
      <c r="AI236" s="474"/>
      <c r="AJ236" s="474"/>
      <c r="AK236" s="474"/>
      <c r="AL236" s="474"/>
      <c r="AM236" s="474"/>
      <c r="AN236" s="474"/>
      <c r="AO236" s="474"/>
      <c r="AP236" s="474"/>
      <c r="AQ236" s="474"/>
      <c r="AR236" s="474"/>
      <c r="AS236" s="474"/>
      <c r="AT236" s="474"/>
      <c r="AU236" s="474"/>
      <c r="AW236" s="406"/>
      <c r="BH236" s="1223"/>
      <c r="BI236" s="1223"/>
      <c r="BJ236" s="1223"/>
      <c r="BK236" s="1223"/>
      <c r="BL236" s="1223"/>
      <c r="BM236" s="1223"/>
      <c r="BN236" s="1223"/>
      <c r="BO236" s="1223"/>
      <c r="BP236" s="1223"/>
      <c r="BQ236" s="1223"/>
      <c r="BR236" s="1223"/>
      <c r="FK236" s="46"/>
      <c r="FL236" s="46"/>
      <c r="FM236" s="46"/>
      <c r="FN236" s="46"/>
      <c r="FO236" s="46"/>
      <c r="FP236" s="46"/>
      <c r="FQ236" s="46"/>
      <c r="FR236" s="46"/>
      <c r="FS236" s="46"/>
      <c r="FT236" s="46"/>
      <c r="FU236" s="46"/>
      <c r="FV236" s="46"/>
      <c r="FW236" s="46"/>
      <c r="FX236" s="46"/>
      <c r="FY236" s="46"/>
      <c r="FZ236" s="46"/>
      <c r="GA236" s="46"/>
      <c r="GB236" s="46"/>
      <c r="GC236" s="46"/>
      <c r="GD236" s="46"/>
      <c r="GE236" s="46"/>
      <c r="GF236" s="46"/>
      <c r="GG236" s="46"/>
      <c r="GH236" s="46"/>
    </row>
    <row r="237" spans="1:190" s="47" customFormat="1" ht="16.5">
      <c r="B237" s="1221" t="s">
        <v>285</v>
      </c>
      <c r="C237" s="1221"/>
      <c r="D237" s="1221"/>
      <c r="E237" s="1221"/>
      <c r="F237" s="1221"/>
      <c r="G237" s="1221"/>
      <c r="H237" s="1221"/>
      <c r="I237" s="1221"/>
      <c r="J237" s="1221"/>
      <c r="K237" s="380"/>
      <c r="L237" s="1221" t="s">
        <v>411</v>
      </c>
      <c r="M237" s="1221"/>
      <c r="N237" s="1221"/>
      <c r="O237" s="1221"/>
      <c r="P237" s="1221"/>
      <c r="Q237" s="1221"/>
      <c r="R237" s="1221"/>
      <c r="S237" s="1221"/>
      <c r="T237" s="1221"/>
      <c r="U237" s="1221"/>
      <c r="V237" s="1221"/>
      <c r="W237" s="474"/>
      <c r="X237" s="1221" t="s">
        <v>2</v>
      </c>
      <c r="Y237" s="1221"/>
      <c r="Z237" s="1221"/>
      <c r="AA237" s="1221"/>
      <c r="AB237" s="1221"/>
      <c r="AC237" s="1221"/>
      <c r="AD237" s="1221"/>
      <c r="AE237" s="1221"/>
      <c r="AF237" s="1221"/>
      <c r="AG237" s="1221"/>
      <c r="AH237" s="470"/>
      <c r="AI237" s="1256" t="s">
        <v>421</v>
      </c>
      <c r="AJ237" s="1256"/>
      <c r="AK237" s="1256"/>
      <c r="AL237" s="474"/>
      <c r="AM237" s="1257" t="s">
        <v>6</v>
      </c>
      <c r="AN237" s="1257"/>
      <c r="AO237" s="1257"/>
      <c r="AP237" s="1257"/>
      <c r="AQ237" s="470"/>
      <c r="AR237" s="1257" t="s">
        <v>7</v>
      </c>
      <c r="AS237" s="1257"/>
      <c r="AT237" s="1257"/>
      <c r="AU237" s="1257"/>
      <c r="AV237" s="1257"/>
      <c r="AW237" s="406"/>
      <c r="BH237" s="1223"/>
      <c r="BI237" s="1223"/>
      <c r="BJ237" s="1223"/>
      <c r="BK237" s="1223"/>
      <c r="BL237" s="1223"/>
      <c r="BM237" s="1223"/>
      <c r="BN237" s="1223"/>
      <c r="BO237" s="1223"/>
      <c r="BP237" s="1223"/>
      <c r="BQ237" s="1223"/>
      <c r="BR237" s="1223"/>
      <c r="FK237" s="46"/>
      <c r="FL237" s="46"/>
      <c r="FM237" s="46"/>
      <c r="FN237" s="46"/>
      <c r="FO237" s="46"/>
      <c r="FP237" s="46"/>
      <c r="FQ237" s="46"/>
      <c r="FR237" s="46"/>
      <c r="FS237" s="46"/>
      <c r="FT237" s="46"/>
      <c r="FU237" s="46"/>
      <c r="FV237" s="46"/>
      <c r="FW237" s="46"/>
      <c r="FX237" s="46"/>
      <c r="FY237" s="46"/>
      <c r="FZ237" s="46"/>
      <c r="GA237" s="46"/>
      <c r="GB237" s="46"/>
      <c r="GC237" s="46"/>
      <c r="GD237" s="46"/>
      <c r="GE237" s="46"/>
      <c r="GF237" s="46"/>
      <c r="GG237" s="46"/>
      <c r="GH237" s="46"/>
    </row>
    <row r="238" spans="1:190" s="47" customFormat="1" ht="16.5">
      <c r="B238" s="1255" t="str">
        <f>CONCATENATE("[ ",$AV$69," ]")</f>
        <v>[ g ]</v>
      </c>
      <c r="C238" s="1255"/>
      <c r="D238" s="1255"/>
      <c r="E238" s="1255"/>
      <c r="F238" s="1255"/>
      <c r="G238" s="1255"/>
      <c r="H238" s="1255"/>
      <c r="I238" s="1255"/>
      <c r="J238" s="1255"/>
      <c r="K238" s="476"/>
      <c r="L238" s="1255" t="str">
        <f>CONCATENATE("I ","[ ",$AV$69," ]")</f>
        <v>I [ g ]</v>
      </c>
      <c r="M238" s="1255"/>
      <c r="N238" s="1255"/>
      <c r="O238" s="1255"/>
      <c r="P238" s="1255"/>
      <c r="Q238" s="1255"/>
      <c r="R238" s="1255"/>
      <c r="S238" s="1255"/>
      <c r="T238" s="1255"/>
      <c r="U238" s="1255"/>
      <c r="V238" s="1255"/>
      <c r="W238" s="474"/>
      <c r="X238" s="1255" t="str">
        <f>CONCATENATE("E ","[ ",$AV$69," ]")</f>
        <v>E [ g ]</v>
      </c>
      <c r="Y238" s="1255"/>
      <c r="Z238" s="1255"/>
      <c r="AA238" s="1255"/>
      <c r="AB238" s="1255"/>
      <c r="AC238" s="1255"/>
      <c r="AD238" s="1255"/>
      <c r="AE238" s="1255"/>
      <c r="AF238" s="1255"/>
      <c r="AG238" s="1255"/>
      <c r="AH238" s="470"/>
      <c r="AI238" s="1256"/>
      <c r="AJ238" s="1256"/>
      <c r="AK238" s="1256"/>
      <c r="AL238" s="474"/>
      <c r="AM238" s="1257"/>
      <c r="AN238" s="1257"/>
      <c r="AO238" s="1257"/>
      <c r="AP238" s="1257"/>
      <c r="AQ238" s="470"/>
      <c r="AR238" s="1244" t="s">
        <v>422</v>
      </c>
      <c r="AS238" s="1245"/>
      <c r="AT238" s="1261" t="str">
        <f>CONCATENATE("[ ",$AV$69," ]")</f>
        <v>[ g ]</v>
      </c>
      <c r="AU238" s="1261"/>
      <c r="AV238" s="1261"/>
      <c r="AW238" s="406"/>
      <c r="BH238" s="1223"/>
      <c r="BI238" s="1223"/>
      <c r="BJ238" s="1223"/>
      <c r="BK238" s="1223"/>
      <c r="BL238" s="1223"/>
      <c r="BM238" s="1223"/>
      <c r="BN238" s="1223"/>
      <c r="BO238" s="1223"/>
      <c r="BP238" s="1223"/>
      <c r="BQ238" s="1223"/>
      <c r="BR238" s="1223"/>
      <c r="FK238" s="46"/>
      <c r="FL238" s="46"/>
      <c r="FM238" s="46"/>
      <c r="FN238" s="46"/>
      <c r="FO238" s="46"/>
      <c r="FP238" s="46"/>
      <c r="FQ238" s="46"/>
      <c r="FR238" s="46"/>
      <c r="FS238" s="46"/>
      <c r="FT238" s="46"/>
      <c r="FU238" s="46"/>
      <c r="FV238" s="46"/>
      <c r="FW238" s="46"/>
      <c r="FX238" s="46"/>
      <c r="FY238" s="46"/>
      <c r="FZ238" s="46"/>
      <c r="GA238" s="46"/>
      <c r="GB238" s="46"/>
      <c r="GC238" s="46"/>
      <c r="GD238" s="46"/>
      <c r="GE238" s="46"/>
      <c r="GF238" s="46"/>
      <c r="GG238" s="46"/>
      <c r="GH238" s="46"/>
    </row>
    <row r="239" spans="1:190" s="47" customFormat="1" ht="5.25" customHeight="1">
      <c r="B239" s="476"/>
      <c r="C239" s="476"/>
      <c r="D239" s="476"/>
      <c r="E239" s="476"/>
      <c r="F239" s="476"/>
      <c r="G239" s="476"/>
      <c r="H239" s="476"/>
      <c r="I239" s="476"/>
      <c r="J239" s="476"/>
      <c r="K239" s="476"/>
      <c r="L239" s="476"/>
      <c r="M239" s="476"/>
      <c r="N239" s="476"/>
      <c r="O239" s="474"/>
      <c r="P239" s="474"/>
      <c r="Q239" s="474"/>
      <c r="R239" s="474"/>
      <c r="S239" s="474"/>
      <c r="T239" s="474"/>
      <c r="U239" s="474"/>
      <c r="V239" s="474"/>
      <c r="W239" s="474"/>
      <c r="X239" s="474"/>
      <c r="Y239" s="474"/>
      <c r="Z239" s="474"/>
      <c r="AA239" s="474"/>
      <c r="AB239" s="474"/>
      <c r="AC239" s="470"/>
      <c r="AD239" s="470"/>
      <c r="AE239" s="470"/>
      <c r="AF239" s="470"/>
      <c r="AG239" s="470"/>
      <c r="AH239" s="470"/>
      <c r="AI239" s="470"/>
      <c r="AJ239" s="470"/>
      <c r="AK239" s="470"/>
      <c r="AL239" s="470"/>
      <c r="AM239" s="470"/>
      <c r="AN239" s="470"/>
      <c r="AO239" s="470"/>
      <c r="AP239" s="470"/>
      <c r="AQ239" s="470"/>
      <c r="AR239" s="470"/>
      <c r="AS239" s="470"/>
      <c r="AW239" s="406"/>
      <c r="BH239" s="1223"/>
      <c r="BI239" s="1223"/>
      <c r="BJ239" s="1223"/>
      <c r="BK239" s="1223"/>
      <c r="BL239" s="1223"/>
      <c r="BM239" s="1223"/>
      <c r="BN239" s="1223"/>
      <c r="BO239" s="1223"/>
      <c r="BP239" s="1223"/>
      <c r="BQ239" s="1223"/>
      <c r="BR239" s="1223"/>
      <c r="FK239" s="46"/>
      <c r="FL239" s="46"/>
      <c r="FM239" s="46"/>
      <c r="FN239" s="46"/>
      <c r="FO239" s="46"/>
      <c r="FP239" s="46"/>
      <c r="FQ239" s="46"/>
      <c r="FR239" s="46"/>
      <c r="FS239" s="46"/>
      <c r="FT239" s="46"/>
      <c r="FU239" s="46"/>
      <c r="FV239" s="46"/>
      <c r="FW239" s="46"/>
      <c r="FX239" s="46"/>
      <c r="FY239" s="46"/>
      <c r="FZ239" s="46"/>
      <c r="GA239" s="46"/>
      <c r="GB239" s="46"/>
      <c r="GC239" s="46"/>
      <c r="GD239" s="46"/>
      <c r="GE239" s="46"/>
      <c r="GF239" s="46"/>
      <c r="GG239" s="46"/>
      <c r="GH239" s="46"/>
    </row>
    <row r="240" spans="1:190" s="47" customFormat="1" ht="15" hidden="1">
      <c r="B240" s="1223">
        <f>'2º MR-MI'!$D$31</f>
        <v>0</v>
      </c>
      <c r="C240" s="1223"/>
      <c r="D240" s="1223"/>
      <c r="E240" s="1223"/>
      <c r="F240" s="1223"/>
      <c r="G240" s="1223"/>
      <c r="H240" s="1223"/>
      <c r="I240" s="1223"/>
      <c r="J240" s="1223"/>
      <c r="K240" s="477"/>
      <c r="L240" s="1223" t="str">
        <f>'2º MR-MI'!$H$31</f>
        <v>0</v>
      </c>
      <c r="M240" s="1223"/>
      <c r="N240" s="1223"/>
      <c r="O240" s="1223"/>
      <c r="P240" s="1223"/>
      <c r="Q240" s="1223"/>
      <c r="R240" s="1223"/>
      <c r="S240" s="1223"/>
      <c r="T240" s="1223"/>
      <c r="U240" s="1223"/>
      <c r="V240" s="1223"/>
      <c r="W240" s="478"/>
      <c r="X240" s="1220" t="str">
        <f>'2º MR-MI'!$I$31</f>
        <v>0</v>
      </c>
      <c r="Y240" s="1220"/>
      <c r="Z240" s="1220"/>
      <c r="AA240" s="1220"/>
      <c r="AB240" s="1220"/>
      <c r="AC240" s="1220"/>
      <c r="AD240" s="1220"/>
      <c r="AE240" s="1220"/>
      <c r="AF240" s="1220"/>
      <c r="AG240" s="1220"/>
      <c r="AH240" s="479"/>
      <c r="AI240" s="1223" t="str">
        <f>'2º MR-MI'!$J$31</f>
        <v>&gt; 500</v>
      </c>
      <c r="AJ240" s="1220"/>
      <c r="AK240" s="1220"/>
      <c r="AL240" s="479"/>
      <c r="AM240" s="1219">
        <f>'2º MR-MI'!$K$31</f>
        <v>2</v>
      </c>
      <c r="AN240" s="1220"/>
      <c r="AO240" s="1220"/>
      <c r="AP240" s="1220"/>
      <c r="AQ240" s="479"/>
      <c r="AR240" s="1223" t="str">
        <f>'2º MR-MI'!$L$31</f>
        <v>0,0000000</v>
      </c>
      <c r="AS240" s="1220"/>
      <c r="AT240" s="1220"/>
      <c r="AU240" s="1220"/>
      <c r="AV240" s="1220"/>
      <c r="AW240" s="406"/>
      <c r="BH240" s="1223"/>
      <c r="BI240" s="1223"/>
      <c r="BJ240" s="1223"/>
      <c r="BK240" s="1223"/>
      <c r="BL240" s="1223"/>
      <c r="BM240" s="1223"/>
      <c r="BN240" s="1223"/>
      <c r="BO240" s="1223"/>
      <c r="BP240" s="1223"/>
      <c r="BQ240" s="1223"/>
      <c r="BR240" s="1223"/>
      <c r="FK240" s="46"/>
      <c r="FL240" s="46"/>
      <c r="FM240" s="46"/>
      <c r="FN240" s="46"/>
      <c r="FO240" s="46"/>
      <c r="FP240" s="46"/>
      <c r="FQ240" s="46"/>
      <c r="FR240" s="46"/>
      <c r="FS240" s="46"/>
      <c r="FT240" s="46"/>
      <c r="FU240" s="46"/>
      <c r="FV240" s="46"/>
      <c r="FW240" s="46"/>
      <c r="FX240" s="46"/>
      <c r="FY240" s="46"/>
      <c r="FZ240" s="46"/>
      <c r="GA240" s="46"/>
      <c r="GB240" s="46"/>
      <c r="GC240" s="46"/>
      <c r="GD240" s="46"/>
      <c r="GE240" s="46"/>
      <c r="GF240" s="46"/>
      <c r="GG240" s="46"/>
      <c r="GH240" s="46"/>
    </row>
    <row r="241" spans="1:190" s="47" customFormat="1" ht="15" hidden="1">
      <c r="B241" s="1223" t="str">
        <f>'3º MR-MI'!$D$34</f>
        <v>0,0</v>
      </c>
      <c r="C241" s="1223"/>
      <c r="D241" s="1223"/>
      <c r="E241" s="1223"/>
      <c r="F241" s="1223"/>
      <c r="G241" s="1223"/>
      <c r="H241" s="1223"/>
      <c r="I241" s="1223"/>
      <c r="J241" s="1223"/>
      <c r="K241" s="477"/>
      <c r="L241" s="1223" t="str">
        <f>'3º MR-MI'!$H$36</f>
        <v>------</v>
      </c>
      <c r="M241" s="1223"/>
      <c r="N241" s="1223"/>
      <c r="O241" s="1223"/>
      <c r="P241" s="1223"/>
      <c r="Q241" s="1223"/>
      <c r="R241" s="1223"/>
      <c r="S241" s="1223"/>
      <c r="T241" s="1223"/>
      <c r="U241" s="1223"/>
      <c r="V241" s="1223"/>
      <c r="W241" s="478"/>
      <c r="X241" s="1224" t="str">
        <f>'3º MR-MI'!$I$36</f>
        <v>------</v>
      </c>
      <c r="Y241" s="1220"/>
      <c r="Z241" s="1220"/>
      <c r="AA241" s="1220"/>
      <c r="AB241" s="1220"/>
      <c r="AC241" s="1220"/>
      <c r="AD241" s="1220"/>
      <c r="AE241" s="1220"/>
      <c r="AF241" s="1220"/>
      <c r="AG241" s="1220"/>
      <c r="AH241" s="479"/>
      <c r="AI241" s="1223" t="str">
        <f>'3º MR-MI'!$J$36</f>
        <v>&gt; 500</v>
      </c>
      <c r="AJ241" s="1220"/>
      <c r="AK241" s="1220"/>
      <c r="AL241" s="479"/>
      <c r="AM241" s="1219" t="e">
        <f>'3º MR-MI'!$K$36</f>
        <v>#DIV/0!</v>
      </c>
      <c r="AN241" s="1220"/>
      <c r="AO241" s="1220"/>
      <c r="AP241" s="1220"/>
      <c r="AQ241" s="479"/>
      <c r="AR241" s="1224" t="str">
        <f>'3º MR-MI'!$L$36</f>
        <v>------</v>
      </c>
      <c r="AS241" s="1220"/>
      <c r="AT241" s="1220"/>
      <c r="AU241" s="1220"/>
      <c r="AV241" s="1220"/>
      <c r="AW241" s="406"/>
      <c r="BH241" s="1223"/>
      <c r="BI241" s="1223"/>
      <c r="BJ241" s="1223"/>
      <c r="BK241" s="1223"/>
      <c r="BL241" s="1223"/>
      <c r="BM241" s="1223"/>
      <c r="BN241" s="1223"/>
      <c r="BO241" s="1223"/>
      <c r="BP241" s="1223"/>
      <c r="BQ241" s="1223"/>
      <c r="BR241" s="1223"/>
      <c r="FK241" s="46"/>
      <c r="FL241" s="46"/>
      <c r="FM241" s="46"/>
      <c r="FN241" s="46"/>
      <c r="FO241" s="46"/>
      <c r="FP241" s="46"/>
      <c r="FQ241" s="46"/>
      <c r="FR241" s="46"/>
      <c r="FS241" s="46"/>
      <c r="FT241" s="46"/>
      <c r="FU241" s="46"/>
      <c r="FV241" s="46"/>
      <c r="FW241" s="46"/>
      <c r="FX241" s="46"/>
      <c r="FY241" s="46"/>
      <c r="FZ241" s="46"/>
      <c r="GA241" s="46"/>
      <c r="GB241" s="46"/>
      <c r="GC241" s="46"/>
      <c r="GD241" s="46"/>
      <c r="GE241" s="46"/>
      <c r="GF241" s="46"/>
      <c r="GG241" s="46"/>
      <c r="GH241" s="46"/>
    </row>
    <row r="242" spans="1:190" s="47" customFormat="1" ht="15" hidden="1">
      <c r="B242" s="1223" t="str">
        <f>'3º MR-MI'!$D$39</f>
        <v>0,0</v>
      </c>
      <c r="C242" s="1223"/>
      <c r="D242" s="1223"/>
      <c r="E242" s="1223"/>
      <c r="F242" s="1223"/>
      <c r="G242" s="1223"/>
      <c r="H242" s="1223"/>
      <c r="I242" s="1223"/>
      <c r="J242" s="1223"/>
      <c r="K242" s="477"/>
      <c r="L242" s="1223" t="str">
        <f>'3º MR-MI'!$H$41</f>
        <v>------</v>
      </c>
      <c r="M242" s="1223"/>
      <c r="N242" s="1223"/>
      <c r="O242" s="1223"/>
      <c r="P242" s="1223"/>
      <c r="Q242" s="1223"/>
      <c r="R242" s="1223"/>
      <c r="S242" s="1223"/>
      <c r="T242" s="1223"/>
      <c r="U242" s="1223"/>
      <c r="V242" s="1223"/>
      <c r="W242" s="478"/>
      <c r="X242" s="1224" t="str">
        <f>'3º MR-MI'!$I$41</f>
        <v>------</v>
      </c>
      <c r="Y242" s="1220"/>
      <c r="Z242" s="1220"/>
      <c r="AA242" s="1220"/>
      <c r="AB242" s="1220"/>
      <c r="AC242" s="1220"/>
      <c r="AD242" s="1220"/>
      <c r="AE242" s="1220"/>
      <c r="AF242" s="1220"/>
      <c r="AG242" s="1220"/>
      <c r="AH242" s="479"/>
      <c r="AI242" s="1223" t="str">
        <f>'3º MR-MI'!$J$41</f>
        <v>&gt; 500</v>
      </c>
      <c r="AJ242" s="1220"/>
      <c r="AK242" s="1220"/>
      <c r="AL242" s="479"/>
      <c r="AM242" s="1219" t="e">
        <f>'3º MR-MI'!$K$41</f>
        <v>#DIV/0!</v>
      </c>
      <c r="AN242" s="1220"/>
      <c r="AO242" s="1220"/>
      <c r="AP242" s="1220"/>
      <c r="AQ242" s="479"/>
      <c r="AR242" s="1224" t="str">
        <f>'3º MR-MI'!$L$41</f>
        <v>------</v>
      </c>
      <c r="AS242" s="1220"/>
      <c r="AT242" s="1220"/>
      <c r="AU242" s="1220"/>
      <c r="AV242" s="1220"/>
      <c r="AW242" s="406"/>
      <c r="BH242" s="1223"/>
      <c r="BI242" s="1223"/>
      <c r="BJ242" s="1223"/>
      <c r="BK242" s="1223"/>
      <c r="BL242" s="1223"/>
      <c r="BM242" s="1223"/>
      <c r="BN242" s="1223"/>
      <c r="BO242" s="1223"/>
      <c r="BP242" s="1223"/>
      <c r="BQ242" s="1223"/>
      <c r="BR242" s="1223"/>
      <c r="FK242" s="46"/>
      <c r="FL242" s="46"/>
      <c r="FM242" s="46"/>
      <c r="FN242" s="46"/>
      <c r="FO242" s="46"/>
      <c r="FP242" s="46"/>
      <c r="FQ242" s="46"/>
      <c r="FR242" s="46"/>
      <c r="FS242" s="46"/>
      <c r="FT242" s="46"/>
      <c r="FU242" s="46"/>
      <c r="FV242" s="46"/>
      <c r="FW242" s="46"/>
      <c r="FX242" s="46"/>
      <c r="FY242" s="46"/>
      <c r="FZ242" s="46"/>
      <c r="GA242" s="46"/>
      <c r="GB242" s="46"/>
      <c r="GC242" s="46"/>
      <c r="GD242" s="46"/>
      <c r="GE242" s="46"/>
      <c r="GF242" s="46"/>
      <c r="GG242" s="46"/>
      <c r="GH242" s="46"/>
    </row>
    <row r="243" spans="1:190" s="47" customFormat="1" ht="15" hidden="1">
      <c r="B243" s="1223" t="str">
        <f>'3º MR-MI'!$D$45</f>
        <v>0,0</v>
      </c>
      <c r="C243" s="1223"/>
      <c r="D243" s="1223"/>
      <c r="E243" s="1223"/>
      <c r="F243" s="1223"/>
      <c r="G243" s="1223"/>
      <c r="H243" s="1223"/>
      <c r="I243" s="1223"/>
      <c r="J243" s="1223"/>
      <c r="K243" s="477"/>
      <c r="L243" s="1223" t="str">
        <f>'3º MR-MI'!$H$47</f>
        <v>------</v>
      </c>
      <c r="M243" s="1223"/>
      <c r="N243" s="1223"/>
      <c r="O243" s="1223"/>
      <c r="P243" s="1223"/>
      <c r="Q243" s="1223"/>
      <c r="R243" s="1223"/>
      <c r="S243" s="1223"/>
      <c r="T243" s="1223"/>
      <c r="U243" s="1223"/>
      <c r="V243" s="1223"/>
      <c r="W243" s="478"/>
      <c r="X243" s="1224" t="str">
        <f>'3º MR-MI'!$I$47</f>
        <v>------</v>
      </c>
      <c r="Y243" s="1220"/>
      <c r="Z243" s="1220"/>
      <c r="AA243" s="1220"/>
      <c r="AB243" s="1220"/>
      <c r="AC243" s="1220"/>
      <c r="AD243" s="1220"/>
      <c r="AE243" s="1220"/>
      <c r="AF243" s="1220"/>
      <c r="AG243" s="1220"/>
      <c r="AH243" s="479"/>
      <c r="AI243" s="1223" t="str">
        <f>'3º MR-MI'!$J$47</f>
        <v>&gt; 500</v>
      </c>
      <c r="AJ243" s="1220"/>
      <c r="AK243" s="1220"/>
      <c r="AL243" s="479"/>
      <c r="AM243" s="1219" t="e">
        <f>'3º MR-MI'!$K$47</f>
        <v>#DIV/0!</v>
      </c>
      <c r="AN243" s="1220"/>
      <c r="AO243" s="1220"/>
      <c r="AP243" s="1220"/>
      <c r="AQ243" s="479"/>
      <c r="AR243" s="1224" t="str">
        <f>'3º MR-MI'!$L$47</f>
        <v>------</v>
      </c>
      <c r="AS243" s="1220"/>
      <c r="AT243" s="1220"/>
      <c r="AU243" s="1220"/>
      <c r="AV243" s="1220"/>
      <c r="AW243" s="406"/>
      <c r="BH243" s="1223"/>
      <c r="BI243" s="1223"/>
      <c r="BJ243" s="1223"/>
      <c r="BK243" s="1223"/>
      <c r="BL243" s="1223"/>
      <c r="BM243" s="1223"/>
      <c r="BN243" s="1223"/>
      <c r="BO243" s="1223"/>
      <c r="BP243" s="1223"/>
      <c r="BQ243" s="1223"/>
      <c r="BR243" s="1223"/>
      <c r="FK243" s="46"/>
      <c r="FL243" s="46"/>
      <c r="FM243" s="46"/>
      <c r="FN243" s="46"/>
      <c r="FO243" s="46"/>
      <c r="FP243" s="46"/>
      <c r="FQ243" s="46"/>
      <c r="FR243" s="46"/>
      <c r="FS243" s="46"/>
      <c r="FT243" s="46"/>
      <c r="FU243" s="46"/>
      <c r="FV243" s="46"/>
      <c r="FW243" s="46"/>
      <c r="FX243" s="46"/>
      <c r="FY243" s="46"/>
      <c r="FZ243" s="46"/>
      <c r="GA243" s="46"/>
      <c r="GB243" s="46"/>
      <c r="GC243" s="46"/>
      <c r="GD243" s="46"/>
      <c r="GE243" s="46"/>
      <c r="GF243" s="46"/>
      <c r="GG243" s="46"/>
      <c r="GH243" s="46"/>
    </row>
    <row r="244" spans="1:190" s="47" customFormat="1" ht="15" hidden="1">
      <c r="B244" s="1223" t="str">
        <f>'3º MR-MI'!$D$51</f>
        <v>0,0</v>
      </c>
      <c r="C244" s="1223"/>
      <c r="D244" s="1223"/>
      <c r="E244" s="1223"/>
      <c r="F244" s="1223"/>
      <c r="G244" s="1223"/>
      <c r="H244" s="1223"/>
      <c r="I244" s="1223"/>
      <c r="J244" s="1223"/>
      <c r="K244" s="477"/>
      <c r="L244" s="1223" t="str">
        <f>'3º MR-MI'!$H$53</f>
        <v>------</v>
      </c>
      <c r="M244" s="1223"/>
      <c r="N244" s="1223"/>
      <c r="O244" s="1223"/>
      <c r="P244" s="1223"/>
      <c r="Q244" s="1223"/>
      <c r="R244" s="1223"/>
      <c r="S244" s="1223"/>
      <c r="T244" s="1223"/>
      <c r="U244" s="1223"/>
      <c r="V244" s="1223"/>
      <c r="W244" s="478"/>
      <c r="X244" s="1224" t="str">
        <f>'3º MR-MI'!$I$53</f>
        <v>------</v>
      </c>
      <c r="Y244" s="1220"/>
      <c r="Z244" s="1220"/>
      <c r="AA244" s="1220"/>
      <c r="AB244" s="1220"/>
      <c r="AC244" s="1220"/>
      <c r="AD244" s="1220"/>
      <c r="AE244" s="1220"/>
      <c r="AF244" s="1220"/>
      <c r="AG244" s="1220"/>
      <c r="AH244" s="479"/>
      <c r="AI244" s="1223" t="str">
        <f>'3º MR-MI'!$J$53</f>
        <v>&gt; 500</v>
      </c>
      <c r="AJ244" s="1220"/>
      <c r="AK244" s="1220"/>
      <c r="AL244" s="479"/>
      <c r="AM244" s="1219" t="e">
        <f>'3º MR-MI'!$K$53</f>
        <v>#DIV/0!</v>
      </c>
      <c r="AN244" s="1220"/>
      <c r="AO244" s="1220"/>
      <c r="AP244" s="1220"/>
      <c r="AQ244" s="479"/>
      <c r="AR244" s="1224" t="str">
        <f>'3º MR-MI'!$L$53</f>
        <v>------</v>
      </c>
      <c r="AS244" s="1220"/>
      <c r="AT244" s="1220"/>
      <c r="AU244" s="1220"/>
      <c r="AV244" s="1220"/>
      <c r="AW244" s="406"/>
      <c r="FK244" s="46"/>
      <c r="FL244" s="46"/>
      <c r="FM244" s="46"/>
      <c r="FN244" s="46"/>
      <c r="FO244" s="46"/>
      <c r="FP244" s="46"/>
      <c r="FQ244" s="46"/>
      <c r="FR244" s="46"/>
      <c r="FS244" s="46"/>
      <c r="FT244" s="46"/>
      <c r="FU244" s="46"/>
      <c r="FV244" s="46"/>
      <c r="FW244" s="46"/>
      <c r="FX244" s="46"/>
      <c r="FY244" s="46"/>
      <c r="FZ244" s="46"/>
      <c r="GA244" s="46"/>
      <c r="GB244" s="46"/>
      <c r="GC244" s="46"/>
      <c r="GD244" s="46"/>
      <c r="GE244" s="46"/>
      <c r="GF244" s="46"/>
      <c r="GG244" s="46"/>
      <c r="GH244" s="46"/>
    </row>
    <row r="245" spans="1:190" s="47" customFormat="1" ht="15" hidden="1">
      <c r="B245" s="1223" t="str">
        <f>'3º MR-MI'!$D$57</f>
        <v>0,0</v>
      </c>
      <c r="C245" s="1223"/>
      <c r="D245" s="1223"/>
      <c r="E245" s="1223"/>
      <c r="F245" s="1223"/>
      <c r="G245" s="1223"/>
      <c r="H245" s="1223"/>
      <c r="I245" s="1223"/>
      <c r="J245" s="1223"/>
      <c r="K245" s="477"/>
      <c r="L245" s="1223" t="str">
        <f>'3º MR-MI'!$H$59</f>
        <v>------</v>
      </c>
      <c r="M245" s="1223"/>
      <c r="N245" s="1223"/>
      <c r="O245" s="1223"/>
      <c r="P245" s="1223"/>
      <c r="Q245" s="1223"/>
      <c r="R245" s="1223"/>
      <c r="S245" s="1223"/>
      <c r="T245" s="1223"/>
      <c r="U245" s="1223"/>
      <c r="V245" s="1223"/>
      <c r="W245" s="478"/>
      <c r="X245" s="1224" t="str">
        <f>'3º MR-MI'!$I$59</f>
        <v>------</v>
      </c>
      <c r="Y245" s="1220"/>
      <c r="Z245" s="1220"/>
      <c r="AA245" s="1220"/>
      <c r="AB245" s="1220"/>
      <c r="AC245" s="1220"/>
      <c r="AD245" s="1220"/>
      <c r="AE245" s="1220"/>
      <c r="AF245" s="1220"/>
      <c r="AG245" s="1220"/>
      <c r="AH245" s="479"/>
      <c r="AI245" s="1223" t="str">
        <f>'3º MR-MI'!$J$59</f>
        <v>&gt; 500</v>
      </c>
      <c r="AJ245" s="1220"/>
      <c r="AK245" s="1220"/>
      <c r="AL245" s="479"/>
      <c r="AM245" s="1219" t="e">
        <f>'3º MR-MI'!$K$59</f>
        <v>#DIV/0!</v>
      </c>
      <c r="AN245" s="1220"/>
      <c r="AO245" s="1220"/>
      <c r="AP245" s="1220"/>
      <c r="AQ245" s="479"/>
      <c r="AR245" s="1224" t="str">
        <f>'3º MR-MI'!$L$59</f>
        <v>------</v>
      </c>
      <c r="AS245" s="1220"/>
      <c r="AT245" s="1220"/>
      <c r="AU245" s="1220"/>
      <c r="AV245" s="1220"/>
      <c r="AW245" s="406"/>
      <c r="FK245" s="46"/>
      <c r="FL245" s="46"/>
      <c r="FM245" s="46"/>
      <c r="FN245" s="46"/>
      <c r="FO245" s="46"/>
      <c r="FP245" s="46"/>
      <c r="FQ245" s="46"/>
      <c r="FR245" s="46"/>
      <c r="FS245" s="46"/>
      <c r="FT245" s="46"/>
      <c r="FU245" s="46"/>
      <c r="FV245" s="46"/>
      <c r="FW245" s="46"/>
      <c r="FX245" s="46"/>
      <c r="FY245" s="46"/>
      <c r="FZ245" s="46"/>
      <c r="GA245" s="46"/>
      <c r="GB245" s="46"/>
      <c r="GC245" s="46"/>
      <c r="GD245" s="46"/>
      <c r="GE245" s="46"/>
      <c r="GF245" s="46"/>
      <c r="GG245" s="46"/>
      <c r="GH245" s="46"/>
    </row>
    <row r="246" spans="1:190" s="47" customFormat="1" ht="15" hidden="1">
      <c r="B246" s="1223" t="str">
        <f>'3º MR-MI'!$D$63</f>
        <v>0,0</v>
      </c>
      <c r="C246" s="1223"/>
      <c r="D246" s="1223"/>
      <c r="E246" s="1223"/>
      <c r="F246" s="1223"/>
      <c r="G246" s="1223"/>
      <c r="H246" s="1223"/>
      <c r="I246" s="1223"/>
      <c r="J246" s="1223"/>
      <c r="K246" s="477"/>
      <c r="L246" s="1223" t="str">
        <f>'3º MR-MI'!$H$65</f>
        <v>------</v>
      </c>
      <c r="M246" s="1223"/>
      <c r="N246" s="1223"/>
      <c r="O246" s="1223"/>
      <c r="P246" s="1223"/>
      <c r="Q246" s="1223"/>
      <c r="R246" s="1223"/>
      <c r="S246" s="1223"/>
      <c r="T246" s="1223"/>
      <c r="U246" s="1223"/>
      <c r="V246" s="1223"/>
      <c r="W246" s="478"/>
      <c r="X246" s="1224" t="str">
        <f>'3º MR-MI'!$I$65</f>
        <v>------</v>
      </c>
      <c r="Y246" s="1220"/>
      <c r="Z246" s="1220"/>
      <c r="AA246" s="1220"/>
      <c r="AB246" s="1220"/>
      <c r="AC246" s="1220"/>
      <c r="AD246" s="1220"/>
      <c r="AE246" s="1220"/>
      <c r="AF246" s="1220"/>
      <c r="AG246" s="1220"/>
      <c r="AH246" s="479"/>
      <c r="AI246" s="1223" t="str">
        <f>'3º MR-MI'!$J$65</f>
        <v>&gt; 500</v>
      </c>
      <c r="AJ246" s="1220"/>
      <c r="AK246" s="1220"/>
      <c r="AL246" s="479"/>
      <c r="AM246" s="1219" t="e">
        <f>'3º MR-MI'!$K$65</f>
        <v>#DIV/0!</v>
      </c>
      <c r="AN246" s="1220"/>
      <c r="AO246" s="1220"/>
      <c r="AP246" s="1220"/>
      <c r="AQ246" s="479"/>
      <c r="AR246" s="1224" t="str">
        <f>'3º MR-MI'!$L$65</f>
        <v>------</v>
      </c>
      <c r="AS246" s="1220"/>
      <c r="AT246" s="1220"/>
      <c r="AU246" s="1220"/>
      <c r="AV246" s="1220"/>
      <c r="AW246" s="406"/>
      <c r="FK246" s="46"/>
      <c r="FL246" s="46"/>
      <c r="FM246" s="46"/>
      <c r="FN246" s="46"/>
      <c r="FO246" s="46"/>
      <c r="FP246" s="46"/>
      <c r="FQ246" s="46"/>
      <c r="FR246" s="46"/>
      <c r="FS246" s="46"/>
      <c r="FT246" s="46"/>
      <c r="FU246" s="46"/>
      <c r="FV246" s="46"/>
      <c r="FW246" s="46"/>
      <c r="FX246" s="46"/>
      <c r="FY246" s="46"/>
      <c r="FZ246" s="46"/>
      <c r="GA246" s="46"/>
      <c r="GB246" s="46"/>
      <c r="GC246" s="46"/>
      <c r="GD246" s="46"/>
      <c r="GE246" s="46"/>
      <c r="GF246" s="46"/>
      <c r="GG246" s="46"/>
      <c r="GH246" s="46"/>
    </row>
    <row r="247" spans="1:190" s="47" customFormat="1" ht="15" hidden="1">
      <c r="B247" s="1223" t="str">
        <f>'3º MR-MI'!$D$69</f>
        <v>0,0</v>
      </c>
      <c r="C247" s="1223"/>
      <c r="D247" s="1223"/>
      <c r="E247" s="1223"/>
      <c r="F247" s="1223"/>
      <c r="G247" s="1223"/>
      <c r="H247" s="1223"/>
      <c r="I247" s="1223"/>
      <c r="J247" s="1223"/>
      <c r="K247" s="477"/>
      <c r="L247" s="1223" t="str">
        <f>'3º MR-MI'!$H$71</f>
        <v>------</v>
      </c>
      <c r="M247" s="1223"/>
      <c r="N247" s="1223"/>
      <c r="O247" s="1223"/>
      <c r="P247" s="1223"/>
      <c r="Q247" s="1223"/>
      <c r="R247" s="1223"/>
      <c r="S247" s="1223"/>
      <c r="T247" s="1223"/>
      <c r="U247" s="1223"/>
      <c r="V247" s="1223"/>
      <c r="W247" s="478"/>
      <c r="X247" s="1224" t="str">
        <f>'3º MR-MI'!$I$71</f>
        <v>------</v>
      </c>
      <c r="Y247" s="1220"/>
      <c r="Z247" s="1220"/>
      <c r="AA247" s="1220"/>
      <c r="AB247" s="1220"/>
      <c r="AC247" s="1220"/>
      <c r="AD247" s="1220"/>
      <c r="AE247" s="1220"/>
      <c r="AF247" s="1220"/>
      <c r="AG247" s="1220"/>
      <c r="AH247" s="479"/>
      <c r="AI247" s="1223" t="str">
        <f>'3º MR-MI'!$J$71</f>
        <v>&gt; 500</v>
      </c>
      <c r="AJ247" s="1220"/>
      <c r="AK247" s="1220"/>
      <c r="AL247" s="479"/>
      <c r="AM247" s="1219" t="e">
        <f>'3º MR-MI'!$K$71</f>
        <v>#DIV/0!</v>
      </c>
      <c r="AN247" s="1220"/>
      <c r="AO247" s="1220"/>
      <c r="AP247" s="1220"/>
      <c r="AQ247" s="479"/>
      <c r="AR247" s="1224" t="str">
        <f>'3º MR-MI'!$L$71</f>
        <v>-------</v>
      </c>
      <c r="AS247" s="1220"/>
      <c r="AT247" s="1220"/>
      <c r="AU247" s="1220"/>
      <c r="AV247" s="1220"/>
      <c r="AW247" s="406"/>
      <c r="FK247" s="46"/>
      <c r="FL247" s="46"/>
      <c r="FM247" s="46"/>
      <c r="FN247" s="46"/>
      <c r="FO247" s="46"/>
      <c r="FP247" s="46"/>
      <c r="FQ247" s="46"/>
      <c r="FR247" s="46"/>
      <c r="FS247" s="46"/>
      <c r="FT247" s="46"/>
      <c r="FU247" s="46"/>
      <c r="FV247" s="46"/>
      <c r="FW247" s="46"/>
      <c r="FX247" s="46"/>
      <c r="FY247" s="46"/>
      <c r="FZ247" s="46"/>
      <c r="GA247" s="46"/>
      <c r="GB247" s="46"/>
      <c r="GC247" s="46"/>
      <c r="GD247" s="46"/>
      <c r="GE247" s="46"/>
      <c r="GF247" s="46"/>
      <c r="GG247" s="46"/>
      <c r="GH247" s="46"/>
    </row>
    <row r="248" spans="1:190" s="47" customFormat="1" ht="15" hidden="1">
      <c r="B248" s="1223" t="str">
        <f>'3º MR-MI'!$D$75</f>
        <v>0,0</v>
      </c>
      <c r="C248" s="1223"/>
      <c r="D248" s="1223"/>
      <c r="E248" s="1223"/>
      <c r="F248" s="1223"/>
      <c r="G248" s="1223"/>
      <c r="H248" s="1223"/>
      <c r="I248" s="1223"/>
      <c r="J248" s="1223"/>
      <c r="K248" s="477"/>
      <c r="L248" s="1223" t="str">
        <f>'3º MR-MI'!$H$77</f>
        <v>------</v>
      </c>
      <c r="M248" s="1223"/>
      <c r="N248" s="1223"/>
      <c r="O248" s="1223"/>
      <c r="P248" s="1223"/>
      <c r="Q248" s="1223"/>
      <c r="R248" s="1223"/>
      <c r="S248" s="1223"/>
      <c r="T248" s="1223"/>
      <c r="U248" s="1223"/>
      <c r="V248" s="1223"/>
      <c r="W248" s="478"/>
      <c r="X248" s="1224" t="str">
        <f>'3º MR-MI'!$I$77</f>
        <v>------</v>
      </c>
      <c r="Y248" s="1220"/>
      <c r="Z248" s="1220"/>
      <c r="AA248" s="1220"/>
      <c r="AB248" s="1220"/>
      <c r="AC248" s="1220"/>
      <c r="AD248" s="1220"/>
      <c r="AE248" s="1220"/>
      <c r="AF248" s="1220"/>
      <c r="AG248" s="1220"/>
      <c r="AH248" s="479"/>
      <c r="AI248" s="1223" t="str">
        <f>'3º MR-MI'!$J$77</f>
        <v>&gt; 500</v>
      </c>
      <c r="AJ248" s="1220"/>
      <c r="AK248" s="1220"/>
      <c r="AL248" s="479"/>
      <c r="AM248" s="1219" t="e">
        <f>'3º MR-MI'!$K$77</f>
        <v>#DIV/0!</v>
      </c>
      <c r="AN248" s="1220"/>
      <c r="AO248" s="1220"/>
      <c r="AP248" s="1220"/>
      <c r="AQ248" s="479"/>
      <c r="AR248" s="1224" t="str">
        <f>'3º MR-MI'!$L$77</f>
        <v>------</v>
      </c>
      <c r="AS248" s="1220"/>
      <c r="AT248" s="1220"/>
      <c r="AU248" s="1220"/>
      <c r="AV248" s="1220"/>
      <c r="AW248" s="406"/>
      <c r="FK248" s="46"/>
      <c r="FL248" s="46"/>
      <c r="FM248" s="46"/>
      <c r="FN248" s="46"/>
      <c r="FO248" s="46"/>
      <c r="FP248" s="46"/>
      <c r="FQ248" s="46"/>
      <c r="FR248" s="46"/>
      <c r="FS248" s="46"/>
      <c r="FT248" s="46"/>
      <c r="FU248" s="46"/>
      <c r="FV248" s="46"/>
      <c r="FW248" s="46"/>
      <c r="FX248" s="46"/>
      <c r="FY248" s="46"/>
      <c r="FZ248" s="46"/>
      <c r="GA248" s="46"/>
      <c r="GB248" s="46"/>
      <c r="GC248" s="46"/>
      <c r="GD248" s="46"/>
      <c r="GE248" s="46"/>
      <c r="GF248" s="46"/>
      <c r="GG248" s="46"/>
      <c r="GH248" s="46"/>
    </row>
    <row r="249" spans="1:190" ht="4.5" hidden="1" customHeight="1">
      <c r="A249" s="484"/>
      <c r="B249" s="485"/>
      <c r="C249" s="485"/>
      <c r="D249" s="485"/>
      <c r="E249" s="485"/>
      <c r="F249" s="485"/>
      <c r="G249" s="485"/>
      <c r="H249" s="485"/>
      <c r="I249" s="485"/>
      <c r="J249" s="485"/>
      <c r="K249" s="485"/>
      <c r="L249" s="485"/>
      <c r="M249" s="485"/>
      <c r="N249" s="485"/>
      <c r="O249" s="486"/>
      <c r="P249" s="486"/>
      <c r="Q249" s="486"/>
      <c r="R249" s="486"/>
      <c r="S249" s="486"/>
      <c r="T249" s="486"/>
      <c r="U249" s="486"/>
      <c r="V249" s="486"/>
      <c r="W249" s="486"/>
      <c r="X249" s="486"/>
      <c r="Y249" s="486"/>
      <c r="Z249" s="486"/>
      <c r="AA249" s="486"/>
      <c r="AB249" s="486"/>
      <c r="AC249" s="487"/>
      <c r="AD249" s="487"/>
      <c r="AE249" s="487"/>
      <c r="AF249" s="487"/>
      <c r="AG249" s="487"/>
      <c r="AH249" s="487"/>
      <c r="AI249" s="487"/>
      <c r="AJ249" s="487"/>
      <c r="AK249" s="487"/>
      <c r="AL249" s="487"/>
      <c r="AM249" s="487"/>
      <c r="AN249" s="487"/>
      <c r="AO249" s="487"/>
      <c r="AP249" s="487"/>
      <c r="AQ249" s="487"/>
      <c r="AR249" s="487"/>
      <c r="AS249" s="487"/>
      <c r="AT249" s="487"/>
      <c r="AU249" s="487"/>
      <c r="AV249" s="484"/>
      <c r="AW249" s="427"/>
    </row>
    <row r="250" spans="1:190" ht="26.25" customHeight="1">
      <c r="A250" s="88"/>
      <c r="B250" s="1281" t="str">
        <f>IF(AP205="","",CONCATENATE("Os ensaios foram realizados com uma resolução melhor que d ",", dT = ",AP205," ", AV205,", sendo as indicações obtidas através do “modo serviço” ."))</f>
        <v/>
      </c>
      <c r="C250" s="1281"/>
      <c r="D250" s="1281"/>
      <c r="E250" s="1281"/>
      <c r="F250" s="1281"/>
      <c r="G250" s="1281"/>
      <c r="H250" s="1281"/>
      <c r="I250" s="1281"/>
      <c r="J250" s="1281"/>
      <c r="K250" s="1281"/>
      <c r="L250" s="1281"/>
      <c r="M250" s="1281"/>
      <c r="N250" s="1281"/>
      <c r="O250" s="1281"/>
      <c r="P250" s="1281"/>
      <c r="Q250" s="1281"/>
      <c r="R250" s="1281"/>
      <c r="S250" s="1281"/>
      <c r="T250" s="1281"/>
      <c r="U250" s="1281"/>
      <c r="V250" s="1281"/>
      <c r="W250" s="1281"/>
      <c r="X250" s="1281"/>
      <c r="Y250" s="1281"/>
      <c r="Z250" s="1281"/>
      <c r="AA250" s="1281"/>
      <c r="AB250" s="1281"/>
      <c r="AC250" s="1281"/>
      <c r="AD250" s="1281"/>
      <c r="AE250" s="1281"/>
      <c r="AF250" s="1281"/>
      <c r="AG250" s="1281"/>
      <c r="AH250" s="1281"/>
      <c r="AI250" s="1281"/>
      <c r="AJ250" s="1281"/>
      <c r="AK250" s="1281"/>
      <c r="AL250" s="1281"/>
      <c r="AM250" s="1281"/>
      <c r="AN250" s="1281"/>
      <c r="AO250" s="1281"/>
      <c r="AP250" s="1281"/>
      <c r="AQ250" s="1281"/>
      <c r="AR250" s="1281"/>
      <c r="AS250" s="1281"/>
      <c r="AT250" s="1281"/>
      <c r="AU250" s="1281"/>
      <c r="AV250" s="1281"/>
      <c r="AW250" s="406"/>
    </row>
    <row r="251" spans="1:190" ht="14.25">
      <c r="A251" s="47"/>
      <c r="B251" s="1260" t="str">
        <f>IF('Registo Calibração'!$AK$3="Sim",CONCATENATE("Local de calibração: ",'Registo Calibração'!$AI$5),IF('Registo Calibração'!$AK$3&lt;&gt;"Sim",CONCATENATE("Local de calibração: ",'Registo Calibração'!$G$5," ",'Registo Calibração'!$G$6),CONCATENATE("Local de calibração: ",'Registo Calibração'!$C$5," ",'Registo Calibração'!$C$6)))</f>
        <v>Local de calibração: 0 0</v>
      </c>
      <c r="C251" s="1260"/>
      <c r="D251" s="1260"/>
      <c r="E251" s="1260"/>
      <c r="F251" s="1260"/>
      <c r="G251" s="1260"/>
      <c r="H251" s="1260"/>
      <c r="I251" s="1260"/>
      <c r="J251" s="1260"/>
      <c r="K251" s="1260"/>
      <c r="L251" s="1260"/>
      <c r="M251" s="1260"/>
      <c r="N251" s="1260"/>
      <c r="O251" s="1260"/>
      <c r="P251" s="1260"/>
      <c r="Q251" s="1260"/>
      <c r="R251" s="1260"/>
      <c r="S251" s="1260"/>
      <c r="T251" s="1260"/>
      <c r="U251" s="1260"/>
      <c r="V251" s="1260"/>
      <c r="W251" s="1260"/>
      <c r="X251" s="1260"/>
      <c r="Y251" s="1260"/>
      <c r="Z251" s="1260"/>
      <c r="AA251" s="1260"/>
      <c r="AB251" s="1260"/>
      <c r="AC251" s="1260"/>
      <c r="AD251" s="1260"/>
      <c r="AE251" s="1260"/>
      <c r="AF251" s="1260"/>
      <c r="AG251" s="1260"/>
      <c r="AH251" s="1260"/>
      <c r="AI251" s="1260"/>
      <c r="AJ251" s="1260"/>
      <c r="AK251" s="1260"/>
      <c r="AL251" s="1260"/>
      <c r="AM251" s="1260"/>
      <c r="AN251" s="1260"/>
      <c r="AO251" s="1260"/>
      <c r="AP251" s="1260"/>
      <c r="AQ251" s="1260"/>
      <c r="AR251" s="1260"/>
      <c r="AS251" s="1260"/>
      <c r="AT251" s="1260"/>
      <c r="AU251" s="1260"/>
      <c r="AV251" s="1260"/>
      <c r="AW251" s="406"/>
    </row>
    <row r="252" spans="1:190" ht="253.5" customHeight="1">
      <c r="B252" s="455" t="s">
        <v>404</v>
      </c>
      <c r="C252" s="455"/>
      <c r="D252" s="455"/>
      <c r="E252" s="455"/>
      <c r="F252" s="455"/>
      <c r="G252" s="1213"/>
      <c r="H252" s="1213"/>
      <c r="I252" s="1213"/>
      <c r="J252" s="1213"/>
      <c r="K252" s="1213"/>
      <c r="L252" s="1213"/>
      <c r="M252" s="1213"/>
      <c r="N252" s="1213"/>
      <c r="O252" s="1213"/>
      <c r="P252" s="1213"/>
      <c r="Q252" s="1213"/>
      <c r="R252" s="1213"/>
      <c r="S252" s="1213"/>
      <c r="T252" s="1213"/>
      <c r="W252" s="455"/>
      <c r="X252" s="456" t="s">
        <v>405</v>
      </c>
      <c r="Y252" s="455"/>
      <c r="Z252" s="455"/>
      <c r="AA252" s="455"/>
      <c r="AB252" s="455"/>
      <c r="AC252" s="455"/>
      <c r="AD252" s="455"/>
      <c r="AE252" s="455"/>
      <c r="AF252" s="455"/>
      <c r="AG252" s="1215"/>
      <c r="AH252" s="1215"/>
      <c r="AI252" s="1215"/>
      <c r="AJ252" s="1215"/>
      <c r="AK252" s="1215"/>
      <c r="AL252" s="1215"/>
      <c r="AM252" s="1215"/>
      <c r="AN252" s="1215"/>
      <c r="AO252" s="1215"/>
      <c r="AP252" s="1215"/>
      <c r="AQ252" s="1215"/>
      <c r="AR252" s="1215"/>
      <c r="AS252" s="1215"/>
      <c r="AT252" s="1215"/>
    </row>
    <row r="253" spans="1:190" ht="15">
      <c r="G253" s="34"/>
      <c r="H253" s="34"/>
      <c r="I253" s="1214" t="str">
        <f>VLOOKUP('Registo Calibração'!AV$112,'Registo Calibração'!AT$102:$AU$110,2)</f>
        <v>Vitor Rodrigues</v>
      </c>
      <c r="J253" s="1214"/>
      <c r="K253" s="1214"/>
      <c r="L253" s="1214"/>
      <c r="M253" s="1214"/>
      <c r="N253" s="1214"/>
      <c r="O253" s="1214"/>
      <c r="P253" s="1214"/>
      <c r="Q253" s="1214"/>
      <c r="R253" s="1214"/>
      <c r="S253" s="457"/>
      <c r="T253" s="457"/>
      <c r="U253" s="458"/>
      <c r="V253" s="458"/>
      <c r="W253" s="458"/>
      <c r="X253" s="458"/>
      <c r="Y253" s="458"/>
      <c r="Z253" s="458"/>
      <c r="AA253" s="458"/>
      <c r="AB253" s="458"/>
      <c r="AC253" s="458"/>
      <c r="AD253" s="458"/>
      <c r="AE253" s="458"/>
      <c r="AF253" s="458"/>
      <c r="AG253" s="457"/>
      <c r="AH253" s="457"/>
      <c r="AI253" s="1214" t="s">
        <v>96</v>
      </c>
      <c r="AJ253" s="1214"/>
      <c r="AK253" s="1214"/>
      <c r="AL253" s="1214"/>
      <c r="AM253" s="1214"/>
      <c r="AN253" s="1214"/>
      <c r="AO253" s="1214"/>
      <c r="AP253" s="1214"/>
      <c r="AQ253" s="1214"/>
      <c r="AR253" s="1214"/>
      <c r="AS253" s="34"/>
      <c r="AT253" s="34"/>
      <c r="AW253" s="406"/>
    </row>
    <row r="254" spans="1:190" ht="27" customHeight="1"/>
    <row r="255" spans="1:190">
      <c r="A255" s="1246" t="s">
        <v>471</v>
      </c>
      <c r="B255" s="1246"/>
      <c r="C255" s="1246"/>
      <c r="D255" s="1246"/>
      <c r="E255" s="1246"/>
      <c r="F255" s="1246"/>
      <c r="G255" s="1246"/>
      <c r="H255" s="1246"/>
      <c r="I255" s="1246"/>
      <c r="J255" s="1246"/>
      <c r="K255" s="1246"/>
      <c r="L255" s="1246"/>
      <c r="M255" s="1246"/>
      <c r="N255" s="1246"/>
      <c r="O255" s="1246"/>
      <c r="P255" s="1246"/>
      <c r="Q255" s="1246"/>
      <c r="R255" s="1246"/>
      <c r="S255" s="1246"/>
      <c r="T255" s="1246"/>
      <c r="U255" s="1246"/>
      <c r="V255" s="1246"/>
      <c r="W255" s="1246"/>
      <c r="X255" s="1246"/>
      <c r="Y255" s="1246"/>
      <c r="Z255" s="1246"/>
      <c r="AA255" s="1246"/>
      <c r="AB255" s="1246"/>
      <c r="AC255" s="1246"/>
      <c r="AD255" s="1246"/>
      <c r="AE255" s="1246"/>
      <c r="AF255" s="1246"/>
      <c r="AG255" s="1246"/>
      <c r="AH255" s="1246"/>
      <c r="AI255" s="1246"/>
      <c r="AJ255" s="1246"/>
      <c r="AK255" s="1246"/>
      <c r="AL255" s="1246"/>
      <c r="AM255" s="1246"/>
      <c r="AN255" s="1246"/>
      <c r="AO255" s="1246"/>
      <c r="AP255" s="1246"/>
      <c r="AQ255" s="1246"/>
      <c r="AR255" s="1246"/>
      <c r="AS255" s="1246"/>
      <c r="AT255" s="1246"/>
      <c r="AU255" s="1246"/>
      <c r="AV255" s="1246"/>
      <c r="AW255" s="1246"/>
    </row>
    <row r="256" spans="1:190" ht="53.25" customHeight="1">
      <c r="A256" s="281"/>
      <c r="B256" s="281"/>
      <c r="C256" s="281"/>
      <c r="D256" s="281"/>
      <c r="E256" s="281"/>
      <c r="F256" s="281"/>
      <c r="G256" s="281"/>
      <c r="H256" s="281"/>
      <c r="I256" s="281"/>
      <c r="J256" s="281"/>
      <c r="K256" s="281"/>
      <c r="L256" s="281"/>
      <c r="M256" s="281"/>
      <c r="N256" s="281"/>
      <c r="O256" s="753"/>
      <c r="P256" s="753"/>
      <c r="Q256" s="753"/>
      <c r="R256" s="753"/>
      <c r="S256" s="753"/>
      <c r="T256" s="753"/>
      <c r="U256" s="753"/>
      <c r="V256" s="753"/>
      <c r="W256" s="753"/>
      <c r="X256" s="753"/>
      <c r="Y256" s="754"/>
      <c r="Z256" s="754"/>
      <c r="AA256" s="754"/>
      <c r="AB256" s="754"/>
      <c r="AC256" s="281"/>
      <c r="AD256" s="281"/>
      <c r="AE256" s="281"/>
      <c r="AF256" s="281"/>
      <c r="AG256" s="281"/>
      <c r="AH256" s="281"/>
      <c r="AI256" s="281"/>
      <c r="AJ256" s="281"/>
      <c r="AK256" s="281"/>
      <c r="AL256" s="281"/>
      <c r="AM256" s="281"/>
      <c r="AN256" s="281"/>
      <c r="AO256" s="281"/>
      <c r="AP256" s="281"/>
      <c r="AQ256" s="281"/>
      <c r="AR256" s="281"/>
      <c r="AS256" s="281"/>
      <c r="AT256" s="281"/>
      <c r="AU256" s="281"/>
      <c r="AV256" s="281"/>
      <c r="AW256" s="755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</row>
  </sheetData>
  <mergeCells count="539">
    <mergeCell ref="F156:L156"/>
    <mergeCell ref="F222:L222"/>
    <mergeCell ref="A255:AW255"/>
    <mergeCell ref="B250:AV250"/>
    <mergeCell ref="B251:AV251"/>
    <mergeCell ref="G252:T252"/>
    <mergeCell ref="AG252:AT252"/>
    <mergeCell ref="I253:R253"/>
    <mergeCell ref="AI253:AR253"/>
    <mergeCell ref="B248:J248"/>
    <mergeCell ref="L248:V248"/>
    <mergeCell ref="X248:AG248"/>
    <mergeCell ref="AI248:AK248"/>
    <mergeCell ref="AM248:AP248"/>
    <mergeCell ref="AR248:AV248"/>
    <mergeCell ref="B247:J247"/>
    <mergeCell ref="L247:V247"/>
    <mergeCell ref="X247:AG247"/>
    <mergeCell ref="AI247:AK247"/>
    <mergeCell ref="AM247:AP247"/>
    <mergeCell ref="AR247:AV247"/>
    <mergeCell ref="B246:J246"/>
    <mergeCell ref="L246:V246"/>
    <mergeCell ref="X246:AG246"/>
    <mergeCell ref="AI246:AK246"/>
    <mergeCell ref="AM246:AP246"/>
    <mergeCell ref="AR246:AV246"/>
    <mergeCell ref="B245:J245"/>
    <mergeCell ref="L245:V245"/>
    <mergeCell ref="X245:AG245"/>
    <mergeCell ref="AI245:AK245"/>
    <mergeCell ref="AM245:AP245"/>
    <mergeCell ref="AR245:AV245"/>
    <mergeCell ref="B244:J244"/>
    <mergeCell ref="L244:V244"/>
    <mergeCell ref="X244:AG244"/>
    <mergeCell ref="AI244:AK244"/>
    <mergeCell ref="AM244:AP244"/>
    <mergeCell ref="AR244:AV244"/>
    <mergeCell ref="BH242:BR242"/>
    <mergeCell ref="B243:J243"/>
    <mergeCell ref="L243:V243"/>
    <mergeCell ref="X243:AG243"/>
    <mergeCell ref="AI243:AK243"/>
    <mergeCell ref="AM243:AP243"/>
    <mergeCell ref="AR243:AV243"/>
    <mergeCell ref="BH243:BR243"/>
    <mergeCell ref="B242:J242"/>
    <mergeCell ref="L242:V242"/>
    <mergeCell ref="X242:AG242"/>
    <mergeCell ref="AI242:AK242"/>
    <mergeCell ref="AM242:AP242"/>
    <mergeCell ref="AR242:AV242"/>
    <mergeCell ref="BH239:BR239"/>
    <mergeCell ref="B240:J240"/>
    <mergeCell ref="L240:V240"/>
    <mergeCell ref="X240:AG240"/>
    <mergeCell ref="AI240:AK240"/>
    <mergeCell ref="AM240:AP240"/>
    <mergeCell ref="AR240:AV240"/>
    <mergeCell ref="BH240:BR240"/>
    <mergeCell ref="B241:J241"/>
    <mergeCell ref="L241:V241"/>
    <mergeCell ref="X241:AG241"/>
    <mergeCell ref="AI241:AK241"/>
    <mergeCell ref="AM241:AP241"/>
    <mergeCell ref="AR241:AV241"/>
    <mergeCell ref="BH241:BR241"/>
    <mergeCell ref="BH236:BR236"/>
    <mergeCell ref="B237:J237"/>
    <mergeCell ref="L237:V237"/>
    <mergeCell ref="X237:AG237"/>
    <mergeCell ref="AI237:AK238"/>
    <mergeCell ref="AM237:AP238"/>
    <mergeCell ref="AR237:AV237"/>
    <mergeCell ref="BH237:BR237"/>
    <mergeCell ref="B238:J238"/>
    <mergeCell ref="L238:V238"/>
    <mergeCell ref="X238:AG238"/>
    <mergeCell ref="AR238:AS238"/>
    <mergeCell ref="AT238:AV238"/>
    <mergeCell ref="BH238:BR238"/>
    <mergeCell ref="Q232:S232"/>
    <mergeCell ref="U232:AH232"/>
    <mergeCell ref="AJ232:AU232"/>
    <mergeCell ref="B233:AV233"/>
    <mergeCell ref="B235:AV235"/>
    <mergeCell ref="BH235:BR235"/>
    <mergeCell ref="Q230:S230"/>
    <mergeCell ref="U230:AH230"/>
    <mergeCell ref="AJ230:AU230"/>
    <mergeCell ref="Q231:S231"/>
    <mergeCell ref="U231:AH231"/>
    <mergeCell ref="AJ231:AU231"/>
    <mergeCell ref="Q228:S228"/>
    <mergeCell ref="U228:AH228"/>
    <mergeCell ref="AJ228:AU228"/>
    <mergeCell ref="Q229:S229"/>
    <mergeCell ref="U229:AH229"/>
    <mergeCell ref="AJ229:AU229"/>
    <mergeCell ref="Q226:S226"/>
    <mergeCell ref="U226:AH226"/>
    <mergeCell ref="AJ226:AU226"/>
    <mergeCell ref="Q227:S227"/>
    <mergeCell ref="U227:AH227"/>
    <mergeCell ref="AJ227:AU227"/>
    <mergeCell ref="Q224:S224"/>
    <mergeCell ref="U224:AH224"/>
    <mergeCell ref="AJ224:AU224"/>
    <mergeCell ref="Q225:S225"/>
    <mergeCell ref="U225:AH225"/>
    <mergeCell ref="AJ225:AU225"/>
    <mergeCell ref="Q222:S222"/>
    <mergeCell ref="U222:AH222"/>
    <mergeCell ref="AJ222:AU222"/>
    <mergeCell ref="Q223:S223"/>
    <mergeCell ref="U223:AH223"/>
    <mergeCell ref="AJ223:AU223"/>
    <mergeCell ref="B214:AV216"/>
    <mergeCell ref="B218:AV218"/>
    <mergeCell ref="B220:K220"/>
    <mergeCell ref="L220:O220"/>
    <mergeCell ref="Q220:S220"/>
    <mergeCell ref="U220:AE220"/>
    <mergeCell ref="AF220:AH220"/>
    <mergeCell ref="AJ220:AS220"/>
    <mergeCell ref="AT220:AV220"/>
    <mergeCell ref="B211:O211"/>
    <mergeCell ref="Q211:AE211"/>
    <mergeCell ref="AG211:AV211"/>
    <mergeCell ref="B212:O212"/>
    <mergeCell ref="Q212:AE212"/>
    <mergeCell ref="AG212:AV212"/>
    <mergeCell ref="AO204:AT204"/>
    <mergeCell ref="AP205:AU205"/>
    <mergeCell ref="AV205:AW205"/>
    <mergeCell ref="B208:AV208"/>
    <mergeCell ref="B210:K210"/>
    <mergeCell ref="L210:O210"/>
    <mergeCell ref="Q210:AA210"/>
    <mergeCell ref="AB210:AE210"/>
    <mergeCell ref="AG210:AR210"/>
    <mergeCell ref="B198:E198"/>
    <mergeCell ref="AP201:AU201"/>
    <mergeCell ref="AV201:AW201"/>
    <mergeCell ref="O203:Y203"/>
    <mergeCell ref="AP203:AU203"/>
    <mergeCell ref="AV203:AW203"/>
    <mergeCell ref="A189:AW189"/>
    <mergeCell ref="B195:AD195"/>
    <mergeCell ref="AE195:AL195"/>
    <mergeCell ref="AO195:AV195"/>
    <mergeCell ref="A192:J192"/>
    <mergeCell ref="K192:S192"/>
    <mergeCell ref="Z192:AK193"/>
    <mergeCell ref="A193:F193"/>
    <mergeCell ref="Z194:AK194"/>
    <mergeCell ref="B184:AV184"/>
    <mergeCell ref="B185:AV185"/>
    <mergeCell ref="G186:T186"/>
    <mergeCell ref="AG186:AT186"/>
    <mergeCell ref="I187:R187"/>
    <mergeCell ref="AI187:AR187"/>
    <mergeCell ref="B182:J182"/>
    <mergeCell ref="L182:V182"/>
    <mergeCell ref="X182:AG182"/>
    <mergeCell ref="AI182:AK182"/>
    <mergeCell ref="AM182:AP182"/>
    <mergeCell ref="AR182:AV182"/>
    <mergeCell ref="B181:J181"/>
    <mergeCell ref="L181:V181"/>
    <mergeCell ref="X181:AG181"/>
    <mergeCell ref="AI181:AK181"/>
    <mergeCell ref="AM181:AP181"/>
    <mergeCell ref="AR181:AV181"/>
    <mergeCell ref="B180:J180"/>
    <mergeCell ref="L180:V180"/>
    <mergeCell ref="X180:AG180"/>
    <mergeCell ref="AI180:AK180"/>
    <mergeCell ref="AM180:AP180"/>
    <mergeCell ref="AR180:AV180"/>
    <mergeCell ref="B179:J179"/>
    <mergeCell ref="L179:V179"/>
    <mergeCell ref="X179:AG179"/>
    <mergeCell ref="AI179:AK179"/>
    <mergeCell ref="AM179:AP179"/>
    <mergeCell ref="AR179:AV179"/>
    <mergeCell ref="B178:J178"/>
    <mergeCell ref="L178:V178"/>
    <mergeCell ref="X178:AG178"/>
    <mergeCell ref="AI178:AK178"/>
    <mergeCell ref="AM178:AP178"/>
    <mergeCell ref="AR178:AV178"/>
    <mergeCell ref="BH176:BR176"/>
    <mergeCell ref="B177:J177"/>
    <mergeCell ref="L177:V177"/>
    <mergeCell ref="X177:AG177"/>
    <mergeCell ref="AI177:AK177"/>
    <mergeCell ref="AM177:AP177"/>
    <mergeCell ref="AR177:AV177"/>
    <mergeCell ref="BH177:BR177"/>
    <mergeCell ref="B176:J176"/>
    <mergeCell ref="L176:V176"/>
    <mergeCell ref="X176:AG176"/>
    <mergeCell ref="AI176:AK176"/>
    <mergeCell ref="AM176:AP176"/>
    <mergeCell ref="AR176:AV176"/>
    <mergeCell ref="BH173:BR173"/>
    <mergeCell ref="B174:J174"/>
    <mergeCell ref="L174:V174"/>
    <mergeCell ref="X174:AG174"/>
    <mergeCell ref="AI174:AK174"/>
    <mergeCell ref="AM174:AP174"/>
    <mergeCell ref="AR174:AV174"/>
    <mergeCell ref="BH174:BR174"/>
    <mergeCell ref="B175:J175"/>
    <mergeCell ref="L175:V175"/>
    <mergeCell ref="X175:AG175"/>
    <mergeCell ref="AI175:AK175"/>
    <mergeCell ref="AM175:AP175"/>
    <mergeCell ref="AR175:AV175"/>
    <mergeCell ref="BH175:BR175"/>
    <mergeCell ref="BH170:BR170"/>
    <mergeCell ref="B171:J171"/>
    <mergeCell ref="L171:V171"/>
    <mergeCell ref="X171:AG171"/>
    <mergeCell ref="AI171:AK172"/>
    <mergeCell ref="AM171:AP172"/>
    <mergeCell ref="AR171:AV171"/>
    <mergeCell ref="BH171:BR171"/>
    <mergeCell ref="B172:J172"/>
    <mergeCell ref="L172:V172"/>
    <mergeCell ref="X172:AG172"/>
    <mergeCell ref="AR172:AS172"/>
    <mergeCell ref="AT172:AV172"/>
    <mergeCell ref="BH172:BR172"/>
    <mergeCell ref="Q166:S166"/>
    <mergeCell ref="U166:AH166"/>
    <mergeCell ref="AJ166:AU166"/>
    <mergeCell ref="B167:AV167"/>
    <mergeCell ref="B169:AV169"/>
    <mergeCell ref="BH169:BR169"/>
    <mergeCell ref="Q164:S164"/>
    <mergeCell ref="U164:AH164"/>
    <mergeCell ref="AJ164:AU164"/>
    <mergeCell ref="Q165:S165"/>
    <mergeCell ref="U165:AH165"/>
    <mergeCell ref="AJ165:AU165"/>
    <mergeCell ref="Q162:S162"/>
    <mergeCell ref="U162:AH162"/>
    <mergeCell ref="AJ162:AU162"/>
    <mergeCell ref="Q163:S163"/>
    <mergeCell ref="U163:AH163"/>
    <mergeCell ref="AJ163:AU163"/>
    <mergeCell ref="Q160:S160"/>
    <mergeCell ref="U160:AH160"/>
    <mergeCell ref="AJ160:AU160"/>
    <mergeCell ref="Q161:S161"/>
    <mergeCell ref="U161:AH161"/>
    <mergeCell ref="AJ161:AU161"/>
    <mergeCell ref="Q158:S158"/>
    <mergeCell ref="U158:AH158"/>
    <mergeCell ref="AJ158:AU158"/>
    <mergeCell ref="Q159:S159"/>
    <mergeCell ref="U159:AH159"/>
    <mergeCell ref="AJ159:AU159"/>
    <mergeCell ref="Q156:S156"/>
    <mergeCell ref="U156:AH156"/>
    <mergeCell ref="AJ156:AU156"/>
    <mergeCell ref="Q157:S157"/>
    <mergeCell ref="U157:AH157"/>
    <mergeCell ref="AJ157:AU157"/>
    <mergeCell ref="B148:AV150"/>
    <mergeCell ref="B152:AV152"/>
    <mergeCell ref="B154:K154"/>
    <mergeCell ref="L154:O154"/>
    <mergeCell ref="Q154:S154"/>
    <mergeCell ref="U154:AE154"/>
    <mergeCell ref="AF154:AH154"/>
    <mergeCell ref="AJ154:AS154"/>
    <mergeCell ref="AT154:AV154"/>
    <mergeCell ref="B145:O145"/>
    <mergeCell ref="Q145:AE145"/>
    <mergeCell ref="AG145:AV145"/>
    <mergeCell ref="B146:O146"/>
    <mergeCell ref="Q146:AE146"/>
    <mergeCell ref="AG146:AV146"/>
    <mergeCell ref="AO138:AT138"/>
    <mergeCell ref="AP139:AU139"/>
    <mergeCell ref="AV139:AW139"/>
    <mergeCell ref="B142:AV142"/>
    <mergeCell ref="B144:K144"/>
    <mergeCell ref="L144:O144"/>
    <mergeCell ref="Q144:AA144"/>
    <mergeCell ref="AB144:AE144"/>
    <mergeCell ref="AG144:AR144"/>
    <mergeCell ref="B132:E132"/>
    <mergeCell ref="AP135:AU135"/>
    <mergeCell ref="AV135:AW135"/>
    <mergeCell ref="O137:Y137"/>
    <mergeCell ref="AP137:AU137"/>
    <mergeCell ref="AV137:AW137"/>
    <mergeCell ref="A123:AW123"/>
    <mergeCell ref="B129:AD129"/>
    <mergeCell ref="AE129:AL129"/>
    <mergeCell ref="AO129:AV129"/>
    <mergeCell ref="A126:J126"/>
    <mergeCell ref="K126:S126"/>
    <mergeCell ref="Z126:AK127"/>
    <mergeCell ref="A127:F127"/>
    <mergeCell ref="Z128:AK128"/>
    <mergeCell ref="B118:AV118"/>
    <mergeCell ref="B119:AV119"/>
    <mergeCell ref="G120:T120"/>
    <mergeCell ref="AG120:AT120"/>
    <mergeCell ref="I121:R121"/>
    <mergeCell ref="AI121:AR121"/>
    <mergeCell ref="B116:J116"/>
    <mergeCell ref="L116:V116"/>
    <mergeCell ref="X116:AG116"/>
    <mergeCell ref="AI116:AK116"/>
    <mergeCell ref="AM116:AP116"/>
    <mergeCell ref="AR116:AV116"/>
    <mergeCell ref="B115:J115"/>
    <mergeCell ref="L115:V115"/>
    <mergeCell ref="X115:AG115"/>
    <mergeCell ref="AI115:AK115"/>
    <mergeCell ref="AM115:AP115"/>
    <mergeCell ref="AR115:AV115"/>
    <mergeCell ref="B114:J114"/>
    <mergeCell ref="L114:V114"/>
    <mergeCell ref="X114:AG114"/>
    <mergeCell ref="AI114:AK114"/>
    <mergeCell ref="AM114:AP114"/>
    <mergeCell ref="AR114:AV114"/>
    <mergeCell ref="B113:J113"/>
    <mergeCell ref="L113:V113"/>
    <mergeCell ref="X113:AG113"/>
    <mergeCell ref="AI113:AK113"/>
    <mergeCell ref="AM113:AP113"/>
    <mergeCell ref="AR113:AV113"/>
    <mergeCell ref="B112:J112"/>
    <mergeCell ref="L112:V112"/>
    <mergeCell ref="X112:AG112"/>
    <mergeCell ref="AI112:AK112"/>
    <mergeCell ref="AM112:AP112"/>
    <mergeCell ref="AR112:AV112"/>
    <mergeCell ref="B111:J111"/>
    <mergeCell ref="L111:V111"/>
    <mergeCell ref="X111:AG111"/>
    <mergeCell ref="AI111:AK111"/>
    <mergeCell ref="AM111:AP111"/>
    <mergeCell ref="AR111:AV111"/>
    <mergeCell ref="B110:J110"/>
    <mergeCell ref="L110:V110"/>
    <mergeCell ref="X110:AG110"/>
    <mergeCell ref="AI110:AK110"/>
    <mergeCell ref="AM110:AP110"/>
    <mergeCell ref="AR110:AV110"/>
    <mergeCell ref="B109:J109"/>
    <mergeCell ref="L109:V109"/>
    <mergeCell ref="X109:AG109"/>
    <mergeCell ref="AI109:AK109"/>
    <mergeCell ref="AM109:AP109"/>
    <mergeCell ref="AR109:AV109"/>
    <mergeCell ref="B108:J108"/>
    <mergeCell ref="L108:V108"/>
    <mergeCell ref="X108:AG108"/>
    <mergeCell ref="AI108:AK108"/>
    <mergeCell ref="AM108:AP108"/>
    <mergeCell ref="AR108:AV108"/>
    <mergeCell ref="AR105:AV105"/>
    <mergeCell ref="B106:J106"/>
    <mergeCell ref="L106:V106"/>
    <mergeCell ref="X106:AG106"/>
    <mergeCell ref="AR106:AS106"/>
    <mergeCell ref="AT106:AV106"/>
    <mergeCell ref="Q100:S100"/>
    <mergeCell ref="U100:AH100"/>
    <mergeCell ref="AJ100:AU100"/>
    <mergeCell ref="B101:AV101"/>
    <mergeCell ref="B103:AV103"/>
    <mergeCell ref="B105:J105"/>
    <mergeCell ref="L105:V105"/>
    <mergeCell ref="X105:AG105"/>
    <mergeCell ref="AI105:AK106"/>
    <mergeCell ref="AM105:AP106"/>
    <mergeCell ref="Q98:S98"/>
    <mergeCell ref="U98:AH98"/>
    <mergeCell ref="AJ98:AU98"/>
    <mergeCell ref="Q99:S99"/>
    <mergeCell ref="U99:AH99"/>
    <mergeCell ref="AJ99:AU99"/>
    <mergeCell ref="Q96:S96"/>
    <mergeCell ref="U96:AH96"/>
    <mergeCell ref="AJ96:AU96"/>
    <mergeCell ref="Q97:S97"/>
    <mergeCell ref="U97:AH97"/>
    <mergeCell ref="AJ97:AU97"/>
    <mergeCell ref="Q94:S94"/>
    <mergeCell ref="U94:AH94"/>
    <mergeCell ref="AJ94:AU94"/>
    <mergeCell ref="Q95:S95"/>
    <mergeCell ref="U95:AH95"/>
    <mergeCell ref="AJ95:AU95"/>
    <mergeCell ref="Q92:S92"/>
    <mergeCell ref="U92:AH92"/>
    <mergeCell ref="AJ92:AU92"/>
    <mergeCell ref="Q93:S93"/>
    <mergeCell ref="U93:AH93"/>
    <mergeCell ref="AJ93:AU93"/>
    <mergeCell ref="Q90:S90"/>
    <mergeCell ref="U90:AH90"/>
    <mergeCell ref="AJ90:AU90"/>
    <mergeCell ref="Q91:S91"/>
    <mergeCell ref="U91:AH91"/>
    <mergeCell ref="AJ91:AU91"/>
    <mergeCell ref="B82:AV84"/>
    <mergeCell ref="B86:AV86"/>
    <mergeCell ref="B88:K88"/>
    <mergeCell ref="L88:O88"/>
    <mergeCell ref="Q88:S88"/>
    <mergeCell ref="U88:AE88"/>
    <mergeCell ref="AF88:AH88"/>
    <mergeCell ref="AJ88:AS88"/>
    <mergeCell ref="AT88:AV88"/>
    <mergeCell ref="F90:L90"/>
    <mergeCell ref="B79:O79"/>
    <mergeCell ref="Q79:AE79"/>
    <mergeCell ref="AG79:AV79"/>
    <mergeCell ref="B80:O80"/>
    <mergeCell ref="Q80:AE80"/>
    <mergeCell ref="AG80:AV80"/>
    <mergeCell ref="B76:AV76"/>
    <mergeCell ref="B78:K78"/>
    <mergeCell ref="L78:O78"/>
    <mergeCell ref="Q78:AA78"/>
    <mergeCell ref="AB78:AE78"/>
    <mergeCell ref="AG78:AR78"/>
    <mergeCell ref="AS78:AV78"/>
    <mergeCell ref="Z62:AK62"/>
    <mergeCell ref="O71:Y71"/>
    <mergeCell ref="AP71:AU71"/>
    <mergeCell ref="AV71:AW71"/>
    <mergeCell ref="AO72:AT72"/>
    <mergeCell ref="AP73:AU73"/>
    <mergeCell ref="AV73:AW73"/>
    <mergeCell ref="B63:AD63"/>
    <mergeCell ref="AE63:AL63"/>
    <mergeCell ref="AO63:AV63"/>
    <mergeCell ref="B66:E66"/>
    <mergeCell ref="AP69:AU69"/>
    <mergeCell ref="AV69:AW69"/>
    <mergeCell ref="G55:T55"/>
    <mergeCell ref="AG55:AT55"/>
    <mergeCell ref="I56:R56"/>
    <mergeCell ref="AI56:AR56"/>
    <mergeCell ref="A57:AW57"/>
    <mergeCell ref="A60:J60"/>
    <mergeCell ref="K60:S60"/>
    <mergeCell ref="Z60:AK61"/>
    <mergeCell ref="A61:F61"/>
    <mergeCell ref="O47:V47"/>
    <mergeCell ref="X47:AV47"/>
    <mergeCell ref="B51:AV51"/>
    <mergeCell ref="BA51:CS54"/>
    <mergeCell ref="B52:AV53"/>
    <mergeCell ref="B54:AV54"/>
    <mergeCell ref="O45:V45"/>
    <mergeCell ref="X45:AV45"/>
    <mergeCell ref="BA45:BJ45"/>
    <mergeCell ref="O46:V46"/>
    <mergeCell ref="X46:AV46"/>
    <mergeCell ref="BA46:BJ46"/>
    <mergeCell ref="N49:AV50"/>
    <mergeCell ref="O43:V43"/>
    <mergeCell ref="X43:AV43"/>
    <mergeCell ref="BA43:BJ43"/>
    <mergeCell ref="O44:V44"/>
    <mergeCell ref="X44:AV44"/>
    <mergeCell ref="BA44:BJ44"/>
    <mergeCell ref="O41:V41"/>
    <mergeCell ref="X41:AV41"/>
    <mergeCell ref="BA41:BJ41"/>
    <mergeCell ref="O42:V42"/>
    <mergeCell ref="X42:AV42"/>
    <mergeCell ref="BA42:BJ42"/>
    <mergeCell ref="O39:V39"/>
    <mergeCell ref="X39:AV39"/>
    <mergeCell ref="BA39:BJ39"/>
    <mergeCell ref="O40:V40"/>
    <mergeCell ref="X40:AV40"/>
    <mergeCell ref="BA40:BJ40"/>
    <mergeCell ref="O37:V37"/>
    <mergeCell ref="X37:AV37"/>
    <mergeCell ref="BA37:BJ37"/>
    <mergeCell ref="O38:V38"/>
    <mergeCell ref="X38:AV38"/>
    <mergeCell ref="BA38:BJ38"/>
    <mergeCell ref="BA34:BJ34"/>
    <mergeCell ref="O35:V35"/>
    <mergeCell ref="X35:AV35"/>
    <mergeCell ref="BA35:BJ35"/>
    <mergeCell ref="O36:V36"/>
    <mergeCell ref="X36:AV36"/>
    <mergeCell ref="BA36:BJ36"/>
    <mergeCell ref="O29:U29"/>
    <mergeCell ref="Y29:AJ29"/>
    <mergeCell ref="AK29:AP29"/>
    <mergeCell ref="AR29:AV29"/>
    <mergeCell ref="O31:AV32"/>
    <mergeCell ref="O34:V34"/>
    <mergeCell ref="X34:AV34"/>
    <mergeCell ref="O23:AV23"/>
    <mergeCell ref="B24:Q24"/>
    <mergeCell ref="AK25:AP25"/>
    <mergeCell ref="AR25:AV25"/>
    <mergeCell ref="Y27:AJ27"/>
    <mergeCell ref="AK27:AP27"/>
    <mergeCell ref="AR27:AV27"/>
    <mergeCell ref="B11:E11"/>
    <mergeCell ref="AY14:BF14"/>
    <mergeCell ref="AY15:BC15"/>
    <mergeCell ref="O16:Y16"/>
    <mergeCell ref="O21:AV21"/>
    <mergeCell ref="O22:AV22"/>
    <mergeCell ref="B8:AD8"/>
    <mergeCell ref="AE8:AL8"/>
    <mergeCell ref="AO8:AV8"/>
    <mergeCell ref="A2:V2"/>
    <mergeCell ref="Z2:AK3"/>
    <mergeCell ref="A3:O3"/>
    <mergeCell ref="A4:E4"/>
    <mergeCell ref="F4:N4"/>
    <mergeCell ref="Z4:AK4"/>
    <mergeCell ref="A5:D5"/>
    <mergeCell ref="A6:E6"/>
    <mergeCell ref="F6:N6"/>
    <mergeCell ref="A7:J7"/>
  </mergeCells>
  <printOptions horizontalCentered="1"/>
  <pageMargins left="0.47244094488188981" right="0.35433070866141736" top="0.19685039370078741" bottom="0.35433070866141736" header="0" footer="0.23622047244094491"/>
  <pageSetup paperSize="9" scale="87" orientation="portrait" r:id="rId1"/>
  <headerFooter alignWithMargins="0">
    <oddFooter>&amp;L&amp;8ILAB 002.00</oddFooter>
  </headerFooter>
  <rowBreaks count="3" manualBreakCount="3">
    <brk id="58" max="48" man="1"/>
    <brk id="124" max="48" man="1"/>
    <brk id="190" max="48" man="1"/>
  </row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14817-96A7-47FF-B856-F32CB8D2F579}">
  <sheetPr codeName="Sheet7">
    <tabColor theme="9" tint="-0.249977111117893"/>
  </sheetPr>
  <dimension ref="A1:GH58"/>
  <sheetViews>
    <sheetView showGridLines="0" topLeftCell="A25" zoomScaleNormal="100" zoomScaleSheetLayoutView="100" workbookViewId="0">
      <selection activeCell="B8" sqref="B8:AF8"/>
    </sheetView>
  </sheetViews>
  <sheetFormatPr defaultRowHeight="12.75"/>
  <cols>
    <col min="1" max="1" width="2.28515625" customWidth="1"/>
    <col min="2" max="2" width="2.140625" customWidth="1"/>
    <col min="3" max="5" width="2" customWidth="1"/>
    <col min="6" max="6" width="1.85546875" customWidth="1"/>
    <col min="7" max="7" width="2.42578125" customWidth="1"/>
    <col min="8" max="8" width="2" customWidth="1"/>
    <col min="9" max="9" width="2.7109375" customWidth="1"/>
    <col min="10" max="10" width="2.42578125" customWidth="1"/>
    <col min="11" max="13" width="2" customWidth="1"/>
    <col min="14" max="14" width="2.140625" customWidth="1"/>
    <col min="15" max="16" width="2" customWidth="1"/>
    <col min="17" max="17" width="3" customWidth="1"/>
    <col min="18" max="18" width="2" customWidth="1"/>
    <col min="19" max="19" width="3.5703125" customWidth="1"/>
    <col min="20" max="26" width="2" customWidth="1"/>
    <col min="27" max="27" width="2.5703125" customWidth="1"/>
    <col min="28" max="33" width="2" customWidth="1"/>
    <col min="34" max="34" width="1.28515625" customWidth="1"/>
    <col min="35" max="35" width="1.85546875" customWidth="1"/>
    <col min="36" max="36" width="2" customWidth="1"/>
    <col min="37" max="37" width="3.140625" customWidth="1"/>
    <col min="38" max="38" width="1.140625" customWidth="1"/>
    <col min="39" max="39" width="1.5703125" customWidth="1"/>
    <col min="40" max="40" width="2" customWidth="1"/>
    <col min="41" max="41" width="1.28515625" customWidth="1"/>
    <col min="42" max="42" width="2.28515625" customWidth="1"/>
    <col min="43" max="43" width="1.42578125" customWidth="1"/>
    <col min="44" max="45" width="2" customWidth="1"/>
    <col min="46" max="46" width="3" customWidth="1"/>
    <col min="47" max="47" width="2.5703125" customWidth="1"/>
    <col min="48" max="48" width="1.42578125" customWidth="1"/>
    <col min="49" max="49" width="3.5703125" style="35" customWidth="1"/>
    <col min="50" max="95" width="2" style="37" customWidth="1"/>
    <col min="96" max="96" width="2.85546875" style="37" customWidth="1"/>
    <col min="97" max="166" width="2" style="37" customWidth="1"/>
    <col min="167" max="190" width="2" style="35" customWidth="1"/>
    <col min="191" max="210" width="2" customWidth="1"/>
  </cols>
  <sheetData>
    <row r="1" spans="2:190" ht="16.5" customHeight="1">
      <c r="AW1" s="412"/>
    </row>
    <row r="2" spans="2:190" ht="21.75" customHeight="1">
      <c r="B2" s="1235" t="s">
        <v>351</v>
      </c>
      <c r="C2" s="1235"/>
      <c r="D2" s="1235"/>
      <c r="E2" s="1235"/>
      <c r="F2" s="1235"/>
      <c r="G2" s="1235"/>
      <c r="H2" s="1235"/>
      <c r="I2" s="1235"/>
      <c r="J2" s="1235"/>
      <c r="K2" s="1235"/>
      <c r="L2" s="1235"/>
      <c r="M2" s="1235"/>
      <c r="N2" s="1235"/>
      <c r="O2" s="1235"/>
      <c r="P2" s="1235"/>
      <c r="Q2" s="1235"/>
      <c r="R2" s="1235"/>
      <c r="S2" s="1235"/>
      <c r="T2" s="759"/>
      <c r="U2" s="759"/>
      <c r="W2" s="1234" t="s">
        <v>518</v>
      </c>
      <c r="X2" s="1234"/>
      <c r="Y2" s="1234"/>
      <c r="Z2" s="1234"/>
      <c r="AA2" s="1234"/>
      <c r="AB2" s="1234"/>
      <c r="AC2" s="1234"/>
      <c r="AD2" s="1234"/>
      <c r="AE2" s="1234"/>
      <c r="AF2" s="1234"/>
      <c r="AG2" s="1234"/>
      <c r="AH2" s="1234"/>
      <c r="AI2" s="1234"/>
      <c r="AU2" s="407"/>
      <c r="AV2" s="407"/>
      <c r="AW2" s="413"/>
      <c r="BR2" s="460"/>
      <c r="BS2" s="460"/>
      <c r="BT2" s="460"/>
      <c r="BU2" s="460"/>
      <c r="BV2" s="460"/>
      <c r="BW2" s="460"/>
      <c r="BX2" s="460"/>
      <c r="BY2" s="460"/>
      <c r="BZ2" s="460"/>
      <c r="CA2" s="460"/>
      <c r="CB2" s="460"/>
      <c r="CC2" s="460"/>
    </row>
    <row r="3" spans="2:190" ht="14.25" customHeight="1">
      <c r="B3" s="1210" t="s">
        <v>352</v>
      </c>
      <c r="C3" s="1210"/>
      <c r="D3" s="1210"/>
      <c r="E3" s="1210"/>
      <c r="F3" s="1210"/>
      <c r="G3" s="1210"/>
      <c r="H3" s="1210"/>
      <c r="I3" s="1210"/>
      <c r="J3" s="1210"/>
      <c r="K3" s="1210"/>
      <c r="L3" s="1210"/>
      <c r="M3" s="1210"/>
      <c r="N3" s="1210"/>
      <c r="O3" s="1210"/>
      <c r="P3" s="1210"/>
      <c r="W3" s="1234"/>
      <c r="X3" s="1234"/>
      <c r="Y3" s="1234"/>
      <c r="Z3" s="1234"/>
      <c r="AA3" s="1234"/>
      <c r="AB3" s="1234"/>
      <c r="AC3" s="1234"/>
      <c r="AD3" s="1234"/>
      <c r="AE3" s="1234"/>
      <c r="AF3" s="1234"/>
      <c r="AG3" s="1234"/>
      <c r="AH3" s="1234"/>
      <c r="AI3" s="1234"/>
      <c r="AU3" s="407"/>
      <c r="AV3" s="407"/>
      <c r="AW3" s="413"/>
      <c r="AX3"/>
      <c r="AY3"/>
      <c r="AZ3"/>
      <c r="BR3" s="410"/>
      <c r="BS3" s="410"/>
      <c r="BT3" s="410"/>
      <c r="BU3" s="410"/>
      <c r="BV3" s="410"/>
      <c r="BW3" s="410"/>
      <c r="BX3" s="410"/>
      <c r="BY3" s="410"/>
      <c r="BZ3" s="410"/>
      <c r="CA3" s="410"/>
      <c r="CB3" s="410"/>
      <c r="CC3" s="410"/>
      <c r="CD3"/>
      <c r="CE3"/>
      <c r="CF3"/>
      <c r="CG3"/>
      <c r="CH3"/>
      <c r="CI3"/>
      <c r="CJ3"/>
      <c r="CK3"/>
      <c r="CL3"/>
      <c r="CM3"/>
      <c r="CN3"/>
      <c r="CO3"/>
      <c r="CP3"/>
      <c r="CQ3"/>
    </row>
    <row r="4" spans="2:190" ht="15.75" customHeight="1">
      <c r="B4" s="1225" t="s">
        <v>354</v>
      </c>
      <c r="C4" s="1225"/>
      <c r="D4" s="1225"/>
      <c r="E4" s="1225"/>
      <c r="F4" s="1225"/>
      <c r="G4" s="1236" t="str">
        <f>'Registo Calibração'!$G$2</f>
        <v/>
      </c>
      <c r="H4" s="1236"/>
      <c r="I4" s="1236"/>
      <c r="J4" s="1236"/>
      <c r="K4" s="1236"/>
      <c r="L4" s="1236"/>
      <c r="M4" s="1236"/>
      <c r="N4" s="1236"/>
      <c r="O4" s="1236"/>
      <c r="W4" s="1238" t="s">
        <v>519</v>
      </c>
      <c r="X4" s="1238"/>
      <c r="Y4" s="1238"/>
      <c r="Z4" s="1238"/>
      <c r="AA4" s="1238"/>
      <c r="AB4" s="1238"/>
      <c r="AC4" s="1238"/>
      <c r="AD4" s="1238"/>
      <c r="AE4" s="1238"/>
      <c r="AF4" s="1238"/>
      <c r="AG4" s="1238"/>
      <c r="AH4" s="1238"/>
      <c r="AI4" s="1238"/>
      <c r="AW4" s="406"/>
      <c r="AX4"/>
      <c r="AY4"/>
      <c r="AZ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</row>
    <row r="5" spans="2:190" ht="14.25" customHeight="1">
      <c r="B5" s="1226" t="s">
        <v>353</v>
      </c>
      <c r="C5" s="1226"/>
      <c r="D5" s="1226"/>
      <c r="E5" s="1226"/>
      <c r="F5" s="408"/>
      <c r="G5" s="409"/>
      <c r="H5" s="409"/>
      <c r="I5" s="409"/>
      <c r="J5" s="409"/>
      <c r="K5" s="409"/>
      <c r="L5" s="409"/>
      <c r="M5" s="409"/>
      <c r="N5" s="409"/>
      <c r="O5" s="409"/>
      <c r="AW5" s="406"/>
      <c r="AX5"/>
      <c r="AY5"/>
      <c r="AZ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</row>
    <row r="6" spans="2:190" ht="16.5" customHeight="1">
      <c r="B6" s="1225" t="s">
        <v>402</v>
      </c>
      <c r="C6" s="1225"/>
      <c r="D6" s="1225"/>
      <c r="E6" s="1225"/>
      <c r="F6" s="1225"/>
      <c r="G6" s="1229">
        <f ca="1">TODAY()</f>
        <v>44811</v>
      </c>
      <c r="H6" s="1225"/>
      <c r="I6" s="1225"/>
      <c r="J6" s="1225"/>
      <c r="K6" s="1225"/>
      <c r="L6" s="1225"/>
      <c r="M6" s="1225"/>
      <c r="N6" s="1225"/>
      <c r="O6" s="1225"/>
      <c r="AW6" s="406"/>
      <c r="AX6"/>
      <c r="AY6"/>
      <c r="AZ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</row>
    <row r="7" spans="2:190" ht="14.25" customHeight="1">
      <c r="B7" s="1227" t="s">
        <v>401</v>
      </c>
      <c r="C7" s="1227"/>
      <c r="D7" s="1227"/>
      <c r="E7" s="1227"/>
      <c r="F7" s="1227"/>
      <c r="G7" s="1227"/>
      <c r="H7" s="1227"/>
      <c r="I7" s="1227"/>
      <c r="J7" s="1227"/>
      <c r="K7" s="1227"/>
      <c r="L7" s="409"/>
      <c r="M7" s="409"/>
      <c r="N7" s="409"/>
      <c r="O7" s="409"/>
      <c r="AW7" s="406"/>
      <c r="AX7"/>
      <c r="AY7"/>
      <c r="AZ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</row>
    <row r="8" spans="2:190" ht="20.25" customHeight="1">
      <c r="B8" s="1252" t="str">
        <f>'Registo Calibração'!$N$10</f>
        <v/>
      </c>
      <c r="C8" s="1252"/>
      <c r="D8" s="1252"/>
      <c r="E8" s="1252"/>
      <c r="F8" s="1252"/>
      <c r="G8" s="1252"/>
      <c r="H8" s="1252"/>
      <c r="I8" s="1252"/>
      <c r="J8" s="1252"/>
      <c r="K8" s="1252"/>
      <c r="L8" s="1252"/>
      <c r="M8" s="1252"/>
      <c r="N8" s="1252"/>
      <c r="O8" s="1252"/>
      <c r="P8" s="1252"/>
      <c r="Q8" s="1252"/>
      <c r="R8" s="1252"/>
      <c r="S8" s="1252"/>
      <c r="T8" s="1252"/>
      <c r="U8" s="1252"/>
      <c r="V8" s="1252"/>
      <c r="W8" s="1252"/>
      <c r="X8" s="1252"/>
      <c r="Y8" s="1252"/>
      <c r="Z8" s="1252"/>
      <c r="AA8" s="1252"/>
      <c r="AB8" s="1252"/>
      <c r="AC8" s="1252"/>
      <c r="AD8" s="1252"/>
      <c r="AE8" s="1252"/>
      <c r="AF8" s="1252"/>
      <c r="AG8" s="1251" t="str">
        <f>'Registo Calibração'!$Q$10</f>
        <v/>
      </c>
      <c r="AH8" s="1251"/>
      <c r="AI8" s="1251"/>
      <c r="AJ8" s="1251"/>
      <c r="AK8" s="1251"/>
      <c r="AL8" s="1251"/>
      <c r="AM8" s="1251"/>
      <c r="AN8" s="1251"/>
      <c r="AO8" s="1228" t="s">
        <v>355</v>
      </c>
      <c r="AP8" s="1228"/>
      <c r="AQ8" s="1228"/>
      <c r="AR8" s="1228"/>
      <c r="AS8" s="1228"/>
      <c r="AT8" s="1228"/>
      <c r="AU8" s="1228"/>
      <c r="AV8" s="1228"/>
      <c r="AW8" s="406"/>
      <c r="AX8"/>
      <c r="AY8"/>
      <c r="AZ8"/>
      <c r="CJ8"/>
      <c r="CK8"/>
      <c r="CL8"/>
      <c r="CM8"/>
      <c r="CN8"/>
      <c r="CO8"/>
      <c r="CP8"/>
      <c r="CQ8"/>
    </row>
    <row r="9" spans="2:190" ht="5.25" customHeight="1">
      <c r="O9" s="411"/>
      <c r="P9" s="411"/>
      <c r="Q9" s="411"/>
      <c r="R9" s="411"/>
      <c r="S9" s="411"/>
      <c r="T9" s="411"/>
      <c r="U9" s="411"/>
      <c r="V9" s="411"/>
      <c r="W9" s="411"/>
      <c r="X9" s="411"/>
      <c r="Y9" s="409"/>
      <c r="Z9" s="409"/>
      <c r="AA9" s="409"/>
      <c r="AB9" s="409"/>
      <c r="AW9" s="406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</row>
    <row r="10" spans="2:190" s="418" customFormat="1" ht="18" customHeight="1">
      <c r="B10" s="417" t="s">
        <v>357</v>
      </c>
      <c r="F10" s="433"/>
      <c r="G10" s="433" t="s">
        <v>394</v>
      </c>
      <c r="O10" s="423" t="str">
        <f>IF('Registo Calibração'!$C$7="","",'Registo Calibração'!$C$7)</f>
        <v/>
      </c>
      <c r="P10" s="424"/>
      <c r="Q10" s="424"/>
      <c r="R10" s="424"/>
      <c r="S10" s="424"/>
      <c r="T10" s="424"/>
      <c r="U10" s="424"/>
      <c r="V10" s="424"/>
      <c r="W10" s="424"/>
      <c r="X10" s="424"/>
      <c r="Y10" s="424"/>
      <c r="AT10" s="405"/>
      <c r="AU10" s="405"/>
      <c r="AV10" s="419"/>
      <c r="AW10" s="406"/>
      <c r="CR10" s="415"/>
      <c r="CS10" s="415"/>
      <c r="CT10" s="415"/>
      <c r="CU10" s="415"/>
      <c r="CV10" s="415"/>
      <c r="CW10" s="415"/>
      <c r="CX10" s="415"/>
      <c r="CY10" s="415"/>
      <c r="CZ10" s="415"/>
      <c r="DA10" s="415"/>
      <c r="DB10" s="415"/>
      <c r="DC10" s="415"/>
      <c r="DD10" s="415"/>
      <c r="DE10" s="415"/>
      <c r="DF10" s="415"/>
      <c r="DG10" s="415"/>
      <c r="DH10" s="415"/>
      <c r="DI10" s="415"/>
      <c r="DJ10" s="415"/>
      <c r="DK10" s="415"/>
      <c r="DL10" s="415"/>
      <c r="DM10" s="415"/>
      <c r="DN10" s="415"/>
      <c r="DO10" s="415"/>
      <c r="DP10" s="415"/>
      <c r="DQ10" s="415"/>
      <c r="DR10" s="415"/>
      <c r="DS10" s="415"/>
      <c r="DT10" s="415"/>
      <c r="DU10" s="415"/>
      <c r="DV10" s="415"/>
      <c r="DW10" s="415"/>
      <c r="DX10" s="415"/>
      <c r="DY10" s="415"/>
      <c r="DZ10" s="415"/>
      <c r="EA10" s="415"/>
      <c r="EB10" s="415"/>
      <c r="EC10" s="415"/>
      <c r="ED10" s="415"/>
      <c r="EE10" s="415"/>
      <c r="EF10" s="415"/>
      <c r="EG10" s="415"/>
      <c r="EH10" s="415"/>
      <c r="EI10" s="415"/>
      <c r="EJ10" s="415"/>
      <c r="EK10" s="415"/>
      <c r="EL10" s="415"/>
      <c r="EM10" s="415"/>
      <c r="EN10" s="415"/>
      <c r="EO10" s="415"/>
      <c r="EP10" s="415"/>
      <c r="EQ10" s="415"/>
      <c r="ER10" s="415"/>
      <c r="ES10" s="415"/>
      <c r="ET10" s="415"/>
      <c r="EU10" s="415"/>
      <c r="EV10" s="415"/>
      <c r="EW10" s="415"/>
      <c r="EX10" s="415"/>
      <c r="EY10" s="415"/>
      <c r="EZ10" s="415"/>
      <c r="FA10" s="415"/>
      <c r="FB10" s="415"/>
      <c r="FC10" s="415"/>
      <c r="FD10" s="415"/>
      <c r="FE10" s="415"/>
      <c r="FF10" s="415"/>
      <c r="FG10" s="415"/>
      <c r="FH10" s="415"/>
      <c r="FI10" s="415"/>
      <c r="FJ10" s="415"/>
      <c r="FK10" s="420"/>
      <c r="FL10" s="420"/>
      <c r="FM10" s="420"/>
      <c r="FN10" s="420"/>
      <c r="FO10" s="420"/>
      <c r="FP10" s="420"/>
      <c r="FQ10" s="420"/>
      <c r="FR10" s="420"/>
      <c r="FS10" s="420"/>
      <c r="FT10" s="420"/>
      <c r="FU10" s="420"/>
      <c r="FV10" s="420"/>
      <c r="FW10" s="420"/>
      <c r="FX10" s="420"/>
      <c r="FY10" s="420"/>
      <c r="FZ10" s="420"/>
      <c r="GA10" s="420"/>
      <c r="GB10" s="420"/>
      <c r="GC10" s="420"/>
      <c r="GD10" s="420"/>
      <c r="GE10" s="420"/>
      <c r="GF10" s="420"/>
      <c r="GG10" s="420"/>
      <c r="GH10" s="420"/>
    </row>
    <row r="11" spans="2:190" ht="3" customHeight="1">
      <c r="B11" s="1217"/>
      <c r="C11" s="1217"/>
      <c r="D11" s="1217"/>
      <c r="E11" s="1217"/>
      <c r="F11" s="421"/>
      <c r="G11" s="421"/>
      <c r="H11" s="421"/>
      <c r="O11" s="421"/>
      <c r="P11" s="414"/>
      <c r="W11" s="449"/>
      <c r="X11" s="449"/>
      <c r="Y11" s="449"/>
      <c r="Z11" s="449"/>
      <c r="AW11" s="406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</row>
    <row r="12" spans="2:190" ht="15.75" customHeight="1">
      <c r="B12" s="417" t="s">
        <v>360</v>
      </c>
      <c r="F12" s="37" t="s">
        <v>393</v>
      </c>
      <c r="O12" s="423" t="str">
        <f>IF('Registo Calibração'!$C$8="","N/C",'Registo Calibração'!$C$8)</f>
        <v>N/C</v>
      </c>
      <c r="P12" s="87"/>
      <c r="Q12" s="425"/>
      <c r="R12" s="425"/>
      <c r="S12" s="425"/>
      <c r="T12" s="425"/>
      <c r="U12" s="425"/>
      <c r="V12" s="425"/>
      <c r="W12" s="425"/>
      <c r="X12" s="425"/>
      <c r="Y12" s="425"/>
      <c r="Z12" s="425"/>
      <c r="AA12" s="425"/>
      <c r="AB12" s="425"/>
      <c r="AC12" s="425"/>
      <c r="AD12" s="425"/>
      <c r="AE12" s="425"/>
      <c r="AF12" s="425"/>
      <c r="AW12" s="406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</row>
    <row r="13" spans="2:190" ht="3.75" customHeight="1">
      <c r="B13" s="421"/>
      <c r="Z13" s="282"/>
      <c r="AA13" s="282"/>
      <c r="AW13" s="406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</row>
    <row r="14" spans="2:190" ht="13.5" customHeight="1">
      <c r="B14" s="417" t="s">
        <v>361</v>
      </c>
      <c r="G14" s="415" t="s">
        <v>395</v>
      </c>
      <c r="O14" s="423" t="str">
        <f>IF('Registo Calibração'!$C$9="","N/C",'Registo Calibração'!$C$9)</f>
        <v>N/C</v>
      </c>
      <c r="P14" s="423"/>
      <c r="Q14" s="423"/>
      <c r="R14" s="423"/>
      <c r="S14" s="423"/>
      <c r="T14" s="423"/>
      <c r="U14" s="423"/>
      <c r="V14" s="423"/>
      <c r="W14" s="423"/>
      <c r="X14" s="423"/>
      <c r="Y14" s="423"/>
      <c r="Z14" s="423"/>
      <c r="AA14" s="423"/>
      <c r="AB14" s="423"/>
      <c r="AW14" s="406"/>
      <c r="AX14"/>
      <c r="AY14" s="1195"/>
      <c r="AZ14" s="1196"/>
      <c r="BA14" s="1196"/>
      <c r="BB14" s="1196"/>
      <c r="BC14" s="1196"/>
      <c r="BD14" s="1196"/>
      <c r="BE14" s="1196"/>
      <c r="BF14" s="1196"/>
    </row>
    <row r="15" spans="2:190" ht="3" customHeight="1">
      <c r="B15" s="421"/>
      <c r="AW15" s="406"/>
      <c r="AX15" s="2"/>
      <c r="AY15" s="1197"/>
      <c r="AZ15" s="1197"/>
      <c r="BA15" s="1197"/>
      <c r="BB15" s="1197"/>
      <c r="BC15" s="1197"/>
    </row>
    <row r="16" spans="2:190" ht="15.75" customHeight="1">
      <c r="B16" s="417" t="s">
        <v>362</v>
      </c>
      <c r="C16" s="417"/>
      <c r="D16" s="417"/>
      <c r="E16" s="417"/>
      <c r="F16" s="417"/>
      <c r="G16" s="416" t="s">
        <v>396</v>
      </c>
      <c r="H16" s="417"/>
      <c r="O16" s="1198" t="str">
        <f>IF('Registo Calibração'!$C$10="","N/C",'Registo Calibração'!$C$10)</f>
        <v>N/C</v>
      </c>
      <c r="P16" s="1198"/>
      <c r="Q16" s="1198"/>
      <c r="R16" s="1198"/>
      <c r="S16" s="1198"/>
      <c r="T16" s="1198"/>
      <c r="U16" s="1198"/>
      <c r="V16" s="1198"/>
      <c r="W16" s="1198"/>
      <c r="X16" s="1198"/>
      <c r="Y16" s="1198"/>
      <c r="AW16" s="406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/>
    </row>
    <row r="17" spans="1:190" ht="3" customHeight="1">
      <c r="B17" s="421"/>
      <c r="AW17" s="406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</row>
    <row r="18" spans="1:190" ht="15.75" customHeight="1">
      <c r="B18" s="417" t="s">
        <v>363</v>
      </c>
      <c r="C18" s="417"/>
      <c r="D18" s="417"/>
      <c r="E18" s="417"/>
      <c r="F18" s="417"/>
      <c r="H18" s="422"/>
      <c r="I18" s="37" t="s">
        <v>397</v>
      </c>
      <c r="J18" s="422"/>
      <c r="K18" s="422"/>
      <c r="L18" s="422"/>
      <c r="M18" s="422"/>
      <c r="N18" s="422"/>
      <c r="O18" s="425" t="str">
        <f>IF('Registo Calibração'!$C$11="","------",'Registo Calibração'!$C$11)</f>
        <v>------</v>
      </c>
      <c r="AW18" s="406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</row>
    <row r="19" spans="1:190" ht="3" customHeight="1">
      <c r="A19" s="1"/>
      <c r="B19" s="426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427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</row>
    <row r="20" spans="1:190" ht="3" customHeight="1">
      <c r="AW20" s="406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</row>
    <row r="21" spans="1:190" ht="15.75" customHeight="1">
      <c r="B21" s="417" t="s">
        <v>365</v>
      </c>
      <c r="J21" s="47"/>
      <c r="K21" s="47"/>
      <c r="L21" s="47"/>
      <c r="M21" s="47"/>
      <c r="N21" s="47"/>
      <c r="O21" s="1191">
        <f>'Registo Calibração'!C4</f>
        <v>0</v>
      </c>
      <c r="P21" s="1191"/>
      <c r="Q21" s="1191"/>
      <c r="R21" s="1191"/>
      <c r="S21" s="1191"/>
      <c r="T21" s="1191"/>
      <c r="U21" s="1191"/>
      <c r="V21" s="1191"/>
      <c r="W21" s="1191"/>
      <c r="X21" s="1191"/>
      <c r="Y21" s="1191"/>
      <c r="Z21" s="1191"/>
      <c r="AA21" s="1191"/>
      <c r="AB21" s="1191"/>
      <c r="AC21" s="1191"/>
      <c r="AD21" s="1191"/>
      <c r="AE21" s="1191"/>
      <c r="AF21" s="1191"/>
      <c r="AG21" s="1191"/>
      <c r="AH21" s="1191"/>
      <c r="AI21" s="1191"/>
      <c r="AJ21" s="1191"/>
      <c r="AK21" s="1191"/>
      <c r="AL21" s="1191"/>
      <c r="AM21" s="1191"/>
      <c r="AN21" s="1191"/>
      <c r="AO21" s="1191"/>
      <c r="AP21" s="1191"/>
      <c r="AQ21" s="1191"/>
      <c r="AR21" s="1191"/>
      <c r="AS21" s="1191"/>
      <c r="AT21" s="1191"/>
      <c r="AU21" s="1191"/>
      <c r="AV21" s="1191"/>
      <c r="AW21" s="406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</row>
    <row r="22" spans="1:190" ht="18.75" customHeight="1">
      <c r="B22" s="421" t="s">
        <v>366</v>
      </c>
      <c r="J22" s="450"/>
      <c r="K22" s="450"/>
      <c r="L22" s="450"/>
      <c r="M22" s="450"/>
      <c r="N22" s="450"/>
      <c r="O22" s="1192" t="str">
        <f>IF('Registo Calibração'!C5="","------",'Registo Calibração'!C5)</f>
        <v>------</v>
      </c>
      <c r="P22" s="1192"/>
      <c r="Q22" s="1192"/>
      <c r="R22" s="1192"/>
      <c r="S22" s="1192"/>
      <c r="T22" s="1192"/>
      <c r="U22" s="1192"/>
      <c r="V22" s="1192"/>
      <c r="W22" s="1192"/>
      <c r="X22" s="1192"/>
      <c r="Y22" s="1192"/>
      <c r="Z22" s="1192"/>
      <c r="AA22" s="1192"/>
      <c r="AB22" s="1192"/>
      <c r="AC22" s="1192"/>
      <c r="AD22" s="1192"/>
      <c r="AE22" s="1192"/>
      <c r="AF22" s="1192"/>
      <c r="AG22" s="1192"/>
      <c r="AH22" s="1192"/>
      <c r="AI22" s="1192"/>
      <c r="AJ22" s="1192"/>
      <c r="AK22" s="1192"/>
      <c r="AL22" s="1192"/>
      <c r="AM22" s="1192"/>
      <c r="AN22" s="1192"/>
      <c r="AO22" s="1192"/>
      <c r="AP22" s="1192"/>
      <c r="AQ22" s="1192"/>
      <c r="AR22" s="1192"/>
      <c r="AS22" s="1192"/>
      <c r="AT22" s="1192"/>
      <c r="AU22" s="1192"/>
      <c r="AV22" s="1192"/>
      <c r="AW22" s="450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</row>
    <row r="23" spans="1:190" ht="14.25" customHeight="1">
      <c r="B23" s="1"/>
      <c r="C23" s="431"/>
      <c r="D23" s="431"/>
      <c r="E23" s="431"/>
      <c r="F23" s="431"/>
      <c r="G23" s="431"/>
      <c r="H23" s="431"/>
      <c r="I23" s="1"/>
      <c r="J23" s="451"/>
      <c r="K23" s="451"/>
      <c r="L23" s="451"/>
      <c r="M23" s="451"/>
      <c r="N23" s="451"/>
      <c r="O23" s="1194" t="str">
        <f>IF('Registo Calibração'!C6="","------",'Registo Calibração'!C6)</f>
        <v>------</v>
      </c>
      <c r="P23" s="1194"/>
      <c r="Q23" s="1194"/>
      <c r="R23" s="1194"/>
      <c r="S23" s="1194"/>
      <c r="T23" s="1194"/>
      <c r="U23" s="1194"/>
      <c r="V23" s="1194"/>
      <c r="W23" s="1194"/>
      <c r="X23" s="1194"/>
      <c r="Y23" s="1194"/>
      <c r="Z23" s="1194"/>
      <c r="AA23" s="1194"/>
      <c r="AB23" s="1194"/>
      <c r="AC23" s="1194"/>
      <c r="AD23" s="1194"/>
      <c r="AE23" s="1194"/>
      <c r="AF23" s="1194"/>
      <c r="AG23" s="1194"/>
      <c r="AH23" s="1194"/>
      <c r="AI23" s="1194"/>
      <c r="AJ23" s="1194"/>
      <c r="AK23" s="1194"/>
      <c r="AL23" s="1194"/>
      <c r="AM23" s="1194"/>
      <c r="AN23" s="1194"/>
      <c r="AO23" s="1194"/>
      <c r="AP23" s="1194"/>
      <c r="AQ23" s="1194"/>
      <c r="AR23" s="1194"/>
      <c r="AS23" s="1194"/>
      <c r="AT23" s="1194"/>
      <c r="AU23" s="1194"/>
      <c r="AV23" s="1194"/>
      <c r="AW23" s="451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</row>
    <row r="24" spans="1:190" ht="19.5" customHeight="1">
      <c r="A24" s="281"/>
      <c r="B24" s="1293" t="s">
        <v>474</v>
      </c>
      <c r="C24" s="1293"/>
      <c r="D24" s="1293"/>
      <c r="E24" s="1293"/>
      <c r="F24" s="1293"/>
      <c r="G24" s="1293"/>
      <c r="H24" s="1293"/>
      <c r="I24" s="1293"/>
      <c r="J24" s="1293"/>
      <c r="K24" s="1293"/>
      <c r="L24" s="1293"/>
      <c r="M24" s="1293"/>
      <c r="N24" s="1293"/>
      <c r="O24" s="1293"/>
      <c r="P24" s="1293"/>
      <c r="Q24" s="1293"/>
      <c r="R24" s="1293"/>
      <c r="S24" s="1293"/>
      <c r="T24" s="1293"/>
      <c r="U24" s="1293"/>
      <c r="V24" s="1293"/>
      <c r="W24" s="1293"/>
      <c r="X24" s="1293"/>
      <c r="Y24" s="1293"/>
      <c r="Z24" s="1293"/>
      <c r="AA24" s="1293"/>
      <c r="AB24" s="1293"/>
      <c r="AC24" s="1293"/>
      <c r="AD24" s="1293"/>
      <c r="AE24" s="1293"/>
      <c r="AF24" s="1293"/>
      <c r="AG24" s="1293"/>
      <c r="AH24" s="1293"/>
      <c r="AI24" s="1293"/>
      <c r="AJ24" s="1293"/>
      <c r="AK24" s="1293"/>
      <c r="AL24" s="1293"/>
      <c r="AM24" s="1293"/>
      <c r="AN24" s="1293"/>
      <c r="AO24" s="1293"/>
      <c r="AP24" s="1293"/>
      <c r="AQ24" s="1293"/>
      <c r="AR24" s="1293"/>
      <c r="AS24" s="1293"/>
      <c r="AT24" s="1293"/>
      <c r="AU24" s="1293"/>
      <c r="AV24" s="1293"/>
      <c r="AW24" s="406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</row>
    <row r="25" spans="1:190" s="4" customFormat="1" ht="12.75" customHeight="1">
      <c r="A25"/>
      <c r="B25" s="421" t="s">
        <v>475</v>
      </c>
      <c r="U25"/>
      <c r="AK25" s="1021"/>
      <c r="AL25" s="1021"/>
      <c r="AM25" s="1021"/>
      <c r="AN25" s="1021"/>
      <c r="AO25" s="1021"/>
      <c r="AP25" s="1021"/>
      <c r="AR25" s="1021"/>
      <c r="AS25" s="1021"/>
      <c r="AT25" s="1021"/>
      <c r="AU25" s="1021"/>
      <c r="AV25" s="1021"/>
      <c r="AW25" s="406"/>
      <c r="AX25"/>
      <c r="AY25"/>
      <c r="AZ25"/>
      <c r="BA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 s="44"/>
      <c r="CS25" s="44"/>
      <c r="CT25" s="44"/>
      <c r="CU25" s="44"/>
      <c r="CV25" s="44"/>
      <c r="CW25" s="44"/>
      <c r="CX25" s="44"/>
      <c r="CY25" s="44"/>
      <c r="CZ25" s="44"/>
      <c r="DA25" s="44"/>
      <c r="DB25" s="44"/>
      <c r="DC25" s="44"/>
      <c r="DD25" s="44"/>
      <c r="DE25" s="44"/>
      <c r="DF25" s="44"/>
      <c r="DG25" s="44"/>
      <c r="DH25" s="44"/>
      <c r="DI25" s="44"/>
      <c r="DJ25" s="44"/>
      <c r="DK25" s="44"/>
      <c r="DL25" s="44"/>
      <c r="DM25" s="44"/>
      <c r="DN25" s="44"/>
      <c r="DO25" s="44"/>
      <c r="DP25" s="44"/>
      <c r="DQ25" s="44"/>
      <c r="DR25" s="44"/>
      <c r="DS25" s="44"/>
      <c r="DT25" s="44"/>
      <c r="DU25" s="44"/>
      <c r="DV25" s="44"/>
      <c r="DW25" s="44"/>
      <c r="DX25" s="44"/>
      <c r="DY25" s="44"/>
      <c r="DZ25" s="44"/>
      <c r="EA25" s="44"/>
      <c r="EB25" s="44"/>
      <c r="EC25" s="44"/>
      <c r="ED25" s="44"/>
      <c r="EE25" s="44"/>
      <c r="EF25" s="44"/>
      <c r="EG25" s="44"/>
      <c r="EH25" s="44"/>
      <c r="EI25" s="44"/>
      <c r="EJ25" s="44"/>
      <c r="EK25" s="44"/>
      <c r="EL25" s="44"/>
      <c r="EM25" s="44"/>
      <c r="EN25" s="44"/>
      <c r="EO25" s="44"/>
      <c r="EP25" s="44"/>
      <c r="EQ25" s="44"/>
      <c r="ER25" s="44"/>
      <c r="ES25" s="44"/>
      <c r="ET25" s="44"/>
      <c r="EU25" s="44"/>
      <c r="EV25" s="44"/>
      <c r="EW25" s="44"/>
      <c r="EX25" s="44"/>
      <c r="EY25" s="44"/>
      <c r="EZ25" s="44"/>
      <c r="FA25" s="44"/>
      <c r="FB25" s="44"/>
      <c r="FC25" s="44"/>
      <c r="FD25" s="44"/>
      <c r="FE25" s="44"/>
      <c r="FF25" s="44"/>
      <c r="FG25" s="44"/>
      <c r="FH25" s="44"/>
      <c r="FI25" s="44"/>
      <c r="FJ25" s="44"/>
      <c r="FK25" s="36"/>
      <c r="FL25" s="36"/>
      <c r="FM25" s="36"/>
      <c r="FN25" s="36"/>
      <c r="FO25" s="36"/>
      <c r="FP25" s="36"/>
      <c r="FQ25" s="36"/>
      <c r="FR25" s="36"/>
      <c r="FS25" s="36"/>
      <c r="FT25" s="36"/>
      <c r="FU25" s="36"/>
      <c r="FV25" s="36"/>
      <c r="FW25" s="36"/>
      <c r="FX25" s="36"/>
      <c r="FY25" s="36"/>
      <c r="FZ25" s="36"/>
      <c r="GA25" s="36"/>
      <c r="GB25" s="36"/>
      <c r="GC25" s="36"/>
      <c r="GD25" s="36"/>
      <c r="GE25" s="36"/>
      <c r="GF25" s="36"/>
      <c r="GG25" s="36"/>
      <c r="GH25" s="36"/>
    </row>
    <row r="26" spans="1:190" ht="3.75" customHeight="1">
      <c r="V26" s="37"/>
      <c r="Y26" s="430"/>
      <c r="Z26" s="430"/>
      <c r="AA26" s="37"/>
      <c r="AB26" s="37"/>
      <c r="AC26" s="37"/>
      <c r="AD26" s="37"/>
      <c r="AE26" s="37"/>
      <c r="AF26" s="37"/>
      <c r="AG26" s="37"/>
      <c r="AH26" s="37"/>
      <c r="AI26" s="37"/>
      <c r="AQ26" s="432"/>
      <c r="AW26" s="406"/>
      <c r="AX26"/>
      <c r="AY26"/>
      <c r="AZ26"/>
      <c r="BA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</row>
    <row r="27" spans="1:190" ht="15.75" customHeight="1">
      <c r="B27" s="704"/>
      <c r="C27" s="448"/>
      <c r="D27" s="448"/>
      <c r="E27" s="448"/>
      <c r="F27" s="448"/>
      <c r="G27" s="448"/>
      <c r="H27" s="448"/>
      <c r="I27" s="87"/>
      <c r="J27" s="87"/>
      <c r="K27" s="87"/>
      <c r="L27" s="87"/>
      <c r="M27" s="87"/>
      <c r="N27" s="87"/>
      <c r="O27" s="705"/>
      <c r="P27" s="87"/>
      <c r="Q27" s="87"/>
      <c r="R27" s="87"/>
      <c r="S27" s="87"/>
      <c r="T27" s="87"/>
      <c r="U27" s="87"/>
      <c r="V27" s="87"/>
      <c r="W27" s="87"/>
      <c r="X27" s="87"/>
      <c r="Y27" s="706"/>
      <c r="Z27" s="706"/>
      <c r="AA27" s="706"/>
      <c r="AB27" s="706"/>
      <c r="AC27" s="706"/>
      <c r="AD27" s="706"/>
      <c r="AE27" s="706"/>
      <c r="AF27" s="706"/>
      <c r="AG27" s="706"/>
      <c r="AH27" s="706"/>
      <c r="AI27" s="706"/>
      <c r="AJ27" s="706"/>
      <c r="AK27" s="425"/>
      <c r="AL27" s="425"/>
      <c r="AM27" s="425"/>
      <c r="AN27" s="425"/>
      <c r="AO27" s="425"/>
      <c r="AP27" s="425"/>
      <c r="AQ27" s="707"/>
      <c r="AR27" s="705"/>
      <c r="AS27" s="705"/>
      <c r="AT27" s="705"/>
      <c r="AU27" s="705"/>
      <c r="AV27" s="705"/>
      <c r="AW27" s="406"/>
      <c r="AX27"/>
      <c r="AY27"/>
      <c r="AZ27"/>
      <c r="BA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</row>
    <row r="28" spans="1:190" ht="10.5" customHeight="1">
      <c r="B28" s="708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705"/>
      <c r="Z28" s="705"/>
      <c r="AA28" s="705"/>
      <c r="AB28" s="705"/>
      <c r="AC28" s="705"/>
      <c r="AD28" s="705"/>
      <c r="AE28" s="705"/>
      <c r="AF28" s="705"/>
      <c r="AG28" s="705"/>
      <c r="AH28" s="705"/>
      <c r="AI28" s="705"/>
      <c r="AJ28" s="87"/>
      <c r="AK28" s="87"/>
      <c r="AL28" s="87"/>
      <c r="AM28" s="87"/>
      <c r="AN28" s="87"/>
      <c r="AO28" s="87"/>
      <c r="AP28" s="87"/>
      <c r="AQ28" s="87"/>
      <c r="AR28" s="87"/>
      <c r="AS28" s="87"/>
      <c r="AT28" s="87"/>
      <c r="AU28" s="87"/>
      <c r="AV28" s="87"/>
      <c r="AW28" s="406"/>
      <c r="AX28"/>
      <c r="AY28"/>
      <c r="AZ28"/>
      <c r="BA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</row>
    <row r="29" spans="1:190" ht="15.75" customHeight="1">
      <c r="B29" s="709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710"/>
      <c r="N29" s="710"/>
      <c r="O29" s="710"/>
      <c r="P29" s="710"/>
      <c r="Q29" s="710"/>
      <c r="R29" s="710"/>
      <c r="S29" s="710"/>
      <c r="T29" s="710"/>
      <c r="U29" s="710"/>
      <c r="V29" s="87"/>
      <c r="W29" s="87"/>
      <c r="X29" s="87"/>
      <c r="Y29" s="706"/>
      <c r="Z29" s="706"/>
      <c r="AA29" s="706"/>
      <c r="AB29" s="706"/>
      <c r="AC29" s="706"/>
      <c r="AD29" s="706"/>
      <c r="AE29" s="706"/>
      <c r="AF29" s="706"/>
      <c r="AG29" s="706"/>
      <c r="AH29" s="706"/>
      <c r="AI29" s="706"/>
      <c r="AJ29" s="706"/>
      <c r="AK29" s="425"/>
      <c r="AL29" s="425"/>
      <c r="AM29" s="425"/>
      <c r="AN29" s="425"/>
      <c r="AO29" s="425"/>
      <c r="AP29" s="425"/>
      <c r="AQ29" s="87"/>
      <c r="AR29" s="425"/>
      <c r="AS29" s="425"/>
      <c r="AT29" s="425"/>
      <c r="AU29" s="425"/>
      <c r="AV29" s="425"/>
      <c r="AW29" s="406"/>
      <c r="AX29"/>
      <c r="AY29"/>
      <c r="AZ29"/>
      <c r="BA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</row>
    <row r="30" spans="1:190" ht="12.75" customHeight="1">
      <c r="B30" s="708"/>
      <c r="C30" s="448"/>
      <c r="D30" s="448"/>
      <c r="E30" s="448"/>
      <c r="F30" s="448"/>
      <c r="G30" s="448"/>
      <c r="H30" s="448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  <c r="AA30" s="87"/>
      <c r="AB30" s="87"/>
      <c r="AC30" s="87"/>
      <c r="AD30" s="87"/>
      <c r="AE30" s="87"/>
      <c r="AF30" s="87"/>
      <c r="AG30" s="87"/>
      <c r="AH30" s="87"/>
      <c r="AI30" s="87"/>
      <c r="AJ30" s="87"/>
      <c r="AK30" s="87"/>
      <c r="AL30" s="87"/>
      <c r="AM30" s="87"/>
      <c r="AN30" s="87"/>
      <c r="AO30" s="87"/>
      <c r="AP30" s="87"/>
      <c r="AQ30" s="87"/>
      <c r="AR30" s="87"/>
      <c r="AS30" s="87"/>
      <c r="AT30" s="87"/>
      <c r="AU30" s="87"/>
      <c r="AV30" s="87"/>
      <c r="AW30" s="406"/>
      <c r="AX30"/>
      <c r="AY30"/>
      <c r="AZ30"/>
      <c r="BA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</row>
    <row r="31" spans="1:190" ht="19.5" customHeight="1">
      <c r="B31" s="711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712"/>
      <c r="P31" s="712"/>
      <c r="Q31" s="712"/>
      <c r="R31" s="712"/>
      <c r="S31" s="712"/>
      <c r="T31" s="712"/>
      <c r="U31" s="712"/>
      <c r="V31" s="712"/>
      <c r="W31" s="712"/>
      <c r="X31" s="712"/>
      <c r="Y31" s="712"/>
      <c r="Z31" s="712"/>
      <c r="AA31" s="712"/>
      <c r="AB31" s="712"/>
      <c r="AC31" s="712"/>
      <c r="AD31" s="712"/>
      <c r="AE31" s="712"/>
      <c r="AF31" s="712"/>
      <c r="AG31" s="712"/>
      <c r="AH31" s="712"/>
      <c r="AI31" s="712"/>
      <c r="AJ31" s="712"/>
      <c r="AK31" s="712"/>
      <c r="AL31" s="712"/>
      <c r="AM31" s="712"/>
      <c r="AN31" s="712"/>
      <c r="AO31" s="712"/>
      <c r="AP31" s="712"/>
      <c r="AQ31" s="712"/>
      <c r="AR31" s="712"/>
      <c r="AS31" s="712"/>
      <c r="AT31" s="712"/>
      <c r="AU31" s="712"/>
      <c r="AV31" s="712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</row>
    <row r="32" spans="1:190" ht="12.75" customHeight="1">
      <c r="B32" s="708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712"/>
      <c r="P32" s="712"/>
      <c r="Q32" s="712"/>
      <c r="R32" s="712"/>
      <c r="S32" s="712"/>
      <c r="T32" s="712"/>
      <c r="U32" s="712"/>
      <c r="V32" s="712"/>
      <c r="W32" s="712"/>
      <c r="X32" s="712"/>
      <c r="Y32" s="712"/>
      <c r="Z32" s="712"/>
      <c r="AA32" s="712"/>
      <c r="AB32" s="712"/>
      <c r="AC32" s="712"/>
      <c r="AD32" s="712"/>
      <c r="AE32" s="712"/>
      <c r="AF32" s="712"/>
      <c r="AG32" s="712"/>
      <c r="AH32" s="712"/>
      <c r="AI32" s="712"/>
      <c r="AJ32" s="712"/>
      <c r="AK32" s="712"/>
      <c r="AL32" s="712"/>
      <c r="AM32" s="712"/>
      <c r="AN32" s="712"/>
      <c r="AO32" s="712"/>
      <c r="AP32" s="712"/>
      <c r="AQ32" s="712"/>
      <c r="AR32" s="712"/>
      <c r="AS32" s="712"/>
      <c r="AT32" s="712"/>
      <c r="AU32" s="712"/>
      <c r="AV32" s="712"/>
    </row>
    <row r="33" spans="1:99" ht="6.75" customHeight="1">
      <c r="B33" s="87"/>
      <c r="C33" s="712"/>
      <c r="D33" s="712"/>
      <c r="E33" s="712"/>
      <c r="F33" s="712"/>
      <c r="G33" s="712"/>
      <c r="H33" s="712"/>
      <c r="I33" s="712"/>
      <c r="J33" s="712"/>
      <c r="K33" s="712"/>
      <c r="L33" s="712"/>
      <c r="M33" s="712"/>
      <c r="N33" s="712"/>
      <c r="O33" s="712"/>
      <c r="P33" s="712"/>
      <c r="Q33" s="712"/>
      <c r="R33" s="712"/>
      <c r="S33" s="712"/>
      <c r="T33" s="712"/>
      <c r="U33" s="712"/>
      <c r="V33" s="712"/>
      <c r="W33" s="712"/>
      <c r="X33" s="712"/>
      <c r="Y33" s="712"/>
      <c r="Z33" s="712"/>
      <c r="AA33" s="712"/>
      <c r="AB33" s="712"/>
      <c r="AC33" s="712"/>
      <c r="AD33" s="712"/>
      <c r="AE33" s="712"/>
      <c r="AF33" s="712"/>
      <c r="AG33" s="712"/>
      <c r="AH33" s="712"/>
      <c r="AI33" s="712"/>
      <c r="AJ33" s="712"/>
      <c r="AK33" s="712"/>
      <c r="AL33" s="712"/>
      <c r="AM33" s="712"/>
      <c r="AN33" s="712"/>
      <c r="AO33" s="712"/>
      <c r="AP33" s="712"/>
      <c r="AQ33" s="712"/>
      <c r="AR33" s="712"/>
      <c r="AS33" s="712"/>
      <c r="AT33" s="712"/>
      <c r="AU33" s="712"/>
      <c r="AV33" s="712"/>
      <c r="AW33" s="453"/>
      <c r="AX33"/>
      <c r="AY33"/>
      <c r="AZ33"/>
      <c r="BA33"/>
      <c r="BB33" s="450"/>
      <c r="BC33" s="450"/>
      <c r="BD33" s="450"/>
      <c r="BE33" s="450"/>
      <c r="BF33" s="450"/>
      <c r="BG33" s="450"/>
      <c r="BH33" s="450"/>
      <c r="BI33" s="450"/>
      <c r="BJ33" s="450"/>
      <c r="BK33" s="450"/>
      <c r="BL33" s="450"/>
      <c r="BM33" s="450"/>
      <c r="BN33" s="450"/>
      <c r="BO33" s="450"/>
      <c r="BP33" s="450"/>
      <c r="BQ33" s="450"/>
      <c r="BR33" s="450"/>
      <c r="BS33" s="450"/>
      <c r="BT33" s="450"/>
      <c r="BU33" s="450"/>
      <c r="BV33" s="450"/>
      <c r="BW33" s="450"/>
      <c r="BX33" s="450"/>
      <c r="BY33" s="450"/>
      <c r="BZ33" s="450"/>
      <c r="CA33" s="450"/>
      <c r="CB33" s="450"/>
      <c r="CC33" s="450"/>
      <c r="CD33" s="450"/>
      <c r="CE33" s="450"/>
      <c r="CF33" s="450"/>
      <c r="CG33" s="450"/>
      <c r="CH33" s="450"/>
      <c r="CI33" s="450"/>
      <c r="CJ33" s="450"/>
      <c r="CK33" s="450"/>
      <c r="CL33" s="450"/>
      <c r="CM33" s="450"/>
      <c r="CN33" s="450"/>
      <c r="CO33" s="450"/>
      <c r="CP33" s="450"/>
      <c r="CQ33" s="450"/>
      <c r="CR33" s="450"/>
      <c r="CS33" s="450"/>
      <c r="CT33" s="450"/>
      <c r="CU33" s="450"/>
    </row>
    <row r="34" spans="1:99" ht="15.75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448"/>
      <c r="P34" s="448"/>
      <c r="Q34" s="448"/>
      <c r="R34" s="448"/>
      <c r="S34" s="448"/>
      <c r="T34" s="448"/>
      <c r="U34" s="448"/>
      <c r="V34" s="448"/>
      <c r="W34" s="448"/>
      <c r="X34" s="448"/>
      <c r="Y34" s="448"/>
      <c r="Z34" s="448"/>
      <c r="AA34" s="448"/>
      <c r="AB34" s="448"/>
      <c r="AC34" s="448"/>
      <c r="AD34" s="448"/>
      <c r="AE34" s="448"/>
      <c r="AF34" s="448"/>
      <c r="AG34" s="448"/>
      <c r="AH34" s="448"/>
      <c r="AI34" s="448"/>
      <c r="AJ34" s="448"/>
      <c r="AK34" s="448"/>
      <c r="AL34" s="448"/>
      <c r="AM34" s="448"/>
      <c r="AN34" s="448"/>
      <c r="AO34" s="448"/>
      <c r="AP34" s="448"/>
      <c r="AQ34" s="448"/>
      <c r="AR34" s="448"/>
      <c r="AS34" s="448"/>
      <c r="AT34" s="448"/>
      <c r="AU34" s="448"/>
      <c r="AV34" s="448"/>
      <c r="AW34" s="406"/>
      <c r="AX34"/>
      <c r="AY34"/>
      <c r="AZ34"/>
      <c r="BA34" s="1243"/>
      <c r="BB34" s="1243"/>
      <c r="BC34" s="1243"/>
      <c r="BD34" s="1243"/>
      <c r="BE34" s="1243"/>
      <c r="BF34" s="1243"/>
      <c r="BG34" s="1243"/>
      <c r="BH34" s="1243"/>
      <c r="BI34" s="1243"/>
      <c r="BJ34" s="1243"/>
      <c r="CI34" s="450"/>
      <c r="CJ34" s="450"/>
      <c r="CK34" s="450"/>
      <c r="CL34" s="450"/>
      <c r="CM34" s="450"/>
      <c r="CN34" s="450"/>
      <c r="CO34" s="450"/>
      <c r="CP34" s="450"/>
      <c r="CQ34" s="450"/>
      <c r="CR34" s="450"/>
      <c r="CS34" s="450"/>
    </row>
    <row r="35" spans="1:99" ht="15.75">
      <c r="B35" s="87"/>
      <c r="C35" s="87"/>
      <c r="D35" s="87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448"/>
      <c r="P35" s="448"/>
      <c r="Q35" s="448"/>
      <c r="R35" s="448"/>
      <c r="S35" s="448"/>
      <c r="T35" s="448"/>
      <c r="U35" s="448"/>
      <c r="V35" s="448"/>
      <c r="W35" s="448"/>
      <c r="X35" s="703"/>
      <c r="Y35" s="703"/>
      <c r="Z35" s="703"/>
      <c r="AA35" s="703"/>
      <c r="AB35" s="703"/>
      <c r="AC35" s="703"/>
      <c r="AD35" s="703"/>
      <c r="AE35" s="703"/>
      <c r="AF35" s="703"/>
      <c r="AG35" s="703"/>
      <c r="AH35" s="703"/>
      <c r="AI35" s="703"/>
      <c r="AJ35" s="703"/>
      <c r="AK35" s="703"/>
      <c r="AL35" s="703"/>
      <c r="AM35" s="703"/>
      <c r="AN35" s="703"/>
      <c r="AO35" s="703"/>
      <c r="AP35" s="703"/>
      <c r="AQ35" s="703"/>
      <c r="AR35" s="703"/>
      <c r="AS35" s="703"/>
      <c r="AT35" s="703"/>
      <c r="AU35" s="703"/>
      <c r="AV35" s="703"/>
      <c r="AW35" s="406"/>
      <c r="AX35"/>
      <c r="AY35"/>
      <c r="AZ35"/>
      <c r="BA35" s="1193"/>
      <c r="BB35" s="1193"/>
      <c r="BC35" s="1193"/>
      <c r="BD35" s="1193"/>
      <c r="BE35" s="1193"/>
      <c r="BF35" s="1193"/>
      <c r="BG35" s="1193"/>
      <c r="BH35" s="1193"/>
      <c r="BI35" s="1193"/>
      <c r="BJ35" s="1193"/>
      <c r="CI35" s="450"/>
      <c r="CJ35" s="450"/>
      <c r="CK35" s="450"/>
      <c r="CL35" s="450"/>
      <c r="CM35" s="450"/>
      <c r="CN35" s="450"/>
      <c r="CO35" s="450"/>
      <c r="CP35" s="450"/>
      <c r="CQ35" s="450"/>
      <c r="CR35" s="450"/>
      <c r="CS35" s="450"/>
    </row>
    <row r="36" spans="1:99" ht="15.75">
      <c r="B36" s="87"/>
      <c r="C36" s="87"/>
      <c r="D36" s="87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448"/>
      <c r="P36" s="448"/>
      <c r="Q36" s="448"/>
      <c r="R36" s="448"/>
      <c r="S36" s="448"/>
      <c r="T36" s="448"/>
      <c r="U36" s="448"/>
      <c r="V36" s="448"/>
      <c r="W36" s="448"/>
      <c r="X36" s="703"/>
      <c r="Y36" s="703"/>
      <c r="Z36" s="703"/>
      <c r="AA36" s="703"/>
      <c r="AB36" s="703"/>
      <c r="AC36" s="703"/>
      <c r="AD36" s="703"/>
      <c r="AE36" s="703"/>
      <c r="AF36" s="703"/>
      <c r="AG36" s="703"/>
      <c r="AH36" s="703"/>
      <c r="AI36" s="703"/>
      <c r="AJ36" s="703"/>
      <c r="AK36" s="703"/>
      <c r="AL36" s="703"/>
      <c r="AM36" s="703"/>
      <c r="AN36" s="703"/>
      <c r="AO36" s="703"/>
      <c r="AP36" s="703"/>
      <c r="AQ36" s="703"/>
      <c r="AR36" s="703"/>
      <c r="AS36" s="703"/>
      <c r="AT36" s="703"/>
      <c r="AU36" s="703"/>
      <c r="AV36" s="703"/>
      <c r="AW36" s="406"/>
      <c r="AX36"/>
      <c r="AY36"/>
      <c r="AZ36"/>
      <c r="BA36" s="1193"/>
      <c r="BB36" s="1193"/>
      <c r="BC36" s="1193"/>
      <c r="BD36" s="1193"/>
      <c r="BE36" s="1193"/>
      <c r="BF36" s="1193"/>
      <c r="BG36" s="1193"/>
      <c r="BH36" s="1193"/>
      <c r="BI36" s="1193"/>
      <c r="BJ36" s="1193"/>
      <c r="CI36" s="450"/>
      <c r="CJ36" s="450"/>
      <c r="CK36" s="450"/>
      <c r="CL36" s="450"/>
      <c r="CM36" s="450"/>
      <c r="CN36" s="450"/>
      <c r="CO36" s="450"/>
      <c r="CP36" s="450"/>
      <c r="CQ36" s="450"/>
      <c r="CR36" s="450"/>
      <c r="CS36" s="450"/>
    </row>
    <row r="37" spans="1:99" ht="15.75">
      <c r="B37" s="87"/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448"/>
      <c r="P37" s="448"/>
      <c r="Q37" s="448"/>
      <c r="R37" s="448"/>
      <c r="S37" s="448"/>
      <c r="T37" s="448"/>
      <c r="U37" s="448"/>
      <c r="V37" s="448"/>
      <c r="W37" s="448"/>
      <c r="X37" s="703"/>
      <c r="Y37" s="703"/>
      <c r="Z37" s="703"/>
      <c r="AA37" s="703"/>
      <c r="AB37" s="703"/>
      <c r="AC37" s="703"/>
      <c r="AD37" s="703"/>
      <c r="AE37" s="703"/>
      <c r="AF37" s="703"/>
      <c r="AG37" s="703"/>
      <c r="AH37" s="703"/>
      <c r="AI37" s="703"/>
      <c r="AJ37" s="703"/>
      <c r="AK37" s="703"/>
      <c r="AL37" s="703"/>
      <c r="AM37" s="703"/>
      <c r="AN37" s="703"/>
      <c r="AO37" s="703"/>
      <c r="AP37" s="703"/>
      <c r="AQ37" s="703"/>
      <c r="AR37" s="703"/>
      <c r="AS37" s="703"/>
      <c r="AT37" s="703"/>
      <c r="AU37" s="703"/>
      <c r="AV37" s="703"/>
      <c r="AW37" s="406"/>
      <c r="AX37"/>
      <c r="AY37"/>
      <c r="AZ37"/>
      <c r="BA37" s="1193"/>
      <c r="BB37" s="1193"/>
      <c r="BC37" s="1193"/>
      <c r="BD37" s="1193"/>
      <c r="BE37" s="1193"/>
      <c r="BF37" s="1193"/>
      <c r="BG37" s="1193"/>
      <c r="BH37" s="1193"/>
      <c r="BI37" s="1193"/>
      <c r="BJ37" s="1193"/>
      <c r="CI37" s="450"/>
      <c r="CJ37" s="450"/>
      <c r="CK37" s="450"/>
      <c r="CL37" s="450"/>
      <c r="CM37" s="450"/>
      <c r="CN37" s="450"/>
      <c r="CO37" s="450"/>
      <c r="CP37" s="450"/>
      <c r="CQ37" s="450"/>
      <c r="CR37" s="450"/>
      <c r="CS37" s="450"/>
    </row>
    <row r="38" spans="1:99" ht="15.75">
      <c r="B38" s="87"/>
      <c r="C38" s="87"/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448"/>
      <c r="P38" s="448"/>
      <c r="Q38" s="448"/>
      <c r="R38" s="448"/>
      <c r="S38" s="448"/>
      <c r="T38" s="448"/>
      <c r="U38" s="448"/>
      <c r="V38" s="448"/>
      <c r="W38" s="448"/>
      <c r="X38" s="703"/>
      <c r="Y38" s="703"/>
      <c r="Z38" s="703"/>
      <c r="AA38" s="703"/>
      <c r="AB38" s="703"/>
      <c r="AC38" s="703"/>
      <c r="AD38" s="703"/>
      <c r="AE38" s="703"/>
      <c r="AF38" s="703"/>
      <c r="AG38" s="703"/>
      <c r="AH38" s="703"/>
      <c r="AI38" s="703"/>
      <c r="AJ38" s="703"/>
      <c r="AK38" s="703"/>
      <c r="AL38" s="703"/>
      <c r="AM38" s="703"/>
      <c r="AN38" s="703"/>
      <c r="AO38" s="703"/>
      <c r="AP38" s="703"/>
      <c r="AQ38" s="703"/>
      <c r="AR38" s="703"/>
      <c r="AS38" s="703"/>
      <c r="AT38" s="703"/>
      <c r="AU38" s="703"/>
      <c r="AV38" s="703"/>
      <c r="AW38" s="406"/>
      <c r="AX38"/>
      <c r="AY38"/>
      <c r="AZ38"/>
      <c r="BA38" s="1193"/>
      <c r="BB38" s="1193"/>
      <c r="BC38" s="1193"/>
      <c r="BD38" s="1193"/>
      <c r="BE38" s="1193"/>
      <c r="BF38" s="1193"/>
      <c r="BG38" s="1193"/>
      <c r="BH38" s="1193"/>
      <c r="BI38" s="1193"/>
      <c r="BJ38" s="1193"/>
      <c r="CI38" s="450"/>
      <c r="CJ38" s="450"/>
      <c r="CK38" s="450"/>
      <c r="CL38" s="450"/>
      <c r="CM38" s="450"/>
      <c r="CN38" s="450"/>
      <c r="CO38" s="450"/>
      <c r="CP38" s="450"/>
      <c r="CQ38" s="450"/>
      <c r="CR38" s="450"/>
      <c r="CS38" s="450"/>
    </row>
    <row r="39" spans="1:99" ht="15.75">
      <c r="B39" s="87"/>
      <c r="C39" s="87"/>
      <c r="D39" s="87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448"/>
      <c r="P39" s="448"/>
      <c r="Q39" s="448"/>
      <c r="R39" s="448"/>
      <c r="S39" s="448"/>
      <c r="T39" s="448"/>
      <c r="U39" s="448"/>
      <c r="V39" s="448"/>
      <c r="W39" s="448"/>
      <c r="X39" s="703"/>
      <c r="Y39" s="703"/>
      <c r="Z39" s="703"/>
      <c r="AA39" s="703"/>
      <c r="AB39" s="703"/>
      <c r="AC39" s="703"/>
      <c r="AD39" s="703"/>
      <c r="AE39" s="703"/>
      <c r="AF39" s="703"/>
      <c r="AG39" s="703"/>
      <c r="AH39" s="703"/>
      <c r="AI39" s="703"/>
      <c r="AJ39" s="703"/>
      <c r="AK39" s="703"/>
      <c r="AL39" s="703"/>
      <c r="AM39" s="703"/>
      <c r="AN39" s="703"/>
      <c r="AO39" s="703"/>
      <c r="AP39" s="703"/>
      <c r="AQ39" s="703"/>
      <c r="AR39" s="703"/>
      <c r="AS39" s="703"/>
      <c r="AT39" s="703"/>
      <c r="AU39" s="703"/>
      <c r="AV39" s="703"/>
      <c r="AW39" s="406"/>
      <c r="BA39" s="1193"/>
      <c r="BB39" s="1193"/>
      <c r="BC39" s="1193"/>
      <c r="BD39" s="1193"/>
      <c r="BE39" s="1193"/>
      <c r="BF39" s="1193"/>
      <c r="BG39" s="1193"/>
      <c r="BH39" s="1193"/>
      <c r="BI39" s="1193"/>
      <c r="BJ39" s="1193"/>
      <c r="CI39" s="450"/>
      <c r="CJ39" s="450"/>
      <c r="CK39" s="450"/>
      <c r="CL39" s="450"/>
      <c r="CM39" s="450"/>
      <c r="CN39" s="450"/>
      <c r="CO39" s="450"/>
      <c r="CP39" s="450"/>
      <c r="CQ39" s="450"/>
      <c r="CR39" s="450"/>
      <c r="CS39" s="450"/>
    </row>
    <row r="40" spans="1:99" ht="15.75">
      <c r="B40" s="87"/>
      <c r="C40" s="87"/>
      <c r="D40" s="87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448"/>
      <c r="P40" s="448"/>
      <c r="Q40" s="448"/>
      <c r="R40" s="448"/>
      <c r="S40" s="448"/>
      <c r="T40" s="448"/>
      <c r="U40" s="448"/>
      <c r="V40" s="448"/>
      <c r="W40" s="448"/>
      <c r="X40" s="703"/>
      <c r="Y40" s="703"/>
      <c r="Z40" s="703"/>
      <c r="AA40" s="703"/>
      <c r="AB40" s="703"/>
      <c r="AC40" s="703"/>
      <c r="AD40" s="703"/>
      <c r="AE40" s="703"/>
      <c r="AF40" s="703"/>
      <c r="AG40" s="703"/>
      <c r="AH40" s="703"/>
      <c r="AI40" s="703"/>
      <c r="AJ40" s="703"/>
      <c r="AK40" s="703"/>
      <c r="AL40" s="703"/>
      <c r="AM40" s="703"/>
      <c r="AN40" s="703"/>
      <c r="AO40" s="703"/>
      <c r="AP40" s="703"/>
      <c r="AQ40" s="703"/>
      <c r="AR40" s="703"/>
      <c r="AS40" s="703"/>
      <c r="AT40" s="703"/>
      <c r="AU40" s="703"/>
      <c r="AV40" s="703"/>
      <c r="AW40" s="406"/>
      <c r="BA40" s="1193"/>
      <c r="BB40" s="1193"/>
      <c r="BC40" s="1193"/>
      <c r="BD40" s="1193"/>
      <c r="BE40" s="1193"/>
      <c r="BF40" s="1193"/>
      <c r="BG40" s="1193"/>
      <c r="BH40" s="1193"/>
      <c r="BI40" s="1193"/>
      <c r="BJ40" s="1193"/>
      <c r="CI40" s="450"/>
      <c r="CJ40" s="450"/>
      <c r="CK40" s="450"/>
      <c r="CL40" s="450"/>
      <c r="CM40" s="450"/>
      <c r="CN40" s="450"/>
      <c r="CO40" s="450"/>
      <c r="CP40" s="450"/>
      <c r="CQ40" s="450"/>
      <c r="CR40" s="450"/>
      <c r="CS40" s="450"/>
    </row>
    <row r="41" spans="1:99" ht="15.75"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448"/>
      <c r="P41" s="448"/>
      <c r="Q41" s="448"/>
      <c r="R41" s="448"/>
      <c r="S41" s="448"/>
      <c r="T41" s="448"/>
      <c r="U41" s="448"/>
      <c r="V41" s="448"/>
      <c r="W41" s="448"/>
      <c r="X41" s="703"/>
      <c r="Y41" s="703"/>
      <c r="Z41" s="703"/>
      <c r="AA41" s="703"/>
      <c r="AB41" s="703"/>
      <c r="AC41" s="703"/>
      <c r="AD41" s="703"/>
      <c r="AE41" s="703"/>
      <c r="AF41" s="703"/>
      <c r="AG41" s="703"/>
      <c r="AH41" s="703"/>
      <c r="AI41" s="703"/>
      <c r="AJ41" s="703"/>
      <c r="AK41" s="703"/>
      <c r="AL41" s="703"/>
      <c r="AM41" s="703"/>
      <c r="AN41" s="703"/>
      <c r="AO41" s="703"/>
      <c r="AP41" s="703"/>
      <c r="AQ41" s="703"/>
      <c r="AR41" s="703"/>
      <c r="AS41" s="703"/>
      <c r="AT41" s="703"/>
      <c r="AU41" s="703"/>
      <c r="AV41" s="703"/>
      <c r="AW41" s="406"/>
      <c r="BA41" s="1193"/>
      <c r="BB41" s="1193"/>
      <c r="BC41" s="1193"/>
      <c r="BD41" s="1193"/>
      <c r="BE41" s="1193"/>
      <c r="BF41" s="1193"/>
      <c r="BG41" s="1193"/>
      <c r="BH41" s="1193"/>
      <c r="BI41" s="1193"/>
      <c r="BJ41" s="1193"/>
      <c r="CI41" s="450"/>
      <c r="CJ41" s="450"/>
      <c r="CK41" s="450"/>
      <c r="CL41" s="450"/>
      <c r="CM41" s="450"/>
      <c r="CN41" s="450"/>
      <c r="CO41" s="450"/>
      <c r="CP41" s="450"/>
      <c r="CQ41" s="450"/>
      <c r="CR41" s="450"/>
      <c r="CS41" s="450"/>
    </row>
    <row r="42" spans="1:99" ht="15.75"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448"/>
      <c r="P42" s="448"/>
      <c r="Q42" s="448"/>
      <c r="R42" s="448"/>
      <c r="S42" s="448"/>
      <c r="T42" s="448"/>
      <c r="U42" s="448"/>
      <c r="V42" s="448"/>
      <c r="W42" s="448"/>
      <c r="X42" s="703"/>
      <c r="Y42" s="703"/>
      <c r="Z42" s="703"/>
      <c r="AA42" s="703"/>
      <c r="AB42" s="703"/>
      <c r="AC42" s="703"/>
      <c r="AD42" s="703"/>
      <c r="AE42" s="703"/>
      <c r="AF42" s="703"/>
      <c r="AG42" s="703"/>
      <c r="AH42" s="703"/>
      <c r="AI42" s="703"/>
      <c r="AJ42" s="703"/>
      <c r="AK42" s="703"/>
      <c r="AL42" s="703"/>
      <c r="AM42" s="703"/>
      <c r="AN42" s="703"/>
      <c r="AO42" s="703"/>
      <c r="AP42" s="703"/>
      <c r="AQ42" s="703"/>
      <c r="AR42" s="703"/>
      <c r="AS42" s="703"/>
      <c r="AT42" s="703"/>
      <c r="AU42" s="703"/>
      <c r="AV42" s="703"/>
      <c r="AW42" s="406"/>
      <c r="BA42" s="1193"/>
      <c r="BB42" s="1193"/>
      <c r="BC42" s="1193"/>
      <c r="BD42" s="1193"/>
      <c r="BE42" s="1193"/>
      <c r="BF42" s="1193"/>
      <c r="BG42" s="1193"/>
      <c r="BH42" s="1193"/>
      <c r="BI42" s="1193"/>
      <c r="BJ42" s="1193"/>
      <c r="CI42" s="450"/>
      <c r="CJ42" s="450"/>
      <c r="CK42" s="450"/>
      <c r="CL42" s="450"/>
      <c r="CM42" s="450"/>
      <c r="CN42" s="450"/>
      <c r="CO42" s="450"/>
      <c r="CP42" s="450"/>
      <c r="CQ42" s="450"/>
      <c r="CR42" s="450"/>
      <c r="CS42" s="450"/>
    </row>
    <row r="43" spans="1:99" ht="15.75">
      <c r="B43" s="87"/>
      <c r="C43" s="87"/>
      <c r="D43" s="87"/>
      <c r="E43" s="87"/>
      <c r="F43" s="87"/>
      <c r="G43" s="87"/>
      <c r="H43" s="87"/>
      <c r="I43" s="87"/>
      <c r="J43" s="87"/>
      <c r="K43" s="87"/>
      <c r="L43" s="87"/>
      <c r="M43" s="87"/>
      <c r="N43" s="87"/>
      <c r="O43" s="448"/>
      <c r="P43" s="448"/>
      <c r="Q43" s="448"/>
      <c r="R43" s="448"/>
      <c r="S43" s="448"/>
      <c r="T43" s="448"/>
      <c r="U43" s="448"/>
      <c r="V43" s="448"/>
      <c r="W43" s="448"/>
      <c r="X43" s="703"/>
      <c r="Y43" s="703"/>
      <c r="Z43" s="703"/>
      <c r="AA43" s="703"/>
      <c r="AB43" s="703"/>
      <c r="AC43" s="703"/>
      <c r="AD43" s="703"/>
      <c r="AE43" s="703"/>
      <c r="AF43" s="703"/>
      <c r="AG43" s="703"/>
      <c r="AH43" s="703"/>
      <c r="AI43" s="703"/>
      <c r="AJ43" s="703"/>
      <c r="AK43" s="703"/>
      <c r="AL43" s="703"/>
      <c r="AM43" s="703"/>
      <c r="AN43" s="703"/>
      <c r="AO43" s="703"/>
      <c r="AP43" s="703"/>
      <c r="AQ43" s="703"/>
      <c r="AR43" s="703"/>
      <c r="AS43" s="703"/>
      <c r="AT43" s="703"/>
      <c r="AU43" s="703"/>
      <c r="AV43" s="703"/>
      <c r="AW43" s="406"/>
      <c r="AX43"/>
      <c r="AY43"/>
      <c r="AZ43"/>
      <c r="BA43" s="1193" t="str">
        <f>IF('Registo Calibração'!AT14="","",'Registo Calibração'!AX14)</f>
        <v/>
      </c>
      <c r="BB43" s="1193"/>
      <c r="BC43" s="1193"/>
      <c r="BD43" s="1193"/>
      <c r="BE43" s="1193"/>
      <c r="BF43" s="1193"/>
      <c r="BG43" s="1193"/>
      <c r="BH43" s="1193"/>
      <c r="BI43" s="1193"/>
      <c r="BJ43" s="1193"/>
      <c r="CI43" s="450"/>
      <c r="CJ43" s="450"/>
      <c r="CK43" s="450"/>
      <c r="CL43" s="450"/>
      <c r="CM43" s="450"/>
      <c r="CN43" s="450"/>
      <c r="CO43" s="450"/>
      <c r="CP43" s="450"/>
      <c r="CQ43" s="450"/>
      <c r="CR43" s="450"/>
      <c r="CS43" s="450"/>
    </row>
    <row r="44" spans="1:99" ht="29.25" customHeight="1">
      <c r="B44" s="87"/>
      <c r="C44" s="87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448"/>
      <c r="P44" s="448"/>
      <c r="Q44" s="448"/>
      <c r="R44" s="448"/>
      <c r="S44" s="448"/>
      <c r="T44" s="448"/>
      <c r="U44" s="448"/>
      <c r="V44" s="448"/>
      <c r="W44" s="448"/>
      <c r="X44" s="703"/>
      <c r="Y44" s="703"/>
      <c r="Z44" s="703"/>
      <c r="AA44" s="703"/>
      <c r="AB44" s="703"/>
      <c r="AC44" s="703"/>
      <c r="AD44" s="703"/>
      <c r="AE44" s="703"/>
      <c r="AF44" s="703"/>
      <c r="AG44" s="703"/>
      <c r="AH44" s="703"/>
      <c r="AI44" s="703"/>
      <c r="AJ44" s="703"/>
      <c r="AK44" s="703"/>
      <c r="AL44" s="703"/>
      <c r="AM44" s="703"/>
      <c r="AN44" s="703"/>
      <c r="AO44" s="703"/>
      <c r="AP44" s="703"/>
      <c r="AQ44" s="703"/>
      <c r="AR44" s="703"/>
      <c r="AS44" s="703"/>
      <c r="AT44" s="703"/>
      <c r="AU44" s="703"/>
      <c r="AV44" s="703"/>
      <c r="AW44" s="406"/>
      <c r="AX44"/>
      <c r="AY44"/>
      <c r="AZ44"/>
      <c r="BA44" s="1193" t="str">
        <f>IF('Registo Calibração'!AT15="","",'Registo Calibração'!AX15)</f>
        <v/>
      </c>
      <c r="BB44" s="1193"/>
      <c r="BC44" s="1193"/>
      <c r="BD44" s="1193"/>
      <c r="BE44" s="1193"/>
      <c r="BF44" s="1193"/>
      <c r="BG44" s="1193"/>
      <c r="BH44" s="1193"/>
      <c r="BI44" s="1193"/>
      <c r="BJ44" s="1193"/>
      <c r="CI44" s="450"/>
      <c r="CJ44" s="450"/>
      <c r="CK44" s="450"/>
      <c r="CL44" s="450"/>
      <c r="CM44" s="450"/>
      <c r="CN44" s="450"/>
      <c r="CO44" s="450"/>
      <c r="CP44" s="450"/>
      <c r="CQ44" s="450"/>
      <c r="CR44" s="450"/>
      <c r="CS44" s="450"/>
    </row>
    <row r="45" spans="1:99" ht="15.75">
      <c r="B45" s="87"/>
      <c r="C45" s="87"/>
      <c r="D45" s="87"/>
      <c r="E45" s="87"/>
      <c r="F45" s="87"/>
      <c r="G45" s="87"/>
      <c r="H45" s="87"/>
      <c r="I45" s="87"/>
      <c r="J45" s="87"/>
      <c r="K45" s="87"/>
      <c r="L45" s="87"/>
      <c r="M45" s="87"/>
      <c r="N45" s="87"/>
      <c r="O45" s="448"/>
      <c r="P45" s="448"/>
      <c r="Q45" s="448"/>
      <c r="R45" s="448"/>
      <c r="S45" s="448"/>
      <c r="T45" s="448"/>
      <c r="U45" s="448"/>
      <c r="V45" s="448"/>
      <c r="W45" s="448"/>
      <c r="X45" s="703"/>
      <c r="Y45" s="703"/>
      <c r="Z45" s="703"/>
      <c r="AA45" s="703"/>
      <c r="AB45" s="703"/>
      <c r="AC45" s="703"/>
      <c r="AD45" s="703"/>
      <c r="AE45" s="703"/>
      <c r="AF45" s="703"/>
      <c r="AG45" s="703"/>
      <c r="AH45" s="703"/>
      <c r="AI45" s="703"/>
      <c r="AJ45" s="703"/>
      <c r="AK45" s="703"/>
      <c r="AL45" s="703"/>
      <c r="AM45" s="703"/>
      <c r="AN45" s="703"/>
      <c r="AO45" s="703"/>
      <c r="AP45" s="703"/>
      <c r="AQ45" s="703"/>
      <c r="AR45" s="703"/>
      <c r="AS45" s="703"/>
      <c r="AT45" s="703"/>
      <c r="AU45" s="703"/>
      <c r="AV45" s="703"/>
      <c r="AW45" s="406"/>
      <c r="AX45"/>
      <c r="AY45"/>
      <c r="AZ45"/>
      <c r="BA45" s="1193" t="str">
        <f>IF('Registo Calibração'!AT16="","",'Registo Calibração'!AX16)</f>
        <v/>
      </c>
      <c r="BB45" s="1193"/>
      <c r="BC45" s="1193"/>
      <c r="BD45" s="1193"/>
      <c r="BE45" s="1193"/>
      <c r="BF45" s="1193"/>
      <c r="BG45" s="1193"/>
      <c r="BH45" s="1193"/>
      <c r="BI45" s="1193"/>
      <c r="BJ45" s="1193"/>
      <c r="CI45" s="450"/>
      <c r="CJ45" s="450"/>
      <c r="CK45" s="450"/>
      <c r="CL45" s="450"/>
      <c r="CM45" s="450"/>
      <c r="CN45" s="450"/>
      <c r="CO45" s="450"/>
      <c r="CP45" s="450"/>
      <c r="CQ45" s="450"/>
      <c r="CR45" s="450"/>
      <c r="CS45" s="450"/>
    </row>
    <row r="46" spans="1:99" ht="15.75">
      <c r="A46" s="4"/>
      <c r="B46" s="87"/>
      <c r="C46" s="87"/>
      <c r="D46" s="87"/>
      <c r="E46" s="87"/>
      <c r="F46" s="87"/>
      <c r="G46" s="87"/>
      <c r="H46" s="87"/>
      <c r="I46" s="87"/>
      <c r="J46" s="87"/>
      <c r="K46" s="87"/>
      <c r="L46" s="87"/>
      <c r="M46" s="87"/>
      <c r="N46" s="87"/>
      <c r="O46" s="448"/>
      <c r="P46" s="448"/>
      <c r="Q46" s="448"/>
      <c r="R46" s="448"/>
      <c r="S46" s="448"/>
      <c r="T46" s="448"/>
      <c r="U46" s="448"/>
      <c r="V46" s="448"/>
      <c r="W46" s="448"/>
      <c r="X46" s="703"/>
      <c r="Y46" s="703"/>
      <c r="Z46" s="703"/>
      <c r="AA46" s="703"/>
      <c r="AB46" s="703"/>
      <c r="AC46" s="703"/>
      <c r="AD46" s="703"/>
      <c r="AE46" s="703"/>
      <c r="AF46" s="703"/>
      <c r="AG46" s="703"/>
      <c r="AH46" s="703"/>
      <c r="AI46" s="703"/>
      <c r="AJ46" s="703"/>
      <c r="AK46" s="703"/>
      <c r="AL46" s="703"/>
      <c r="AM46" s="703"/>
      <c r="AN46" s="703"/>
      <c r="AO46" s="703"/>
      <c r="AP46" s="703"/>
      <c r="AQ46" s="703"/>
      <c r="AR46" s="703"/>
      <c r="AS46" s="703"/>
      <c r="AT46" s="703"/>
      <c r="AU46" s="703"/>
      <c r="AV46" s="703"/>
      <c r="AW46" s="406"/>
      <c r="AX46"/>
      <c r="AY46"/>
      <c r="AZ46"/>
      <c r="BA46" s="1193" t="str">
        <f>IF('Registo Calibração'!AT17="","",'Registo Calibração'!AX17)</f>
        <v/>
      </c>
      <c r="BB46" s="1193"/>
      <c r="BC46" s="1193"/>
      <c r="BD46" s="1193"/>
      <c r="BE46" s="1193"/>
      <c r="BF46" s="1193"/>
      <c r="BG46" s="1193"/>
      <c r="BH46" s="1193"/>
      <c r="BI46" s="1193"/>
      <c r="BJ46" s="1193"/>
      <c r="CI46" s="450"/>
      <c r="CJ46" s="450"/>
      <c r="CK46" s="450"/>
      <c r="CL46" s="450"/>
      <c r="CM46" s="450"/>
      <c r="CN46" s="450"/>
      <c r="CO46" s="450"/>
      <c r="CP46" s="450"/>
      <c r="CQ46" s="450"/>
      <c r="CR46" s="450"/>
      <c r="CS46" s="450"/>
    </row>
    <row r="47" spans="1:99" ht="15.75">
      <c r="B47" s="87"/>
      <c r="C47" s="87"/>
      <c r="D47" s="87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703"/>
      <c r="P47" s="703"/>
      <c r="Q47" s="703"/>
      <c r="R47" s="703"/>
      <c r="S47" s="703"/>
      <c r="T47" s="703"/>
      <c r="U47" s="703"/>
      <c r="V47" s="703"/>
      <c r="W47" s="448"/>
      <c r="X47" s="703"/>
      <c r="Y47" s="703"/>
      <c r="Z47" s="703"/>
      <c r="AA47" s="703"/>
      <c r="AB47" s="703"/>
      <c r="AC47" s="703"/>
      <c r="AD47" s="703"/>
      <c r="AE47" s="703"/>
      <c r="AF47" s="703"/>
      <c r="AG47" s="703"/>
      <c r="AH47" s="703"/>
      <c r="AI47" s="703"/>
      <c r="AJ47" s="703"/>
      <c r="AK47" s="703"/>
      <c r="AL47" s="703"/>
      <c r="AM47" s="703"/>
      <c r="AN47" s="703"/>
      <c r="AO47" s="703"/>
      <c r="AP47" s="703"/>
      <c r="AQ47" s="703"/>
      <c r="AR47" s="703"/>
      <c r="AS47" s="703"/>
      <c r="AT47" s="703"/>
      <c r="AU47" s="703"/>
      <c r="AV47" s="703"/>
      <c r="AW47" s="406"/>
      <c r="AX47"/>
      <c r="AY47"/>
      <c r="AZ47"/>
      <c r="BA47" s="454"/>
      <c r="BB47" s="454"/>
      <c r="BC47" s="454"/>
      <c r="BD47" s="454"/>
      <c r="BE47" s="454"/>
      <c r="BF47" s="454"/>
      <c r="BG47" s="454"/>
      <c r="BH47" s="454"/>
      <c r="BI47" s="454"/>
      <c r="BJ47" s="454"/>
    </row>
    <row r="48" spans="1:99" ht="15">
      <c r="H48" s="1295" t="s">
        <v>73</v>
      </c>
      <c r="I48" s="1295"/>
      <c r="J48" s="1295"/>
      <c r="K48" s="1295"/>
      <c r="L48" s="1295"/>
      <c r="M48" s="1296">
        <v>0</v>
      </c>
      <c r="N48" s="1296"/>
      <c r="O48" s="1296"/>
      <c r="P48" s="1296"/>
      <c r="Q48" s="713" t="s">
        <v>476</v>
      </c>
      <c r="R48" s="713"/>
      <c r="S48" s="713"/>
      <c r="T48" s="713"/>
      <c r="U48" s="713"/>
      <c r="V48" s="564"/>
      <c r="W48" s="37"/>
      <c r="X48" s="1295" t="s">
        <v>72</v>
      </c>
      <c r="Y48" s="1295"/>
      <c r="Z48" s="1295"/>
      <c r="AA48" s="1295"/>
      <c r="AB48" s="1295"/>
      <c r="AC48" s="1296">
        <v>0</v>
      </c>
      <c r="AD48" s="1296"/>
      <c r="AE48" s="1296"/>
      <c r="AF48" s="1296"/>
      <c r="AG48" s="713" t="s">
        <v>476</v>
      </c>
      <c r="AH48" s="713"/>
      <c r="AI48" s="713"/>
      <c r="AJ48" s="713"/>
      <c r="AK48" s="713"/>
      <c r="AW48" s="406"/>
      <c r="AX48"/>
      <c r="AY48"/>
      <c r="AZ48"/>
      <c r="BA48"/>
      <c r="BB48" s="450"/>
    </row>
    <row r="49" spans="1:99" ht="15.75" customHeight="1">
      <c r="B49" s="428"/>
      <c r="E49" s="90"/>
      <c r="F49" s="90"/>
      <c r="G49" s="90"/>
      <c r="H49" s="90"/>
      <c r="I49" s="90"/>
      <c r="J49" s="90"/>
      <c r="K49" s="90"/>
      <c r="L49" s="90"/>
      <c r="M49" s="90"/>
      <c r="N49" s="90"/>
      <c r="O49" s="1294"/>
      <c r="P49" s="1294"/>
      <c r="Q49" s="1294"/>
      <c r="R49" s="1294"/>
      <c r="S49" s="1294"/>
      <c r="T49" s="1294"/>
      <c r="U49" s="1294"/>
      <c r="V49" s="1294"/>
      <c r="W49" s="1294"/>
      <c r="X49" s="1294"/>
      <c r="Y49" s="1294"/>
      <c r="Z49" s="1294"/>
      <c r="AA49" s="1294"/>
      <c r="AB49" s="1294"/>
      <c r="AC49" s="1294"/>
      <c r="AD49" s="1294"/>
      <c r="AE49" s="1294"/>
      <c r="AF49" s="1294"/>
      <c r="AG49" s="1294"/>
      <c r="AH49" s="1294"/>
      <c r="AI49" s="1294"/>
      <c r="AJ49" s="1294"/>
      <c r="AK49" s="1294"/>
      <c r="AL49" s="1294"/>
      <c r="AM49" s="1294"/>
      <c r="AN49" s="1294"/>
      <c r="AO49" s="1294"/>
      <c r="AP49" s="1294"/>
      <c r="AQ49" s="1294"/>
      <c r="AR49" s="1294"/>
      <c r="AS49" s="1294"/>
      <c r="AT49" s="1294"/>
      <c r="AU49" s="1294"/>
      <c r="AV49" s="1294"/>
      <c r="AX49"/>
      <c r="AY49"/>
      <c r="AZ49"/>
      <c r="BA49"/>
      <c r="BB49" s="450"/>
      <c r="BC49" s="450"/>
      <c r="BD49" s="450"/>
      <c r="BE49" s="450"/>
      <c r="BF49" s="450"/>
      <c r="BG49" s="450"/>
      <c r="BH49" s="450"/>
      <c r="BI49" s="450"/>
      <c r="BJ49" s="450"/>
      <c r="BK49" s="450"/>
      <c r="BL49" s="450"/>
      <c r="BM49" s="450"/>
      <c r="BN49" s="450"/>
      <c r="BO49" s="450"/>
      <c r="BP49" s="450"/>
      <c r="BQ49" s="450"/>
      <c r="BR49" s="450"/>
      <c r="BS49" s="450"/>
      <c r="BT49" s="450"/>
      <c r="BU49" s="450"/>
      <c r="BV49" s="450"/>
      <c r="BW49" s="450"/>
      <c r="BX49" s="450"/>
      <c r="BY49" s="450"/>
      <c r="BZ49" s="450"/>
      <c r="CA49" s="450"/>
      <c r="CB49" s="450"/>
      <c r="CC49" s="450"/>
      <c r="CD49" s="450"/>
      <c r="CE49" s="450"/>
      <c r="CF49" s="450"/>
      <c r="CG49" s="450"/>
      <c r="CH49" s="450"/>
      <c r="CI49" s="450"/>
      <c r="CJ49" s="450"/>
      <c r="CK49" s="450"/>
      <c r="CL49" s="450"/>
      <c r="CM49" s="450"/>
      <c r="CN49" s="450"/>
      <c r="CO49" s="450"/>
      <c r="CP49" s="450"/>
      <c r="CQ49" s="450"/>
      <c r="CR49" s="450"/>
      <c r="CS49" s="450"/>
      <c r="CT49" s="450"/>
      <c r="CU49" s="450"/>
    </row>
    <row r="50" spans="1:99" ht="15.75">
      <c r="B50" s="421"/>
      <c r="E50" s="90"/>
      <c r="F50" s="90"/>
      <c r="G50" s="90"/>
      <c r="H50" s="90"/>
      <c r="I50" s="90"/>
      <c r="J50" s="90"/>
      <c r="K50" s="90"/>
      <c r="L50" s="90"/>
      <c r="M50" s="90"/>
      <c r="N50" s="90"/>
      <c r="O50" s="1294"/>
      <c r="P50" s="1294"/>
      <c r="Q50" s="1294"/>
      <c r="R50" s="1294"/>
      <c r="S50" s="1294"/>
      <c r="T50" s="1294"/>
      <c r="U50" s="1294"/>
      <c r="V50" s="1294"/>
      <c r="W50" s="1294"/>
      <c r="X50" s="1294"/>
      <c r="Y50" s="1294"/>
      <c r="Z50" s="1294"/>
      <c r="AA50" s="1294"/>
      <c r="AB50" s="1294"/>
      <c r="AC50" s="1294"/>
      <c r="AD50" s="1294"/>
      <c r="AE50" s="1294"/>
      <c r="AF50" s="1294"/>
      <c r="AG50" s="1294"/>
      <c r="AH50" s="1294"/>
      <c r="AI50" s="1294"/>
      <c r="AJ50" s="1294"/>
      <c r="AK50" s="1294"/>
      <c r="AL50" s="1294"/>
      <c r="AM50" s="1294"/>
      <c r="AN50" s="1294"/>
      <c r="AO50" s="1294"/>
      <c r="AP50" s="1294"/>
      <c r="AQ50" s="1294"/>
      <c r="AR50" s="1294"/>
      <c r="AS50" s="1294"/>
      <c r="AT50" s="1294"/>
      <c r="AU50" s="1294"/>
      <c r="AV50" s="1294"/>
      <c r="AX50"/>
      <c r="AY50"/>
      <c r="AZ50"/>
      <c r="BA50"/>
      <c r="BB50" s="450"/>
    </row>
    <row r="51" spans="1:99" ht="15.75" customHeight="1">
      <c r="B51" s="1208"/>
      <c r="C51" s="1208"/>
      <c r="D51" s="1208"/>
      <c r="E51" s="1208"/>
      <c r="F51" s="1208"/>
      <c r="G51" s="1208"/>
      <c r="H51" s="1208"/>
      <c r="I51" s="1208"/>
      <c r="J51" s="1208"/>
      <c r="K51" s="1208"/>
      <c r="L51" s="1208"/>
      <c r="M51" s="1208"/>
      <c r="N51" s="1208"/>
      <c r="O51" s="1208"/>
      <c r="P51" s="1208"/>
      <c r="Q51" s="1208"/>
      <c r="R51" s="1208"/>
      <c r="S51" s="1208"/>
      <c r="T51" s="1208"/>
      <c r="U51" s="1208"/>
      <c r="V51" s="1208"/>
      <c r="W51" s="1208"/>
      <c r="X51" s="1208"/>
      <c r="Y51" s="1208"/>
      <c r="Z51" s="1208"/>
      <c r="AA51" s="1208"/>
      <c r="AB51" s="1208"/>
      <c r="AC51" s="1208"/>
      <c r="AD51" s="1208"/>
      <c r="AE51" s="1208"/>
      <c r="AF51" s="1208"/>
      <c r="AG51" s="1208"/>
      <c r="AH51" s="1208"/>
      <c r="AI51" s="1208"/>
      <c r="AJ51" s="1208"/>
      <c r="AK51" s="1208"/>
      <c r="AL51" s="1208"/>
      <c r="AM51" s="1208"/>
      <c r="AN51" s="1208"/>
      <c r="AO51" s="1208"/>
      <c r="AP51" s="1208"/>
      <c r="AQ51" s="1208"/>
      <c r="AR51" s="1208"/>
      <c r="AS51" s="1208"/>
      <c r="AT51" s="1208"/>
      <c r="AU51" s="1208"/>
      <c r="AV51" s="1208"/>
      <c r="AW51" s="406"/>
      <c r="AX51"/>
      <c r="AY51"/>
      <c r="AZ51"/>
      <c r="BA51" s="1239"/>
      <c r="BB51" s="1239"/>
      <c r="BC51" s="1239"/>
      <c r="BD51" s="1239"/>
      <c r="BE51" s="1239"/>
      <c r="BF51" s="1239"/>
      <c r="BG51" s="1239"/>
      <c r="BH51" s="1239"/>
      <c r="BI51" s="1239"/>
      <c r="BJ51" s="1239"/>
      <c r="BK51" s="1239"/>
      <c r="BL51" s="1239"/>
      <c r="BM51" s="1239"/>
      <c r="BN51" s="1239"/>
      <c r="BO51" s="1239"/>
      <c r="BP51" s="1239"/>
      <c r="BQ51" s="1239"/>
      <c r="BR51" s="1239"/>
      <c r="BS51" s="1239"/>
      <c r="BT51" s="1239"/>
      <c r="BU51" s="1239"/>
      <c r="BV51" s="1239"/>
      <c r="BW51" s="1239"/>
      <c r="BX51" s="1239"/>
      <c r="BY51" s="1239"/>
      <c r="BZ51" s="1239"/>
      <c r="CA51" s="1239"/>
      <c r="CB51" s="1239"/>
      <c r="CC51" s="1239"/>
      <c r="CD51" s="1239"/>
      <c r="CE51" s="1239"/>
      <c r="CF51" s="1239"/>
      <c r="CG51" s="1239"/>
      <c r="CH51" s="1239"/>
      <c r="CI51" s="1239"/>
      <c r="CJ51" s="1239"/>
      <c r="CK51" s="1239"/>
      <c r="CL51" s="1239"/>
      <c r="CM51" s="1239"/>
      <c r="CN51" s="1239"/>
      <c r="CO51" s="1239"/>
      <c r="CP51" s="1239"/>
      <c r="CQ51" s="1239"/>
      <c r="CR51" s="1239"/>
      <c r="CS51" s="1239"/>
    </row>
    <row r="52" spans="1:99" ht="12.75" customHeight="1">
      <c r="B52" s="1242"/>
      <c r="C52" s="1242"/>
      <c r="D52" s="1242"/>
      <c r="E52" s="1242"/>
      <c r="F52" s="1242"/>
      <c r="G52" s="1242"/>
      <c r="H52" s="1242"/>
      <c r="I52" s="1242"/>
      <c r="J52" s="1242"/>
      <c r="K52" s="1242"/>
      <c r="L52" s="1242"/>
      <c r="M52" s="1242"/>
      <c r="N52" s="1242"/>
      <c r="O52" s="1242"/>
      <c r="P52" s="1242"/>
      <c r="Q52" s="1242"/>
      <c r="R52" s="1242"/>
      <c r="S52" s="1242"/>
      <c r="T52" s="1242"/>
      <c r="U52" s="1242"/>
      <c r="V52" s="1242"/>
      <c r="W52" s="1242"/>
      <c r="X52" s="1242"/>
      <c r="Y52" s="1242"/>
      <c r="Z52" s="1242"/>
      <c r="AA52" s="1242"/>
      <c r="AB52" s="1242"/>
      <c r="AC52" s="1242"/>
      <c r="AD52" s="1242"/>
      <c r="AE52" s="1242"/>
      <c r="AF52" s="1242"/>
      <c r="AG52" s="1242"/>
      <c r="AH52" s="1242"/>
      <c r="AI52" s="1242"/>
      <c r="AJ52" s="1242"/>
      <c r="AK52" s="1242"/>
      <c r="AL52" s="1242"/>
      <c r="AM52" s="1242"/>
      <c r="AN52" s="1242"/>
      <c r="AO52" s="1242"/>
      <c r="AP52" s="1242"/>
      <c r="AQ52" s="1242"/>
      <c r="AR52" s="1242"/>
      <c r="AS52" s="1242"/>
      <c r="AT52" s="1242"/>
      <c r="AU52" s="1242"/>
      <c r="AV52" s="1242"/>
      <c r="AW52" s="406"/>
      <c r="AX52"/>
      <c r="AY52"/>
      <c r="AZ52"/>
      <c r="BA52" s="1239"/>
      <c r="BB52" s="1239"/>
      <c r="BC52" s="1239"/>
      <c r="BD52" s="1239"/>
      <c r="BE52" s="1239"/>
      <c r="BF52" s="1239"/>
      <c r="BG52" s="1239"/>
      <c r="BH52" s="1239"/>
      <c r="BI52" s="1239"/>
      <c r="BJ52" s="1239"/>
      <c r="BK52" s="1239"/>
      <c r="BL52" s="1239"/>
      <c r="BM52" s="1239"/>
      <c r="BN52" s="1239"/>
      <c r="BO52" s="1239"/>
      <c r="BP52" s="1239"/>
      <c r="BQ52" s="1239"/>
      <c r="BR52" s="1239"/>
      <c r="BS52" s="1239"/>
      <c r="BT52" s="1239"/>
      <c r="BU52" s="1239"/>
      <c r="BV52" s="1239"/>
      <c r="BW52" s="1239"/>
      <c r="BX52" s="1239"/>
      <c r="BY52" s="1239"/>
      <c r="BZ52" s="1239"/>
      <c r="CA52" s="1239"/>
      <c r="CB52" s="1239"/>
      <c r="CC52" s="1239"/>
      <c r="CD52" s="1239"/>
      <c r="CE52" s="1239"/>
      <c r="CF52" s="1239"/>
      <c r="CG52" s="1239"/>
      <c r="CH52" s="1239"/>
      <c r="CI52" s="1239"/>
      <c r="CJ52" s="1239"/>
      <c r="CK52" s="1239"/>
      <c r="CL52" s="1239"/>
      <c r="CM52" s="1239"/>
      <c r="CN52" s="1239"/>
      <c r="CO52" s="1239"/>
      <c r="CP52" s="1239"/>
      <c r="CQ52" s="1239"/>
      <c r="CR52" s="1239"/>
      <c r="CS52" s="1239"/>
    </row>
    <row r="53" spans="1:99" ht="18" customHeight="1">
      <c r="B53" s="1242"/>
      <c r="C53" s="1242"/>
      <c r="D53" s="1242"/>
      <c r="E53" s="1242"/>
      <c r="F53" s="1242"/>
      <c r="G53" s="1242"/>
      <c r="H53" s="1242"/>
      <c r="I53" s="1242"/>
      <c r="J53" s="1242"/>
      <c r="K53" s="1242"/>
      <c r="L53" s="1242"/>
      <c r="M53" s="1242"/>
      <c r="N53" s="1242"/>
      <c r="O53" s="1242"/>
      <c r="P53" s="1242"/>
      <c r="Q53" s="1242"/>
      <c r="R53" s="1242"/>
      <c r="S53" s="1242"/>
      <c r="T53" s="1242"/>
      <c r="U53" s="1242"/>
      <c r="V53" s="1242"/>
      <c r="W53" s="1242"/>
      <c r="X53" s="1242"/>
      <c r="Y53" s="1242"/>
      <c r="Z53" s="1242"/>
      <c r="AA53" s="1242"/>
      <c r="AB53" s="1242"/>
      <c r="AC53" s="1242"/>
      <c r="AD53" s="1242"/>
      <c r="AE53" s="1242"/>
      <c r="AF53" s="1242"/>
      <c r="AG53" s="1242"/>
      <c r="AH53" s="1242"/>
      <c r="AI53" s="1242"/>
      <c r="AJ53" s="1242"/>
      <c r="AK53" s="1242"/>
      <c r="AL53" s="1242"/>
      <c r="AM53" s="1242"/>
      <c r="AN53" s="1242"/>
      <c r="AO53" s="1242"/>
      <c r="AP53" s="1242"/>
      <c r="AQ53" s="1242"/>
      <c r="AR53" s="1242"/>
      <c r="AS53" s="1242"/>
      <c r="AT53" s="1242"/>
      <c r="AU53" s="1242"/>
      <c r="AV53" s="1242"/>
      <c r="AW53" s="406"/>
      <c r="AX53"/>
      <c r="AY53"/>
      <c r="AZ53"/>
      <c r="BA53" s="1239"/>
      <c r="BB53" s="1239"/>
      <c r="BC53" s="1239"/>
      <c r="BD53" s="1239"/>
      <c r="BE53" s="1239"/>
      <c r="BF53" s="1239"/>
      <c r="BG53" s="1239"/>
      <c r="BH53" s="1239"/>
      <c r="BI53" s="1239"/>
      <c r="BJ53" s="1239"/>
      <c r="BK53" s="1239"/>
      <c r="BL53" s="1239"/>
      <c r="BM53" s="1239"/>
      <c r="BN53" s="1239"/>
      <c r="BO53" s="1239"/>
      <c r="BP53" s="1239"/>
      <c r="BQ53" s="1239"/>
      <c r="BR53" s="1239"/>
      <c r="BS53" s="1239"/>
      <c r="BT53" s="1239"/>
      <c r="BU53" s="1239"/>
      <c r="BV53" s="1239"/>
      <c r="BW53" s="1239"/>
      <c r="BX53" s="1239"/>
      <c r="BY53" s="1239"/>
      <c r="BZ53" s="1239"/>
      <c r="CA53" s="1239"/>
      <c r="CB53" s="1239"/>
      <c r="CC53" s="1239"/>
      <c r="CD53" s="1239"/>
      <c r="CE53" s="1239"/>
      <c r="CF53" s="1239"/>
      <c r="CG53" s="1239"/>
      <c r="CH53" s="1239"/>
      <c r="CI53" s="1239"/>
      <c r="CJ53" s="1239"/>
      <c r="CK53" s="1239"/>
      <c r="CL53" s="1239"/>
      <c r="CM53" s="1239"/>
      <c r="CN53" s="1239"/>
      <c r="CO53" s="1239"/>
      <c r="CP53" s="1239"/>
      <c r="CQ53" s="1239"/>
      <c r="CR53" s="1239"/>
      <c r="CS53" s="1239"/>
    </row>
    <row r="54" spans="1:99" ht="27.75" hidden="1" customHeight="1">
      <c r="B54" s="1285" t="s">
        <v>445</v>
      </c>
      <c r="C54" s="1286"/>
      <c r="D54" s="1286"/>
      <c r="E54" s="1286"/>
      <c r="F54" s="1286"/>
      <c r="G54" s="1286"/>
      <c r="H54" s="1286"/>
      <c r="I54" s="1286"/>
      <c r="J54" s="1286"/>
      <c r="K54" s="1286"/>
      <c r="L54" s="1286"/>
      <c r="M54" s="1286"/>
      <c r="N54" s="1286"/>
      <c r="O54" s="1286"/>
      <c r="P54" s="1286"/>
      <c r="Q54" s="1286"/>
      <c r="R54" s="1286"/>
      <c r="S54" s="1286"/>
      <c r="T54" s="1286"/>
      <c r="U54" s="1286"/>
      <c r="V54" s="1286"/>
      <c r="W54" s="1286"/>
      <c r="X54" s="1286"/>
      <c r="Y54" s="1286"/>
      <c r="Z54" s="1286"/>
      <c r="AA54" s="1286"/>
      <c r="AB54" s="1286"/>
      <c r="AC54" s="1286"/>
      <c r="AD54" s="1286"/>
      <c r="AE54" s="1286"/>
      <c r="AF54" s="1286"/>
      <c r="AG54" s="1286"/>
      <c r="AH54" s="1286"/>
      <c r="AI54" s="1286"/>
      <c r="AJ54" s="1286"/>
      <c r="AK54" s="1286"/>
      <c r="AL54" s="1286"/>
      <c r="AM54" s="1286"/>
      <c r="AN54" s="1286"/>
      <c r="AO54" s="1286"/>
      <c r="AP54" s="1286"/>
      <c r="AQ54" s="1286"/>
      <c r="AR54" s="1286"/>
      <c r="AS54" s="1286"/>
      <c r="AT54" s="1286"/>
      <c r="AU54" s="1286"/>
      <c r="AV54" s="1286"/>
      <c r="AW54" s="459"/>
      <c r="AX54"/>
      <c r="AY54"/>
      <c r="AZ54"/>
      <c r="BA54" s="1239"/>
      <c r="BB54" s="1239"/>
      <c r="BC54" s="1239"/>
      <c r="BD54" s="1239"/>
      <c r="BE54" s="1239"/>
      <c r="BF54" s="1239"/>
      <c r="BG54" s="1239"/>
      <c r="BH54" s="1239"/>
      <c r="BI54" s="1239"/>
      <c r="BJ54" s="1239"/>
      <c r="BK54" s="1239"/>
      <c r="BL54" s="1239"/>
      <c r="BM54" s="1239"/>
      <c r="BN54" s="1239"/>
      <c r="BO54" s="1239"/>
      <c r="BP54" s="1239"/>
      <c r="BQ54" s="1239"/>
      <c r="BR54" s="1239"/>
      <c r="BS54" s="1239"/>
      <c r="BT54" s="1239"/>
      <c r="BU54" s="1239"/>
      <c r="BV54" s="1239"/>
      <c r="BW54" s="1239"/>
      <c r="BX54" s="1239"/>
      <c r="BY54" s="1239"/>
      <c r="BZ54" s="1239"/>
      <c r="CA54" s="1239"/>
      <c r="CB54" s="1239"/>
      <c r="CC54" s="1239"/>
      <c r="CD54" s="1239"/>
      <c r="CE54" s="1239"/>
      <c r="CF54" s="1239"/>
      <c r="CG54" s="1239"/>
      <c r="CH54" s="1239"/>
      <c r="CI54" s="1239"/>
      <c r="CJ54" s="1239"/>
      <c r="CK54" s="1239"/>
      <c r="CL54" s="1239"/>
      <c r="CM54" s="1239"/>
      <c r="CN54" s="1239"/>
      <c r="CO54" s="1239"/>
      <c r="CP54" s="1239"/>
      <c r="CQ54" s="1239"/>
      <c r="CR54" s="1239"/>
      <c r="CS54" s="1239"/>
      <c r="CT54" s="450"/>
      <c r="CU54" s="450"/>
    </row>
    <row r="55" spans="1:99" ht="19.5" customHeight="1">
      <c r="B55" s="455" t="s">
        <v>404</v>
      </c>
      <c r="C55" s="455"/>
      <c r="D55" s="455"/>
      <c r="E55" s="455"/>
      <c r="F55" s="455"/>
      <c r="G55" s="1213"/>
      <c r="H55" s="1213"/>
      <c r="I55" s="1213"/>
      <c r="J55" s="1213"/>
      <c r="K55" s="1213"/>
      <c r="L55" s="1213"/>
      <c r="M55" s="1213"/>
      <c r="N55" s="1213"/>
      <c r="O55" s="1213"/>
      <c r="P55" s="1213"/>
      <c r="Q55" s="1213"/>
      <c r="R55" s="1213"/>
      <c r="S55" s="1213"/>
      <c r="T55" s="1213"/>
      <c r="W55" s="455"/>
      <c r="X55" s="456" t="s">
        <v>405</v>
      </c>
      <c r="Y55" s="455"/>
      <c r="Z55" s="455"/>
      <c r="AA55" s="455"/>
      <c r="AB55" s="455"/>
      <c r="AC55" s="455"/>
      <c r="AD55" s="455"/>
      <c r="AE55" s="455"/>
      <c r="AF55" s="455"/>
      <c r="AG55" s="1215"/>
      <c r="AH55" s="1215"/>
      <c r="AI55" s="1215"/>
      <c r="AJ55" s="1215"/>
      <c r="AK55" s="1215"/>
      <c r="AL55" s="1215"/>
      <c r="AM55" s="1215"/>
      <c r="AN55" s="1215"/>
      <c r="AO55" s="1215"/>
      <c r="AP55" s="1215"/>
      <c r="AQ55" s="1215"/>
      <c r="AR55" s="1215"/>
      <c r="AS55" s="1215"/>
      <c r="AT55" s="1215"/>
      <c r="AX55"/>
      <c r="AY55"/>
      <c r="AZ55"/>
      <c r="BA55"/>
      <c r="BB55" s="450"/>
      <c r="BC55" s="450"/>
      <c r="BD55" s="450"/>
      <c r="BE55" s="450"/>
      <c r="BF55" s="450"/>
      <c r="BG55" s="450"/>
      <c r="BH55" s="450"/>
      <c r="BI55" s="450"/>
      <c r="BJ55" s="450"/>
      <c r="BK55" s="450"/>
      <c r="BL55" s="450"/>
      <c r="BM55" s="450"/>
      <c r="BN55" s="450"/>
      <c r="BO55" s="450"/>
      <c r="BP55" s="450"/>
      <c r="BQ55" s="450"/>
      <c r="BR55" s="450"/>
      <c r="BS55" s="450"/>
      <c r="BT55" s="450"/>
      <c r="BU55" s="450"/>
      <c r="BV55" s="450"/>
      <c r="BW55" s="450"/>
      <c r="BX55" s="450"/>
      <c r="BY55" s="450"/>
      <c r="BZ55" s="450"/>
      <c r="CA55" s="450"/>
      <c r="CB55" s="450"/>
      <c r="CC55" s="450"/>
      <c r="CD55" s="450"/>
      <c r="CE55" s="450"/>
      <c r="CF55" s="450"/>
      <c r="CG55" s="450"/>
      <c r="CH55" s="450"/>
      <c r="CI55" s="450"/>
      <c r="CJ55" s="450"/>
      <c r="CK55" s="450"/>
      <c r="CL55" s="450"/>
      <c r="CM55" s="450"/>
      <c r="CN55" s="450"/>
      <c r="CO55" s="450"/>
      <c r="CP55" s="450"/>
      <c r="CQ55" s="450"/>
      <c r="CR55" s="450"/>
      <c r="CS55" s="450"/>
      <c r="CT55" s="450"/>
      <c r="CU55" s="450"/>
    </row>
    <row r="56" spans="1:99" ht="18.75" customHeight="1">
      <c r="G56" s="34"/>
      <c r="H56" s="34"/>
      <c r="I56" s="1214" t="str">
        <f>VLOOKUP('Registo Calibração'!AV$112,'Registo Calibração'!AT$102:$AU$108,2)</f>
        <v>Pedro Carvalho</v>
      </c>
      <c r="J56" s="1214"/>
      <c r="K56" s="1214"/>
      <c r="L56" s="1214"/>
      <c r="M56" s="1214"/>
      <c r="N56" s="1214"/>
      <c r="O56" s="1214"/>
      <c r="P56" s="1214"/>
      <c r="Q56" s="1214"/>
      <c r="R56" s="1214"/>
      <c r="S56" s="457"/>
      <c r="T56" s="457"/>
      <c r="U56" s="458"/>
      <c r="V56" s="458"/>
      <c r="W56" s="458"/>
      <c r="X56" s="458"/>
      <c r="Y56" s="458"/>
      <c r="Z56" s="458"/>
      <c r="AA56" s="458"/>
      <c r="AB56" s="458"/>
      <c r="AC56" s="458"/>
      <c r="AD56" s="458"/>
      <c r="AE56" s="458"/>
      <c r="AF56" s="458"/>
      <c r="AG56" s="457"/>
      <c r="AH56" s="457"/>
      <c r="AI56" s="1214" t="s">
        <v>96</v>
      </c>
      <c r="AJ56" s="1214"/>
      <c r="AK56" s="1214"/>
      <c r="AL56" s="1214"/>
      <c r="AM56" s="1214"/>
      <c r="AN56" s="1214"/>
      <c r="AO56" s="1214"/>
      <c r="AP56" s="1214"/>
      <c r="AQ56" s="1214"/>
      <c r="AR56" s="1214"/>
      <c r="AS56" s="34"/>
      <c r="AT56" s="34"/>
      <c r="AW56" s="406"/>
      <c r="AX56"/>
      <c r="AY56"/>
      <c r="AZ56"/>
    </row>
    <row r="57" spans="1:99" ht="14.25" customHeight="1">
      <c r="A57" s="1246"/>
      <c r="B57" s="1246"/>
      <c r="C57" s="1246"/>
      <c r="D57" s="1246"/>
      <c r="E57" s="1246"/>
      <c r="F57" s="1246"/>
      <c r="G57" s="1246"/>
      <c r="H57" s="1246"/>
      <c r="I57" s="1246"/>
      <c r="J57" s="1246"/>
      <c r="K57" s="1246"/>
      <c r="L57" s="1246"/>
      <c r="M57" s="1246"/>
      <c r="N57" s="1246"/>
      <c r="O57" s="1246"/>
      <c r="P57" s="1246"/>
      <c r="Q57" s="1246"/>
      <c r="R57" s="1246"/>
      <c r="S57" s="1246"/>
      <c r="T57" s="1246"/>
      <c r="U57" s="1246"/>
      <c r="V57" s="1246"/>
      <c r="W57" s="1246"/>
      <c r="X57" s="1246"/>
      <c r="Y57" s="1246"/>
      <c r="Z57" s="1246"/>
      <c r="AA57" s="1246"/>
      <c r="AB57" s="1246"/>
      <c r="AC57" s="1246"/>
      <c r="AD57" s="1246"/>
      <c r="AE57" s="1246"/>
      <c r="AF57" s="1246"/>
      <c r="AG57" s="1246"/>
      <c r="AH57" s="1246"/>
      <c r="AI57" s="1246"/>
      <c r="AJ57" s="1246"/>
      <c r="AK57" s="1246"/>
      <c r="AL57" s="1246"/>
      <c r="AM57" s="1246"/>
      <c r="AN57" s="1246"/>
      <c r="AO57" s="1246"/>
      <c r="AP57" s="1246"/>
      <c r="AQ57" s="1246"/>
      <c r="AR57" s="1246"/>
      <c r="AS57" s="1246"/>
      <c r="AT57" s="1246"/>
      <c r="AU57" s="1246"/>
      <c r="AV57" s="1246"/>
      <c r="AW57" s="1246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</row>
    <row r="58" spans="1:99" ht="53.25" customHeight="1">
      <c r="A58" s="281"/>
      <c r="B58" s="281"/>
      <c r="C58" s="281"/>
      <c r="D58" s="281"/>
      <c r="E58" s="281"/>
      <c r="F58" s="281"/>
      <c r="G58" s="281"/>
      <c r="H58" s="281"/>
      <c r="I58" s="281"/>
      <c r="J58" s="281"/>
      <c r="K58" s="281"/>
      <c r="L58" s="281"/>
      <c r="M58" s="281"/>
      <c r="N58" s="281"/>
      <c r="O58" s="753"/>
      <c r="P58" s="753"/>
      <c r="Q58" s="753"/>
      <c r="R58" s="753"/>
      <c r="S58" s="753"/>
      <c r="T58" s="753"/>
      <c r="U58" s="753"/>
      <c r="V58" s="753"/>
      <c r="W58" s="753"/>
      <c r="X58" s="753"/>
      <c r="Y58" s="754"/>
      <c r="Z58" s="754"/>
      <c r="AA58" s="754"/>
      <c r="AB58" s="754"/>
      <c r="AC58" s="281"/>
      <c r="AD58" s="281"/>
      <c r="AE58" s="281"/>
      <c r="AF58" s="281"/>
      <c r="AG58" s="281"/>
      <c r="AH58" s="281"/>
      <c r="AI58" s="281"/>
      <c r="AJ58" s="281"/>
      <c r="AK58" s="281"/>
      <c r="AL58" s="281"/>
      <c r="AM58" s="281"/>
      <c r="AN58" s="281"/>
      <c r="AO58" s="281"/>
      <c r="AP58" s="281"/>
      <c r="AQ58" s="281"/>
      <c r="AR58" s="281"/>
      <c r="AS58" s="281"/>
      <c r="AT58" s="281"/>
      <c r="AU58" s="281"/>
      <c r="AV58" s="281"/>
      <c r="AW58" s="755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</row>
  </sheetData>
  <mergeCells count="50">
    <mergeCell ref="H48:L48"/>
    <mergeCell ref="X48:AB48"/>
    <mergeCell ref="M48:P48"/>
    <mergeCell ref="AC48:AF48"/>
    <mergeCell ref="B2:S2"/>
    <mergeCell ref="W2:AI3"/>
    <mergeCell ref="B3:P3"/>
    <mergeCell ref="B4:F4"/>
    <mergeCell ref="G4:O4"/>
    <mergeCell ref="W4:AI4"/>
    <mergeCell ref="B6:F6"/>
    <mergeCell ref="G6:O6"/>
    <mergeCell ref="B7:K7"/>
    <mergeCell ref="B8:AF8"/>
    <mergeCell ref="AG8:AN8"/>
    <mergeCell ref="O22:AV22"/>
    <mergeCell ref="G55:T55"/>
    <mergeCell ref="AG55:AT55"/>
    <mergeCell ref="I56:R56"/>
    <mergeCell ref="AI56:AR56"/>
    <mergeCell ref="A57:AW57"/>
    <mergeCell ref="O49:AV50"/>
    <mergeCell ref="B51:AV51"/>
    <mergeCell ref="BA51:CS54"/>
    <mergeCell ref="B52:AV53"/>
    <mergeCell ref="B54:AV54"/>
    <mergeCell ref="BA45:BJ45"/>
    <mergeCell ref="BA46:BJ46"/>
    <mergeCell ref="BA43:BJ43"/>
    <mergeCell ref="BA44:BJ44"/>
    <mergeCell ref="BA41:BJ41"/>
    <mergeCell ref="BA42:BJ42"/>
    <mergeCell ref="BA39:BJ39"/>
    <mergeCell ref="BA40:BJ40"/>
    <mergeCell ref="BA37:BJ37"/>
    <mergeCell ref="BA38:BJ38"/>
    <mergeCell ref="BA34:BJ34"/>
    <mergeCell ref="BA35:BJ35"/>
    <mergeCell ref="BA36:BJ36"/>
    <mergeCell ref="O23:AV23"/>
    <mergeCell ref="AK25:AP25"/>
    <mergeCell ref="AR25:AV25"/>
    <mergeCell ref="B24:AV24"/>
    <mergeCell ref="B5:E5"/>
    <mergeCell ref="AO8:AV8"/>
    <mergeCell ref="AY14:BF14"/>
    <mergeCell ref="AY15:BC15"/>
    <mergeCell ref="O16:Y16"/>
    <mergeCell ref="O21:AV21"/>
    <mergeCell ref="B11:E11"/>
  </mergeCells>
  <printOptions horizontalCentered="1" verticalCentered="1"/>
  <pageMargins left="0.46" right="0.37" top="0.19685039370078741" bottom="0.37" header="0" footer="0.23"/>
  <pageSetup paperSize="9" scale="85" orientation="portrait" r:id="rId1"/>
  <headerFooter alignWithMargins="0">
    <oddFooter>&amp;L&amp;8ILAB 002.00</oddFoot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525F8-9DD9-4340-896C-4A8E79AA185B}">
  <sheetPr codeName="Folha1">
    <tabColor rgb="FF92D050"/>
  </sheetPr>
  <dimension ref="H11:Q25"/>
  <sheetViews>
    <sheetView topLeftCell="B1" workbookViewId="0">
      <selection activeCell="L23" sqref="L23"/>
    </sheetView>
  </sheetViews>
  <sheetFormatPr defaultRowHeight="12.75"/>
  <cols>
    <col min="15" max="15" width="16.42578125" customWidth="1"/>
  </cols>
  <sheetData>
    <row r="11" spans="8:17">
      <c r="H11" s="37"/>
      <c r="I11" s="37"/>
      <c r="N11" s="37" t="s">
        <v>24</v>
      </c>
      <c r="O11" s="37" t="s">
        <v>606</v>
      </c>
      <c r="P11" s="37" t="s">
        <v>607</v>
      </c>
    </row>
    <row r="12" spans="8:17">
      <c r="N12" s="779">
        <v>5</v>
      </c>
      <c r="O12">
        <f>3*10^-6*N12+0.03</f>
        <v>3.0015E-2</v>
      </c>
      <c r="P12" t="str">
        <f>IF(0.058&lt;=O12,"NOK","OK")</f>
        <v>OK</v>
      </c>
      <c r="Q12">
        <v>5</v>
      </c>
    </row>
    <row r="13" spans="8:17">
      <c r="N13">
        <v>20</v>
      </c>
      <c r="O13">
        <f>3*10^-6*N13+0.03</f>
        <v>3.006E-2</v>
      </c>
      <c r="P13" t="str">
        <f>IF(0.083&lt;=O13,"NOK","OK")</f>
        <v>OK</v>
      </c>
    </row>
    <row r="15" spans="8:17">
      <c r="N15">
        <v>20.000000100000001</v>
      </c>
      <c r="O15">
        <f>0.00032%*N15</f>
        <v>6.4000000320000005E-5</v>
      </c>
      <c r="Q15">
        <v>1000</v>
      </c>
    </row>
    <row r="16" spans="8:17">
      <c r="N16" s="779">
        <v>1000</v>
      </c>
      <c r="O16">
        <f>0.00032%*N16</f>
        <v>3.2000000000000002E-3</v>
      </c>
      <c r="P16" t="str">
        <f>IF(0.084&lt;=O16,"NOK","OK")</f>
        <v>OK</v>
      </c>
      <c r="Q16">
        <v>2000</v>
      </c>
    </row>
    <row r="17" spans="12:17">
      <c r="N17" s="779">
        <v>2000</v>
      </c>
      <c r="O17">
        <f>0.0005%*N17</f>
        <v>0.01</v>
      </c>
      <c r="P17" t="str">
        <f>IF(0.085&lt;=O17,"NOK","OK")</f>
        <v>OK</v>
      </c>
      <c r="Q17">
        <v>5000</v>
      </c>
    </row>
    <row r="18" spans="12:17">
      <c r="N18" s="779">
        <v>5000</v>
      </c>
      <c r="O18">
        <f>0.0005%*N18</f>
        <v>2.5000000000000001E-2</v>
      </c>
      <c r="P18" t="str">
        <f>IF(0.093&lt;=O18,"NOK","OK")</f>
        <v>OK</v>
      </c>
      <c r="Q18">
        <v>10000</v>
      </c>
    </row>
    <row r="19" spans="12:17">
      <c r="N19">
        <v>20000</v>
      </c>
      <c r="O19">
        <f>0.0005%*N19</f>
        <v>0.1</v>
      </c>
      <c r="P19" t="str">
        <f>IF(0.19&lt;=O19,"NOK","OK")</f>
        <v>OK</v>
      </c>
      <c r="Q19">
        <v>20000</v>
      </c>
    </row>
    <row r="20" spans="12:17">
      <c r="N20">
        <v>40000.1</v>
      </c>
      <c r="O20">
        <f>0.0042%*N20</f>
        <v>1.6800041999999999</v>
      </c>
      <c r="Q20">
        <v>50000</v>
      </c>
    </row>
    <row r="21" spans="12:17">
      <c r="N21">
        <v>50000</v>
      </c>
      <c r="O21">
        <f>0.0042%*N21</f>
        <v>2.1</v>
      </c>
      <c r="P21" s="780" t="str">
        <f>IF(0.9&lt;=O21,"NOK","OK")</f>
        <v>NOK</v>
      </c>
    </row>
    <row r="23" spans="12:17">
      <c r="L23">
        <f>0.0042%*50</f>
        <v>2.0999999999999999E-3</v>
      </c>
    </row>
    <row r="24" spans="12:17">
      <c r="Q24">
        <f>12000*0.03</f>
        <v>360</v>
      </c>
    </row>
    <row r="25" spans="12:17">
      <c r="Q25">
        <f>10000*0.03</f>
        <v>300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8</vt:i4>
      </vt:variant>
      <vt:variant>
        <vt:lpstr>Intervalos com Nome</vt:lpstr>
      </vt:variant>
      <vt:variant>
        <vt:i4>7</vt:i4>
      </vt:variant>
    </vt:vector>
  </HeadingPairs>
  <TitlesOfParts>
    <vt:vector size="15" baseType="lpstr">
      <vt:lpstr>Registo Calibração</vt:lpstr>
      <vt:lpstr>2º MR-MI</vt:lpstr>
      <vt:lpstr>3º MR-MI</vt:lpstr>
      <vt:lpstr>Cert 1Esc até 8P</vt:lpstr>
      <vt:lpstr>Cert 2 Escalas até 8P</vt:lpstr>
      <vt:lpstr>Cert 3 Escalas até 8P</vt:lpstr>
      <vt:lpstr>Anexo Cert Bal Quadrante</vt:lpstr>
      <vt:lpstr>Folha1</vt:lpstr>
      <vt:lpstr>'2º MR-MI'!Área_de_Impressão</vt:lpstr>
      <vt:lpstr>'3º MR-MI'!Área_de_Impressão</vt:lpstr>
      <vt:lpstr>'Anexo Cert Bal Quadrante'!Área_de_Impressão</vt:lpstr>
      <vt:lpstr>'Cert 1Esc até 8P'!Área_de_Impressão</vt:lpstr>
      <vt:lpstr>'Cert 2 Escalas até 8P'!Área_de_Impressão</vt:lpstr>
      <vt:lpstr>'Cert 3 Escalas até 8P'!Área_de_Impressão</vt:lpstr>
      <vt:lpstr>'Registo Calibração'!Área_de_Impressão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Calibração Balanças</dc:title>
  <dc:subject>Calculo Incerteza com Emissão Certificado Calibração</dc:subject>
  <dc:creator>Nadir Baptista</dc:creator>
  <cp:lastModifiedBy>Nadir Baptista</cp:lastModifiedBy>
  <cp:revision>0</cp:revision>
  <cp:lastPrinted>2022-05-10T17:43:26Z</cp:lastPrinted>
  <dcterms:created xsi:type="dcterms:W3CDTF">2000-11-01T14:09:44Z</dcterms:created>
  <dcterms:modified xsi:type="dcterms:W3CDTF">2022-09-07T12:29:24Z</dcterms:modified>
</cp:coreProperties>
</file>