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200" windowHeight="8250"/>
  </bookViews>
  <sheets>
    <sheet name="Data_base_case" sheetId="79" r:id="rId1"/>
    <sheet name="Selected_units" sheetId="82" r:id="rId2"/>
    <sheet name="Scenarios_definition" sheetId="80" r:id="rId3"/>
    <sheet name="Scenarios" sheetId="8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80" l="1"/>
  <c r="E11" i="80"/>
  <c r="E12" i="80"/>
  <c r="E13" i="80"/>
  <c r="E14" i="80"/>
  <c r="E15" i="80"/>
  <c r="E16" i="80"/>
  <c r="E17" i="80"/>
  <c r="E18" i="80"/>
  <c r="E19" i="80"/>
  <c r="E20" i="80"/>
  <c r="E2" i="80"/>
  <c r="E3" i="80"/>
  <c r="E4" i="80"/>
  <c r="E5" i="80"/>
  <c r="E6" i="80"/>
  <c r="E7" i="80"/>
  <c r="E8" i="80"/>
  <c r="E9" i="80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F3" i="79"/>
  <c r="C15" i="79" l="1"/>
  <c r="C16" i="79"/>
  <c r="C13" i="79"/>
  <c r="D3" i="82"/>
  <c r="C3" i="82"/>
  <c r="C5" i="80" l="1"/>
  <c r="C3" i="80"/>
  <c r="I25" i="88" l="1"/>
  <c r="I24" i="88"/>
  <c r="I23" i="88"/>
  <c r="I22" i="88"/>
  <c r="I21" i="88"/>
  <c r="I20" i="88"/>
  <c r="I19" i="88"/>
  <c r="I18" i="88"/>
  <c r="I17" i="88"/>
  <c r="I16" i="88"/>
  <c r="I15" i="88"/>
  <c r="I14" i="88"/>
  <c r="I13" i="88"/>
  <c r="I12" i="88"/>
  <c r="I11" i="88"/>
  <c r="I10" i="88"/>
  <c r="I9" i="88"/>
  <c r="I8" i="88"/>
  <c r="E36" i="79" l="1"/>
  <c r="E35" i="79"/>
  <c r="E34" i="79"/>
  <c r="E33" i="79"/>
  <c r="E32" i="79"/>
  <c r="E31" i="79"/>
  <c r="C31" i="79"/>
  <c r="B31" i="79"/>
  <c r="E30" i="79"/>
  <c r="C30" i="79"/>
  <c r="B30" i="79"/>
  <c r="E29" i="79"/>
  <c r="C29" i="79"/>
  <c r="B29" i="79"/>
  <c r="E28" i="79"/>
  <c r="C28" i="79"/>
  <c r="B28" i="79"/>
  <c r="E27" i="79"/>
  <c r="C27" i="79"/>
  <c r="B27" i="79"/>
  <c r="E26" i="79"/>
  <c r="C26" i="79"/>
  <c r="B26" i="79"/>
  <c r="E25" i="79"/>
  <c r="C25" i="79"/>
  <c r="B25" i="79"/>
  <c r="E24" i="79"/>
  <c r="C24" i="79"/>
  <c r="B24" i="79"/>
  <c r="E23" i="79"/>
  <c r="C23" i="79"/>
  <c r="B23" i="79"/>
  <c r="E22" i="79"/>
  <c r="C22" i="79"/>
  <c r="B22" i="79"/>
  <c r="E21" i="79"/>
  <c r="C21" i="79"/>
  <c r="B21" i="79"/>
  <c r="E20" i="79"/>
  <c r="C20" i="79"/>
  <c r="B20" i="79"/>
  <c r="E19" i="79"/>
  <c r="E18" i="79"/>
  <c r="C18" i="79"/>
  <c r="E17" i="79"/>
  <c r="E16" i="79"/>
  <c r="E15" i="79"/>
  <c r="I12" i="79"/>
  <c r="E12" i="79"/>
  <c r="E14" i="79"/>
  <c r="E13" i="79"/>
  <c r="E11" i="79"/>
  <c r="C11" i="79"/>
  <c r="I10" i="79"/>
  <c r="E10" i="79"/>
  <c r="I9" i="79"/>
  <c r="E9" i="79"/>
  <c r="E8" i="79"/>
  <c r="C8" i="79"/>
  <c r="I7" i="79"/>
  <c r="H7" i="79"/>
  <c r="E7" i="79"/>
  <c r="I6" i="79"/>
  <c r="H6" i="79"/>
  <c r="E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F4" i="79"/>
  <c r="G2" i="79"/>
  <c r="G4" i="79" s="1"/>
  <c r="C2" i="80" l="1"/>
  <c r="B34" i="82" l="1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A25" i="88" l="1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D4" i="80" l="1"/>
  <c r="D3" i="80"/>
  <c r="D5" i="80"/>
  <c r="C7" i="80"/>
  <c r="C8" i="80"/>
  <c r="C9" i="80"/>
  <c r="C10" i="80"/>
  <c r="C11" i="80"/>
  <c r="C12" i="80"/>
  <c r="C13" i="80"/>
  <c r="C14" i="80"/>
  <c r="C15" i="80"/>
  <c r="C16" i="80"/>
  <c r="C17" i="80"/>
  <c r="C18" i="80"/>
  <c r="C19" i="80"/>
  <c r="C20" i="80"/>
  <c r="D6" i="80"/>
  <c r="H5" i="80" l="1"/>
  <c r="H3" i="80"/>
  <c r="D8" i="80" l="1"/>
  <c r="H8" i="80" s="1"/>
  <c r="D9" i="80"/>
  <c r="H9" i="80" s="1"/>
  <c r="D10" i="80"/>
  <c r="H10" i="80" s="1"/>
  <c r="D11" i="80"/>
  <c r="H11" i="80" s="1"/>
  <c r="D12" i="80"/>
  <c r="H12" i="80" s="1"/>
  <c r="D13" i="80"/>
  <c r="H13" i="80" s="1"/>
  <c r="D14" i="80"/>
  <c r="H14" i="80" s="1"/>
  <c r="D15" i="80"/>
  <c r="D16" i="80"/>
  <c r="H16" i="80" s="1"/>
  <c r="D17" i="80"/>
  <c r="H17" i="80" s="1"/>
  <c r="D18" i="80"/>
  <c r="H18" i="80" s="1"/>
  <c r="D19" i="80"/>
  <c r="H19" i="80" s="1"/>
  <c r="D20" i="80"/>
  <c r="H20" i="80" s="1"/>
  <c r="D7" i="80"/>
  <c r="H15" i="80" l="1"/>
  <c r="D2" i="80"/>
  <c r="H2" i="80" l="1"/>
  <c r="A4" i="82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0" i="82" s="1"/>
  <c r="A31" i="82" s="1"/>
  <c r="A32" i="82" s="1"/>
  <c r="A33" i="82" s="1"/>
  <c r="A34" i="82" s="1"/>
  <c r="H6" i="80" l="1"/>
  <c r="H4" i="80"/>
  <c r="H7" i="80"/>
  <c r="C29" i="82"/>
  <c r="D29" i="82"/>
  <c r="C30" i="82"/>
  <c r="D30" i="82"/>
  <c r="C8" i="82"/>
  <c r="D8" i="82"/>
  <c r="C7" i="82"/>
  <c r="D7" i="82"/>
  <c r="C5" i="82"/>
  <c r="D5" i="82"/>
  <c r="D9" i="82" s="1"/>
  <c r="C4" i="82"/>
  <c r="C9" i="82" s="1"/>
  <c r="D4" i="82"/>
</calcChain>
</file>

<file path=xl/sharedStrings.xml><?xml version="1.0" encoding="utf-8"?>
<sst xmlns="http://schemas.openxmlformats.org/spreadsheetml/2006/main" count="356" uniqueCount="162">
  <si>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</si>
  <si>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</si>
  <si>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</si>
  <si>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</si>
  <si>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</si>
  <si>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</si>
  <si>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Subsets</t>
  </si>
  <si>
    <t>Subsets_2</t>
  </si>
  <si>
    <t>Type of units</t>
  </si>
  <si>
    <t>Line/Column index</t>
  </si>
  <si>
    <t>Non-electrical</t>
  </si>
  <si>
    <t>-</t>
  </si>
  <si>
    <t>H2O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</si>
  <si>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</si>
  <si>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</si>
  <si>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</si>
  <si>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</si>
  <si>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</si>
  <si>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</si>
  <si>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</si>
  <si>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</si>
  <si>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Power_from_the_grid</t>
  </si>
  <si>
    <t>Power_to_the_grid</t>
  </si>
  <si>
    <t>Electricity_to_batteries</t>
  </si>
  <si>
    <t>Electricity_from_batteries</t>
  </si>
  <si>
    <t>Electricity_stored</t>
  </si>
  <si>
    <t>PU_Grid_in</t>
  </si>
  <si>
    <t>PU_Grid_out</t>
  </si>
  <si>
    <t>Heat_in</t>
  </si>
  <si>
    <t>Heat_out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</si>
  <si>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</si>
  <si>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</si>
  <si>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</si>
  <si>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</si>
  <si>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</si>
  <si>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</si>
  <si>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</si>
  <si>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Electricity from the grid</t>
  </si>
  <si>
    <t>Electricity to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</si>
  <si>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</si>
  <si>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</si>
  <si>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</si>
  <si>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</si>
  <si>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</si>
  <si>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</si>
  <si>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</si>
  <si>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</si>
  <si>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</si>
  <si>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</si>
  <si>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</si>
  <si>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</si>
  <si>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</si>
  <si>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</si>
  <si>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</si>
  <si>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</si>
  <si>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</si>
  <si>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</si>
  <si>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</si>
  <si>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</si>
  <si>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</si>
  <si>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</si>
  <si>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</si>
  <si>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</si>
  <si>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</si>
  <si>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</si>
  <si>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</si>
  <si>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</si>
  <si>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</si>
  <si>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</si>
  <si>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</si>
  <si>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Electrolyser AEC</t>
  </si>
  <si>
    <t>Yearly demand (kg fuel)</t>
  </si>
  <si>
    <t>Fuel production rate (kg output/kg input)</t>
  </si>
  <si>
    <t>Heat generated (kWh/output)</t>
  </si>
  <si>
    <t>Load min (% of max capacity)</t>
  </si>
  <si>
    <t>Load max (% of max capacity)</t>
  </si>
  <si>
    <t>Ramp up (% of capacity /h)</t>
  </si>
  <si>
    <t>Ramp down (% of capacity /h)</t>
  </si>
  <si>
    <t>Electrical consumption (kWh/output)</t>
  </si>
  <si>
    <t>Investment (€/Capacity installed)</t>
  </si>
  <si>
    <t>Variable cost (€/Output)</t>
  </si>
  <si>
    <t>Fuel selling price (€/output)</t>
  </si>
  <si>
    <t>Annuity factor</t>
  </si>
  <si>
    <t>AEC</t>
  </si>
  <si>
    <t>NH3-AEC</t>
  </si>
  <si>
    <t>NH3-SOEC</t>
  </si>
  <si>
    <t>H2_from_AEC</t>
  </si>
  <si>
    <t>Electrolyser SOEC</t>
  </si>
  <si>
    <t>NH3 plant + ASU - AEC</t>
  </si>
  <si>
    <t>NH3 plant + ASU - SOEC</t>
  </si>
  <si>
    <t>H2_from_SOEC</t>
  </si>
  <si>
    <t>Parameter changed</t>
  </si>
  <si>
    <t>Year</t>
  </si>
  <si>
    <t>New value</t>
  </si>
  <si>
    <t>Old value</t>
  </si>
  <si>
    <t>Year--&gt;</t>
  </si>
  <si>
    <t>SOEC</t>
  </si>
  <si>
    <t>Scenario number</t>
  </si>
  <si>
    <t>Location</t>
  </si>
  <si>
    <t>Fuel</t>
  </si>
  <si>
    <t>Electrolyser</t>
  </si>
  <si>
    <t>Input data sheet</t>
  </si>
  <si>
    <t>Profile name</t>
  </si>
  <si>
    <t>Result folder name</t>
  </si>
  <si>
    <t>Ramping</t>
  </si>
  <si>
    <t>No negative elec price</t>
  </si>
  <si>
    <t>Flows</t>
  </si>
  <si>
    <t>NH3</t>
  </si>
  <si>
    <t>Arica</t>
  </si>
  <si>
    <t>Fuel buying price (€/output)</t>
  </si>
  <si>
    <t xml:space="preserve">Fuel </t>
  </si>
  <si>
    <t>Configuration</t>
  </si>
  <si>
    <t>Fixed heat sale</t>
  </si>
  <si>
    <t>Fixed oxygen sale</t>
  </si>
  <si>
    <t>Min_demand</t>
  </si>
  <si>
    <t>Used (1 or 0)</t>
  </si>
  <si>
    <t>Product</t>
  </si>
  <si>
    <t>Year old value</t>
  </si>
  <si>
    <t>Year new value</t>
  </si>
  <si>
    <t>Data_base_case</t>
  </si>
  <si>
    <t>Type of units for change</t>
  </si>
  <si>
    <t>Scenarios definition</t>
  </si>
  <si>
    <t>Scenario name definition</t>
  </si>
  <si>
    <t>Unit tag</t>
  </si>
  <si>
    <t>Esbjerg</t>
  </si>
  <si>
    <t>Ceduna</t>
  </si>
  <si>
    <t>See Scenarios_definition</t>
  </si>
  <si>
    <t>Options available</t>
  </si>
  <si>
    <t>Any data sheet</t>
  </si>
  <si>
    <t>Location_year</t>
  </si>
  <si>
    <t>Any name</t>
  </si>
  <si>
    <t>Results to write</t>
  </si>
  <si>
    <t>Islanded</t>
  </si>
  <si>
    <t>Islanded_flex</t>
  </si>
  <si>
    <t>Islanded_nonflex</t>
  </si>
  <si>
    <t>FullyConnected</t>
  </si>
  <si>
    <t>Semi-islanded</t>
  </si>
  <si>
    <t>Scenario</t>
  </si>
  <si>
    <t>Scenario name</t>
  </si>
  <si>
    <t>Name of the scenario in the output csv file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</si>
  <si>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</si>
  <si>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</si>
  <si>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</si>
  <si>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</si>
  <si>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</si>
  <si>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</si>
  <si>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</si>
  <si>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</si>
  <si>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Behind-meter</t>
  </si>
  <si>
    <t>Mixed</t>
  </si>
  <si>
    <t>Fixed cost (€/Capacity installed/y)</t>
  </si>
  <si>
    <t>Results_main</t>
  </si>
  <si>
    <t>wind/solar</t>
  </si>
  <si>
    <t>wind+</t>
  </si>
  <si>
    <t>solar+</t>
  </si>
  <si>
    <t>Compared to the base case</t>
  </si>
  <si>
    <t>Grid connected</t>
  </si>
  <si>
    <t>Reactant1</t>
  </si>
  <si>
    <t>Product/Reactant2</t>
  </si>
  <si>
    <t>Reactant3</t>
  </si>
  <si>
    <t>Heat_sell</t>
  </si>
  <si>
    <t>O2_sell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</si>
</sst>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 applyAlignment="1">
      <alignment horizontal="center" vertical="center" wrapText="1"/>
    </xf>
    <xf numFmtId="0" fontId="2" fillId="0" borderId="0" xfId="0" applyFont="1" applyFill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0" fillId="0" borderId="2" xfId="0" applyBorder="1"/>
    <xf numFmtId="0" fontId="3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8" fillId="3" borderId="0" xfId="0" applyFont="1" applyFill="1" applyAlignment="1"/>
    <xf numFmtId="0" fontId="5" fillId="0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/>
    <xf numFmtId="0" fontId="0" fillId="0" borderId="0" xfId="1" quotePrefix="1" applyNumberFormat="1" applyFo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NumberForma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0" fontId="0" fillId="0" borderId="0" xfId="0" applyNumberFormat="1" applyFill="1"/>
    <xf numFmtId="9" fontId="0" fillId="0" borderId="0" xfId="1" applyFont="1" applyFill="1"/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/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workbookViewId="0">
      <pane xSplit="5" ySplit="5" topLeftCell="W18" activePane="bottomRight" state="frozen"/>
      <selection pane="topRight" activeCell="F1" sqref="F1"/>
      <selection pane="bottomLeft" activeCell="A12" sqref="A12"/>
      <selection pane="bottomRight" activeCell="C24" sqref="C24"/>
    </sheetView>
  </sheetViews>
  <sheetFormatPr defaultColWidth="8.7265625" defaultRowHeight="14.5" x14ac:dyDescent="0.35"/>
  <cols>
    <col min="1" max="1" width="5.08984375" customWidth="1"/>
    <col min="2" max="2" width="20.1796875" style="5" customWidth="1"/>
    <col min="3" max="3" width="12.7265625" style="6" customWidth="1"/>
    <col min="4" max="4" width="34.08984375" style="54" customWidth="1"/>
    <col min="5" max="5" width="12.81640625" style="13" customWidth="1"/>
    <col min="6" max="6" width="14.26953125" style="54" customWidth="1"/>
    <col min="7" max="7" width="29.7265625" style="54" customWidth="1"/>
    <col min="8" max="8" width="21.36328125" customWidth="1"/>
    <col min="9" max="9" width="20.26953125" customWidth="1"/>
    <col min="10" max="10" width="9.54296875" customWidth="1"/>
    <col min="11" max="11" width="11.81640625" customWidth="1"/>
    <col min="12" max="12" width="10.1796875" customWidth="1"/>
    <col min="13" max="13" width="35.90625" customWidth="1"/>
    <col min="14" max="14" width="31.90625" customWidth="1"/>
    <col min="15" max="15" width="25.81640625" customWidth="1"/>
    <col min="16" max="16" width="25.36328125" customWidth="1"/>
    <col min="17" max="17" width="23.54296875" customWidth="1"/>
    <col min="18" max="18" width="27.7265625" customWidth="1"/>
    <col min="19" max="19" width="32" customWidth="1"/>
    <col min="20" max="20" width="29.36328125" customWidth="1"/>
    <col min="21" max="21" width="29.54296875" customWidth="1"/>
    <col min="22" max="22" width="22.08984375" customWidth="1"/>
    <col min="23" max="23" width="25.6328125" customWidth="1"/>
    <col min="24" max="24" width="25.26953125" customWidth="1"/>
    <col min="25" max="25" width="15.36328125" customWidth="1"/>
    <col min="26" max="26" width="13.453125" customWidth="1"/>
  </cols>
  <sheetData>
    <row r="1" spans="1:25" ht="16" customHeight="1" x14ac:dyDescent="0.35">
      <c r="A1" s="57"/>
      <c r="B1" s="58"/>
      <c r="C1" s="58"/>
      <c r="D1" s="57"/>
      <c r="E1" s="3"/>
      <c r="F1" s="9" t="s">
        <v>115</v>
      </c>
      <c r="G1" s="9" t="s">
        <v>123</v>
      </c>
      <c r="H1" s="7" t="s">
        <v>71</v>
      </c>
      <c r="I1" s="7" t="s">
        <v>2</v>
      </c>
      <c r="J1" s="7" t="s">
        <v>4</v>
      </c>
      <c r="K1" s="7" t="s">
        <v>5</v>
      </c>
      <c r="L1" s="55" t="s">
        <v>3</v>
      </c>
      <c r="M1" s="55" t="s">
        <v>72</v>
      </c>
      <c r="N1" s="55" t="s">
        <v>73</v>
      </c>
      <c r="O1" s="55" t="s">
        <v>74</v>
      </c>
      <c r="P1" s="55" t="s">
        <v>75</v>
      </c>
      <c r="Q1" s="55" t="s">
        <v>76</v>
      </c>
      <c r="R1" s="55" t="s">
        <v>77</v>
      </c>
      <c r="S1" s="55" t="s">
        <v>78</v>
      </c>
      <c r="T1" s="55" t="s">
        <v>79</v>
      </c>
      <c r="U1" s="55" t="s">
        <v>150</v>
      </c>
      <c r="V1" s="55" t="s">
        <v>80</v>
      </c>
      <c r="W1" s="55" t="s">
        <v>81</v>
      </c>
      <c r="X1" s="55" t="s">
        <v>109</v>
      </c>
      <c r="Y1" s="55" t="s">
        <v>82</v>
      </c>
    </row>
    <row r="2" spans="1:25" s="7" customFormat="1" ht="15" customHeight="1" x14ac:dyDescent="0.35">
      <c r="C2" s="8"/>
      <c r="D2" s="8"/>
      <c r="E2" s="53" t="s">
        <v>1</v>
      </c>
      <c r="F2" s="29" t="s">
        <v>115</v>
      </c>
      <c r="G2" s="29" t="str">
        <f>G1</f>
        <v>Unit tag</v>
      </c>
      <c r="H2" s="30" t="s">
        <v>71</v>
      </c>
      <c r="I2" s="30" t="s">
        <v>2</v>
      </c>
      <c r="J2" s="30" t="s">
        <v>4</v>
      </c>
      <c r="K2" s="30" t="s">
        <v>5</v>
      </c>
      <c r="L2" s="31" t="s">
        <v>3</v>
      </c>
      <c r="M2" s="31" t="s">
        <v>72</v>
      </c>
      <c r="N2" s="31" t="s">
        <v>73</v>
      </c>
      <c r="O2" s="31" t="s">
        <v>74</v>
      </c>
      <c r="P2" s="31" t="s">
        <v>75</v>
      </c>
      <c r="Q2" s="31" t="s">
        <v>76</v>
      </c>
      <c r="R2" s="31" t="s">
        <v>77</v>
      </c>
      <c r="S2" s="31" t="s">
        <v>78</v>
      </c>
      <c r="T2" s="31" t="s">
        <v>79</v>
      </c>
      <c r="U2" s="31" t="s">
        <v>150</v>
      </c>
      <c r="V2" s="31" t="s">
        <v>80</v>
      </c>
      <c r="W2" s="31" t="s">
        <v>81</v>
      </c>
      <c r="X2" s="31" t="s">
        <v>109</v>
      </c>
      <c r="Y2" s="31" t="s">
        <v>82</v>
      </c>
    </row>
    <row r="3" spans="1:25" s="7" customFormat="1" ht="14" customHeight="1" x14ac:dyDescent="0.35">
      <c r="A3" s="2" t="s">
        <v>0</v>
      </c>
      <c r="B3" s="8"/>
      <c r="C3" s="8"/>
      <c r="D3" s="8"/>
      <c r="E3" s="53" t="s">
        <v>95</v>
      </c>
      <c r="F3" s="21" t="str">
        <f>"2020"</f>
        <v>2020</v>
      </c>
      <c r="G3" s="21" t="str">
        <f t="shared" ref="G3:Y3" si="0">"2020"</f>
        <v>2020</v>
      </c>
      <c r="H3" s="21" t="str">
        <f t="shared" si="0"/>
        <v>2020</v>
      </c>
      <c r="I3" s="21" t="str">
        <f t="shared" si="0"/>
        <v>2020</v>
      </c>
      <c r="J3" s="21" t="str">
        <f t="shared" si="0"/>
        <v>2020</v>
      </c>
      <c r="K3" s="21" t="str">
        <f t="shared" si="0"/>
        <v>2020</v>
      </c>
      <c r="L3" s="21" t="str">
        <f t="shared" si="0"/>
        <v>2020</v>
      </c>
      <c r="M3" s="21" t="str">
        <f t="shared" si="0"/>
        <v>2020</v>
      </c>
      <c r="N3" s="21" t="str">
        <f t="shared" si="0"/>
        <v>2020</v>
      </c>
      <c r="O3" s="21" t="str">
        <f t="shared" si="0"/>
        <v>2020</v>
      </c>
      <c r="P3" s="21" t="str">
        <f t="shared" si="0"/>
        <v>2020</v>
      </c>
      <c r="Q3" s="21" t="str">
        <f t="shared" si="0"/>
        <v>2020</v>
      </c>
      <c r="R3" s="21" t="str">
        <f t="shared" si="0"/>
        <v>2020</v>
      </c>
      <c r="S3" s="21" t="str">
        <f t="shared" si="0"/>
        <v>2020</v>
      </c>
      <c r="T3" s="21" t="str">
        <f t="shared" si="0"/>
        <v>2020</v>
      </c>
      <c r="U3" s="21" t="str">
        <f t="shared" si="0"/>
        <v>2020</v>
      </c>
      <c r="V3" s="21" t="str">
        <f t="shared" si="0"/>
        <v>2020</v>
      </c>
      <c r="W3" s="21" t="str">
        <f t="shared" si="0"/>
        <v>2020</v>
      </c>
      <c r="X3" s="21" t="str">
        <f t="shared" si="0"/>
        <v>2020</v>
      </c>
      <c r="Y3" s="21" t="str">
        <f t="shared" si="0"/>
        <v>2020</v>
      </c>
    </row>
    <row r="4" spans="1:25" s="7" customFormat="1" ht="43.5" hidden="1" x14ac:dyDescent="0.35">
      <c r="B4" s="8"/>
      <c r="C4" s="8"/>
      <c r="D4" s="8"/>
      <c r="E4" s="53"/>
      <c r="F4" s="21" t="str">
        <f>F2&amp;F3</f>
        <v>Used (1 or 0)2020</v>
      </c>
      <c r="G4" s="21" t="str">
        <f t="shared" ref="G4:U4" si="1">G2&amp;G3</f>
        <v>Unit tag2020</v>
      </c>
      <c r="H4" s="21" t="str">
        <f t="shared" si="1"/>
        <v>Yearly demand (kg fuel)2020</v>
      </c>
      <c r="I4" s="21" t="str">
        <f t="shared" si="1"/>
        <v>Produced from2020</v>
      </c>
      <c r="J4" s="21" t="str">
        <f t="shared" si="1"/>
        <v>El balance2020</v>
      </c>
      <c r="K4" s="21" t="str">
        <f t="shared" si="1"/>
        <v>Heat balance2020</v>
      </c>
      <c r="L4" s="21" t="str">
        <f t="shared" si="1"/>
        <v>H2 balance2020</v>
      </c>
      <c r="M4" s="21" t="str">
        <f t="shared" si="1"/>
        <v>Fuel production rate (kg output/kg input)2020</v>
      </c>
      <c r="N4" s="21" t="str">
        <f t="shared" si="1"/>
        <v>Heat generated (kWh/output)2020</v>
      </c>
      <c r="O4" s="21" t="str">
        <f t="shared" si="1"/>
        <v>Load min (% of max capacity)2020</v>
      </c>
      <c r="P4" s="21" t="str">
        <f t="shared" si="1"/>
        <v>Load max (% of max capacity)2020</v>
      </c>
      <c r="Q4" s="21" t="str">
        <f t="shared" si="1"/>
        <v>Ramp up (% of capacity /h)2020</v>
      </c>
      <c r="R4" s="21" t="str">
        <f t="shared" si="1"/>
        <v>Ramp down (% of capacity /h)2020</v>
      </c>
      <c r="S4" s="21" t="str">
        <f t="shared" si="1"/>
        <v>Electrical consumption (kWh/output)2020</v>
      </c>
      <c r="T4" s="21" t="str">
        <f t="shared" si="1"/>
        <v>Investment (€/Capacity installed)2020</v>
      </c>
      <c r="U4" s="21" t="str">
        <f t="shared" si="1"/>
        <v>Fixed cost (€/Capacity installed/y)2020</v>
      </c>
      <c r="V4" s="21" t="str">
        <f t="shared" ref="V4:Y4" si="2">V2&amp;V3</f>
        <v>Variable cost (€/Output)2020</v>
      </c>
      <c r="W4" s="21" t="str">
        <f t="shared" si="2"/>
        <v>Fuel selling price (€/output)2020</v>
      </c>
      <c r="X4" s="21" t="str">
        <f t="shared" si="2"/>
        <v>Fuel buying price (€/output)2020</v>
      </c>
      <c r="Y4" s="21" t="str">
        <f t="shared" si="2"/>
        <v>Annuity factor2020</v>
      </c>
    </row>
    <row r="5" spans="1:25" s="10" customFormat="1" ht="29" x14ac:dyDescent="0.35">
      <c r="B5" s="11" t="s">
        <v>6</v>
      </c>
      <c r="C5" s="12" t="s">
        <v>7</v>
      </c>
      <c r="D5" s="11" t="s">
        <v>8</v>
      </c>
      <c r="E5" s="12" t="s">
        <v>9</v>
      </c>
      <c r="F5" s="10">
        <f t="shared" ref="F5:Y5" si="3">COLUMN(F2)-COLUMN($E$5)</f>
        <v>1</v>
      </c>
      <c r="G5" s="10">
        <f t="shared" si="3"/>
        <v>2</v>
      </c>
      <c r="H5" s="10">
        <f t="shared" si="3"/>
        <v>3</v>
      </c>
      <c r="I5" s="10">
        <f t="shared" si="3"/>
        <v>4</v>
      </c>
      <c r="J5" s="10">
        <f t="shared" si="3"/>
        <v>5</v>
      </c>
      <c r="K5" s="10">
        <f t="shared" si="3"/>
        <v>6</v>
      </c>
      <c r="L5" s="10">
        <f t="shared" si="3"/>
        <v>7</v>
      </c>
      <c r="M5" s="10">
        <f t="shared" si="3"/>
        <v>8</v>
      </c>
      <c r="N5" s="10">
        <f t="shared" si="3"/>
        <v>9</v>
      </c>
      <c r="O5" s="10">
        <f t="shared" si="3"/>
        <v>10</v>
      </c>
      <c r="P5" s="10">
        <f t="shared" si="3"/>
        <v>11</v>
      </c>
      <c r="Q5" s="10">
        <f t="shared" si="3"/>
        <v>12</v>
      </c>
      <c r="R5" s="10">
        <f t="shared" si="3"/>
        <v>13</v>
      </c>
      <c r="S5" s="10">
        <f t="shared" si="3"/>
        <v>14</v>
      </c>
      <c r="T5" s="10">
        <f t="shared" si="3"/>
        <v>15</v>
      </c>
      <c r="U5" s="10">
        <f t="shared" si="3"/>
        <v>16</v>
      </c>
      <c r="V5" s="10">
        <f t="shared" si="3"/>
        <v>17</v>
      </c>
      <c r="W5" s="10">
        <f t="shared" si="3"/>
        <v>18</v>
      </c>
      <c r="X5" s="10">
        <f t="shared" si="3"/>
        <v>19</v>
      </c>
      <c r="Y5" s="10">
        <f t="shared" si="3"/>
        <v>20</v>
      </c>
    </row>
    <row r="6" spans="1:25" ht="14.5" customHeight="1" x14ac:dyDescent="0.35">
      <c r="A6" s="62" t="s">
        <v>10</v>
      </c>
      <c r="B6" s="5" t="s">
        <v>116</v>
      </c>
      <c r="C6" s="6" t="s">
        <v>114</v>
      </c>
      <c r="D6" s="54" t="s">
        <v>88</v>
      </c>
      <c r="E6" s="13">
        <f t="shared" ref="E6:E36" si="4">ROW(D6)-ROW($E$5)</f>
        <v>1</v>
      </c>
      <c r="F6" s="17">
        <v>1</v>
      </c>
      <c r="G6" s="17" t="s">
        <v>84</v>
      </c>
      <c r="H6">
        <f>430000*1000*F6</f>
        <v>430000000</v>
      </c>
      <c r="I6" s="33" t="str">
        <f>B11</f>
        <v>Reactant3</v>
      </c>
      <c r="J6">
        <v>0</v>
      </c>
      <c r="K6">
        <v>1</v>
      </c>
      <c r="L6">
        <v>0</v>
      </c>
      <c r="M6">
        <v>5.2910052910052912</v>
      </c>
      <c r="N6" s="52">
        <v>0</v>
      </c>
      <c r="O6" s="18">
        <v>0.4</v>
      </c>
      <c r="P6" s="18">
        <v>1</v>
      </c>
      <c r="Q6" s="18">
        <v>0.2</v>
      </c>
      <c r="R6" s="18">
        <v>0.2</v>
      </c>
      <c r="S6">
        <v>0.38</v>
      </c>
      <c r="T6">
        <v>4192</v>
      </c>
      <c r="U6">
        <v>436</v>
      </c>
      <c r="V6">
        <v>0</v>
      </c>
      <c r="W6">
        <v>0</v>
      </c>
      <c r="X6">
        <v>0</v>
      </c>
      <c r="Y6">
        <v>9.3678779051968114E-2</v>
      </c>
    </row>
    <row r="7" spans="1:25" x14ac:dyDescent="0.35">
      <c r="A7" s="62"/>
      <c r="B7" s="5" t="s">
        <v>116</v>
      </c>
      <c r="C7" s="6" t="s">
        <v>114</v>
      </c>
      <c r="D7" s="54" t="s">
        <v>89</v>
      </c>
      <c r="E7" s="13">
        <f t="shared" si="4"/>
        <v>2</v>
      </c>
      <c r="F7" s="17">
        <v>1</v>
      </c>
      <c r="G7" s="17" t="s">
        <v>85</v>
      </c>
      <c r="H7">
        <f>430000*1000*F7</f>
        <v>430000000</v>
      </c>
      <c r="I7" s="33" t="str">
        <f>B11</f>
        <v>Reactant3</v>
      </c>
      <c r="J7">
        <v>0</v>
      </c>
      <c r="K7">
        <v>1</v>
      </c>
      <c r="L7">
        <v>0</v>
      </c>
      <c r="M7">
        <v>5.2910052910052912</v>
      </c>
      <c r="N7" s="52">
        <v>0</v>
      </c>
      <c r="O7" s="18">
        <v>0.4</v>
      </c>
      <c r="P7" s="18">
        <v>1</v>
      </c>
      <c r="Q7" s="18">
        <v>0.2</v>
      </c>
      <c r="R7" s="18">
        <v>0.2</v>
      </c>
      <c r="S7">
        <v>0.83</v>
      </c>
      <c r="T7">
        <v>4192</v>
      </c>
      <c r="U7">
        <v>828</v>
      </c>
      <c r="V7">
        <v>0</v>
      </c>
      <c r="W7">
        <v>0</v>
      </c>
      <c r="X7">
        <v>0</v>
      </c>
      <c r="Y7">
        <v>9.3678779051968114E-2</v>
      </c>
    </row>
    <row r="8" spans="1:25" x14ac:dyDescent="0.35">
      <c r="A8" s="62"/>
      <c r="B8" s="34" t="s">
        <v>157</v>
      </c>
      <c r="C8" s="6" t="str">
        <f>IF(H8&lt;&gt;0,"Min_demand","-")</f>
        <v>-</v>
      </c>
      <c r="D8" s="54" t="s">
        <v>32</v>
      </c>
      <c r="E8" s="13">
        <f t="shared" si="4"/>
        <v>3</v>
      </c>
      <c r="F8" s="17">
        <v>1</v>
      </c>
      <c r="G8" s="17" t="s">
        <v>12</v>
      </c>
      <c r="H8">
        <v>0</v>
      </c>
      <c r="I8" t="s">
        <v>11</v>
      </c>
      <c r="J8">
        <v>0</v>
      </c>
      <c r="K8">
        <v>0</v>
      </c>
      <c r="L8">
        <v>0</v>
      </c>
      <c r="M8">
        <v>0</v>
      </c>
      <c r="N8">
        <v>0</v>
      </c>
      <c r="O8" s="18">
        <v>0</v>
      </c>
      <c r="P8" s="18">
        <v>1</v>
      </c>
      <c r="Q8" s="18">
        <v>1</v>
      </c>
      <c r="R8" s="18">
        <v>1</v>
      </c>
      <c r="S8">
        <v>4.0000000000000001E-3</v>
      </c>
      <c r="T8">
        <v>26.145191534958482</v>
      </c>
      <c r="U8">
        <v>0</v>
      </c>
      <c r="V8">
        <v>2.5895169211536745E-4</v>
      </c>
      <c r="W8">
        <v>0</v>
      </c>
      <c r="X8">
        <v>0</v>
      </c>
      <c r="Y8">
        <v>0.10185220882315059</v>
      </c>
    </row>
    <row r="9" spans="1:25" x14ac:dyDescent="0.35">
      <c r="A9" s="62"/>
      <c r="B9" s="5" t="s">
        <v>158</v>
      </c>
      <c r="C9" s="6" t="s">
        <v>11</v>
      </c>
      <c r="D9" s="54" t="s">
        <v>70</v>
      </c>
      <c r="E9" s="13">
        <f t="shared" si="4"/>
        <v>4</v>
      </c>
      <c r="F9" s="17">
        <v>1</v>
      </c>
      <c r="G9" s="17" t="s">
        <v>86</v>
      </c>
      <c r="H9">
        <v>0</v>
      </c>
      <c r="I9" s="33" t="str">
        <f>B8</f>
        <v>Reactant1</v>
      </c>
      <c r="J9">
        <v>0</v>
      </c>
      <c r="K9">
        <v>1</v>
      </c>
      <c r="L9">
        <v>1</v>
      </c>
      <c r="M9">
        <v>6.7000000000000004E-2</v>
      </c>
      <c r="N9" s="52">
        <v>7.07</v>
      </c>
      <c r="O9" s="18">
        <v>0</v>
      </c>
      <c r="P9" s="18">
        <v>1</v>
      </c>
      <c r="Q9" s="18">
        <v>1</v>
      </c>
      <c r="R9" s="18">
        <v>1</v>
      </c>
      <c r="S9">
        <v>51.5</v>
      </c>
      <c r="T9">
        <v>56467</v>
      </c>
      <c r="U9">
        <v>1129</v>
      </c>
      <c r="V9">
        <v>0</v>
      </c>
      <c r="W9">
        <v>0</v>
      </c>
      <c r="X9">
        <v>0</v>
      </c>
      <c r="Y9">
        <v>9.3678779051968114E-2</v>
      </c>
    </row>
    <row r="10" spans="1:25" x14ac:dyDescent="0.35">
      <c r="A10" s="62"/>
      <c r="B10" s="5" t="s">
        <v>158</v>
      </c>
      <c r="C10" s="6" t="s">
        <v>11</v>
      </c>
      <c r="D10" s="54" t="s">
        <v>87</v>
      </c>
      <c r="E10" s="13">
        <f t="shared" si="4"/>
        <v>5</v>
      </c>
      <c r="F10" s="17">
        <v>1</v>
      </c>
      <c r="G10" s="17" t="s">
        <v>90</v>
      </c>
      <c r="H10">
        <v>0</v>
      </c>
      <c r="I10" s="33" t="str">
        <f>B8</f>
        <v>Reactant1</v>
      </c>
      <c r="J10">
        <v>0</v>
      </c>
      <c r="K10">
        <v>1</v>
      </c>
      <c r="L10">
        <v>1</v>
      </c>
      <c r="M10">
        <v>6.7000000000000004E-2</v>
      </c>
      <c r="N10" s="52">
        <v>0</v>
      </c>
      <c r="O10" s="18">
        <v>0</v>
      </c>
      <c r="P10" s="18">
        <v>1</v>
      </c>
      <c r="Q10" s="18">
        <v>1</v>
      </c>
      <c r="R10" s="18">
        <v>1</v>
      </c>
      <c r="S10">
        <v>37.9</v>
      </c>
      <c r="T10">
        <v>131493</v>
      </c>
      <c r="U10">
        <v>3945</v>
      </c>
      <c r="V10">
        <v>0</v>
      </c>
      <c r="W10">
        <v>0</v>
      </c>
      <c r="X10">
        <v>0</v>
      </c>
      <c r="Y10">
        <v>9.3678779051968114E-2</v>
      </c>
    </row>
    <row r="11" spans="1:25" x14ac:dyDescent="0.35">
      <c r="A11" s="62"/>
      <c r="B11" s="34" t="s">
        <v>159</v>
      </c>
      <c r="C11" s="6" t="str">
        <f>IF(H11&lt;&gt;0,"Min_demand","-")</f>
        <v>-</v>
      </c>
      <c r="D11" s="54" t="s">
        <v>33</v>
      </c>
      <c r="E11" s="13">
        <f t="shared" si="4"/>
        <v>6</v>
      </c>
      <c r="F11" s="17">
        <v>1</v>
      </c>
      <c r="G11" s="17" t="s">
        <v>18</v>
      </c>
      <c r="H11" s="14">
        <v>0</v>
      </c>
      <c r="I11" t="s">
        <v>11</v>
      </c>
      <c r="J11">
        <v>0</v>
      </c>
      <c r="K11">
        <v>0</v>
      </c>
      <c r="L11">
        <v>-1</v>
      </c>
      <c r="M11" s="14">
        <v>0</v>
      </c>
      <c r="N11">
        <v>0</v>
      </c>
      <c r="O11" s="18">
        <v>0</v>
      </c>
      <c r="P11" s="18">
        <v>1</v>
      </c>
      <c r="Q11" s="18">
        <v>1</v>
      </c>
      <c r="R11" s="18">
        <v>1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</row>
    <row r="12" spans="1:25" x14ac:dyDescent="0.35">
      <c r="A12" s="62"/>
      <c r="B12" s="5" t="s">
        <v>116</v>
      </c>
      <c r="C12" s="6" t="s">
        <v>161</v>
      </c>
      <c r="D12" s="54" t="s">
        <v>36</v>
      </c>
      <c r="E12" s="13">
        <f>ROW(D12)-ROW($E$5)</f>
        <v>7</v>
      </c>
      <c r="F12" s="17">
        <v>1</v>
      </c>
      <c r="G12" s="17" t="s">
        <v>13</v>
      </c>
      <c r="H12">
        <v>0</v>
      </c>
      <c r="I12" s="33" t="str">
        <f>B9</f>
        <v>Product/Reactant2</v>
      </c>
      <c r="J12">
        <v>0</v>
      </c>
      <c r="K12">
        <v>0</v>
      </c>
      <c r="L12">
        <v>0</v>
      </c>
      <c r="M12">
        <v>7.76</v>
      </c>
      <c r="N12">
        <v>0</v>
      </c>
      <c r="O12" s="18">
        <v>0</v>
      </c>
      <c r="P12" s="18">
        <v>1</v>
      </c>
      <c r="Q12" s="18">
        <v>1</v>
      </c>
      <c r="R12" s="18">
        <v>1</v>
      </c>
      <c r="S12">
        <v>0</v>
      </c>
      <c r="T12">
        <v>0</v>
      </c>
      <c r="U12">
        <v>0</v>
      </c>
      <c r="V12">
        <v>0</v>
      </c>
      <c r="W12">
        <v>0.05</v>
      </c>
      <c r="X12">
        <v>0</v>
      </c>
      <c r="Y12">
        <v>0</v>
      </c>
    </row>
    <row r="13" spans="1:25" x14ac:dyDescent="0.35">
      <c r="A13" s="62"/>
      <c r="B13" s="5" t="s">
        <v>28</v>
      </c>
      <c r="C13" s="6" t="str">
        <f>IF(H13&lt;&gt;0,"Min_demand","-")</f>
        <v>-</v>
      </c>
      <c r="D13" s="54" t="s">
        <v>34</v>
      </c>
      <c r="E13" s="13">
        <f t="shared" si="4"/>
        <v>8</v>
      </c>
      <c r="F13" s="17">
        <v>1</v>
      </c>
      <c r="G13" s="17" t="s">
        <v>19</v>
      </c>
      <c r="H13" s="14">
        <v>0</v>
      </c>
      <c r="I13" t="s">
        <v>11</v>
      </c>
      <c r="J13">
        <v>0</v>
      </c>
      <c r="K13">
        <v>1</v>
      </c>
      <c r="L13">
        <v>0</v>
      </c>
      <c r="M13" s="14">
        <v>0</v>
      </c>
      <c r="N13">
        <v>0</v>
      </c>
      <c r="O13" s="18">
        <v>0</v>
      </c>
      <c r="P13" s="18">
        <v>1</v>
      </c>
      <c r="Q13" s="18">
        <v>1</v>
      </c>
      <c r="R13" s="18">
        <v>1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</row>
    <row r="14" spans="1:25" x14ac:dyDescent="0.35">
      <c r="A14" s="62"/>
      <c r="B14" s="5" t="s">
        <v>29</v>
      </c>
      <c r="C14" s="6" t="s">
        <v>160</v>
      </c>
      <c r="D14" s="54" t="s">
        <v>35</v>
      </c>
      <c r="E14" s="13">
        <f t="shared" si="4"/>
        <v>9</v>
      </c>
      <c r="F14" s="17">
        <v>1</v>
      </c>
      <c r="G14" s="17" t="s">
        <v>20</v>
      </c>
      <c r="H14" s="14">
        <v>0</v>
      </c>
      <c r="I14" t="s">
        <v>11</v>
      </c>
      <c r="J14" s="14">
        <v>0</v>
      </c>
      <c r="K14">
        <v>-1</v>
      </c>
      <c r="L14" s="14">
        <v>0</v>
      </c>
      <c r="M14" s="14">
        <v>0</v>
      </c>
      <c r="N14">
        <v>1</v>
      </c>
      <c r="O14" s="18">
        <v>0</v>
      </c>
      <c r="P14" s="18">
        <v>1</v>
      </c>
      <c r="Q14" s="18">
        <v>1</v>
      </c>
      <c r="R14" s="18">
        <v>1</v>
      </c>
      <c r="S14" s="14">
        <v>0</v>
      </c>
      <c r="T14" s="14">
        <v>0</v>
      </c>
      <c r="U14" s="14">
        <v>0</v>
      </c>
      <c r="V14" s="14">
        <v>0</v>
      </c>
      <c r="W14" s="44">
        <v>2.3E-2</v>
      </c>
      <c r="X14" s="14">
        <v>0</v>
      </c>
      <c r="Y14" s="14">
        <v>0</v>
      </c>
    </row>
    <row r="15" spans="1:25" x14ac:dyDescent="0.35">
      <c r="A15" s="62"/>
      <c r="B15" s="5" t="s">
        <v>14</v>
      </c>
      <c r="C15" s="6" t="str">
        <f t="shared" ref="C15:C16" si="5">IF(H15&lt;&gt;0,"Min_demand","-")</f>
        <v>-</v>
      </c>
      <c r="D15" s="8" t="s">
        <v>140</v>
      </c>
      <c r="E15" s="13">
        <f t="shared" si="4"/>
        <v>10</v>
      </c>
      <c r="F15" s="17">
        <v>1</v>
      </c>
      <c r="G15" s="17" t="s">
        <v>141</v>
      </c>
      <c r="H15">
        <v>0</v>
      </c>
      <c r="J15">
        <v>0</v>
      </c>
      <c r="K15">
        <v>0</v>
      </c>
      <c r="L15" s="52">
        <v>-1.1200000000000001</v>
      </c>
      <c r="M15" s="14">
        <v>0</v>
      </c>
      <c r="N15">
        <v>0</v>
      </c>
      <c r="O15" s="18">
        <v>0</v>
      </c>
      <c r="P15" s="18">
        <v>1</v>
      </c>
      <c r="Q15" s="18">
        <v>1</v>
      </c>
      <c r="R15" s="18">
        <v>1</v>
      </c>
      <c r="S15">
        <v>0.94</v>
      </c>
      <c r="T15">
        <v>0</v>
      </c>
      <c r="U15">
        <v>0</v>
      </c>
      <c r="V15">
        <v>0</v>
      </c>
      <c r="W15">
        <v>0</v>
      </c>
      <c r="X15">
        <v>0</v>
      </c>
      <c r="Y15">
        <v>9.3678779051968114E-2</v>
      </c>
    </row>
    <row r="16" spans="1:25" x14ac:dyDescent="0.35">
      <c r="A16" s="62"/>
      <c r="B16" s="5" t="s">
        <v>15</v>
      </c>
      <c r="C16" s="6" t="str">
        <f t="shared" si="5"/>
        <v>-</v>
      </c>
      <c r="D16" s="8" t="s">
        <v>142</v>
      </c>
      <c r="E16" s="13">
        <f t="shared" si="4"/>
        <v>11</v>
      </c>
      <c r="F16" s="17">
        <v>1</v>
      </c>
      <c r="G16" s="17" t="s">
        <v>143</v>
      </c>
      <c r="H16">
        <v>0</v>
      </c>
      <c r="J16">
        <v>0</v>
      </c>
      <c r="K16">
        <v>0</v>
      </c>
      <c r="L16" s="52">
        <v>1</v>
      </c>
      <c r="M16" s="14">
        <v>0</v>
      </c>
      <c r="N16">
        <v>0</v>
      </c>
      <c r="O16" s="18">
        <v>0</v>
      </c>
      <c r="P16" s="18">
        <v>1</v>
      </c>
      <c r="Q16" s="18">
        <v>1</v>
      </c>
      <c r="R16" s="18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62"/>
      <c r="B17" s="5" t="s">
        <v>16</v>
      </c>
      <c r="C17" s="6" t="s">
        <v>11</v>
      </c>
      <c r="D17" s="8" t="s">
        <v>144</v>
      </c>
      <c r="E17" s="13">
        <f t="shared" si="4"/>
        <v>12</v>
      </c>
      <c r="F17" s="17">
        <v>1</v>
      </c>
      <c r="G17" s="17" t="s">
        <v>145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8">
        <v>0.09</v>
      </c>
      <c r="P17" s="18">
        <v>1</v>
      </c>
      <c r="Q17" s="18">
        <v>1</v>
      </c>
      <c r="R17" s="18">
        <v>1</v>
      </c>
      <c r="S17">
        <v>0</v>
      </c>
      <c r="T17">
        <v>460.75542459148141</v>
      </c>
      <c r="U17">
        <v>0.99167600700525393</v>
      </c>
      <c r="V17">
        <v>0</v>
      </c>
      <c r="W17">
        <v>0</v>
      </c>
      <c r="X17">
        <v>0</v>
      </c>
      <c r="Y17">
        <v>8.174285816161557E-2</v>
      </c>
    </row>
    <row r="18" spans="1:25" ht="14.5" customHeight="1" x14ac:dyDescent="0.35">
      <c r="A18" s="62" t="s">
        <v>17</v>
      </c>
      <c r="B18" s="15" t="s">
        <v>47</v>
      </c>
      <c r="C18" s="6" t="str">
        <f>IF(H18&lt;&gt;0,"Min_demand","-")</f>
        <v>-</v>
      </c>
      <c r="D18" s="8" t="s">
        <v>42</v>
      </c>
      <c r="E18" s="13">
        <f t="shared" si="4"/>
        <v>13</v>
      </c>
      <c r="F18" s="17">
        <v>1</v>
      </c>
      <c r="G18" s="17" t="s">
        <v>43</v>
      </c>
      <c r="H18">
        <v>0</v>
      </c>
      <c r="I18" t="s">
        <v>11</v>
      </c>
      <c r="J18">
        <v>1</v>
      </c>
      <c r="K18">
        <v>0</v>
      </c>
      <c r="L18">
        <v>0</v>
      </c>
      <c r="M18" s="14">
        <v>0</v>
      </c>
      <c r="N18">
        <v>0</v>
      </c>
      <c r="O18" s="18">
        <v>0</v>
      </c>
      <c r="P18" s="18">
        <v>1</v>
      </c>
      <c r="Q18" s="18">
        <v>1</v>
      </c>
      <c r="R18" s="18">
        <v>1</v>
      </c>
      <c r="S18">
        <v>0</v>
      </c>
      <c r="T18">
        <v>552.67870000000005</v>
      </c>
      <c r="U18">
        <v>9.1244125000000018</v>
      </c>
      <c r="V18">
        <v>0</v>
      </c>
      <c r="W18">
        <v>0</v>
      </c>
      <c r="X18">
        <v>0</v>
      </c>
      <c r="Y18">
        <v>8.5803264560679798E-2</v>
      </c>
    </row>
    <row r="19" spans="1:25" ht="14.5" customHeight="1" x14ac:dyDescent="0.35">
      <c r="A19" s="62"/>
      <c r="B19" s="15" t="s">
        <v>46</v>
      </c>
      <c r="C19" s="6" t="s">
        <v>11</v>
      </c>
      <c r="D19" s="8" t="s">
        <v>44</v>
      </c>
      <c r="E19" s="13">
        <f t="shared" si="4"/>
        <v>14</v>
      </c>
      <c r="F19" s="17">
        <v>1</v>
      </c>
      <c r="G19" s="17" t="s">
        <v>45</v>
      </c>
      <c r="H19">
        <v>0</v>
      </c>
      <c r="I19" t="s">
        <v>11</v>
      </c>
      <c r="J19">
        <v>1</v>
      </c>
      <c r="K19">
        <v>0</v>
      </c>
      <c r="L19">
        <v>0</v>
      </c>
      <c r="M19" s="14">
        <v>0</v>
      </c>
      <c r="N19">
        <v>0</v>
      </c>
      <c r="O19" s="18">
        <v>0</v>
      </c>
      <c r="P19" s="18">
        <v>1</v>
      </c>
      <c r="Q19" s="18">
        <v>1</v>
      </c>
      <c r="R19" s="18">
        <v>1</v>
      </c>
      <c r="S19">
        <v>0</v>
      </c>
      <c r="T19">
        <v>646.52980000000002</v>
      </c>
      <c r="U19">
        <v>11.157853000000001</v>
      </c>
      <c r="V19">
        <v>0</v>
      </c>
      <c r="W19">
        <v>0</v>
      </c>
      <c r="X19">
        <v>0</v>
      </c>
      <c r="Y19">
        <v>8.5803264560679798E-2</v>
      </c>
    </row>
    <row r="20" spans="1:25" x14ac:dyDescent="0.35">
      <c r="A20" s="62"/>
      <c r="B20" s="15" t="str">
        <f>CONCATENATE("RPU_"&amp;D20)</f>
        <v>RPU_ON_SP198-HH100</v>
      </c>
      <c r="C20" s="6" t="str">
        <f t="shared" ref="C20:C31" si="6">IF(H20&lt;&gt;0,"Min_demand","-")</f>
        <v>-</v>
      </c>
      <c r="D20" s="54" t="s">
        <v>146</v>
      </c>
      <c r="E20" s="13">
        <f t="shared" si="4"/>
        <v>15</v>
      </c>
      <c r="F20" s="17">
        <v>1</v>
      </c>
      <c r="G20" s="19" t="s">
        <v>48</v>
      </c>
      <c r="H20">
        <v>0</v>
      </c>
      <c r="I20" t="s">
        <v>11</v>
      </c>
      <c r="J20">
        <v>1</v>
      </c>
      <c r="K20">
        <v>0</v>
      </c>
      <c r="L20">
        <v>0</v>
      </c>
      <c r="M20" s="14">
        <v>0</v>
      </c>
      <c r="N20">
        <v>0</v>
      </c>
      <c r="O20" s="18">
        <v>0</v>
      </c>
      <c r="P20" s="18">
        <v>1</v>
      </c>
      <c r="Q20" s="18">
        <v>1</v>
      </c>
      <c r="R20" s="18">
        <v>1</v>
      </c>
      <c r="S20">
        <v>0</v>
      </c>
      <c r="T20">
        <v>1758.6807528485745</v>
      </c>
      <c r="U20">
        <v>14.599060000000001</v>
      </c>
      <c r="V20">
        <v>1.5641850000000001E-3</v>
      </c>
      <c r="W20">
        <v>0</v>
      </c>
      <c r="X20">
        <v>0</v>
      </c>
      <c r="Y20">
        <v>9.1448096207564403E-2</v>
      </c>
    </row>
    <row r="21" spans="1:25" x14ac:dyDescent="0.35">
      <c r="A21" s="62"/>
      <c r="B21" s="15" t="str">
        <f t="shared" ref="B21:B31" si="7">CONCATENATE("RPU_"&amp;D21)</f>
        <v>RPU_ON_SP198-HH150</v>
      </c>
      <c r="C21" s="6" t="str">
        <f t="shared" si="6"/>
        <v>-</v>
      </c>
      <c r="D21" s="54" t="s">
        <v>49</v>
      </c>
      <c r="E21" s="13">
        <f t="shared" si="4"/>
        <v>16</v>
      </c>
      <c r="F21" s="17">
        <v>1</v>
      </c>
      <c r="G21" s="19" t="s">
        <v>50</v>
      </c>
      <c r="H21">
        <v>0</v>
      </c>
      <c r="I21" t="s">
        <v>11</v>
      </c>
      <c r="J21">
        <v>1</v>
      </c>
      <c r="K21">
        <v>0</v>
      </c>
      <c r="L21">
        <v>0</v>
      </c>
      <c r="M21" s="14">
        <v>0</v>
      </c>
      <c r="N21">
        <v>0</v>
      </c>
      <c r="O21" s="18">
        <v>0</v>
      </c>
      <c r="P21" s="18">
        <v>1</v>
      </c>
      <c r="Q21" s="18">
        <v>1</v>
      </c>
      <c r="R21" s="18">
        <v>1</v>
      </c>
      <c r="S21">
        <v>0</v>
      </c>
      <c r="T21">
        <v>2188.7934195531479</v>
      </c>
      <c r="U21">
        <v>14.599060000000001</v>
      </c>
      <c r="V21">
        <v>1.5641850000000001E-3</v>
      </c>
      <c r="W21">
        <v>0</v>
      </c>
      <c r="X21">
        <v>0</v>
      </c>
      <c r="Y21">
        <v>9.1448096207564403E-2</v>
      </c>
    </row>
    <row r="22" spans="1:25" x14ac:dyDescent="0.35">
      <c r="A22" s="62"/>
      <c r="B22" s="15" t="str">
        <f t="shared" si="7"/>
        <v>RPU_ON_SP237-HH100</v>
      </c>
      <c r="C22" s="6" t="str">
        <f t="shared" si="6"/>
        <v>-</v>
      </c>
      <c r="D22" s="54" t="s">
        <v>51</v>
      </c>
      <c r="E22" s="13">
        <f t="shared" si="4"/>
        <v>17</v>
      </c>
      <c r="F22" s="17">
        <v>1</v>
      </c>
      <c r="G22" s="19" t="s">
        <v>52</v>
      </c>
      <c r="H22">
        <v>0</v>
      </c>
      <c r="I22" t="s">
        <v>11</v>
      </c>
      <c r="J22">
        <v>1</v>
      </c>
      <c r="K22">
        <v>0</v>
      </c>
      <c r="L22">
        <v>0</v>
      </c>
      <c r="M22" s="14">
        <v>0</v>
      </c>
      <c r="N22">
        <v>0</v>
      </c>
      <c r="O22" s="18">
        <v>0</v>
      </c>
      <c r="P22" s="18">
        <v>1</v>
      </c>
      <c r="Q22" s="18">
        <v>1</v>
      </c>
      <c r="R22" s="18">
        <v>1</v>
      </c>
      <c r="S22">
        <v>0</v>
      </c>
      <c r="T22">
        <v>1554.7627916706663</v>
      </c>
      <c r="U22">
        <v>14.599060000000001</v>
      </c>
      <c r="V22">
        <v>1.5641850000000001E-3</v>
      </c>
      <c r="W22">
        <v>0</v>
      </c>
      <c r="X22">
        <v>0</v>
      </c>
      <c r="Y22">
        <v>9.1448096207564403E-2</v>
      </c>
    </row>
    <row r="23" spans="1:25" x14ac:dyDescent="0.35">
      <c r="A23" s="62"/>
      <c r="B23" s="15" t="str">
        <f t="shared" si="7"/>
        <v>RPU_ON_SP237-HH150</v>
      </c>
      <c r="C23" s="6" t="str">
        <f t="shared" si="6"/>
        <v>-</v>
      </c>
      <c r="D23" s="54" t="s">
        <v>53</v>
      </c>
      <c r="E23" s="13">
        <f t="shared" si="4"/>
        <v>18</v>
      </c>
      <c r="F23" s="17">
        <v>1</v>
      </c>
      <c r="G23" s="19" t="s">
        <v>54</v>
      </c>
      <c r="H23">
        <v>0</v>
      </c>
      <c r="I23" t="s">
        <v>11</v>
      </c>
      <c r="J23">
        <v>1</v>
      </c>
      <c r="K23">
        <v>0</v>
      </c>
      <c r="L23">
        <v>0</v>
      </c>
      <c r="M23" s="14">
        <v>0</v>
      </c>
      <c r="N23">
        <v>0</v>
      </c>
      <c r="O23" s="18">
        <v>0</v>
      </c>
      <c r="P23" s="18">
        <v>1</v>
      </c>
      <c r="Q23" s="18">
        <v>1</v>
      </c>
      <c r="R23" s="18">
        <v>1</v>
      </c>
      <c r="S23">
        <v>0</v>
      </c>
      <c r="T23">
        <v>1947.4738868244795</v>
      </c>
      <c r="U23">
        <v>14.599060000000001</v>
      </c>
      <c r="V23">
        <v>1.5641850000000001E-3</v>
      </c>
      <c r="W23">
        <v>0</v>
      </c>
      <c r="X23">
        <v>0</v>
      </c>
      <c r="Y23">
        <v>9.1448096207564403E-2</v>
      </c>
    </row>
    <row r="24" spans="1:25" x14ac:dyDescent="0.35">
      <c r="A24" s="62"/>
      <c r="B24" s="15" t="str">
        <f t="shared" si="7"/>
        <v>RPU_ON_SP277-HH100</v>
      </c>
      <c r="C24" s="6" t="str">
        <f t="shared" si="6"/>
        <v>-</v>
      </c>
      <c r="D24" s="54" t="s">
        <v>55</v>
      </c>
      <c r="E24" s="13">
        <f t="shared" si="4"/>
        <v>19</v>
      </c>
      <c r="F24" s="17">
        <v>1</v>
      </c>
      <c r="G24" s="19" t="s">
        <v>56</v>
      </c>
      <c r="H24">
        <v>0</v>
      </c>
      <c r="I24" t="s">
        <v>11</v>
      </c>
      <c r="J24">
        <v>1</v>
      </c>
      <c r="K24">
        <v>0</v>
      </c>
      <c r="L24">
        <v>0</v>
      </c>
      <c r="M24" s="14">
        <v>0</v>
      </c>
      <c r="N24">
        <v>0</v>
      </c>
      <c r="O24" s="18">
        <v>0</v>
      </c>
      <c r="P24" s="18">
        <v>1</v>
      </c>
      <c r="Q24" s="18">
        <v>1</v>
      </c>
      <c r="R24" s="18">
        <v>1</v>
      </c>
      <c r="S24">
        <v>0</v>
      </c>
      <c r="T24">
        <v>1414.9828559823698</v>
      </c>
      <c r="U24">
        <v>14.599060000000001</v>
      </c>
      <c r="V24">
        <v>1.5641850000000001E-3</v>
      </c>
      <c r="W24">
        <v>0</v>
      </c>
      <c r="X24">
        <v>0</v>
      </c>
      <c r="Y24">
        <v>9.1448096207564403E-2</v>
      </c>
    </row>
    <row r="25" spans="1:25" x14ac:dyDescent="0.35">
      <c r="A25" s="62"/>
      <c r="B25" s="15" t="str">
        <f t="shared" si="7"/>
        <v>RPU_ON_SP277-HH150</v>
      </c>
      <c r="C25" s="6" t="str">
        <f t="shared" si="6"/>
        <v>-</v>
      </c>
      <c r="D25" s="54" t="s">
        <v>57</v>
      </c>
      <c r="E25" s="13">
        <f t="shared" si="4"/>
        <v>20</v>
      </c>
      <c r="F25" s="17">
        <v>1</v>
      </c>
      <c r="G25" s="19" t="s">
        <v>58</v>
      </c>
      <c r="H25">
        <v>0</v>
      </c>
      <c r="I25" t="s">
        <v>11</v>
      </c>
      <c r="J25">
        <v>1</v>
      </c>
      <c r="K25">
        <v>0</v>
      </c>
      <c r="L25">
        <v>0</v>
      </c>
      <c r="M25" s="14">
        <v>0</v>
      </c>
      <c r="N25">
        <v>0</v>
      </c>
      <c r="O25" s="18">
        <v>0</v>
      </c>
      <c r="P25" s="18">
        <v>1</v>
      </c>
      <c r="Q25" s="18">
        <v>1</v>
      </c>
      <c r="R25" s="18">
        <v>1</v>
      </c>
      <c r="S25">
        <v>0</v>
      </c>
      <c r="T25">
        <v>1807.6939511361822</v>
      </c>
      <c r="U25">
        <v>14.599060000000001</v>
      </c>
      <c r="V25">
        <v>1.5641850000000001E-3</v>
      </c>
      <c r="W25">
        <v>0</v>
      </c>
      <c r="X25">
        <v>0</v>
      </c>
      <c r="Y25">
        <v>9.1448096207564403E-2</v>
      </c>
    </row>
    <row r="26" spans="1:25" x14ac:dyDescent="0.35">
      <c r="A26" s="62"/>
      <c r="B26" s="15" t="str">
        <f t="shared" si="7"/>
        <v>RPU_ON_SP321-HH100</v>
      </c>
      <c r="C26" s="6" t="str">
        <f t="shared" si="6"/>
        <v>-</v>
      </c>
      <c r="D26" s="54" t="s">
        <v>59</v>
      </c>
      <c r="E26" s="13">
        <f t="shared" si="4"/>
        <v>21</v>
      </c>
      <c r="F26" s="17">
        <v>1</v>
      </c>
      <c r="G26" s="19" t="s">
        <v>60</v>
      </c>
      <c r="H26">
        <v>0</v>
      </c>
      <c r="I26" t="s">
        <v>11</v>
      </c>
      <c r="J26">
        <v>1</v>
      </c>
      <c r="K26">
        <v>0</v>
      </c>
      <c r="L26">
        <v>0</v>
      </c>
      <c r="M26" s="14">
        <v>0</v>
      </c>
      <c r="N26">
        <v>0</v>
      </c>
      <c r="O26" s="18">
        <v>0</v>
      </c>
      <c r="P26" s="18">
        <v>1</v>
      </c>
      <c r="Q26" s="18">
        <v>1</v>
      </c>
      <c r="R26" s="18">
        <v>1</v>
      </c>
      <c r="S26">
        <v>0</v>
      </c>
      <c r="T26">
        <v>1301.2947800734096</v>
      </c>
      <c r="U26">
        <v>14.599060000000001</v>
      </c>
      <c r="V26">
        <v>1.5641850000000001E-3</v>
      </c>
      <c r="W26">
        <v>0</v>
      </c>
      <c r="X26">
        <v>0</v>
      </c>
      <c r="Y26">
        <v>9.1448096207564403E-2</v>
      </c>
    </row>
    <row r="27" spans="1:25" x14ac:dyDescent="0.35">
      <c r="A27" s="62"/>
      <c r="B27" s="15" t="str">
        <f t="shared" si="7"/>
        <v>RPU_ON_SP321-HH150</v>
      </c>
      <c r="C27" s="6" t="str">
        <f t="shared" si="6"/>
        <v>-</v>
      </c>
      <c r="D27" s="54" t="s">
        <v>61</v>
      </c>
      <c r="E27" s="13">
        <f t="shared" si="4"/>
        <v>22</v>
      </c>
      <c r="F27" s="17">
        <v>1</v>
      </c>
      <c r="G27" s="19" t="s">
        <v>62</v>
      </c>
      <c r="H27">
        <v>0</v>
      </c>
      <c r="I27" t="s">
        <v>11</v>
      </c>
      <c r="J27">
        <v>1</v>
      </c>
      <c r="K27">
        <v>0</v>
      </c>
      <c r="L27">
        <v>0</v>
      </c>
      <c r="M27" s="14">
        <v>0</v>
      </c>
      <c r="N27">
        <v>0</v>
      </c>
      <c r="O27" s="18">
        <v>0</v>
      </c>
      <c r="P27" s="18">
        <v>1</v>
      </c>
      <c r="Q27" s="18">
        <v>1</v>
      </c>
      <c r="R27" s="18">
        <v>1</v>
      </c>
      <c r="S27">
        <v>0</v>
      </c>
      <c r="T27">
        <v>1694.0063453254108</v>
      </c>
      <c r="U27">
        <v>14.599060000000001</v>
      </c>
      <c r="V27">
        <v>1.5641850000000001E-3</v>
      </c>
      <c r="W27">
        <v>0</v>
      </c>
      <c r="X27">
        <v>0</v>
      </c>
      <c r="Y27">
        <v>9.1448096207564403E-2</v>
      </c>
    </row>
    <row r="28" spans="1:25" x14ac:dyDescent="0.35">
      <c r="A28" s="62"/>
      <c r="B28" s="15" t="str">
        <f t="shared" si="7"/>
        <v>RPU_OFF_SP379-HH100</v>
      </c>
      <c r="C28" s="6" t="str">
        <f t="shared" si="6"/>
        <v>-</v>
      </c>
      <c r="D28" s="54" t="s">
        <v>63</v>
      </c>
      <c r="E28" s="13">
        <f t="shared" si="4"/>
        <v>23</v>
      </c>
      <c r="F28" s="17">
        <v>1</v>
      </c>
      <c r="G28" s="19" t="s">
        <v>64</v>
      </c>
      <c r="H28">
        <v>0</v>
      </c>
      <c r="I28" t="s">
        <v>11</v>
      </c>
      <c r="J28">
        <v>1</v>
      </c>
      <c r="K28">
        <v>0</v>
      </c>
      <c r="L28">
        <v>0</v>
      </c>
      <c r="M28" s="14">
        <v>0</v>
      </c>
      <c r="N28">
        <v>0</v>
      </c>
      <c r="O28" s="18">
        <v>0</v>
      </c>
      <c r="P28" s="18">
        <v>1</v>
      </c>
      <c r="Q28" s="18">
        <v>1</v>
      </c>
      <c r="R28" s="18">
        <v>1</v>
      </c>
      <c r="S28">
        <v>0</v>
      </c>
      <c r="T28">
        <v>2205.1904479084506</v>
      </c>
      <c r="U28">
        <v>41.773124610000004</v>
      </c>
      <c r="V28">
        <v>3.1283700000000001E-3</v>
      </c>
      <c r="W28">
        <v>0</v>
      </c>
      <c r="X28">
        <v>0</v>
      </c>
      <c r="Y28">
        <v>9.1448096207564403E-2</v>
      </c>
    </row>
    <row r="29" spans="1:25" x14ac:dyDescent="0.35">
      <c r="A29" s="62"/>
      <c r="B29" s="15" t="str">
        <f t="shared" si="7"/>
        <v>RPU_OFF_SP379-HH150</v>
      </c>
      <c r="C29" s="6" t="str">
        <f t="shared" si="6"/>
        <v>-</v>
      </c>
      <c r="D29" s="54" t="s">
        <v>65</v>
      </c>
      <c r="E29" s="13">
        <f t="shared" si="4"/>
        <v>24</v>
      </c>
      <c r="F29" s="17">
        <v>1</v>
      </c>
      <c r="G29" s="19" t="s">
        <v>66</v>
      </c>
      <c r="H29">
        <v>0</v>
      </c>
      <c r="I29" t="s">
        <v>11</v>
      </c>
      <c r="J29">
        <v>1</v>
      </c>
      <c r="K29">
        <v>0</v>
      </c>
      <c r="L29">
        <v>0</v>
      </c>
      <c r="M29" s="14">
        <v>0</v>
      </c>
      <c r="N29">
        <v>0</v>
      </c>
      <c r="O29" s="18">
        <v>0</v>
      </c>
      <c r="P29" s="18">
        <v>1</v>
      </c>
      <c r="Q29" s="18">
        <v>1</v>
      </c>
      <c r="R29" s="18">
        <v>1</v>
      </c>
      <c r="S29">
        <v>0</v>
      </c>
      <c r="T29">
        <v>2534.6071744804217</v>
      </c>
      <c r="U29">
        <v>41.773124610000004</v>
      </c>
      <c r="V29">
        <v>3.1283700000000001E-3</v>
      </c>
      <c r="W29">
        <v>0</v>
      </c>
      <c r="X29">
        <v>0</v>
      </c>
      <c r="Y29">
        <v>9.1448096207564403E-2</v>
      </c>
    </row>
    <row r="30" spans="1:25" x14ac:dyDescent="0.35">
      <c r="A30" s="62"/>
      <c r="B30" s="15" t="str">
        <f t="shared" si="7"/>
        <v>RPU_OFF_SP450-HH100</v>
      </c>
      <c r="C30" s="6" t="str">
        <f t="shared" si="6"/>
        <v>-</v>
      </c>
      <c r="D30" s="54" t="s">
        <v>67</v>
      </c>
      <c r="E30" s="13">
        <f t="shared" si="4"/>
        <v>25</v>
      </c>
      <c r="F30" s="17">
        <v>1</v>
      </c>
      <c r="G30" s="19" t="s">
        <v>68</v>
      </c>
      <c r="H30">
        <v>0</v>
      </c>
      <c r="I30" t="s">
        <v>11</v>
      </c>
      <c r="J30">
        <v>1</v>
      </c>
      <c r="K30">
        <v>0</v>
      </c>
      <c r="L30">
        <v>0</v>
      </c>
      <c r="M30" s="14">
        <v>0</v>
      </c>
      <c r="N30">
        <v>0</v>
      </c>
      <c r="O30" s="18">
        <v>0</v>
      </c>
      <c r="P30" s="18">
        <v>1</v>
      </c>
      <c r="Q30" s="18">
        <v>1</v>
      </c>
      <c r="R30" s="18">
        <v>1</v>
      </c>
      <c r="S30">
        <v>0</v>
      </c>
      <c r="T30">
        <v>1988.1234836201065</v>
      </c>
      <c r="U30">
        <v>41.773124610000004</v>
      </c>
      <c r="V30">
        <v>3.1283700000000001E-3</v>
      </c>
      <c r="W30">
        <v>0</v>
      </c>
      <c r="X30">
        <v>0</v>
      </c>
      <c r="Y30">
        <v>9.1448096207564403E-2</v>
      </c>
    </row>
    <row r="31" spans="1:25" x14ac:dyDescent="0.35">
      <c r="A31" s="62"/>
      <c r="B31" s="15" t="str">
        <f t="shared" si="7"/>
        <v>RPU_OFF_SP450-HH150</v>
      </c>
      <c r="C31" s="6" t="str">
        <f t="shared" si="6"/>
        <v>-</v>
      </c>
      <c r="D31" s="54" t="s">
        <v>147</v>
      </c>
      <c r="E31" s="13">
        <f t="shared" si="4"/>
        <v>26</v>
      </c>
      <c r="F31" s="17">
        <v>1</v>
      </c>
      <c r="G31" s="19" t="s">
        <v>69</v>
      </c>
      <c r="H31">
        <v>0</v>
      </c>
      <c r="I31" t="s">
        <v>11</v>
      </c>
      <c r="J31">
        <v>1</v>
      </c>
      <c r="K31">
        <v>0</v>
      </c>
      <c r="L31">
        <v>0</v>
      </c>
      <c r="M31" s="14">
        <v>0</v>
      </c>
      <c r="N31">
        <v>0</v>
      </c>
      <c r="O31" s="18">
        <v>0</v>
      </c>
      <c r="P31" s="18">
        <v>1</v>
      </c>
      <c r="Q31" s="18">
        <v>1</v>
      </c>
      <c r="R31" s="18">
        <v>1</v>
      </c>
      <c r="S31">
        <v>0</v>
      </c>
      <c r="T31">
        <v>2265.5270428386079</v>
      </c>
      <c r="U31">
        <v>41.773124610000004</v>
      </c>
      <c r="V31">
        <v>3.1283700000000001E-3</v>
      </c>
      <c r="W31">
        <v>0</v>
      </c>
      <c r="X31">
        <v>0</v>
      </c>
      <c r="Y31">
        <v>9.1448096207564403E-2</v>
      </c>
    </row>
    <row r="32" spans="1:25" x14ac:dyDescent="0.35">
      <c r="A32" s="62"/>
      <c r="B32" s="15" t="s">
        <v>26</v>
      </c>
      <c r="C32" s="6" t="s">
        <v>30</v>
      </c>
      <c r="D32" s="8" t="s">
        <v>37</v>
      </c>
      <c r="E32" s="13">
        <f t="shared" si="4"/>
        <v>27</v>
      </c>
      <c r="F32" s="17">
        <v>1</v>
      </c>
      <c r="G32" s="17" t="s">
        <v>21</v>
      </c>
      <c r="H32">
        <v>0</v>
      </c>
      <c r="I32" t="s">
        <v>11</v>
      </c>
      <c r="J32">
        <v>1</v>
      </c>
      <c r="K32">
        <v>0</v>
      </c>
      <c r="L32">
        <v>0</v>
      </c>
      <c r="M32" s="14">
        <v>0</v>
      </c>
      <c r="N32">
        <v>0</v>
      </c>
      <c r="O32" s="18">
        <v>0</v>
      </c>
      <c r="P32" s="18">
        <v>1</v>
      </c>
      <c r="Q32" s="18">
        <v>1</v>
      </c>
      <c r="R32" s="18">
        <v>1</v>
      </c>
      <c r="S32">
        <v>0</v>
      </c>
      <c r="T32">
        <v>66</v>
      </c>
      <c r="U32">
        <v>0</v>
      </c>
      <c r="V32">
        <v>0</v>
      </c>
      <c r="W32">
        <v>0</v>
      </c>
      <c r="X32">
        <v>1.6649999999999998E-2</v>
      </c>
      <c r="Y32">
        <v>8.5803264560679798E-2</v>
      </c>
    </row>
    <row r="33" spans="1:25" x14ac:dyDescent="0.35">
      <c r="A33" s="62"/>
      <c r="B33" s="15" t="s">
        <v>27</v>
      </c>
      <c r="C33" s="6" t="s">
        <v>31</v>
      </c>
      <c r="D33" s="8" t="s">
        <v>38</v>
      </c>
      <c r="E33" s="13">
        <f t="shared" si="4"/>
        <v>28</v>
      </c>
      <c r="F33" s="17">
        <v>1</v>
      </c>
      <c r="G33" s="17" t="s">
        <v>22</v>
      </c>
      <c r="H33">
        <v>0</v>
      </c>
      <c r="I33" t="s">
        <v>11</v>
      </c>
      <c r="J33">
        <v>-1</v>
      </c>
      <c r="K33">
        <v>0</v>
      </c>
      <c r="L33">
        <v>0</v>
      </c>
      <c r="M33">
        <v>0</v>
      </c>
      <c r="N33">
        <v>0</v>
      </c>
      <c r="O33" s="18">
        <v>0</v>
      </c>
      <c r="P33" s="18">
        <v>1</v>
      </c>
      <c r="Q33" s="18">
        <v>1</v>
      </c>
      <c r="R33" s="18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62"/>
      <c r="B34" s="15" t="s">
        <v>14</v>
      </c>
      <c r="C34" s="6" t="s">
        <v>11</v>
      </c>
      <c r="D34" s="8" t="s">
        <v>39</v>
      </c>
      <c r="E34" s="13">
        <f t="shared" si="4"/>
        <v>29</v>
      </c>
      <c r="F34" s="17">
        <v>1</v>
      </c>
      <c r="G34" s="17" t="s">
        <v>23</v>
      </c>
      <c r="H34">
        <v>0</v>
      </c>
      <c r="I34" t="s">
        <v>11</v>
      </c>
      <c r="J34">
        <v>-1</v>
      </c>
      <c r="K34">
        <v>0</v>
      </c>
      <c r="L34">
        <v>0</v>
      </c>
      <c r="M34" s="14">
        <v>0</v>
      </c>
      <c r="N34">
        <v>0</v>
      </c>
      <c r="O34" s="18">
        <v>0</v>
      </c>
      <c r="P34" s="18">
        <v>1</v>
      </c>
      <c r="Q34" s="18">
        <v>1</v>
      </c>
      <c r="R34" s="18">
        <v>1</v>
      </c>
      <c r="S34">
        <v>0.04</v>
      </c>
      <c r="T34">
        <v>0</v>
      </c>
      <c r="U34">
        <v>0</v>
      </c>
      <c r="V34">
        <v>2.0855800000000001E-3</v>
      </c>
      <c r="W34">
        <v>0</v>
      </c>
      <c r="X34">
        <v>0</v>
      </c>
      <c r="Y34">
        <v>0</v>
      </c>
    </row>
    <row r="35" spans="1:25" x14ac:dyDescent="0.35">
      <c r="A35" s="62"/>
      <c r="B35" s="15" t="s">
        <v>15</v>
      </c>
      <c r="C35" s="6" t="s">
        <v>11</v>
      </c>
      <c r="D35" s="8" t="s">
        <v>40</v>
      </c>
      <c r="E35" s="13">
        <f t="shared" si="4"/>
        <v>30</v>
      </c>
      <c r="F35" s="17">
        <v>1</v>
      </c>
      <c r="G35" s="17" t="s">
        <v>24</v>
      </c>
      <c r="H35">
        <v>0</v>
      </c>
      <c r="I35" t="s">
        <v>11</v>
      </c>
      <c r="J35">
        <v>1</v>
      </c>
      <c r="K35">
        <v>0</v>
      </c>
      <c r="L35">
        <v>0</v>
      </c>
      <c r="M35" s="14">
        <v>0</v>
      </c>
      <c r="N35">
        <v>0</v>
      </c>
      <c r="O35" s="18">
        <v>0</v>
      </c>
      <c r="P35" s="18">
        <v>1</v>
      </c>
      <c r="Q35" s="18">
        <v>1</v>
      </c>
      <c r="R35" s="18">
        <v>1</v>
      </c>
      <c r="S35">
        <v>0.05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62"/>
      <c r="B36" s="15" t="s">
        <v>16</v>
      </c>
      <c r="C36" s="6" t="s">
        <v>11</v>
      </c>
      <c r="D36" s="54" t="s">
        <v>41</v>
      </c>
      <c r="E36" s="13">
        <f t="shared" si="4"/>
        <v>31</v>
      </c>
      <c r="F36" s="17">
        <v>1</v>
      </c>
      <c r="G36" s="17" t="s">
        <v>25</v>
      </c>
      <c r="H36">
        <v>0</v>
      </c>
      <c r="I36" t="s">
        <v>11</v>
      </c>
      <c r="J36">
        <v>0</v>
      </c>
      <c r="K36">
        <v>0</v>
      </c>
      <c r="L36">
        <v>0</v>
      </c>
      <c r="M36" s="14">
        <v>0</v>
      </c>
      <c r="N36">
        <v>0</v>
      </c>
      <c r="O36" s="18">
        <v>0.2</v>
      </c>
      <c r="P36" s="18">
        <v>1</v>
      </c>
      <c r="Q36" s="18">
        <v>1</v>
      </c>
      <c r="R36" s="18">
        <v>1</v>
      </c>
      <c r="S36">
        <v>0</v>
      </c>
      <c r="T36">
        <v>361.82973436935299</v>
      </c>
      <c r="U36">
        <v>5.0761000000000003</v>
      </c>
      <c r="V36">
        <v>0</v>
      </c>
      <c r="W36">
        <v>0</v>
      </c>
      <c r="X36">
        <v>0</v>
      </c>
      <c r="Y36">
        <v>0.10185220882315101</v>
      </c>
    </row>
    <row r="39" spans="1:25" x14ac:dyDescent="0.35">
      <c r="I39" s="16"/>
      <c r="J39" s="16"/>
      <c r="K39" s="16"/>
      <c r="L39" s="16"/>
      <c r="N39" s="16"/>
    </row>
  </sheetData>
  <mergeCells count="2">
    <mergeCell ref="A6:A17"/>
    <mergeCell ref="A18:A36"/>
  </mergeCells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B1" workbookViewId="0">
      <selection activeCell="F8" sqref="F8"/>
    </sheetView>
  </sheetViews>
  <sheetFormatPr defaultRowHeight="14.5" x14ac:dyDescent="0.35"/>
  <cols>
    <col min="1" max="1" width="27.36328125" style="16" customWidth="1"/>
    <col min="2" max="2" width="27.36328125" style="16" bestFit="1" customWidth="1"/>
    <col min="3" max="3" width="14.1796875" style="16" bestFit="1" customWidth="1"/>
    <col min="4" max="4" width="15.26953125" style="16" bestFit="1" customWidth="1"/>
    <col min="5" max="16384" width="8.7265625" style="16"/>
  </cols>
  <sheetData>
    <row r="1" spans="1:4" x14ac:dyDescent="0.35">
      <c r="B1" s="16" t="s">
        <v>110</v>
      </c>
      <c r="C1" s="16" t="s">
        <v>107</v>
      </c>
      <c r="D1" s="16" t="s">
        <v>107</v>
      </c>
    </row>
    <row r="2" spans="1:4" x14ac:dyDescent="0.35">
      <c r="B2" s="16" t="s">
        <v>100</v>
      </c>
      <c r="C2" s="16" t="s">
        <v>83</v>
      </c>
      <c r="D2" s="16" t="s">
        <v>96</v>
      </c>
    </row>
    <row r="3" spans="1:4" x14ac:dyDescent="0.35">
      <c r="A3" s="22"/>
      <c r="B3" s="32" t="s">
        <v>111</v>
      </c>
      <c r="C3" s="16" t="str">
        <f>C1&amp;"_"&amp;C2</f>
        <v>NH3_AEC</v>
      </c>
      <c r="D3" s="16" t="str">
        <f>D1&amp;"_"&amp;D2</f>
        <v>NH3_SOEC</v>
      </c>
    </row>
    <row r="4" spans="1:4" x14ac:dyDescent="0.35">
      <c r="A4" s="4" t="e">
        <f>#REF!+1</f>
        <v>#REF!</v>
      </c>
      <c r="B4" s="4" t="str">
        <f>Data_base_case!D6</f>
        <v>NH3 plant + ASU - AEC</v>
      </c>
      <c r="C4" s="4">
        <f>IF(AND(C1="NH3",C2="AEC"),1,0)</f>
        <v>1</v>
      </c>
      <c r="D4" s="4">
        <f>IF(AND(D1="NH3",D2="AEC"),1,0)</f>
        <v>0</v>
      </c>
    </row>
    <row r="5" spans="1:4" x14ac:dyDescent="0.35">
      <c r="A5" s="4" t="e">
        <f t="shared" ref="A5:A34" si="0">A4+1</f>
        <v>#REF!</v>
      </c>
      <c r="B5" s="4" t="str">
        <f>Data_base_case!D7</f>
        <v>NH3 plant + ASU - SOEC</v>
      </c>
      <c r="C5" s="4">
        <f>IF(AND(C1="NH3",C2="SOEC"),1,0)</f>
        <v>0</v>
      </c>
      <c r="D5" s="4">
        <f>IF(AND(D1="NH3",D2="SOEC"),1,0)</f>
        <v>1</v>
      </c>
    </row>
    <row r="6" spans="1:4" x14ac:dyDescent="0.35">
      <c r="A6" s="4" t="e">
        <f t="shared" si="0"/>
        <v>#REF!</v>
      </c>
      <c r="B6" s="4" t="str">
        <f>Data_base_case!D8</f>
        <v>Desalination plant</v>
      </c>
      <c r="C6" s="4">
        <v>1</v>
      </c>
      <c r="D6" s="4">
        <v>1</v>
      </c>
    </row>
    <row r="7" spans="1:4" x14ac:dyDescent="0.35">
      <c r="A7" s="4" t="e">
        <f t="shared" si="0"/>
        <v>#REF!</v>
      </c>
      <c r="B7" s="4" t="str">
        <f>Data_base_case!D9</f>
        <v>Electrolyser AEC</v>
      </c>
      <c r="C7" s="4">
        <f>IF(C2="AEC",1,0)</f>
        <v>1</v>
      </c>
      <c r="D7" s="4">
        <f>IF(D2="AEC",1,0)</f>
        <v>0</v>
      </c>
    </row>
    <row r="8" spans="1:4" x14ac:dyDescent="0.35">
      <c r="A8" s="4" t="e">
        <f t="shared" si="0"/>
        <v>#REF!</v>
      </c>
      <c r="B8" s="4" t="str">
        <f>Data_base_case!D10</f>
        <v>Electrolyser SOEC</v>
      </c>
      <c r="C8" s="4">
        <f>IF(C2="SOEC",1,0)</f>
        <v>0</v>
      </c>
      <c r="D8" s="4">
        <f>IF(D2="SOEC",1,0)</f>
        <v>1</v>
      </c>
    </row>
    <row r="9" spans="1:4" x14ac:dyDescent="0.35">
      <c r="A9" s="4" t="e">
        <f>#REF!+1</f>
        <v>#REF!</v>
      </c>
      <c r="B9" s="4" t="str">
        <f>Data_base_case!D11</f>
        <v>H2 pipeline to NH3 plant</v>
      </c>
      <c r="C9" s="4">
        <f>IF(C2="AEC",C4,C5)</f>
        <v>1</v>
      </c>
      <c r="D9" s="4">
        <f>IF(D2="AEC",D4,D5)</f>
        <v>1</v>
      </c>
    </row>
    <row r="10" spans="1:4" x14ac:dyDescent="0.35">
      <c r="A10" s="4" t="e">
        <f t="shared" si="0"/>
        <v>#REF!</v>
      </c>
      <c r="B10" s="4" t="str">
        <f>Data_base_case!D13</f>
        <v>Heat from district heating</v>
      </c>
      <c r="C10" s="4">
        <v>1</v>
      </c>
      <c r="D10" s="4">
        <v>1</v>
      </c>
    </row>
    <row r="11" spans="1:4" x14ac:dyDescent="0.35">
      <c r="A11" s="4" t="e">
        <f t="shared" si="0"/>
        <v>#REF!</v>
      </c>
      <c r="B11" s="4" t="str">
        <f>Data_base_case!D14</f>
        <v>Heat sent to district heating</v>
      </c>
      <c r="C11" s="4">
        <v>1</v>
      </c>
      <c r="D11" s="4">
        <v>1</v>
      </c>
    </row>
    <row r="12" spans="1:4" x14ac:dyDescent="0.35">
      <c r="A12" s="4" t="e">
        <f t="shared" si="0"/>
        <v>#REF!</v>
      </c>
      <c r="B12" s="4" t="str">
        <f>Data_base_case!D12</f>
        <v>Sale of oxygen</v>
      </c>
      <c r="C12" s="4">
        <v>1</v>
      </c>
      <c r="D12" s="4">
        <v>1</v>
      </c>
    </row>
    <row r="13" spans="1:4" x14ac:dyDescent="0.35">
      <c r="A13" s="4" t="e">
        <f>#REF!+1</f>
        <v>#REF!</v>
      </c>
      <c r="B13" s="4" t="str">
        <f>Data_base_case!D15</f>
        <v>H2 pipes compressor</v>
      </c>
      <c r="C13" s="4">
        <v>1</v>
      </c>
      <c r="D13" s="4">
        <v>1</v>
      </c>
    </row>
    <row r="14" spans="1:4" x14ac:dyDescent="0.35">
      <c r="A14" s="4" t="e">
        <f t="shared" si="0"/>
        <v>#REF!</v>
      </c>
      <c r="B14" s="4" t="str">
        <f>Data_base_case!D16</f>
        <v>H2 pipes valve</v>
      </c>
      <c r="C14" s="4">
        <v>1</v>
      </c>
      <c r="D14" s="4">
        <v>1</v>
      </c>
    </row>
    <row r="15" spans="1:4" x14ac:dyDescent="0.35">
      <c r="A15" s="4" t="e">
        <f t="shared" si="0"/>
        <v>#REF!</v>
      </c>
      <c r="B15" s="4" t="str">
        <f>Data_base_case!D17</f>
        <v>H2 buried pipes</v>
      </c>
      <c r="C15" s="4">
        <v>1</v>
      </c>
      <c r="D15" s="4">
        <v>1</v>
      </c>
    </row>
    <row r="16" spans="1:4" x14ac:dyDescent="0.35">
      <c r="A16" s="4" t="e">
        <f t="shared" si="0"/>
        <v>#REF!</v>
      </c>
      <c r="B16" s="4" t="str">
        <f>Data_base_case!D18</f>
        <v>Solar fixed</v>
      </c>
      <c r="C16" s="4">
        <v>1</v>
      </c>
      <c r="D16" s="4">
        <v>1</v>
      </c>
    </row>
    <row r="17" spans="1:4" x14ac:dyDescent="0.35">
      <c r="A17" s="4" t="e">
        <f t="shared" si="0"/>
        <v>#REF!</v>
      </c>
      <c r="B17" s="4" t="str">
        <f>Data_base_case!D19</f>
        <v>Solar tracking</v>
      </c>
      <c r="C17" s="4">
        <v>1</v>
      </c>
      <c r="D17" s="4">
        <v>1</v>
      </c>
    </row>
    <row r="18" spans="1:4" x14ac:dyDescent="0.35">
      <c r="A18" s="4" t="e">
        <f t="shared" si="0"/>
        <v>#REF!</v>
      </c>
      <c r="B18" s="4" t="str">
        <f>Data_base_case!D20</f>
        <v>ON_SP198-HH100</v>
      </c>
      <c r="C18" s="4">
        <v>1</v>
      </c>
      <c r="D18" s="4">
        <v>1</v>
      </c>
    </row>
    <row r="19" spans="1:4" x14ac:dyDescent="0.35">
      <c r="A19" s="4" t="e">
        <f t="shared" si="0"/>
        <v>#REF!</v>
      </c>
      <c r="B19" s="4" t="str">
        <f>Data_base_case!D21</f>
        <v>ON_SP198-HH150</v>
      </c>
      <c r="C19" s="4">
        <v>1</v>
      </c>
      <c r="D19" s="4">
        <v>1</v>
      </c>
    </row>
    <row r="20" spans="1:4" x14ac:dyDescent="0.35">
      <c r="A20" s="4" t="e">
        <f t="shared" si="0"/>
        <v>#REF!</v>
      </c>
      <c r="B20" s="4" t="str">
        <f>Data_base_case!D22</f>
        <v>ON_SP237-HH100</v>
      </c>
      <c r="C20" s="4">
        <v>1</v>
      </c>
      <c r="D20" s="4">
        <v>1</v>
      </c>
    </row>
    <row r="21" spans="1:4" x14ac:dyDescent="0.35">
      <c r="A21" s="4" t="e">
        <f t="shared" si="0"/>
        <v>#REF!</v>
      </c>
      <c r="B21" s="4" t="str">
        <f>Data_base_case!D23</f>
        <v>ON_SP237-HH150</v>
      </c>
      <c r="C21" s="4">
        <v>1</v>
      </c>
      <c r="D21" s="4">
        <v>1</v>
      </c>
    </row>
    <row r="22" spans="1:4" x14ac:dyDescent="0.35">
      <c r="A22" s="4" t="e">
        <f t="shared" si="0"/>
        <v>#REF!</v>
      </c>
      <c r="B22" s="4" t="str">
        <f>Data_base_case!D24</f>
        <v>ON_SP277-HH100</v>
      </c>
      <c r="C22" s="4">
        <v>1</v>
      </c>
      <c r="D22" s="4">
        <v>1</v>
      </c>
    </row>
    <row r="23" spans="1:4" x14ac:dyDescent="0.35">
      <c r="A23" s="4" t="e">
        <f t="shared" si="0"/>
        <v>#REF!</v>
      </c>
      <c r="B23" s="4" t="str">
        <f>Data_base_case!D25</f>
        <v>ON_SP277-HH150</v>
      </c>
      <c r="C23" s="4">
        <v>1</v>
      </c>
      <c r="D23" s="4">
        <v>1</v>
      </c>
    </row>
    <row r="24" spans="1:4" x14ac:dyDescent="0.35">
      <c r="A24" s="4" t="e">
        <f t="shared" si="0"/>
        <v>#REF!</v>
      </c>
      <c r="B24" s="4" t="str">
        <f>Data_base_case!D26</f>
        <v>ON_SP321-HH100</v>
      </c>
      <c r="C24" s="4">
        <v>1</v>
      </c>
      <c r="D24" s="4">
        <v>1</v>
      </c>
    </row>
    <row r="25" spans="1:4" x14ac:dyDescent="0.35">
      <c r="A25" s="4" t="e">
        <f t="shared" si="0"/>
        <v>#REF!</v>
      </c>
      <c r="B25" s="4" t="str">
        <f>Data_base_case!D27</f>
        <v>ON_SP321-HH150</v>
      </c>
      <c r="C25" s="4">
        <v>1</v>
      </c>
      <c r="D25" s="4">
        <v>1</v>
      </c>
    </row>
    <row r="26" spans="1:4" x14ac:dyDescent="0.35">
      <c r="A26" s="4" t="e">
        <f t="shared" si="0"/>
        <v>#REF!</v>
      </c>
      <c r="B26" s="4" t="str">
        <f>Data_base_case!D28</f>
        <v>OFF_SP379-HH100</v>
      </c>
      <c r="C26" s="4">
        <v>1</v>
      </c>
      <c r="D26" s="4">
        <v>1</v>
      </c>
    </row>
    <row r="27" spans="1:4" x14ac:dyDescent="0.35">
      <c r="A27" s="4" t="e">
        <f t="shared" si="0"/>
        <v>#REF!</v>
      </c>
      <c r="B27" s="4" t="str">
        <f>Data_base_case!D29</f>
        <v>OFF_SP379-HH150</v>
      </c>
      <c r="C27" s="4">
        <v>1</v>
      </c>
      <c r="D27" s="4">
        <v>1</v>
      </c>
    </row>
    <row r="28" spans="1:4" x14ac:dyDescent="0.35">
      <c r="A28" s="4" t="e">
        <f t="shared" si="0"/>
        <v>#REF!</v>
      </c>
      <c r="B28" s="4" t="str">
        <f>Data_base_case!D30</f>
        <v>OFF_SP450-HH100</v>
      </c>
      <c r="C28" s="4">
        <v>1</v>
      </c>
      <c r="D28" s="4">
        <v>1</v>
      </c>
    </row>
    <row r="29" spans="1:4" x14ac:dyDescent="0.35">
      <c r="A29" s="4" t="e">
        <f t="shared" si="0"/>
        <v>#REF!</v>
      </c>
      <c r="B29" s="4" t="str">
        <f>Data_base_case!D31</f>
        <v>OFF_SP450-HH150</v>
      </c>
      <c r="C29" s="28">
        <f t="shared" ref="C29:D29" si="1">C31</f>
        <v>1</v>
      </c>
      <c r="D29" s="28">
        <f t="shared" si="1"/>
        <v>1</v>
      </c>
    </row>
    <row r="30" spans="1:4" x14ac:dyDescent="0.35">
      <c r="A30" s="4" t="e">
        <f t="shared" si="0"/>
        <v>#REF!</v>
      </c>
      <c r="B30" s="4" t="str">
        <f>Data_base_case!D32</f>
        <v>Electricity from the grid</v>
      </c>
      <c r="C30" s="28">
        <f t="shared" ref="C30:D30" si="2">C31</f>
        <v>1</v>
      </c>
      <c r="D30" s="28">
        <f t="shared" si="2"/>
        <v>1</v>
      </c>
    </row>
    <row r="31" spans="1:4" x14ac:dyDescent="0.35">
      <c r="A31" s="4" t="e">
        <f t="shared" si="0"/>
        <v>#REF!</v>
      </c>
      <c r="B31" s="4" t="str">
        <f>Data_base_case!D33</f>
        <v>Electricity to the grid</v>
      </c>
      <c r="C31" s="28">
        <v>1</v>
      </c>
      <c r="D31" s="28">
        <v>1</v>
      </c>
    </row>
    <row r="32" spans="1:4" x14ac:dyDescent="0.35">
      <c r="A32" s="4" t="e">
        <f t="shared" si="0"/>
        <v>#REF!</v>
      </c>
      <c r="B32" s="4" t="str">
        <f>Data_base_case!D34</f>
        <v>Charge batteries</v>
      </c>
      <c r="C32" s="28">
        <v>1</v>
      </c>
      <c r="D32" s="28">
        <v>1</v>
      </c>
    </row>
    <row r="33" spans="1:4" x14ac:dyDescent="0.35">
      <c r="A33" s="4" t="e">
        <f t="shared" si="0"/>
        <v>#REF!</v>
      </c>
      <c r="B33" s="4" t="str">
        <f>Data_base_case!D35</f>
        <v>Discharge batteries</v>
      </c>
      <c r="C33" s="28">
        <v>1</v>
      </c>
      <c r="D33" s="28">
        <v>1</v>
      </c>
    </row>
    <row r="34" spans="1:4" x14ac:dyDescent="0.35">
      <c r="A34" s="4" t="e">
        <f t="shared" si="0"/>
        <v>#REF!</v>
      </c>
      <c r="B34" s="4" t="str">
        <f>Data_base_case!D36</f>
        <v>Batteries</v>
      </c>
      <c r="C34" s="28">
        <v>1</v>
      </c>
      <c r="D34" s="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4" sqref="D4"/>
    </sheetView>
  </sheetViews>
  <sheetFormatPr defaultRowHeight="14.5" x14ac:dyDescent="0.35"/>
  <cols>
    <col min="1" max="1" width="25" style="1" customWidth="1"/>
    <col min="2" max="2" width="22.08984375" style="1" customWidth="1"/>
    <col min="3" max="3" width="21.90625" style="1" customWidth="1"/>
    <col min="4" max="4" width="32" style="1" customWidth="1"/>
    <col min="5" max="5" width="13.6328125" style="1" customWidth="1"/>
    <col min="6" max="6" width="9.81640625" style="1" customWidth="1"/>
    <col min="7" max="7" width="13.453125" style="1" customWidth="1"/>
    <col min="8" max="8" width="12.7265625" style="1" customWidth="1"/>
    <col min="9" max="9" width="9.54296875" style="1" customWidth="1"/>
    <col min="10" max="16384" width="8.7265625" style="1"/>
  </cols>
  <sheetData>
    <row r="1" spans="1:8" s="25" customFormat="1" x14ac:dyDescent="0.35">
      <c r="A1" s="7" t="s">
        <v>121</v>
      </c>
      <c r="B1" s="7" t="s">
        <v>122</v>
      </c>
      <c r="C1" s="7" t="s">
        <v>120</v>
      </c>
      <c r="D1" s="7" t="s">
        <v>91</v>
      </c>
      <c r="E1" s="7" t="s">
        <v>118</v>
      </c>
      <c r="F1" s="7" t="s">
        <v>93</v>
      </c>
      <c r="G1" s="25" t="s">
        <v>117</v>
      </c>
      <c r="H1" s="25" t="s">
        <v>94</v>
      </c>
    </row>
    <row r="2" spans="1:8" ht="14.5" customHeight="1" x14ac:dyDescent="0.35">
      <c r="A2" s="36" t="s">
        <v>155</v>
      </c>
      <c r="B2" s="1" t="s">
        <v>132</v>
      </c>
      <c r="C2" s="1" t="str">
        <f>Data_base_case!D32</f>
        <v>Electricity from the grid</v>
      </c>
      <c r="D2" s="1" t="str">
        <f>Data_base_case!$F$1</f>
        <v>Used (1 or 0)</v>
      </c>
      <c r="E2" s="35" t="str">
        <f t="shared" ref="E2:E20" si="0">"2020"</f>
        <v>2020</v>
      </c>
      <c r="F2" s="1">
        <v>0</v>
      </c>
      <c r="G2" s="35">
        <v>2020</v>
      </c>
      <c r="H2" s="1">
        <f>INDEX(Data_base_case!$D$4:$Y$33,MATCH(Scenarios_definition!C2,Data_base_case!$D$4:$D$33,0),MATCH(Scenarios_definition!D2&amp;Scenarios_definition!G2,Data_base_case!$D$4:$Y$4,0))</f>
        <v>1</v>
      </c>
    </row>
    <row r="3" spans="1:8" s="40" customFormat="1" ht="14.5" customHeight="1" x14ac:dyDescent="0.35">
      <c r="A3" s="39"/>
      <c r="B3" s="43" t="s">
        <v>133</v>
      </c>
      <c r="C3" s="43" t="str">
        <f>Data_base_case!D32</f>
        <v>Electricity from the grid</v>
      </c>
      <c r="D3" s="43" t="str">
        <f>Data_base_case!$F$1</f>
        <v>Used (1 or 0)</v>
      </c>
      <c r="E3" s="35" t="str">
        <f t="shared" si="0"/>
        <v>2020</v>
      </c>
      <c r="F3" s="43">
        <v>0</v>
      </c>
      <c r="G3" s="35">
        <v>2020</v>
      </c>
      <c r="H3" s="43">
        <f>INDEX(Data_base_case!$D$4:$Y$33,MATCH(Scenarios_definition!C3,Data_base_case!$D$4:$D$33,0),MATCH(Scenarios_definition!D3&amp;Scenarios_definition!G3,Data_base_case!$D$4:$Y$4,0))</f>
        <v>1</v>
      </c>
    </row>
    <row r="4" spans="1:8" s="43" customFormat="1" x14ac:dyDescent="0.35">
      <c r="A4" s="42"/>
      <c r="B4" s="43" t="s">
        <v>133</v>
      </c>
      <c r="C4" s="43" t="s">
        <v>88</v>
      </c>
      <c r="D4" s="43" t="str">
        <f>Data_base_case!$O$1</f>
        <v>Load min (% of max capacity)</v>
      </c>
      <c r="E4" s="35" t="str">
        <f t="shared" si="0"/>
        <v>2020</v>
      </c>
      <c r="F4" s="43">
        <v>0.1</v>
      </c>
      <c r="G4" s="35">
        <v>2020</v>
      </c>
      <c r="H4" s="43">
        <f>INDEX(Data_base_case!$D$4:$Y$33,MATCH(Scenarios_definition!C4,Data_base_case!$D$4:$D$33,0),MATCH(Scenarios_definition!D4&amp;Scenarios_definition!G4,Data_base_case!$D$4:$Y$4,0))</f>
        <v>0.4</v>
      </c>
    </row>
    <row r="5" spans="1:8" s="43" customFormat="1" x14ac:dyDescent="0.35">
      <c r="A5" s="42"/>
      <c r="B5" s="38" t="s">
        <v>134</v>
      </c>
      <c r="C5" s="38" t="str">
        <f>Data_base_case!D32</f>
        <v>Electricity from the grid</v>
      </c>
      <c r="D5" s="38" t="str">
        <f>Data_base_case!$F$1</f>
        <v>Used (1 or 0)</v>
      </c>
      <c r="E5" s="35" t="str">
        <f t="shared" si="0"/>
        <v>2020</v>
      </c>
      <c r="F5" s="38">
        <v>0</v>
      </c>
      <c r="G5" s="35">
        <v>2020</v>
      </c>
      <c r="H5" s="38">
        <f>INDEX(Data_base_case!$D$4:$Y$33,MATCH(Scenarios_definition!C5,Data_base_case!$D$4:$D$33,0),MATCH(Scenarios_definition!D5&amp;Scenarios_definition!G5,Data_base_case!$D$4:$Y$4,0))</f>
        <v>1</v>
      </c>
    </row>
    <row r="6" spans="1:8" s="38" customFormat="1" x14ac:dyDescent="0.35">
      <c r="A6" s="37"/>
      <c r="B6" s="38" t="s">
        <v>134</v>
      </c>
      <c r="C6" s="38" t="s">
        <v>88</v>
      </c>
      <c r="D6" s="38" t="str">
        <f>Data_base_case!$O$1</f>
        <v>Load min (% of max capacity)</v>
      </c>
      <c r="E6" s="35" t="str">
        <f t="shared" si="0"/>
        <v>2020</v>
      </c>
      <c r="F6" s="38">
        <v>1</v>
      </c>
      <c r="G6" s="35">
        <v>2020</v>
      </c>
      <c r="H6" s="38">
        <f>INDEX(Data_base_case!$D$4:$Y$33,MATCH(Scenarios_definition!C6,Data_base_case!$D$4:$D$33,0),MATCH(Scenarios_definition!D6&amp;Scenarios_definition!G6,Data_base_case!$D$4:$Y$4,0))</f>
        <v>0.4</v>
      </c>
    </row>
    <row r="7" spans="1:8" s="38" customFormat="1" x14ac:dyDescent="0.35">
      <c r="A7" s="37"/>
      <c r="B7" s="41" t="s">
        <v>135</v>
      </c>
      <c r="C7" s="41" t="str">
        <f>Data_base_case!D15</f>
        <v>H2 pipes compressor</v>
      </c>
      <c r="D7" s="41" t="str">
        <f>Data_base_case!$F$1</f>
        <v>Used (1 or 0)</v>
      </c>
      <c r="E7" s="35" t="str">
        <f t="shared" si="0"/>
        <v>2020</v>
      </c>
      <c r="F7" s="41">
        <v>0</v>
      </c>
      <c r="G7" s="35">
        <v>2020</v>
      </c>
      <c r="H7" s="41">
        <f>INDEX(Data_base_case!$D$4:$Y$33,MATCH(Scenarios_definition!C7,Data_base_case!$D$4:$D$33,0),MATCH(Scenarios_definition!D7&amp;Scenarios_definition!G7,Data_base_case!$D$4:$Y$4,0))</f>
        <v>1</v>
      </c>
    </row>
    <row r="8" spans="1:8" s="38" customFormat="1" x14ac:dyDescent="0.35">
      <c r="A8" s="37"/>
      <c r="B8" s="41" t="s">
        <v>135</v>
      </c>
      <c r="C8" s="41" t="str">
        <f>Data_base_case!D16</f>
        <v>H2 pipes valve</v>
      </c>
      <c r="D8" s="41" t="str">
        <f>Data_base_case!$F$1</f>
        <v>Used (1 or 0)</v>
      </c>
      <c r="E8" s="35" t="str">
        <f t="shared" si="0"/>
        <v>2020</v>
      </c>
      <c r="F8" s="41">
        <v>0</v>
      </c>
      <c r="G8" s="35">
        <v>2020</v>
      </c>
      <c r="H8" s="41">
        <f>INDEX(Data_base_case!$D$4:$Y$33,MATCH(Scenarios_definition!C8,Data_base_case!$D$4:$D$33,0),MATCH(Scenarios_definition!D8&amp;Scenarios_definition!G8,Data_base_case!$D$4:$Y$4,0))</f>
        <v>1</v>
      </c>
    </row>
    <row r="9" spans="1:8" s="41" customFormat="1" x14ac:dyDescent="0.35">
      <c r="B9" s="41" t="s">
        <v>135</v>
      </c>
      <c r="C9" s="41" t="str">
        <f>Data_base_case!D17</f>
        <v>H2 buried pipes</v>
      </c>
      <c r="D9" s="41" t="str">
        <f>Data_base_case!$F$1</f>
        <v>Used (1 or 0)</v>
      </c>
      <c r="E9" s="35" t="str">
        <f>"2020"</f>
        <v>2020</v>
      </c>
      <c r="F9" s="41">
        <v>0</v>
      </c>
      <c r="G9" s="35">
        <v>2020</v>
      </c>
      <c r="H9" s="41">
        <f>INDEX(Data_base_case!$D$4:$Y$33,MATCH(Scenarios_definition!C9,Data_base_case!$D$4:$D$33,0),MATCH(Scenarios_definition!D9&amp;Scenarios_definition!G9,Data_base_case!$D$4:$Y$4,0))</f>
        <v>1</v>
      </c>
    </row>
    <row r="10" spans="1:8" s="41" customFormat="1" x14ac:dyDescent="0.35">
      <c r="B10" s="41" t="s">
        <v>135</v>
      </c>
      <c r="C10" s="41" t="str">
        <f>Data_base_case!D18</f>
        <v>Solar fixed</v>
      </c>
      <c r="D10" s="41" t="str">
        <f>Data_base_case!$F$1</f>
        <v>Used (1 or 0)</v>
      </c>
      <c r="E10" s="35" t="str">
        <f t="shared" si="0"/>
        <v>2020</v>
      </c>
      <c r="F10" s="41">
        <v>0</v>
      </c>
      <c r="G10" s="35">
        <v>2020</v>
      </c>
      <c r="H10" s="41">
        <f>INDEX(Data_base_case!$D$4:$Y$33,MATCH(Scenarios_definition!C10,Data_base_case!$D$4:$D$33,0),MATCH(Scenarios_definition!D10&amp;Scenarios_definition!G10,Data_base_case!$D$4:$Y$4,0))</f>
        <v>1</v>
      </c>
    </row>
    <row r="11" spans="1:8" s="41" customFormat="1" x14ac:dyDescent="0.35">
      <c r="B11" s="41" t="s">
        <v>135</v>
      </c>
      <c r="C11" s="41" t="str">
        <f>Data_base_case!D19</f>
        <v>Solar tracking</v>
      </c>
      <c r="D11" s="41" t="str">
        <f>Data_base_case!$F$1</f>
        <v>Used (1 or 0)</v>
      </c>
      <c r="E11" s="35" t="str">
        <f t="shared" si="0"/>
        <v>2020</v>
      </c>
      <c r="F11" s="41">
        <v>0</v>
      </c>
      <c r="G11" s="35">
        <v>2020</v>
      </c>
      <c r="H11" s="41">
        <f>INDEX(Data_base_case!$D$4:$Y$33,MATCH(Scenarios_definition!C11,Data_base_case!$D$4:$D$33,0),MATCH(Scenarios_definition!D11&amp;Scenarios_definition!G11,Data_base_case!$D$4:$Y$4,0))</f>
        <v>1</v>
      </c>
    </row>
    <row r="12" spans="1:8" s="41" customFormat="1" x14ac:dyDescent="0.35">
      <c r="B12" s="41" t="s">
        <v>135</v>
      </c>
      <c r="C12" s="41" t="str">
        <f>Data_base_case!D20</f>
        <v>ON_SP198-HH100</v>
      </c>
      <c r="D12" s="41" t="str">
        <f>Data_base_case!$F$1</f>
        <v>Used (1 or 0)</v>
      </c>
      <c r="E12" s="35" t="str">
        <f t="shared" si="0"/>
        <v>2020</v>
      </c>
      <c r="F12" s="41">
        <v>0</v>
      </c>
      <c r="G12" s="35">
        <v>2020</v>
      </c>
      <c r="H12" s="41">
        <f>INDEX(Data_base_case!$D$4:$Y$33,MATCH(Scenarios_definition!C12,Data_base_case!$D$4:$D$33,0),MATCH(Scenarios_definition!D12&amp;Scenarios_definition!G12,Data_base_case!$D$4:$Y$4,0))</f>
        <v>1</v>
      </c>
    </row>
    <row r="13" spans="1:8" s="41" customFormat="1" x14ac:dyDescent="0.35">
      <c r="B13" s="41" t="s">
        <v>135</v>
      </c>
      <c r="C13" s="41" t="str">
        <f>Data_base_case!D21</f>
        <v>ON_SP198-HH150</v>
      </c>
      <c r="D13" s="41" t="str">
        <f>Data_base_case!$F$1</f>
        <v>Used (1 or 0)</v>
      </c>
      <c r="E13" s="35" t="str">
        <f t="shared" si="0"/>
        <v>2020</v>
      </c>
      <c r="F13" s="41">
        <v>0</v>
      </c>
      <c r="G13" s="35">
        <v>2020</v>
      </c>
      <c r="H13" s="41">
        <f>INDEX(Data_base_case!$D$4:$Y$33,MATCH(Scenarios_definition!C13,Data_base_case!$D$4:$D$33,0),MATCH(Scenarios_definition!D13&amp;Scenarios_definition!G13,Data_base_case!$D$4:$Y$4,0))</f>
        <v>1</v>
      </c>
    </row>
    <row r="14" spans="1:8" s="41" customFormat="1" x14ac:dyDescent="0.35">
      <c r="B14" s="41" t="s">
        <v>135</v>
      </c>
      <c r="C14" s="41" t="str">
        <f>Data_base_case!D22</f>
        <v>ON_SP237-HH100</v>
      </c>
      <c r="D14" s="41" t="str">
        <f>Data_base_case!$F$1</f>
        <v>Used (1 or 0)</v>
      </c>
      <c r="E14" s="35" t="str">
        <f t="shared" si="0"/>
        <v>2020</v>
      </c>
      <c r="F14" s="41">
        <v>0</v>
      </c>
      <c r="G14" s="35">
        <v>2020</v>
      </c>
      <c r="H14" s="41">
        <f>INDEX(Data_base_case!$D$4:$Y$33,MATCH(Scenarios_definition!C14,Data_base_case!$D$4:$D$33,0),MATCH(Scenarios_definition!D14&amp;Scenarios_definition!G14,Data_base_case!$D$4:$Y$4,0))</f>
        <v>1</v>
      </c>
    </row>
    <row r="15" spans="1:8" s="41" customFormat="1" x14ac:dyDescent="0.35">
      <c r="B15" s="41" t="s">
        <v>135</v>
      </c>
      <c r="C15" s="41" t="str">
        <f>Data_base_case!D23</f>
        <v>ON_SP237-HH150</v>
      </c>
      <c r="D15" s="41" t="str">
        <f>Data_base_case!$F$1</f>
        <v>Used (1 or 0)</v>
      </c>
      <c r="E15" s="35" t="str">
        <f t="shared" si="0"/>
        <v>2020</v>
      </c>
      <c r="F15" s="41">
        <v>0</v>
      </c>
      <c r="G15" s="35">
        <v>2020</v>
      </c>
      <c r="H15" s="41">
        <f>INDEX(Data_base_case!$D$4:$Y$33,MATCH(Scenarios_definition!C15,Data_base_case!$D$4:$D$33,0),MATCH(Scenarios_definition!D15&amp;Scenarios_definition!G15,Data_base_case!$D$4:$Y$4,0))</f>
        <v>1</v>
      </c>
    </row>
    <row r="16" spans="1:8" s="41" customFormat="1" x14ac:dyDescent="0.35">
      <c r="B16" s="41" t="s">
        <v>135</v>
      </c>
      <c r="C16" s="41" t="str">
        <f>Data_base_case!D24</f>
        <v>ON_SP277-HH100</v>
      </c>
      <c r="D16" s="41" t="str">
        <f>Data_base_case!$F$1</f>
        <v>Used (1 or 0)</v>
      </c>
      <c r="E16" s="35" t="str">
        <f t="shared" si="0"/>
        <v>2020</v>
      </c>
      <c r="F16" s="41">
        <v>0</v>
      </c>
      <c r="G16" s="35">
        <v>2020</v>
      </c>
      <c r="H16" s="41">
        <f>INDEX(Data_base_case!$D$4:$Y$33,MATCH(Scenarios_definition!C16,Data_base_case!$D$4:$D$33,0),MATCH(Scenarios_definition!D16&amp;Scenarios_definition!G16,Data_base_case!$D$4:$Y$4,0))</f>
        <v>1</v>
      </c>
    </row>
    <row r="17" spans="2:8" s="41" customFormat="1" x14ac:dyDescent="0.35">
      <c r="B17" s="41" t="s">
        <v>135</v>
      </c>
      <c r="C17" s="41" t="str">
        <f>Data_base_case!D25</f>
        <v>ON_SP277-HH150</v>
      </c>
      <c r="D17" s="41" t="str">
        <f>Data_base_case!$F$1</f>
        <v>Used (1 or 0)</v>
      </c>
      <c r="E17" s="35" t="str">
        <f t="shared" si="0"/>
        <v>2020</v>
      </c>
      <c r="F17" s="41">
        <v>0</v>
      </c>
      <c r="G17" s="35">
        <v>2020</v>
      </c>
      <c r="H17" s="41">
        <f>INDEX(Data_base_case!$D$4:$Y$33,MATCH(Scenarios_definition!C17,Data_base_case!$D$4:$D$33,0),MATCH(Scenarios_definition!D17&amp;Scenarios_definition!G17,Data_base_case!$D$4:$Y$4,0))</f>
        <v>1</v>
      </c>
    </row>
    <row r="18" spans="2:8" s="41" customFormat="1" x14ac:dyDescent="0.35">
      <c r="B18" s="41" t="s">
        <v>135</v>
      </c>
      <c r="C18" s="41" t="str">
        <f>Data_base_case!D26</f>
        <v>ON_SP321-HH100</v>
      </c>
      <c r="D18" s="41" t="str">
        <f>Data_base_case!$F$1</f>
        <v>Used (1 or 0)</v>
      </c>
      <c r="E18" s="35" t="str">
        <f t="shared" si="0"/>
        <v>2020</v>
      </c>
      <c r="F18" s="41">
        <v>0</v>
      </c>
      <c r="G18" s="35">
        <v>2020</v>
      </c>
      <c r="H18" s="41">
        <f>INDEX(Data_base_case!$D$4:$Y$33,MATCH(Scenarios_definition!C18,Data_base_case!$D$4:$D$33,0),MATCH(Scenarios_definition!D18&amp;Scenarios_definition!G18,Data_base_case!$D$4:$Y$4,0))</f>
        <v>1</v>
      </c>
    </row>
    <row r="19" spans="2:8" s="41" customFormat="1" x14ac:dyDescent="0.35">
      <c r="B19" s="41" t="s">
        <v>135</v>
      </c>
      <c r="C19" s="41" t="str">
        <f>Data_base_case!D27</f>
        <v>ON_SP321-HH150</v>
      </c>
      <c r="D19" s="41" t="str">
        <f>Data_base_case!$F$1</f>
        <v>Used (1 or 0)</v>
      </c>
      <c r="E19" s="35" t="str">
        <f t="shared" si="0"/>
        <v>2020</v>
      </c>
      <c r="F19" s="41">
        <v>0</v>
      </c>
      <c r="G19" s="35">
        <v>2020</v>
      </c>
      <c r="H19" s="41">
        <f>INDEX(Data_base_case!$D$4:$Y$33,MATCH(Scenarios_definition!C19,Data_base_case!$D$4:$D$33,0),MATCH(Scenarios_definition!D19&amp;Scenarios_definition!G19,Data_base_case!$D$4:$Y$4,0))</f>
        <v>1</v>
      </c>
    </row>
    <row r="20" spans="2:8" s="41" customFormat="1" x14ac:dyDescent="0.35">
      <c r="B20" s="41" t="s">
        <v>135</v>
      </c>
      <c r="C20" s="41" t="str">
        <f>Data_base_case!D28</f>
        <v>OFF_SP379-HH100</v>
      </c>
      <c r="D20" s="41" t="str">
        <f>Data_base_case!$F$1</f>
        <v>Used (1 or 0)</v>
      </c>
      <c r="E20" s="35" t="str">
        <f t="shared" si="0"/>
        <v>2020</v>
      </c>
      <c r="F20" s="41">
        <v>0</v>
      </c>
      <c r="G20" s="35">
        <v>2020</v>
      </c>
      <c r="H20" s="41">
        <f>INDEX(Data_base_case!$D$4:$Y$33,MATCH(Scenarios_definition!C20,Data_base_case!$D$4:$D$33,0),MATCH(Scenarios_definition!D20&amp;Scenarios_definition!G20,Data_base_case!$D$4:$Y$4,0))</f>
        <v>1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D1" workbookViewId="0">
      <selection activeCell="F19" sqref="F19"/>
    </sheetView>
  </sheetViews>
  <sheetFormatPr defaultRowHeight="14.5" x14ac:dyDescent="0.35"/>
  <cols>
    <col min="1" max="1" width="15.08984375" bestFit="1" customWidth="1"/>
    <col min="2" max="2" width="15.08984375" customWidth="1"/>
    <col min="3" max="3" width="23.54296875" style="20" customWidth="1"/>
    <col min="4" max="4" width="10.453125" style="20" customWidth="1"/>
    <col min="5" max="5" width="7.26953125" style="20" customWidth="1"/>
    <col min="6" max="6" width="5.26953125" style="20" customWidth="1"/>
    <col min="7" max="7" width="11.1796875" style="20" customWidth="1"/>
    <col min="8" max="8" width="18.26953125" style="26" customWidth="1"/>
    <col min="9" max="9" width="12.1796875" style="26" customWidth="1"/>
    <col min="10" max="10" width="23.90625" style="27" customWidth="1"/>
    <col min="11" max="11" width="8.08984375" style="26" bestFit="1" customWidth="1"/>
    <col min="12" max="12" width="19.1796875" style="26" bestFit="1" customWidth="1"/>
    <col min="13" max="13" width="13.54296875" style="26" customWidth="1"/>
    <col min="14" max="14" width="15.36328125" style="27" customWidth="1"/>
    <col min="15" max="15" width="17.54296875" customWidth="1"/>
    <col min="16" max="16" width="5.54296875" bestFit="1" customWidth="1"/>
  </cols>
  <sheetData>
    <row r="1" spans="1:16" x14ac:dyDescent="0.35">
      <c r="C1" s="63" t="s">
        <v>127</v>
      </c>
      <c r="D1" s="63"/>
      <c r="E1" s="63"/>
      <c r="F1" s="63"/>
      <c r="G1" s="63"/>
      <c r="H1" s="63"/>
      <c r="I1" s="63"/>
      <c r="J1" s="64"/>
    </row>
    <row r="2" spans="1:16" ht="16.5" customHeight="1" x14ac:dyDescent="0.35">
      <c r="B2" s="67" t="s">
        <v>139</v>
      </c>
      <c r="C2" s="68" t="s">
        <v>126</v>
      </c>
      <c r="D2" s="19" t="s">
        <v>124</v>
      </c>
      <c r="E2" s="19" t="s">
        <v>107</v>
      </c>
      <c r="F2" s="19">
        <v>2020</v>
      </c>
      <c r="G2" s="19" t="s">
        <v>83</v>
      </c>
      <c r="H2" s="46" t="s">
        <v>128</v>
      </c>
      <c r="I2" s="47" t="s">
        <v>129</v>
      </c>
      <c r="J2" s="59" t="s">
        <v>130</v>
      </c>
    </row>
    <row r="3" spans="1:16" x14ac:dyDescent="0.35">
      <c r="B3" s="67"/>
      <c r="C3" s="68"/>
      <c r="D3" s="19" t="s">
        <v>125</v>
      </c>
      <c r="F3" s="19"/>
      <c r="G3" s="19" t="s">
        <v>96</v>
      </c>
      <c r="H3" s="45"/>
      <c r="I3" s="45"/>
      <c r="J3" s="60"/>
    </row>
    <row r="4" spans="1:16" x14ac:dyDescent="0.35">
      <c r="B4" s="67"/>
      <c r="C4" s="68"/>
      <c r="D4" s="19" t="s">
        <v>108</v>
      </c>
      <c r="E4" s="19"/>
      <c r="F4" s="19"/>
      <c r="G4" s="19"/>
      <c r="H4" s="45"/>
      <c r="I4" s="45"/>
      <c r="J4" s="60"/>
    </row>
    <row r="5" spans="1:16" x14ac:dyDescent="0.35">
      <c r="B5" s="67"/>
      <c r="C5" s="68"/>
      <c r="D5" s="19"/>
      <c r="E5" s="19"/>
      <c r="F5" s="19"/>
      <c r="G5" s="19"/>
      <c r="H5" s="24"/>
      <c r="I5" s="24"/>
      <c r="J5" s="56"/>
      <c r="K5" s="24"/>
      <c r="L5" s="24"/>
      <c r="M5" s="24"/>
      <c r="N5" s="56"/>
      <c r="O5" s="65" t="s">
        <v>131</v>
      </c>
      <c r="P5" s="66"/>
    </row>
    <row r="6" spans="1:16" x14ac:dyDescent="0.35">
      <c r="H6" s="23"/>
      <c r="I6" s="23"/>
      <c r="J6" s="61"/>
      <c r="K6" s="24"/>
      <c r="L6" s="24"/>
      <c r="M6" s="24"/>
      <c r="N6" s="56"/>
      <c r="O6" s="49"/>
    </row>
    <row r="7" spans="1:16" s="48" customFormat="1" x14ac:dyDescent="0.35">
      <c r="A7" s="48" t="s">
        <v>97</v>
      </c>
      <c r="B7" s="48" t="s">
        <v>138</v>
      </c>
      <c r="C7" s="48" t="s">
        <v>137</v>
      </c>
      <c r="D7" s="48" t="s">
        <v>98</v>
      </c>
      <c r="E7" s="48" t="s">
        <v>99</v>
      </c>
      <c r="F7" s="48" t="s">
        <v>92</v>
      </c>
      <c r="G7" s="48" t="s">
        <v>100</v>
      </c>
      <c r="H7" s="50" t="s">
        <v>101</v>
      </c>
      <c r="I7" s="50" t="s">
        <v>102</v>
      </c>
      <c r="J7" s="51" t="s">
        <v>103</v>
      </c>
      <c r="K7" s="50" t="s">
        <v>104</v>
      </c>
      <c r="L7" s="50" t="s">
        <v>105</v>
      </c>
      <c r="M7" s="50" t="s">
        <v>112</v>
      </c>
      <c r="N7" s="51" t="s">
        <v>113</v>
      </c>
      <c r="O7" s="48" t="s">
        <v>106</v>
      </c>
    </row>
    <row r="8" spans="1:16" x14ac:dyDescent="0.35">
      <c r="A8" s="17">
        <f t="shared" ref="A8:A25" si="0">ROW(A8)-ROW($A$7)</f>
        <v>1</v>
      </c>
      <c r="B8" s="17" t="s">
        <v>148</v>
      </c>
      <c r="C8" s="20" t="s">
        <v>132</v>
      </c>
      <c r="D8" s="20" t="s">
        <v>153</v>
      </c>
      <c r="E8" s="20" t="s">
        <v>107</v>
      </c>
      <c r="F8" s="20">
        <v>2020</v>
      </c>
      <c r="G8" s="20" t="s">
        <v>83</v>
      </c>
      <c r="H8" s="26" t="s">
        <v>119</v>
      </c>
      <c r="I8" s="26" t="str">
        <f t="shared" ref="I8:I25" si="1">IF(D8="wind+","Esbjerg_"&amp;F8,IF(D8="solar+","Arica_"&amp;F8,"Ceduna_"&amp;F8))</f>
        <v>Esbjerg_2020</v>
      </c>
      <c r="J8" s="27" t="s">
        <v>151</v>
      </c>
      <c r="K8" s="26" t="b">
        <v>1</v>
      </c>
      <c r="L8" s="26" t="b">
        <v>1</v>
      </c>
      <c r="M8" s="26" t="b">
        <v>0</v>
      </c>
      <c r="N8" s="27" t="b">
        <v>0</v>
      </c>
      <c r="O8" t="b">
        <v>1</v>
      </c>
    </row>
    <row r="9" spans="1:16" x14ac:dyDescent="0.35">
      <c r="A9" s="17">
        <f t="shared" si="0"/>
        <v>2</v>
      </c>
      <c r="B9" s="17" t="s">
        <v>148</v>
      </c>
      <c r="C9" s="20" t="s">
        <v>132</v>
      </c>
      <c r="D9" s="20" t="s">
        <v>154</v>
      </c>
      <c r="E9" s="20" t="s">
        <v>107</v>
      </c>
      <c r="F9" s="20">
        <v>2020</v>
      </c>
      <c r="G9" s="20" t="s">
        <v>83</v>
      </c>
      <c r="H9" s="26" t="s">
        <v>119</v>
      </c>
      <c r="I9" s="26" t="str">
        <f t="shared" si="1"/>
        <v>Arica_2020</v>
      </c>
      <c r="J9" s="27" t="s">
        <v>151</v>
      </c>
      <c r="K9" s="26" t="b">
        <v>1</v>
      </c>
      <c r="L9" s="26" t="b">
        <v>1</v>
      </c>
      <c r="M9" s="26" t="b">
        <v>0</v>
      </c>
      <c r="N9" s="27" t="b">
        <v>0</v>
      </c>
      <c r="O9" t="b">
        <v>1</v>
      </c>
    </row>
    <row r="10" spans="1:16" x14ac:dyDescent="0.35">
      <c r="A10" s="17">
        <f t="shared" si="0"/>
        <v>3</v>
      </c>
      <c r="B10" s="17" t="s">
        <v>148</v>
      </c>
      <c r="C10" s="20" t="s">
        <v>132</v>
      </c>
      <c r="D10" s="20" t="s">
        <v>152</v>
      </c>
      <c r="E10" s="20" t="s">
        <v>107</v>
      </c>
      <c r="F10" s="20">
        <v>2020</v>
      </c>
      <c r="G10" s="20" t="s">
        <v>83</v>
      </c>
      <c r="H10" s="26" t="s">
        <v>119</v>
      </c>
      <c r="I10" s="26" t="str">
        <f t="shared" si="1"/>
        <v>Ceduna_2020</v>
      </c>
      <c r="J10" s="27" t="s">
        <v>151</v>
      </c>
      <c r="K10" s="26" t="b">
        <v>1</v>
      </c>
      <c r="L10" s="26" t="b">
        <v>1</v>
      </c>
      <c r="M10" s="26" t="b">
        <v>0</v>
      </c>
      <c r="N10" s="27" t="b">
        <v>0</v>
      </c>
      <c r="O10" t="b">
        <v>1</v>
      </c>
    </row>
    <row r="11" spans="1:16" x14ac:dyDescent="0.35">
      <c r="A11" s="17">
        <f t="shared" si="0"/>
        <v>4</v>
      </c>
      <c r="B11" s="17" t="s">
        <v>148</v>
      </c>
      <c r="C11" s="20" t="s">
        <v>132</v>
      </c>
      <c r="D11" s="20" t="s">
        <v>153</v>
      </c>
      <c r="E11" s="20" t="s">
        <v>107</v>
      </c>
      <c r="F11" s="20">
        <v>2020</v>
      </c>
      <c r="G11" s="20" t="s">
        <v>96</v>
      </c>
      <c r="H11" s="26" t="s">
        <v>119</v>
      </c>
      <c r="I11" s="26" t="str">
        <f t="shared" si="1"/>
        <v>Esbjerg_2020</v>
      </c>
      <c r="J11" s="27" t="s">
        <v>151</v>
      </c>
      <c r="K11" s="26" t="b">
        <v>1</v>
      </c>
      <c r="L11" s="26" t="b">
        <v>1</v>
      </c>
      <c r="M11" s="26" t="b">
        <v>0</v>
      </c>
      <c r="N11" s="27" t="b">
        <v>0</v>
      </c>
      <c r="O11" t="b">
        <v>1</v>
      </c>
    </row>
    <row r="12" spans="1:16" x14ac:dyDescent="0.35">
      <c r="A12" s="17">
        <f t="shared" si="0"/>
        <v>5</v>
      </c>
      <c r="B12" s="17" t="s">
        <v>148</v>
      </c>
      <c r="C12" s="20" t="s">
        <v>132</v>
      </c>
      <c r="D12" s="20" t="s">
        <v>154</v>
      </c>
      <c r="E12" s="20" t="s">
        <v>107</v>
      </c>
      <c r="F12" s="20">
        <v>2020</v>
      </c>
      <c r="G12" s="20" t="s">
        <v>96</v>
      </c>
      <c r="H12" s="26" t="s">
        <v>119</v>
      </c>
      <c r="I12" s="26" t="str">
        <f t="shared" si="1"/>
        <v>Arica_2020</v>
      </c>
      <c r="J12" s="27" t="s">
        <v>151</v>
      </c>
      <c r="K12" s="26" t="b">
        <v>1</v>
      </c>
      <c r="L12" s="26" t="b">
        <v>1</v>
      </c>
      <c r="M12" s="26" t="b">
        <v>0</v>
      </c>
      <c r="N12" s="27" t="b">
        <v>0</v>
      </c>
      <c r="O12" t="b">
        <v>1</v>
      </c>
    </row>
    <row r="13" spans="1:16" x14ac:dyDescent="0.35">
      <c r="A13" s="17">
        <f t="shared" si="0"/>
        <v>6</v>
      </c>
      <c r="B13" s="17" t="s">
        <v>148</v>
      </c>
      <c r="C13" s="20" t="s">
        <v>132</v>
      </c>
      <c r="D13" s="20" t="s">
        <v>152</v>
      </c>
      <c r="E13" s="20" t="s">
        <v>107</v>
      </c>
      <c r="F13" s="20">
        <v>2020</v>
      </c>
      <c r="G13" s="20" t="s">
        <v>96</v>
      </c>
      <c r="H13" s="26" t="s">
        <v>119</v>
      </c>
      <c r="I13" s="26" t="str">
        <f t="shared" si="1"/>
        <v>Ceduna_2020</v>
      </c>
      <c r="J13" s="27" t="s">
        <v>151</v>
      </c>
      <c r="K13" s="26" t="b">
        <v>1</v>
      </c>
      <c r="L13" s="26" t="b">
        <v>1</v>
      </c>
      <c r="M13" s="26" t="b">
        <v>0</v>
      </c>
      <c r="N13" s="27" t="b">
        <v>0</v>
      </c>
      <c r="O13" t="b">
        <v>1</v>
      </c>
    </row>
    <row r="14" spans="1:16" x14ac:dyDescent="0.35">
      <c r="A14" s="17">
        <f t="shared" si="0"/>
        <v>7</v>
      </c>
      <c r="B14" s="17" t="s">
        <v>149</v>
      </c>
      <c r="C14" s="20" t="s">
        <v>136</v>
      </c>
      <c r="D14" s="20" t="s">
        <v>153</v>
      </c>
      <c r="E14" s="20" t="s">
        <v>107</v>
      </c>
      <c r="F14" s="20">
        <v>2020</v>
      </c>
      <c r="G14" s="20" t="s">
        <v>83</v>
      </c>
      <c r="H14" s="26" t="s">
        <v>119</v>
      </c>
      <c r="I14" s="26" t="str">
        <f t="shared" si="1"/>
        <v>Esbjerg_2020</v>
      </c>
      <c r="J14" s="27" t="s">
        <v>151</v>
      </c>
      <c r="K14" s="26" t="b">
        <v>1</v>
      </c>
      <c r="L14" s="26" t="b">
        <v>1</v>
      </c>
      <c r="M14" s="26" t="b">
        <v>0</v>
      </c>
      <c r="N14" s="27" t="b">
        <v>0</v>
      </c>
      <c r="O14" t="b">
        <v>1</v>
      </c>
    </row>
    <row r="15" spans="1:16" x14ac:dyDescent="0.35">
      <c r="A15" s="17">
        <f t="shared" si="0"/>
        <v>8</v>
      </c>
      <c r="B15" s="17" t="s">
        <v>149</v>
      </c>
      <c r="C15" s="20" t="s">
        <v>136</v>
      </c>
      <c r="D15" s="20" t="s">
        <v>154</v>
      </c>
      <c r="E15" s="20" t="s">
        <v>107</v>
      </c>
      <c r="F15" s="20">
        <v>2020</v>
      </c>
      <c r="G15" s="20" t="s">
        <v>83</v>
      </c>
      <c r="H15" s="26" t="s">
        <v>119</v>
      </c>
      <c r="I15" s="26" t="str">
        <f t="shared" si="1"/>
        <v>Arica_2020</v>
      </c>
      <c r="J15" s="27" t="s">
        <v>151</v>
      </c>
      <c r="K15" s="26" t="b">
        <v>1</v>
      </c>
      <c r="L15" s="26" t="b">
        <v>1</v>
      </c>
      <c r="M15" s="26" t="b">
        <v>0</v>
      </c>
      <c r="N15" s="27" t="b">
        <v>0</v>
      </c>
      <c r="O15" t="b">
        <v>1</v>
      </c>
    </row>
    <row r="16" spans="1:16" x14ac:dyDescent="0.35">
      <c r="A16" s="17">
        <f t="shared" si="0"/>
        <v>9</v>
      </c>
      <c r="B16" s="17" t="s">
        <v>149</v>
      </c>
      <c r="C16" s="20" t="s">
        <v>136</v>
      </c>
      <c r="D16" s="20" t="s">
        <v>152</v>
      </c>
      <c r="E16" s="20" t="s">
        <v>107</v>
      </c>
      <c r="F16" s="20">
        <v>2020</v>
      </c>
      <c r="G16" s="20" t="s">
        <v>83</v>
      </c>
      <c r="H16" s="26" t="s">
        <v>119</v>
      </c>
      <c r="I16" s="26" t="str">
        <f t="shared" si="1"/>
        <v>Ceduna_2020</v>
      </c>
      <c r="J16" s="27" t="s">
        <v>151</v>
      </c>
      <c r="K16" s="26" t="b">
        <v>1</v>
      </c>
      <c r="L16" s="26" t="b">
        <v>1</v>
      </c>
      <c r="M16" s="26" t="b">
        <v>0</v>
      </c>
      <c r="N16" s="27" t="b">
        <v>0</v>
      </c>
      <c r="O16" t="b">
        <v>1</v>
      </c>
    </row>
    <row r="17" spans="1:15" x14ac:dyDescent="0.35">
      <c r="A17" s="17">
        <f t="shared" si="0"/>
        <v>10</v>
      </c>
      <c r="B17" s="17" t="s">
        <v>149</v>
      </c>
      <c r="C17" s="20" t="s">
        <v>136</v>
      </c>
      <c r="D17" s="20" t="s">
        <v>153</v>
      </c>
      <c r="E17" s="20" t="s">
        <v>107</v>
      </c>
      <c r="F17" s="20">
        <v>2020</v>
      </c>
      <c r="G17" s="20" t="s">
        <v>96</v>
      </c>
      <c r="H17" s="26" t="s">
        <v>119</v>
      </c>
      <c r="I17" s="26" t="str">
        <f t="shared" si="1"/>
        <v>Esbjerg_2020</v>
      </c>
      <c r="J17" s="27" t="s">
        <v>151</v>
      </c>
      <c r="K17" s="26" t="b">
        <v>1</v>
      </c>
      <c r="L17" s="26" t="b">
        <v>1</v>
      </c>
      <c r="M17" s="26" t="b">
        <v>0</v>
      </c>
      <c r="N17" s="27" t="b">
        <v>0</v>
      </c>
      <c r="O17" t="b">
        <v>1</v>
      </c>
    </row>
    <row r="18" spans="1:15" x14ac:dyDescent="0.35">
      <c r="A18" s="17">
        <f t="shared" si="0"/>
        <v>11</v>
      </c>
      <c r="B18" s="17" t="s">
        <v>149</v>
      </c>
      <c r="C18" s="20" t="s">
        <v>136</v>
      </c>
      <c r="D18" s="20" t="s">
        <v>154</v>
      </c>
      <c r="E18" s="20" t="s">
        <v>107</v>
      </c>
      <c r="F18" s="20">
        <v>2020</v>
      </c>
      <c r="G18" s="20" t="s">
        <v>96</v>
      </c>
      <c r="H18" s="26" t="s">
        <v>119</v>
      </c>
      <c r="I18" s="26" t="str">
        <f t="shared" si="1"/>
        <v>Arica_2020</v>
      </c>
      <c r="J18" s="27" t="s">
        <v>151</v>
      </c>
      <c r="K18" s="26" t="b">
        <v>1</v>
      </c>
      <c r="L18" s="26" t="b">
        <v>1</v>
      </c>
      <c r="M18" s="26" t="b">
        <v>0</v>
      </c>
      <c r="N18" s="27" t="b">
        <v>0</v>
      </c>
      <c r="O18" t="b">
        <v>1</v>
      </c>
    </row>
    <row r="19" spans="1:15" x14ac:dyDescent="0.35">
      <c r="A19" s="17">
        <f t="shared" si="0"/>
        <v>12</v>
      </c>
      <c r="B19" s="17" t="s">
        <v>149</v>
      </c>
      <c r="C19" s="20" t="s">
        <v>136</v>
      </c>
      <c r="D19" s="20" t="s">
        <v>152</v>
      </c>
      <c r="E19" s="20" t="s">
        <v>107</v>
      </c>
      <c r="F19" s="20">
        <v>2020</v>
      </c>
      <c r="G19" s="20" t="s">
        <v>96</v>
      </c>
      <c r="H19" s="26" t="s">
        <v>119</v>
      </c>
      <c r="I19" s="26" t="str">
        <f t="shared" si="1"/>
        <v>Ceduna_2020</v>
      </c>
      <c r="J19" s="27" t="s">
        <v>151</v>
      </c>
      <c r="K19" s="26" t="b">
        <v>1</v>
      </c>
      <c r="L19" s="26" t="b">
        <v>1</v>
      </c>
      <c r="M19" s="26" t="b">
        <v>0</v>
      </c>
      <c r="N19" s="27" t="b">
        <v>0</v>
      </c>
      <c r="O19" t="b">
        <v>1</v>
      </c>
    </row>
    <row r="20" spans="1:15" x14ac:dyDescent="0.35">
      <c r="A20" s="17">
        <f t="shared" si="0"/>
        <v>13</v>
      </c>
      <c r="B20" s="17" t="s">
        <v>156</v>
      </c>
      <c r="C20" s="20" t="s">
        <v>135</v>
      </c>
      <c r="D20" s="20" t="s">
        <v>153</v>
      </c>
      <c r="E20" s="20" t="s">
        <v>107</v>
      </c>
      <c r="F20" s="20">
        <v>2020</v>
      </c>
      <c r="G20" s="20" t="s">
        <v>83</v>
      </c>
      <c r="H20" s="26" t="s">
        <v>119</v>
      </c>
      <c r="I20" s="26" t="str">
        <f t="shared" si="1"/>
        <v>Esbjerg_2020</v>
      </c>
      <c r="J20" s="27" t="s">
        <v>151</v>
      </c>
      <c r="K20" s="26" t="b">
        <v>1</v>
      </c>
      <c r="L20" s="26" t="b">
        <v>1</v>
      </c>
      <c r="M20" s="26" t="b">
        <v>0</v>
      </c>
      <c r="N20" s="27" t="b">
        <v>0</v>
      </c>
      <c r="O20" t="b">
        <v>1</v>
      </c>
    </row>
    <row r="21" spans="1:15" x14ac:dyDescent="0.35">
      <c r="A21" s="17">
        <f t="shared" si="0"/>
        <v>14</v>
      </c>
      <c r="B21" s="17" t="s">
        <v>156</v>
      </c>
      <c r="C21" s="20" t="s">
        <v>135</v>
      </c>
      <c r="D21" s="20" t="s">
        <v>154</v>
      </c>
      <c r="E21" s="20" t="s">
        <v>107</v>
      </c>
      <c r="F21" s="20">
        <v>2020</v>
      </c>
      <c r="G21" s="20" t="s">
        <v>83</v>
      </c>
      <c r="H21" s="26" t="s">
        <v>119</v>
      </c>
      <c r="I21" s="26" t="str">
        <f t="shared" si="1"/>
        <v>Arica_2020</v>
      </c>
      <c r="J21" s="27" t="s">
        <v>151</v>
      </c>
      <c r="K21" s="26" t="b">
        <v>1</v>
      </c>
      <c r="L21" s="26" t="b">
        <v>1</v>
      </c>
      <c r="M21" s="26" t="b">
        <v>0</v>
      </c>
      <c r="N21" s="27" t="b">
        <v>0</v>
      </c>
      <c r="O21" t="b">
        <v>1</v>
      </c>
    </row>
    <row r="22" spans="1:15" x14ac:dyDescent="0.35">
      <c r="A22" s="17">
        <f t="shared" si="0"/>
        <v>15</v>
      </c>
      <c r="B22" s="17" t="s">
        <v>156</v>
      </c>
      <c r="C22" s="20" t="s">
        <v>135</v>
      </c>
      <c r="D22" s="20" t="s">
        <v>152</v>
      </c>
      <c r="E22" s="20" t="s">
        <v>107</v>
      </c>
      <c r="F22" s="20">
        <v>2020</v>
      </c>
      <c r="G22" s="20" t="s">
        <v>83</v>
      </c>
      <c r="H22" s="26" t="s">
        <v>119</v>
      </c>
      <c r="I22" s="26" t="str">
        <f t="shared" si="1"/>
        <v>Ceduna_2020</v>
      </c>
      <c r="J22" s="27" t="s">
        <v>151</v>
      </c>
      <c r="K22" s="26" t="b">
        <v>1</v>
      </c>
      <c r="L22" s="26" t="b">
        <v>1</v>
      </c>
      <c r="M22" s="26" t="b">
        <v>0</v>
      </c>
      <c r="N22" s="27" t="b">
        <v>0</v>
      </c>
      <c r="O22" t="b">
        <v>1</v>
      </c>
    </row>
    <row r="23" spans="1:15" x14ac:dyDescent="0.35">
      <c r="A23" s="17">
        <f t="shared" si="0"/>
        <v>16</v>
      </c>
      <c r="B23" s="17" t="s">
        <v>156</v>
      </c>
      <c r="C23" s="20" t="s">
        <v>135</v>
      </c>
      <c r="D23" s="20" t="s">
        <v>153</v>
      </c>
      <c r="E23" s="20" t="s">
        <v>107</v>
      </c>
      <c r="F23" s="20">
        <v>2020</v>
      </c>
      <c r="G23" s="20" t="s">
        <v>96</v>
      </c>
      <c r="H23" s="26" t="s">
        <v>119</v>
      </c>
      <c r="I23" s="26" t="str">
        <f t="shared" si="1"/>
        <v>Esbjerg_2020</v>
      </c>
      <c r="J23" s="27" t="s">
        <v>151</v>
      </c>
      <c r="K23" s="26" t="b">
        <v>1</v>
      </c>
      <c r="L23" s="26" t="b">
        <v>1</v>
      </c>
      <c r="M23" s="26" t="b">
        <v>0</v>
      </c>
      <c r="N23" s="27" t="b">
        <v>0</v>
      </c>
      <c r="O23" t="b">
        <v>1</v>
      </c>
    </row>
    <row r="24" spans="1:15" x14ac:dyDescent="0.35">
      <c r="A24" s="17">
        <f t="shared" si="0"/>
        <v>17</v>
      </c>
      <c r="B24" s="17" t="s">
        <v>156</v>
      </c>
      <c r="C24" s="20" t="s">
        <v>135</v>
      </c>
      <c r="D24" s="20" t="s">
        <v>154</v>
      </c>
      <c r="E24" s="20" t="s">
        <v>107</v>
      </c>
      <c r="F24" s="20">
        <v>2020</v>
      </c>
      <c r="G24" s="20" t="s">
        <v>96</v>
      </c>
      <c r="H24" s="26" t="s">
        <v>119</v>
      </c>
      <c r="I24" s="26" t="str">
        <f t="shared" si="1"/>
        <v>Arica_2020</v>
      </c>
      <c r="J24" s="27" t="s">
        <v>151</v>
      </c>
      <c r="K24" s="26" t="b">
        <v>1</v>
      </c>
      <c r="L24" s="26" t="b">
        <v>1</v>
      </c>
      <c r="M24" s="26" t="b">
        <v>0</v>
      </c>
      <c r="N24" s="27" t="b">
        <v>0</v>
      </c>
      <c r="O24" t="b">
        <v>1</v>
      </c>
    </row>
    <row r="25" spans="1:15" x14ac:dyDescent="0.35">
      <c r="A25" s="17">
        <f t="shared" si="0"/>
        <v>18</v>
      </c>
      <c r="B25" s="17" t="s">
        <v>156</v>
      </c>
      <c r="C25" s="20" t="s">
        <v>135</v>
      </c>
      <c r="D25" s="20" t="s">
        <v>152</v>
      </c>
      <c r="E25" s="20" t="s">
        <v>107</v>
      </c>
      <c r="F25" s="20">
        <v>2020</v>
      </c>
      <c r="G25" s="20" t="s">
        <v>96</v>
      </c>
      <c r="H25" s="26" t="s">
        <v>119</v>
      </c>
      <c r="I25" s="26" t="str">
        <f t="shared" si="1"/>
        <v>Ceduna_2020</v>
      </c>
      <c r="J25" s="27" t="s">
        <v>151</v>
      </c>
      <c r="K25" s="26" t="b">
        <v>1</v>
      </c>
      <c r="L25" s="26" t="b">
        <v>1</v>
      </c>
      <c r="M25" s="26" t="b">
        <v>0</v>
      </c>
      <c r="N25" s="27" t="b">
        <v>0</v>
      </c>
      <c r="O25" t="b">
        <v>1</v>
      </c>
    </row>
  </sheetData>
  <mergeCells count="4">
    <mergeCell ref="C1:J1"/>
    <mergeCell ref="O5:P5"/>
    <mergeCell ref="B2:B5"/>
    <mergeCell ref="C2:C5"/>
  </mergeCells>
  <conditionalFormatting sqref="K8:N25">
    <cfRule type="cellIs" dxfId="3" priority="45" operator="equal">
      <formula>TRUE</formula>
    </cfRule>
    <cfRule type="cellIs" dxfId="2" priority="46" operator="equal">
      <formula>FALSE</formula>
    </cfRule>
  </conditionalFormatting>
  <conditionalFormatting sqref="O8:O25">
    <cfRule type="cellIs" dxfId="1" priority="39" operator="equal">
      <formula>TRUE</formula>
    </cfRule>
    <cfRule type="cellIs" dxfId="0" priority="40" operator="equal">
      <formula>FALSE</formula>
    </cfRule>
  </conditionalFormatting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Data_base_case</vt:lpstr>
      <vt:lpstr>Selected_units</vt:lpstr>
      <vt:lpstr>Scenarios_definition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2022-04-05T15:05:14Z</dcterms:modified>
</cp:coreProperties>
</file>