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https://globalhonda-my.sharepoint.com/personal/anishan_ravikandan_ch_honda_com/Documents/Desktop/"/>
    </mc:Choice>
  </mc:AlternateContent>
  <xr:revisionPtr revIDLastSave="0" documentId="8_{5CAB1E32-7B5E-4421-A9ED-1B8EC5485195}" xr6:coauthVersionLast="47" xr6:coauthVersionMax="47" xr10:uidLastSave="{00000000-0000-0000-0000-000000000000}"/>
  <bookViews>
    <workbookView xWindow="-28920" yWindow="3795" windowWidth="19440" windowHeight="11520" firstSheet="1" activeTab="3" xr2:uid="{36E4C7AC-762E-4FA1-B4BD-7BD849F64F82}"/>
  </bookViews>
  <sheets>
    <sheet name="SELECT PROVINCE" sheetId="1" r:id="rId1"/>
    <sheet name="26MY_ODYSSEY_APP_EN" sheetId="2" r:id="rId2"/>
    <sheet name="25MY_ODYSSEY_SELL-EN" sheetId="3" r:id="rId3"/>
    <sheet name="26MY_ODYSSEY_APP_FR" sheetId="4" r:id="rId4"/>
    <sheet name="25MY_ODYSSEY_SELL-FR" sheetId="5" r:id="rId5"/>
  </sheets>
  <externalReferences>
    <externalReference r:id="rId6"/>
    <externalReference r:id="rId7"/>
  </externalReferences>
  <definedNames>
    <definedName name="HighlightSel">[2]EVL!$F$5</definedName>
    <definedName name="_xlnm.Print_Area" localSheetId="2">'25MY_ODYSSEY_SELL-EN'!$B$2:$Q$31</definedName>
    <definedName name="_xlnm.Print_Area" localSheetId="4">'25MY_ODYSSEY_SELL-FR'!$B$2:$Q$31</definedName>
    <definedName name="_xlnm.Print_Area" localSheetId="1">'26MY_ODYSSEY_APP_EN'!$C$2:$Q$142</definedName>
    <definedName name="_xlnm.Print_Area" localSheetId="3">'26MY_ODYSSEY_APP_FR'!$C$2:$Q$139</definedName>
    <definedName name="_xlnm.Print_Area" localSheetId="0">'SELECT PROVINCE'!$A$1:$M$34</definedName>
    <definedName name="_xlnm.Print_Titles" localSheetId="1">'26MY_ODYSSEY_APP_EN'!$12:$13</definedName>
    <definedName name="_xlnm.Print_Titles" localSheetId="3">'26MY_ODYSSEY_APP_FR'!$12:$13</definedName>
    <definedName name="prov_cd">'SELECT PROVINCE'!$B$1</definedName>
    <definedName name="province_codes">'SELECT PROVINCE'!$B$6:$B$16</definedName>
    <definedName name="rate_table">'SELECT PROVINCE'!$B$6:$C$16</definedName>
    <definedName name="SelColLBound">[2]EVL!$E$6</definedName>
    <definedName name="SelColUBound">[2]EVL!$F$6</definedName>
    <definedName name="SelRowLBound">[2]EVL!$E$7</definedName>
    <definedName name="SelRowUBound">[2]EVL!$F$7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1" i="5" l="1"/>
  <c r="C31" i="5"/>
  <c r="P21" i="5"/>
  <c r="K21" i="5"/>
  <c r="F21" i="5"/>
  <c r="C21" i="5"/>
  <c r="D21" i="5" s="1"/>
  <c r="M20" i="5"/>
  <c r="P16" i="5"/>
  <c r="K16" i="5"/>
  <c r="F16" i="5"/>
  <c r="P11" i="5"/>
  <c r="K11" i="5"/>
  <c r="F11" i="5"/>
  <c r="C11" i="5"/>
  <c r="D11" i="5" s="1"/>
  <c r="C139" i="4"/>
  <c r="Q136" i="4"/>
  <c r="P136" i="4"/>
  <c r="O136" i="4"/>
  <c r="N136" i="4"/>
  <c r="M136" i="4"/>
  <c r="L136" i="4"/>
  <c r="K136" i="4"/>
  <c r="J136" i="4"/>
  <c r="I136" i="4"/>
  <c r="H136" i="4"/>
  <c r="G136" i="4"/>
  <c r="F136" i="4"/>
  <c r="E136" i="4"/>
  <c r="D136" i="4"/>
  <c r="C136" i="4"/>
  <c r="Q135" i="4"/>
  <c r="P135" i="4"/>
  <c r="O135" i="4"/>
  <c r="N135" i="4"/>
  <c r="M135" i="4"/>
  <c r="L135" i="4"/>
  <c r="K135" i="4"/>
  <c r="J135" i="4"/>
  <c r="I135" i="4"/>
  <c r="H135" i="4"/>
  <c r="G135" i="4"/>
  <c r="F135" i="4"/>
  <c r="E135" i="4"/>
  <c r="D135" i="4"/>
  <c r="C135" i="4"/>
  <c r="Q134" i="4"/>
  <c r="P134" i="4"/>
  <c r="O134" i="4"/>
  <c r="N134" i="4"/>
  <c r="M134" i="4"/>
  <c r="L134" i="4"/>
  <c r="K134" i="4"/>
  <c r="J134" i="4"/>
  <c r="I134" i="4"/>
  <c r="H134" i="4"/>
  <c r="G134" i="4"/>
  <c r="F134" i="4"/>
  <c r="E134" i="4"/>
  <c r="D134" i="4"/>
  <c r="C134" i="4"/>
  <c r="P132" i="4"/>
  <c r="O132" i="4"/>
  <c r="N132" i="4"/>
  <c r="M132" i="4"/>
  <c r="L132" i="4"/>
  <c r="K132" i="4"/>
  <c r="J132" i="4"/>
  <c r="I132" i="4"/>
  <c r="D132" i="4"/>
  <c r="C132" i="4"/>
  <c r="P131" i="4"/>
  <c r="O131" i="4"/>
  <c r="N131" i="4"/>
  <c r="M131" i="4"/>
  <c r="L131" i="4"/>
  <c r="K131" i="4"/>
  <c r="J131" i="4"/>
  <c r="I131" i="4"/>
  <c r="D131" i="4"/>
  <c r="C131" i="4"/>
  <c r="P130" i="4"/>
  <c r="O130" i="4"/>
  <c r="N130" i="4"/>
  <c r="M130" i="4"/>
  <c r="L130" i="4"/>
  <c r="K130" i="4"/>
  <c r="J130" i="4"/>
  <c r="I130" i="4"/>
  <c r="D130" i="4"/>
  <c r="C130" i="4"/>
  <c r="P129" i="4"/>
  <c r="O129" i="4"/>
  <c r="N129" i="4"/>
  <c r="M129" i="4"/>
  <c r="L129" i="4"/>
  <c r="K129" i="4"/>
  <c r="J129" i="4"/>
  <c r="I129" i="4"/>
  <c r="D129" i="4"/>
  <c r="C129" i="4"/>
  <c r="P128" i="4"/>
  <c r="O128" i="4"/>
  <c r="N128" i="4"/>
  <c r="M128" i="4"/>
  <c r="L128" i="4"/>
  <c r="K128" i="4"/>
  <c r="J128" i="4"/>
  <c r="I128" i="4"/>
  <c r="D128" i="4"/>
  <c r="C128" i="4"/>
  <c r="Q127" i="4"/>
  <c r="P127" i="4"/>
  <c r="O127" i="4"/>
  <c r="N127" i="4"/>
  <c r="M127" i="4"/>
  <c r="L127" i="4"/>
  <c r="K127" i="4"/>
  <c r="J127" i="4"/>
  <c r="I127" i="4"/>
  <c r="H127" i="4"/>
  <c r="G127" i="4"/>
  <c r="F127" i="4"/>
  <c r="E127" i="4"/>
  <c r="D127" i="4"/>
  <c r="C127" i="4"/>
  <c r="P126" i="4"/>
  <c r="O126" i="4"/>
  <c r="N126" i="4"/>
  <c r="M126" i="4"/>
  <c r="L126" i="4"/>
  <c r="K126" i="4"/>
  <c r="J126" i="4"/>
  <c r="I126" i="4"/>
  <c r="Q122" i="4"/>
  <c r="P122" i="4"/>
  <c r="O122" i="4"/>
  <c r="N122" i="4"/>
  <c r="M122" i="4"/>
  <c r="L122" i="4"/>
  <c r="K122" i="4"/>
  <c r="J122" i="4"/>
  <c r="I122" i="4"/>
  <c r="H122" i="4"/>
  <c r="G122" i="4"/>
  <c r="F122" i="4"/>
  <c r="E122" i="4"/>
  <c r="D122" i="4"/>
  <c r="C122" i="4"/>
  <c r="Q121" i="4"/>
  <c r="P121" i="4"/>
  <c r="O121" i="4"/>
  <c r="N121" i="4"/>
  <c r="M121" i="4"/>
  <c r="L121" i="4"/>
  <c r="K121" i="4"/>
  <c r="J121" i="4"/>
  <c r="I121" i="4"/>
  <c r="H121" i="4"/>
  <c r="G121" i="4"/>
  <c r="F121" i="4"/>
  <c r="E121" i="4"/>
  <c r="D121" i="4"/>
  <c r="C121" i="4"/>
  <c r="Q120" i="4"/>
  <c r="P120" i="4"/>
  <c r="O120" i="4"/>
  <c r="N120" i="4"/>
  <c r="M120" i="4"/>
  <c r="L120" i="4"/>
  <c r="K120" i="4"/>
  <c r="J120" i="4"/>
  <c r="I120" i="4"/>
  <c r="H120" i="4"/>
  <c r="G120" i="4"/>
  <c r="F120" i="4"/>
  <c r="E120" i="4"/>
  <c r="D120" i="4"/>
  <c r="C120" i="4"/>
  <c r="Q119" i="4"/>
  <c r="P119" i="4"/>
  <c r="O119" i="4"/>
  <c r="N119" i="4"/>
  <c r="M119" i="4"/>
  <c r="L119" i="4"/>
  <c r="K119" i="4"/>
  <c r="J119" i="4"/>
  <c r="I119" i="4"/>
  <c r="H119" i="4"/>
  <c r="G119" i="4"/>
  <c r="F119" i="4"/>
  <c r="E119" i="4"/>
  <c r="D119" i="4"/>
  <c r="C119" i="4"/>
  <c r="Q118" i="4"/>
  <c r="P118" i="4"/>
  <c r="O118" i="4"/>
  <c r="N118" i="4"/>
  <c r="M118" i="4"/>
  <c r="L118" i="4"/>
  <c r="K118" i="4"/>
  <c r="J118" i="4"/>
  <c r="I118" i="4"/>
  <c r="H118" i="4"/>
  <c r="G118" i="4"/>
  <c r="F118" i="4"/>
  <c r="E118" i="4"/>
  <c r="D118" i="4"/>
  <c r="C118" i="4"/>
  <c r="Q117" i="4"/>
  <c r="P117" i="4"/>
  <c r="O117" i="4"/>
  <c r="N117" i="4"/>
  <c r="M117" i="4"/>
  <c r="L117" i="4"/>
  <c r="K117" i="4"/>
  <c r="J117" i="4"/>
  <c r="I117" i="4"/>
  <c r="H117" i="4"/>
  <c r="G117" i="4"/>
  <c r="F117" i="4"/>
  <c r="E117" i="4"/>
  <c r="D117" i="4"/>
  <c r="C117" i="4"/>
  <c r="Q116" i="4"/>
  <c r="P116" i="4"/>
  <c r="O116" i="4"/>
  <c r="N116" i="4"/>
  <c r="M116" i="4"/>
  <c r="L116" i="4"/>
  <c r="K116" i="4"/>
  <c r="J116" i="4"/>
  <c r="I116" i="4"/>
  <c r="H116" i="4"/>
  <c r="G116" i="4"/>
  <c r="F116" i="4"/>
  <c r="E116" i="4"/>
  <c r="D116" i="4"/>
  <c r="C116" i="4"/>
  <c r="Q115" i="4"/>
  <c r="P115" i="4"/>
  <c r="O115" i="4"/>
  <c r="N115" i="4"/>
  <c r="M115" i="4"/>
  <c r="L115" i="4"/>
  <c r="K115" i="4"/>
  <c r="J115" i="4"/>
  <c r="I115" i="4"/>
  <c r="H115" i="4"/>
  <c r="G115" i="4"/>
  <c r="F115" i="4"/>
  <c r="E115" i="4"/>
  <c r="D115" i="4"/>
  <c r="C115" i="4"/>
  <c r="Q114" i="4"/>
  <c r="P114" i="4"/>
  <c r="O114" i="4"/>
  <c r="N114" i="4"/>
  <c r="M114" i="4"/>
  <c r="L114" i="4"/>
  <c r="K114" i="4"/>
  <c r="J114" i="4"/>
  <c r="I114" i="4"/>
  <c r="H114" i="4"/>
  <c r="G114" i="4"/>
  <c r="F114" i="4"/>
  <c r="E114" i="4"/>
  <c r="D114" i="4"/>
  <c r="C114" i="4"/>
  <c r="Q113" i="4"/>
  <c r="P113" i="4"/>
  <c r="O113" i="4"/>
  <c r="N113" i="4"/>
  <c r="M113" i="4"/>
  <c r="L113" i="4"/>
  <c r="K113" i="4"/>
  <c r="J113" i="4"/>
  <c r="I113" i="4"/>
  <c r="H113" i="4"/>
  <c r="G113" i="4"/>
  <c r="F113" i="4"/>
  <c r="E113" i="4"/>
  <c r="D113" i="4"/>
  <c r="C113" i="4"/>
  <c r="Q112" i="4"/>
  <c r="P112" i="4"/>
  <c r="O112" i="4"/>
  <c r="N112" i="4"/>
  <c r="M112" i="4"/>
  <c r="L112" i="4"/>
  <c r="K112" i="4"/>
  <c r="J112" i="4"/>
  <c r="I112" i="4"/>
  <c r="H112" i="4"/>
  <c r="M16" i="5" s="1"/>
  <c r="N16" i="5" s="1"/>
  <c r="G112" i="4"/>
  <c r="F112" i="4"/>
  <c r="E112" i="4"/>
  <c r="D112" i="4"/>
  <c r="C112" i="4"/>
  <c r="M15" i="5" s="1"/>
  <c r="P111" i="4"/>
  <c r="O111" i="4"/>
  <c r="N111" i="4"/>
  <c r="M111" i="4"/>
  <c r="L111" i="4"/>
  <c r="K111" i="4"/>
  <c r="J111" i="4"/>
  <c r="I111" i="4"/>
  <c r="Q107" i="4"/>
  <c r="P107" i="4"/>
  <c r="O107" i="4"/>
  <c r="N107" i="4"/>
  <c r="M107" i="4"/>
  <c r="L107" i="4"/>
  <c r="K107" i="4"/>
  <c r="J107" i="4"/>
  <c r="I107" i="4"/>
  <c r="H107" i="4"/>
  <c r="G107" i="4"/>
  <c r="F107" i="4"/>
  <c r="E107" i="4"/>
  <c r="D107" i="4"/>
  <c r="C107" i="4"/>
  <c r="Q106" i="4"/>
  <c r="P106" i="4"/>
  <c r="O106" i="4"/>
  <c r="N106" i="4"/>
  <c r="M106" i="4"/>
  <c r="L106" i="4"/>
  <c r="K106" i="4"/>
  <c r="J106" i="4"/>
  <c r="I106" i="4"/>
  <c r="H106" i="4"/>
  <c r="G106" i="4"/>
  <c r="F106" i="4"/>
  <c r="E106" i="4"/>
  <c r="D106" i="4"/>
  <c r="C106" i="4"/>
  <c r="Q105" i="4"/>
  <c r="P105" i="4"/>
  <c r="O105" i="4"/>
  <c r="N105" i="4"/>
  <c r="M105" i="4"/>
  <c r="L105" i="4"/>
  <c r="K105" i="4"/>
  <c r="J105" i="4"/>
  <c r="I105" i="4"/>
  <c r="H105" i="4"/>
  <c r="G105" i="4"/>
  <c r="F105" i="4"/>
  <c r="E105" i="4"/>
  <c r="D105" i="4"/>
  <c r="C105" i="4"/>
  <c r="Q104" i="4"/>
  <c r="P104" i="4"/>
  <c r="O104" i="4"/>
  <c r="N104" i="4"/>
  <c r="M104" i="4"/>
  <c r="L104" i="4"/>
  <c r="K104" i="4"/>
  <c r="J104" i="4"/>
  <c r="I104" i="4"/>
  <c r="H104" i="4"/>
  <c r="G104" i="4"/>
  <c r="F104" i="4"/>
  <c r="E104" i="4"/>
  <c r="D104" i="4"/>
  <c r="C104" i="4"/>
  <c r="Q103" i="4"/>
  <c r="P103" i="4"/>
  <c r="O103" i="4"/>
  <c r="N103" i="4"/>
  <c r="M103" i="4"/>
  <c r="L103" i="4"/>
  <c r="K103" i="4"/>
  <c r="J103" i="4"/>
  <c r="I103" i="4"/>
  <c r="H103" i="4"/>
  <c r="G103" i="4"/>
  <c r="F103" i="4"/>
  <c r="E103" i="4"/>
  <c r="D103" i="4"/>
  <c r="C103" i="4"/>
  <c r="Q102" i="4"/>
  <c r="P102" i="4"/>
  <c r="O102" i="4"/>
  <c r="N102" i="4"/>
  <c r="M102" i="4"/>
  <c r="L102" i="4"/>
  <c r="K102" i="4"/>
  <c r="J102" i="4"/>
  <c r="I102" i="4"/>
  <c r="H102" i="4"/>
  <c r="M11" i="5" s="1"/>
  <c r="N11" i="5" s="1"/>
  <c r="G102" i="4"/>
  <c r="F102" i="4"/>
  <c r="E102" i="4"/>
  <c r="D102" i="4"/>
  <c r="C102" i="4"/>
  <c r="M10" i="5" s="1"/>
  <c r="Q101" i="4"/>
  <c r="P101" i="4"/>
  <c r="O101" i="4"/>
  <c r="N101" i="4"/>
  <c r="M101" i="4"/>
  <c r="L101" i="4"/>
  <c r="K101" i="4"/>
  <c r="J101" i="4"/>
  <c r="I101" i="4"/>
  <c r="H101" i="4"/>
  <c r="H11" i="5" s="1"/>
  <c r="I11" i="5" s="1"/>
  <c r="G101" i="4"/>
  <c r="F101" i="4"/>
  <c r="E101" i="4"/>
  <c r="D101" i="4"/>
  <c r="C101" i="4"/>
  <c r="H10" i="5" s="1"/>
  <c r="Q100" i="4"/>
  <c r="P100" i="4"/>
  <c r="O100" i="4"/>
  <c r="N100" i="4"/>
  <c r="M100" i="4"/>
  <c r="L100" i="4"/>
  <c r="K100" i="4"/>
  <c r="J100" i="4"/>
  <c r="I100" i="4"/>
  <c r="H100" i="4"/>
  <c r="G100" i="4"/>
  <c r="F100" i="4"/>
  <c r="E100" i="4"/>
  <c r="D100" i="4"/>
  <c r="C100" i="4"/>
  <c r="C10" i="5" s="1"/>
  <c r="P99" i="4"/>
  <c r="O99" i="4"/>
  <c r="N99" i="4"/>
  <c r="M99" i="4"/>
  <c r="L99" i="4"/>
  <c r="K99" i="4"/>
  <c r="J99" i="4"/>
  <c r="I99" i="4"/>
  <c r="O95" i="4"/>
  <c r="N95" i="4"/>
  <c r="M95" i="4"/>
  <c r="L95" i="4"/>
  <c r="K95" i="4"/>
  <c r="J95" i="4"/>
  <c r="H95" i="4"/>
  <c r="G95" i="4"/>
  <c r="F95" i="4"/>
  <c r="E95" i="4"/>
  <c r="D95" i="4"/>
  <c r="C95" i="4"/>
  <c r="P94" i="4"/>
  <c r="O94" i="4"/>
  <c r="N94" i="4"/>
  <c r="M94" i="4"/>
  <c r="L94" i="4"/>
  <c r="K94" i="4"/>
  <c r="J94" i="4"/>
  <c r="I94" i="4"/>
  <c r="H94" i="4"/>
  <c r="G94" i="4"/>
  <c r="F94" i="4"/>
  <c r="E94" i="4"/>
  <c r="D94" i="4"/>
  <c r="C94" i="4"/>
  <c r="P93" i="4"/>
  <c r="O93" i="4"/>
  <c r="N93" i="4"/>
  <c r="M93" i="4"/>
  <c r="L93" i="4"/>
  <c r="K93" i="4"/>
  <c r="J93" i="4"/>
  <c r="I93" i="4"/>
  <c r="H93" i="4"/>
  <c r="G93" i="4"/>
  <c r="F93" i="4"/>
  <c r="E93" i="4"/>
  <c r="D93" i="4"/>
  <c r="C93" i="4"/>
  <c r="P92" i="4"/>
  <c r="O92" i="4"/>
  <c r="N92" i="4"/>
  <c r="M92" i="4"/>
  <c r="L92" i="4"/>
  <c r="K92" i="4"/>
  <c r="J92" i="4"/>
  <c r="I92" i="4"/>
  <c r="H92" i="4"/>
  <c r="G92" i="4"/>
  <c r="F92" i="4"/>
  <c r="E92" i="4"/>
  <c r="D92" i="4"/>
  <c r="C92" i="4"/>
  <c r="P91" i="4"/>
  <c r="O91" i="4"/>
  <c r="N91" i="4"/>
  <c r="M91" i="4"/>
  <c r="L91" i="4"/>
  <c r="K91" i="4"/>
  <c r="J91" i="4"/>
  <c r="I91" i="4"/>
  <c r="H91" i="4"/>
  <c r="G91" i="4"/>
  <c r="F91" i="4"/>
  <c r="E91" i="4"/>
  <c r="D91" i="4"/>
  <c r="C91" i="4"/>
  <c r="P90" i="4"/>
  <c r="O90" i="4"/>
  <c r="N90" i="4"/>
  <c r="M90" i="4"/>
  <c r="L90" i="4"/>
  <c r="K90" i="4"/>
  <c r="J90" i="4"/>
  <c r="I90" i="4"/>
  <c r="H90" i="4"/>
  <c r="G90" i="4"/>
  <c r="F90" i="4"/>
  <c r="E90" i="4"/>
  <c r="D90" i="4"/>
  <c r="C90" i="4"/>
  <c r="Q89" i="4"/>
  <c r="P89" i="4"/>
  <c r="O89" i="4"/>
  <c r="N89" i="4"/>
  <c r="M89" i="4"/>
  <c r="L89" i="4"/>
  <c r="K89" i="4"/>
  <c r="J89" i="4"/>
  <c r="I89" i="4"/>
  <c r="H89" i="4"/>
  <c r="G89" i="4"/>
  <c r="F89" i="4"/>
  <c r="E89" i="4"/>
  <c r="D89" i="4"/>
  <c r="C89" i="4"/>
  <c r="C88" i="4"/>
  <c r="P87" i="4"/>
  <c r="O87" i="4"/>
  <c r="N87" i="4"/>
  <c r="M87" i="4"/>
  <c r="L87" i="4"/>
  <c r="K87" i="4"/>
  <c r="J87" i="4"/>
  <c r="I87" i="4"/>
  <c r="H87" i="4"/>
  <c r="G87" i="4"/>
  <c r="F87" i="4"/>
  <c r="E87" i="4"/>
  <c r="D87" i="4"/>
  <c r="C87" i="4"/>
  <c r="P86" i="4"/>
  <c r="O86" i="4"/>
  <c r="N86" i="4"/>
  <c r="M86" i="4"/>
  <c r="L86" i="4"/>
  <c r="K86" i="4"/>
  <c r="J86" i="4"/>
  <c r="I86" i="4"/>
  <c r="H86" i="4"/>
  <c r="G86" i="4"/>
  <c r="F86" i="4"/>
  <c r="E86" i="4"/>
  <c r="D86" i="4"/>
  <c r="C86" i="4"/>
  <c r="P85" i="4"/>
  <c r="O85" i="4"/>
  <c r="N85" i="4"/>
  <c r="M85" i="4"/>
  <c r="L85" i="4"/>
  <c r="K85" i="4"/>
  <c r="J85" i="4"/>
  <c r="I85" i="4"/>
  <c r="H85" i="4"/>
  <c r="G85" i="4"/>
  <c r="F85" i="4"/>
  <c r="E85" i="4"/>
  <c r="D85" i="4"/>
  <c r="C85" i="4"/>
  <c r="P84" i="4"/>
  <c r="O84" i="4"/>
  <c r="N84" i="4"/>
  <c r="M84" i="4"/>
  <c r="L84" i="4"/>
  <c r="K84" i="4"/>
  <c r="J84" i="4"/>
  <c r="I84" i="4"/>
  <c r="H84" i="4"/>
  <c r="G84" i="4"/>
  <c r="F84" i="4"/>
  <c r="E84" i="4"/>
  <c r="D84" i="4"/>
  <c r="C84" i="4"/>
  <c r="P83" i="4"/>
  <c r="O83" i="4"/>
  <c r="N83" i="4"/>
  <c r="M83" i="4"/>
  <c r="L83" i="4"/>
  <c r="K83" i="4"/>
  <c r="J83" i="4"/>
  <c r="I83" i="4"/>
  <c r="H83" i="4"/>
  <c r="G83" i="4"/>
  <c r="F83" i="4"/>
  <c r="E83" i="4"/>
  <c r="D83" i="4"/>
  <c r="C83" i="4"/>
  <c r="Q82" i="4"/>
  <c r="P82" i="4"/>
  <c r="O82" i="4"/>
  <c r="N82" i="4"/>
  <c r="M82" i="4"/>
  <c r="L82" i="4"/>
  <c r="K82" i="4"/>
  <c r="J82" i="4"/>
  <c r="I82" i="4"/>
  <c r="H82" i="4"/>
  <c r="G82" i="4"/>
  <c r="F82" i="4"/>
  <c r="E82" i="4"/>
  <c r="D82" i="4"/>
  <c r="C82" i="4"/>
  <c r="C81" i="4"/>
  <c r="P80" i="4"/>
  <c r="O80" i="4"/>
  <c r="N80" i="4"/>
  <c r="M80" i="4"/>
  <c r="L80" i="4"/>
  <c r="K80" i="4"/>
  <c r="J80" i="4"/>
  <c r="I80" i="4"/>
  <c r="H80" i="4"/>
  <c r="G80" i="4"/>
  <c r="F80" i="4"/>
  <c r="E80" i="4"/>
  <c r="D80" i="4"/>
  <c r="C80" i="4"/>
  <c r="P79" i="4"/>
  <c r="O79" i="4"/>
  <c r="N79" i="4"/>
  <c r="M79" i="4"/>
  <c r="L79" i="4"/>
  <c r="K79" i="4"/>
  <c r="J79" i="4"/>
  <c r="I79" i="4"/>
  <c r="H79" i="4"/>
  <c r="G79" i="4"/>
  <c r="F79" i="4"/>
  <c r="E79" i="4"/>
  <c r="D79" i="4"/>
  <c r="C79" i="4"/>
  <c r="P78" i="4"/>
  <c r="O78" i="4"/>
  <c r="N78" i="4"/>
  <c r="M78" i="4"/>
  <c r="L78" i="4"/>
  <c r="K78" i="4"/>
  <c r="J78" i="4"/>
  <c r="I78" i="4"/>
  <c r="H78" i="4"/>
  <c r="G78" i="4"/>
  <c r="F78" i="4"/>
  <c r="E78" i="4"/>
  <c r="D78" i="4"/>
  <c r="C78" i="4"/>
  <c r="P77" i="4"/>
  <c r="O77" i="4"/>
  <c r="N77" i="4"/>
  <c r="M77" i="4"/>
  <c r="L77" i="4"/>
  <c r="K77" i="4"/>
  <c r="J77" i="4"/>
  <c r="I77" i="4"/>
  <c r="H77" i="4"/>
  <c r="G77" i="4"/>
  <c r="F77" i="4"/>
  <c r="E77" i="4"/>
  <c r="D77" i="4"/>
  <c r="C77" i="4"/>
  <c r="P76" i="4"/>
  <c r="O76" i="4"/>
  <c r="N76" i="4"/>
  <c r="M76" i="4"/>
  <c r="L76" i="4"/>
  <c r="K76" i="4"/>
  <c r="J76" i="4"/>
  <c r="I76" i="4"/>
  <c r="H76" i="4"/>
  <c r="G76" i="4"/>
  <c r="F76" i="4"/>
  <c r="E76" i="4"/>
  <c r="D76" i="4"/>
  <c r="C76" i="4"/>
  <c r="Q75" i="4"/>
  <c r="P75" i="4"/>
  <c r="O75" i="4"/>
  <c r="N75" i="4"/>
  <c r="M75" i="4"/>
  <c r="L75" i="4"/>
  <c r="K75" i="4"/>
  <c r="J75" i="4"/>
  <c r="I75" i="4"/>
  <c r="H75" i="4"/>
  <c r="H16" i="5" s="1"/>
  <c r="I16" i="5" s="1"/>
  <c r="G75" i="4"/>
  <c r="F75" i="4"/>
  <c r="E75" i="4"/>
  <c r="D75" i="4"/>
  <c r="C75" i="4"/>
  <c r="H15" i="5" s="1"/>
  <c r="C74" i="4"/>
  <c r="P73" i="4"/>
  <c r="O73" i="4"/>
  <c r="N73" i="4"/>
  <c r="M73" i="4"/>
  <c r="L73" i="4"/>
  <c r="K73" i="4"/>
  <c r="J73" i="4"/>
  <c r="I73" i="4"/>
  <c r="H73" i="4"/>
  <c r="G73" i="4"/>
  <c r="F73" i="4"/>
  <c r="E73" i="4"/>
  <c r="D73" i="4"/>
  <c r="C73" i="4"/>
  <c r="P72" i="4"/>
  <c r="O72" i="4"/>
  <c r="N72" i="4"/>
  <c r="M72" i="4"/>
  <c r="L72" i="4"/>
  <c r="K72" i="4"/>
  <c r="J72" i="4"/>
  <c r="I72" i="4"/>
  <c r="H72" i="4"/>
  <c r="G72" i="4"/>
  <c r="F72" i="4"/>
  <c r="E72" i="4"/>
  <c r="D72" i="4"/>
  <c r="C72" i="4"/>
  <c r="P71" i="4"/>
  <c r="O71" i="4"/>
  <c r="N71" i="4"/>
  <c r="M71" i="4"/>
  <c r="L71" i="4"/>
  <c r="K71" i="4"/>
  <c r="J71" i="4"/>
  <c r="I71" i="4"/>
  <c r="H71" i="4"/>
  <c r="G71" i="4"/>
  <c r="F71" i="4"/>
  <c r="E71" i="4"/>
  <c r="D71" i="4"/>
  <c r="C71" i="4"/>
  <c r="P70" i="4"/>
  <c r="O70" i="4"/>
  <c r="N70" i="4"/>
  <c r="M70" i="4"/>
  <c r="L70" i="4"/>
  <c r="K70" i="4"/>
  <c r="J70" i="4"/>
  <c r="I70" i="4"/>
  <c r="H70" i="4"/>
  <c r="G70" i="4"/>
  <c r="F70" i="4"/>
  <c r="E70" i="4"/>
  <c r="D70" i="4"/>
  <c r="C70" i="4"/>
  <c r="P69" i="4"/>
  <c r="O69" i="4"/>
  <c r="N69" i="4"/>
  <c r="M69" i="4"/>
  <c r="L69" i="4"/>
  <c r="K69" i="4"/>
  <c r="J69" i="4"/>
  <c r="I69" i="4"/>
  <c r="H69" i="4"/>
  <c r="G69" i="4"/>
  <c r="F69" i="4"/>
  <c r="E69" i="4"/>
  <c r="D69" i="4"/>
  <c r="C69" i="4"/>
  <c r="P68" i="4"/>
  <c r="O68" i="4"/>
  <c r="N68" i="4"/>
  <c r="M68" i="4"/>
  <c r="L68" i="4"/>
  <c r="K68" i="4"/>
  <c r="J68" i="4"/>
  <c r="I68" i="4"/>
  <c r="H68" i="4"/>
  <c r="G68" i="4"/>
  <c r="F68" i="4"/>
  <c r="E68" i="4"/>
  <c r="D68" i="4"/>
  <c r="C68" i="4"/>
  <c r="P67" i="4"/>
  <c r="O67" i="4"/>
  <c r="N67" i="4"/>
  <c r="M67" i="4"/>
  <c r="L67" i="4"/>
  <c r="K67" i="4"/>
  <c r="J67" i="4"/>
  <c r="I67" i="4"/>
  <c r="H67" i="4"/>
  <c r="G67" i="4"/>
  <c r="F67" i="4"/>
  <c r="E67" i="4"/>
  <c r="D67" i="4"/>
  <c r="C67" i="4"/>
  <c r="Q66" i="4"/>
  <c r="P66" i="4"/>
  <c r="O66" i="4"/>
  <c r="N66" i="4"/>
  <c r="M66" i="4"/>
  <c r="L66" i="4"/>
  <c r="K66" i="4"/>
  <c r="J66" i="4"/>
  <c r="I66" i="4"/>
  <c r="H66" i="4"/>
  <c r="G66" i="4"/>
  <c r="F66" i="4"/>
  <c r="E66" i="4"/>
  <c r="D66" i="4"/>
  <c r="C66" i="4"/>
  <c r="C65" i="4"/>
  <c r="Q64" i="4"/>
  <c r="P64" i="4"/>
  <c r="O64" i="4"/>
  <c r="N64" i="4"/>
  <c r="M64" i="4"/>
  <c r="L64" i="4"/>
  <c r="K64" i="4"/>
  <c r="J64" i="4"/>
  <c r="I64" i="4"/>
  <c r="H64" i="4"/>
  <c r="C16" i="5" s="1"/>
  <c r="D16" i="5" s="1"/>
  <c r="G64" i="4"/>
  <c r="F64" i="4"/>
  <c r="E64" i="4"/>
  <c r="D64" i="4"/>
  <c r="C64" i="4"/>
  <c r="Q63" i="4"/>
  <c r="P63" i="4"/>
  <c r="O63" i="4"/>
  <c r="N63" i="4"/>
  <c r="M63" i="4"/>
  <c r="L63" i="4"/>
  <c r="K63" i="4"/>
  <c r="J63" i="4"/>
  <c r="I63" i="4"/>
  <c r="H63" i="4"/>
  <c r="G63" i="4"/>
  <c r="F63" i="4"/>
  <c r="E63" i="4"/>
  <c r="D63" i="4"/>
  <c r="C63" i="4"/>
  <c r="Q62" i="4"/>
  <c r="P62" i="4"/>
  <c r="O62" i="4"/>
  <c r="N62" i="4"/>
  <c r="M62" i="4"/>
  <c r="L62" i="4"/>
  <c r="K62" i="4"/>
  <c r="J62" i="4"/>
  <c r="I62" i="4"/>
  <c r="H62" i="4"/>
  <c r="G62" i="4"/>
  <c r="F62" i="4"/>
  <c r="E62" i="4"/>
  <c r="D62" i="4"/>
  <c r="C62" i="4"/>
  <c r="C15" i="5" s="1"/>
  <c r="Q61" i="4"/>
  <c r="P61" i="4"/>
  <c r="O61" i="4"/>
  <c r="N61" i="4"/>
  <c r="M61" i="4"/>
  <c r="L61" i="4"/>
  <c r="K61" i="4"/>
  <c r="J61" i="4"/>
  <c r="I61" i="4"/>
  <c r="H61" i="4"/>
  <c r="M21" i="5" s="1"/>
  <c r="N21" i="5" s="1"/>
  <c r="G61" i="4"/>
  <c r="F61" i="4"/>
  <c r="E61" i="4"/>
  <c r="D61" i="4"/>
  <c r="C61" i="4"/>
  <c r="Q60" i="4"/>
  <c r="P60" i="4"/>
  <c r="O60" i="4"/>
  <c r="N60" i="4"/>
  <c r="M60" i="4"/>
  <c r="L60" i="4"/>
  <c r="K60" i="4"/>
  <c r="J60" i="4"/>
  <c r="I60" i="4"/>
  <c r="H60" i="4"/>
  <c r="G60" i="4"/>
  <c r="F60" i="4"/>
  <c r="E60" i="4"/>
  <c r="D60" i="4"/>
  <c r="C60" i="4"/>
  <c r="Q59" i="4"/>
  <c r="P59" i="4"/>
  <c r="O59" i="4"/>
  <c r="N59" i="4"/>
  <c r="M59" i="4"/>
  <c r="L59" i="4"/>
  <c r="K59" i="4"/>
  <c r="J59" i="4"/>
  <c r="I59" i="4"/>
  <c r="H59" i="4"/>
  <c r="G59" i="4"/>
  <c r="F59" i="4"/>
  <c r="E59" i="4"/>
  <c r="D59" i="4"/>
  <c r="C59" i="4"/>
  <c r="Q58" i="4"/>
  <c r="P58" i="4"/>
  <c r="O58" i="4"/>
  <c r="N58" i="4"/>
  <c r="M58" i="4"/>
  <c r="L58" i="4"/>
  <c r="K58" i="4"/>
  <c r="J58" i="4"/>
  <c r="I58" i="4"/>
  <c r="H58" i="4"/>
  <c r="G58" i="4"/>
  <c r="F58" i="4"/>
  <c r="E58" i="4"/>
  <c r="D58" i="4"/>
  <c r="C58" i="4"/>
  <c r="C20" i="5" s="1"/>
  <c r="Q57" i="4"/>
  <c r="P57" i="4"/>
  <c r="O57" i="4"/>
  <c r="N57" i="4"/>
  <c r="M57" i="4"/>
  <c r="L57" i="4"/>
  <c r="K57" i="4"/>
  <c r="J57" i="4"/>
  <c r="I57" i="4"/>
  <c r="H57" i="4"/>
  <c r="H21" i="5" s="1"/>
  <c r="I21" i="5" s="1"/>
  <c r="G57" i="4"/>
  <c r="F57" i="4"/>
  <c r="E57" i="4"/>
  <c r="D57" i="4"/>
  <c r="C57" i="4"/>
  <c r="H20" i="5" s="1"/>
  <c r="Q56" i="4"/>
  <c r="P56" i="4"/>
  <c r="O56" i="4"/>
  <c r="N56" i="4"/>
  <c r="M56" i="4"/>
  <c r="L56" i="4"/>
  <c r="K56" i="4"/>
  <c r="J56" i="4"/>
  <c r="I56" i="4"/>
  <c r="H56" i="4"/>
  <c r="G56" i="4"/>
  <c r="F56" i="4"/>
  <c r="E56" i="4"/>
  <c r="D56" i="4"/>
  <c r="C56" i="4"/>
  <c r="Q55" i="4"/>
  <c r="P55" i="4"/>
  <c r="O55" i="4"/>
  <c r="N55" i="4"/>
  <c r="M55" i="4"/>
  <c r="L55" i="4"/>
  <c r="K55" i="4"/>
  <c r="J55" i="4"/>
  <c r="I55" i="4"/>
  <c r="H55" i="4"/>
  <c r="G55" i="4"/>
  <c r="F55" i="4"/>
  <c r="E55" i="4"/>
  <c r="D55" i="4"/>
  <c r="C55" i="4"/>
  <c r="Q54" i="4"/>
  <c r="P54" i="4"/>
  <c r="O54" i="4"/>
  <c r="N54" i="4"/>
  <c r="M54" i="4"/>
  <c r="L54" i="4"/>
  <c r="K54" i="4"/>
  <c r="J54" i="4"/>
  <c r="I54" i="4"/>
  <c r="H54" i="4"/>
  <c r="G54" i="4"/>
  <c r="F54" i="4"/>
  <c r="E54" i="4"/>
  <c r="D54" i="4"/>
  <c r="C54" i="4"/>
  <c r="Q53" i="4"/>
  <c r="P53" i="4"/>
  <c r="O53" i="4"/>
  <c r="N53" i="4"/>
  <c r="M53" i="4"/>
  <c r="L53" i="4"/>
  <c r="K53" i="4"/>
  <c r="J53" i="4"/>
  <c r="I53" i="4"/>
  <c r="H53" i="4"/>
  <c r="G53" i="4"/>
  <c r="F53" i="4"/>
  <c r="E53" i="4"/>
  <c r="D53" i="4"/>
  <c r="C53" i="4"/>
  <c r="Q52" i="4"/>
  <c r="P52" i="4"/>
  <c r="O52" i="4"/>
  <c r="N52" i="4"/>
  <c r="M52" i="4"/>
  <c r="L52" i="4"/>
  <c r="K52" i="4"/>
  <c r="J52" i="4"/>
  <c r="I52" i="4"/>
  <c r="H52" i="4"/>
  <c r="G52" i="4"/>
  <c r="F52" i="4"/>
  <c r="E52" i="4"/>
  <c r="D52" i="4"/>
  <c r="C52" i="4"/>
  <c r="Q51" i="4"/>
  <c r="P51" i="4"/>
  <c r="O51" i="4"/>
  <c r="N51" i="4"/>
  <c r="M51" i="4"/>
  <c r="L51" i="4"/>
  <c r="K51" i="4"/>
  <c r="J51" i="4"/>
  <c r="I51" i="4"/>
  <c r="H51" i="4"/>
  <c r="G51" i="4"/>
  <c r="F51" i="4"/>
  <c r="E51" i="4"/>
  <c r="D51" i="4"/>
  <c r="C51" i="4"/>
  <c r="Q50" i="4"/>
  <c r="P50" i="4"/>
  <c r="O50" i="4"/>
  <c r="N50" i="4"/>
  <c r="M50" i="4"/>
  <c r="L50" i="4"/>
  <c r="K50" i="4"/>
  <c r="J50" i="4"/>
  <c r="I50" i="4"/>
  <c r="H50" i="4"/>
  <c r="G50" i="4"/>
  <c r="F50" i="4"/>
  <c r="E50" i="4"/>
  <c r="D50" i="4"/>
  <c r="C50" i="4"/>
  <c r="P49" i="4"/>
  <c r="O49" i="4"/>
  <c r="N49" i="4"/>
  <c r="M49" i="4"/>
  <c r="L49" i="4"/>
  <c r="K49" i="4"/>
  <c r="J49" i="4"/>
  <c r="I49" i="4"/>
  <c r="Q45" i="4"/>
  <c r="P45" i="4"/>
  <c r="O45" i="4"/>
  <c r="N45" i="4"/>
  <c r="M45" i="4"/>
  <c r="L45" i="4"/>
  <c r="K45" i="4"/>
  <c r="J45" i="4"/>
  <c r="I45" i="4"/>
  <c r="H45" i="4"/>
  <c r="G45" i="4"/>
  <c r="F45" i="4"/>
  <c r="E45" i="4"/>
  <c r="D45" i="4"/>
  <c r="C45" i="4"/>
  <c r="Q44" i="4"/>
  <c r="P44" i="4"/>
  <c r="O44" i="4"/>
  <c r="N44" i="4"/>
  <c r="M44" i="4"/>
  <c r="L44" i="4"/>
  <c r="K44" i="4"/>
  <c r="J44" i="4"/>
  <c r="I44" i="4"/>
  <c r="H44" i="4"/>
  <c r="G44" i="4"/>
  <c r="F44" i="4"/>
  <c r="E44" i="4"/>
  <c r="D44" i="4"/>
  <c r="C44" i="4"/>
  <c r="P43" i="4"/>
  <c r="O43" i="4"/>
  <c r="N43" i="4"/>
  <c r="M43" i="4"/>
  <c r="L43" i="4"/>
  <c r="K43" i="4"/>
  <c r="J43" i="4"/>
  <c r="I43" i="4"/>
  <c r="D39" i="4"/>
  <c r="C39" i="4"/>
  <c r="D38" i="4"/>
  <c r="C38" i="4"/>
  <c r="D37" i="4"/>
  <c r="C37" i="4"/>
  <c r="D36" i="4"/>
  <c r="C36" i="4"/>
  <c r="D35" i="4"/>
  <c r="C35" i="4"/>
  <c r="Q34" i="4"/>
  <c r="P34" i="4"/>
  <c r="O34" i="4"/>
  <c r="N34" i="4"/>
  <c r="M34" i="4"/>
  <c r="L34" i="4"/>
  <c r="K34" i="4"/>
  <c r="J34" i="4"/>
  <c r="I34" i="4"/>
  <c r="H34" i="4"/>
  <c r="G34" i="4"/>
  <c r="F34" i="4"/>
  <c r="E34" i="4"/>
  <c r="D34" i="4"/>
  <c r="C34" i="4"/>
  <c r="D32" i="4"/>
  <c r="C32" i="4"/>
  <c r="D31" i="4"/>
  <c r="C31" i="4"/>
  <c r="D30" i="4"/>
  <c r="C30" i="4"/>
  <c r="D29" i="4"/>
  <c r="C29" i="4"/>
  <c r="Q28" i="4"/>
  <c r="P28" i="4"/>
  <c r="O28" i="4"/>
  <c r="N28" i="4"/>
  <c r="M28" i="4"/>
  <c r="L28" i="4"/>
  <c r="K28" i="4"/>
  <c r="J28" i="4"/>
  <c r="I28" i="4"/>
  <c r="H28" i="4"/>
  <c r="G28" i="4"/>
  <c r="F28" i="4"/>
  <c r="E28" i="4"/>
  <c r="D28" i="4"/>
  <c r="C28" i="4"/>
  <c r="D26" i="4"/>
  <c r="C26" i="4"/>
  <c r="D25" i="4"/>
  <c r="C25" i="4"/>
  <c r="Q24" i="4"/>
  <c r="P24" i="4"/>
  <c r="O24" i="4"/>
  <c r="N24" i="4"/>
  <c r="M24" i="4"/>
  <c r="L24" i="4"/>
  <c r="K24" i="4"/>
  <c r="J24" i="4"/>
  <c r="I24" i="4"/>
  <c r="H24" i="4"/>
  <c r="G24" i="4"/>
  <c r="F24" i="4"/>
  <c r="E24" i="4"/>
  <c r="D24" i="4"/>
  <c r="C24" i="4"/>
  <c r="D22" i="4"/>
  <c r="C22" i="4"/>
  <c r="D21" i="4"/>
  <c r="C21" i="4"/>
  <c r="D20" i="4"/>
  <c r="C20" i="4"/>
  <c r="Q19" i="4"/>
  <c r="P19" i="4"/>
  <c r="O19" i="4"/>
  <c r="N19" i="4"/>
  <c r="M19" i="4"/>
  <c r="L19" i="4"/>
  <c r="K19" i="4"/>
  <c r="J19" i="4"/>
  <c r="I19" i="4"/>
  <c r="H19" i="4"/>
  <c r="G19" i="4"/>
  <c r="F19" i="4"/>
  <c r="E19" i="4"/>
  <c r="D19" i="4"/>
  <c r="C19" i="4"/>
  <c r="D17" i="4"/>
  <c r="C17" i="4"/>
  <c r="D16" i="4"/>
  <c r="C16" i="4"/>
  <c r="D15" i="4"/>
  <c r="C15" i="4"/>
  <c r="Q14" i="4"/>
  <c r="P14" i="4"/>
  <c r="O14" i="4"/>
  <c r="N14" i="4"/>
  <c r="M14" i="4"/>
  <c r="L14" i="4"/>
  <c r="K14" i="4"/>
  <c r="J14" i="4"/>
  <c r="I14" i="4"/>
  <c r="H14" i="4"/>
  <c r="G14" i="4"/>
  <c r="F14" i="4"/>
  <c r="E14" i="4"/>
  <c r="D14" i="4"/>
  <c r="C14" i="4"/>
  <c r="P13" i="4"/>
  <c r="O13" i="4"/>
  <c r="N13" i="4"/>
  <c r="M13" i="4"/>
  <c r="L13" i="4"/>
  <c r="K13" i="4"/>
  <c r="J13" i="4"/>
  <c r="I13" i="4"/>
  <c r="H11" i="4"/>
  <c r="D4" i="4"/>
  <c r="D3" i="4"/>
  <c r="Q31" i="3"/>
  <c r="D31" i="3"/>
  <c r="C31" i="3"/>
  <c r="P21" i="3"/>
  <c r="K21" i="3"/>
  <c r="F21" i="3"/>
  <c r="C20" i="3"/>
  <c r="P16" i="3"/>
  <c r="K16" i="3"/>
  <c r="F16" i="3"/>
  <c r="M15" i="3"/>
  <c r="H15" i="3"/>
  <c r="C15" i="3"/>
  <c r="P11" i="3"/>
  <c r="K11" i="3"/>
  <c r="F11" i="3"/>
  <c r="C10" i="3"/>
  <c r="C138" i="2"/>
  <c r="Q135" i="2"/>
  <c r="P135" i="2"/>
  <c r="O135" i="2"/>
  <c r="N135" i="2"/>
  <c r="M135" i="2"/>
  <c r="L135" i="2"/>
  <c r="K135" i="2"/>
  <c r="J135" i="2"/>
  <c r="I135" i="2"/>
  <c r="H135" i="2"/>
  <c r="G135" i="2"/>
  <c r="F135" i="2"/>
  <c r="E135" i="2"/>
  <c r="D135" i="2"/>
  <c r="C135" i="2"/>
  <c r="Q134" i="2"/>
  <c r="P134" i="2"/>
  <c r="O134" i="2"/>
  <c r="N134" i="2"/>
  <c r="M134" i="2"/>
  <c r="L134" i="2"/>
  <c r="K134" i="2"/>
  <c r="J134" i="2"/>
  <c r="I134" i="2"/>
  <c r="H134" i="2"/>
  <c r="G134" i="2"/>
  <c r="F134" i="2"/>
  <c r="E134" i="2"/>
  <c r="D134" i="2"/>
  <c r="C134" i="2"/>
  <c r="Q133" i="2"/>
  <c r="P133" i="2"/>
  <c r="O133" i="2"/>
  <c r="N133" i="2"/>
  <c r="M133" i="2"/>
  <c r="L133" i="2"/>
  <c r="K133" i="2"/>
  <c r="J133" i="2"/>
  <c r="I133" i="2"/>
  <c r="H133" i="2"/>
  <c r="G133" i="2"/>
  <c r="F133" i="2"/>
  <c r="E133" i="2"/>
  <c r="D133" i="2"/>
  <c r="C133" i="2"/>
  <c r="P131" i="2"/>
  <c r="O131" i="2"/>
  <c r="N131" i="2"/>
  <c r="M131" i="2"/>
  <c r="L131" i="2"/>
  <c r="K131" i="2"/>
  <c r="J131" i="2"/>
  <c r="I131" i="2"/>
  <c r="D131" i="2"/>
  <c r="C131" i="2"/>
  <c r="P130" i="2"/>
  <c r="O130" i="2"/>
  <c r="N130" i="2"/>
  <c r="M130" i="2"/>
  <c r="L130" i="2"/>
  <c r="K130" i="2"/>
  <c r="J130" i="2"/>
  <c r="I130" i="2"/>
  <c r="D130" i="2"/>
  <c r="C130" i="2"/>
  <c r="P129" i="2"/>
  <c r="O129" i="2"/>
  <c r="N129" i="2"/>
  <c r="M129" i="2"/>
  <c r="L129" i="2"/>
  <c r="K129" i="2"/>
  <c r="J129" i="2"/>
  <c r="I129" i="2"/>
  <c r="D129" i="2"/>
  <c r="C129" i="2"/>
  <c r="P128" i="2"/>
  <c r="O128" i="2"/>
  <c r="N128" i="2"/>
  <c r="M128" i="2"/>
  <c r="L128" i="2"/>
  <c r="K128" i="2"/>
  <c r="J128" i="2"/>
  <c r="I128" i="2"/>
  <c r="D128" i="2"/>
  <c r="C128" i="2"/>
  <c r="P127" i="2"/>
  <c r="O127" i="2"/>
  <c r="N127" i="2"/>
  <c r="M127" i="2"/>
  <c r="L127" i="2"/>
  <c r="K127" i="2"/>
  <c r="J127" i="2"/>
  <c r="I127" i="2"/>
  <c r="D127" i="2"/>
  <c r="C127" i="2"/>
  <c r="Q126" i="2"/>
  <c r="P126" i="2"/>
  <c r="O126" i="2"/>
  <c r="N126" i="2"/>
  <c r="M126" i="2"/>
  <c r="L126" i="2"/>
  <c r="K126" i="2"/>
  <c r="J126" i="2"/>
  <c r="I126" i="2"/>
  <c r="H126" i="2"/>
  <c r="G126" i="2"/>
  <c r="F126" i="2"/>
  <c r="E126" i="2"/>
  <c r="D126" i="2"/>
  <c r="C126" i="2"/>
  <c r="P125" i="2"/>
  <c r="O125" i="2"/>
  <c r="N125" i="2"/>
  <c r="M125" i="2"/>
  <c r="L125" i="2"/>
  <c r="K125" i="2"/>
  <c r="J125" i="2"/>
  <c r="I125" i="2"/>
  <c r="Q121" i="2"/>
  <c r="P121" i="2"/>
  <c r="O121" i="2"/>
  <c r="N121" i="2"/>
  <c r="M121" i="2"/>
  <c r="L121" i="2"/>
  <c r="K121" i="2"/>
  <c r="J121" i="2"/>
  <c r="I121" i="2"/>
  <c r="H121" i="2"/>
  <c r="G121" i="2"/>
  <c r="F121" i="2"/>
  <c r="E121" i="2"/>
  <c r="D121" i="2"/>
  <c r="C121" i="2"/>
  <c r="Q120" i="2"/>
  <c r="P120" i="2"/>
  <c r="O120" i="2"/>
  <c r="N120" i="2"/>
  <c r="M120" i="2"/>
  <c r="L120" i="2"/>
  <c r="K120" i="2"/>
  <c r="J120" i="2"/>
  <c r="I120" i="2"/>
  <c r="H120" i="2"/>
  <c r="G120" i="2"/>
  <c r="F120" i="2"/>
  <c r="E120" i="2"/>
  <c r="D120" i="2"/>
  <c r="C120" i="2"/>
  <c r="Q119" i="2"/>
  <c r="P119" i="2"/>
  <c r="O119" i="2"/>
  <c r="N119" i="2"/>
  <c r="M119" i="2"/>
  <c r="L119" i="2"/>
  <c r="K119" i="2"/>
  <c r="J119" i="2"/>
  <c r="I119" i="2"/>
  <c r="H119" i="2"/>
  <c r="G119" i="2"/>
  <c r="F119" i="2"/>
  <c r="E119" i="2"/>
  <c r="D119" i="2"/>
  <c r="C119" i="2"/>
  <c r="Q118" i="2"/>
  <c r="P118" i="2"/>
  <c r="O118" i="2"/>
  <c r="N118" i="2"/>
  <c r="M118" i="2"/>
  <c r="L118" i="2"/>
  <c r="K118" i="2"/>
  <c r="J118" i="2"/>
  <c r="I118" i="2"/>
  <c r="H118" i="2"/>
  <c r="G118" i="2"/>
  <c r="F118" i="2"/>
  <c r="E118" i="2"/>
  <c r="D118" i="2"/>
  <c r="C118" i="2"/>
  <c r="Q117" i="2"/>
  <c r="P117" i="2"/>
  <c r="O117" i="2"/>
  <c r="N117" i="2"/>
  <c r="M117" i="2"/>
  <c r="L117" i="2"/>
  <c r="K117" i="2"/>
  <c r="J117" i="2"/>
  <c r="I117" i="2"/>
  <c r="H117" i="2"/>
  <c r="G117" i="2"/>
  <c r="F117" i="2"/>
  <c r="E117" i="2"/>
  <c r="D117" i="2"/>
  <c r="C117" i="2"/>
  <c r="Q116" i="2"/>
  <c r="P116" i="2"/>
  <c r="O116" i="2"/>
  <c r="N116" i="2"/>
  <c r="M116" i="2"/>
  <c r="L116" i="2"/>
  <c r="K116" i="2"/>
  <c r="J116" i="2"/>
  <c r="I116" i="2"/>
  <c r="H116" i="2"/>
  <c r="G116" i="2"/>
  <c r="F116" i="2"/>
  <c r="E116" i="2"/>
  <c r="D116" i="2"/>
  <c r="C116" i="2"/>
  <c r="Q115" i="2"/>
  <c r="P115" i="2"/>
  <c r="O115" i="2"/>
  <c r="N115" i="2"/>
  <c r="M115" i="2"/>
  <c r="L115" i="2"/>
  <c r="K115" i="2"/>
  <c r="J115" i="2"/>
  <c r="I115" i="2"/>
  <c r="H115" i="2"/>
  <c r="G115" i="2"/>
  <c r="F115" i="2"/>
  <c r="E115" i="2"/>
  <c r="D115" i="2"/>
  <c r="C115" i="2"/>
  <c r="Q114" i="2"/>
  <c r="P114" i="2"/>
  <c r="O114" i="2"/>
  <c r="N114" i="2"/>
  <c r="M114" i="2"/>
  <c r="L114" i="2"/>
  <c r="K114" i="2"/>
  <c r="J114" i="2"/>
  <c r="I114" i="2"/>
  <c r="H114" i="2"/>
  <c r="G114" i="2"/>
  <c r="F114" i="2"/>
  <c r="E114" i="2"/>
  <c r="D114" i="2"/>
  <c r="C114" i="2"/>
  <c r="Q113" i="2"/>
  <c r="P113" i="2"/>
  <c r="O113" i="2"/>
  <c r="N113" i="2"/>
  <c r="M113" i="2"/>
  <c r="L113" i="2"/>
  <c r="K113" i="2"/>
  <c r="J113" i="2"/>
  <c r="I113" i="2"/>
  <c r="H113" i="2"/>
  <c r="G113" i="2"/>
  <c r="F113" i="2"/>
  <c r="E113" i="2"/>
  <c r="D113" i="2"/>
  <c r="C113" i="2"/>
  <c r="Q112" i="2"/>
  <c r="P112" i="2"/>
  <c r="O112" i="2"/>
  <c r="N112" i="2"/>
  <c r="M112" i="2"/>
  <c r="L112" i="2"/>
  <c r="K112" i="2"/>
  <c r="J112" i="2"/>
  <c r="I112" i="2"/>
  <c r="H112" i="2"/>
  <c r="G112" i="2"/>
  <c r="F112" i="2"/>
  <c r="E112" i="2"/>
  <c r="D112" i="2"/>
  <c r="C112" i="2"/>
  <c r="Q111" i="2"/>
  <c r="P111" i="2"/>
  <c r="O111" i="2"/>
  <c r="N111" i="2"/>
  <c r="M111" i="2"/>
  <c r="L111" i="2"/>
  <c r="K111" i="2"/>
  <c r="J111" i="2"/>
  <c r="I111" i="2"/>
  <c r="H111" i="2"/>
  <c r="M16" i="3" s="1"/>
  <c r="N16" i="3" s="1"/>
  <c r="G111" i="2"/>
  <c r="F111" i="2"/>
  <c r="E111" i="2"/>
  <c r="D111" i="2"/>
  <c r="C111" i="2"/>
  <c r="P110" i="2"/>
  <c r="O110" i="2"/>
  <c r="N110" i="2"/>
  <c r="M110" i="2"/>
  <c r="L110" i="2"/>
  <c r="K110" i="2"/>
  <c r="J110" i="2"/>
  <c r="I110" i="2"/>
  <c r="Q106" i="2"/>
  <c r="P106" i="2"/>
  <c r="O106" i="2"/>
  <c r="N106" i="2"/>
  <c r="M106" i="2"/>
  <c r="L106" i="2"/>
  <c r="K106" i="2"/>
  <c r="J106" i="2"/>
  <c r="I106" i="2"/>
  <c r="H106" i="2"/>
  <c r="G106" i="2"/>
  <c r="F106" i="2"/>
  <c r="E106" i="2"/>
  <c r="D106" i="2"/>
  <c r="C106" i="2"/>
  <c r="Q105" i="2"/>
  <c r="P105" i="2"/>
  <c r="O105" i="2"/>
  <c r="N105" i="2"/>
  <c r="M105" i="2"/>
  <c r="L105" i="2"/>
  <c r="K105" i="2"/>
  <c r="J105" i="2"/>
  <c r="I105" i="2"/>
  <c r="H105" i="2"/>
  <c r="G105" i="2"/>
  <c r="F105" i="2"/>
  <c r="E105" i="2"/>
  <c r="D105" i="2"/>
  <c r="C105" i="2"/>
  <c r="Q104" i="2"/>
  <c r="P104" i="2"/>
  <c r="O104" i="2"/>
  <c r="N104" i="2"/>
  <c r="M104" i="2"/>
  <c r="L104" i="2"/>
  <c r="K104" i="2"/>
  <c r="J104" i="2"/>
  <c r="I104" i="2"/>
  <c r="H104" i="2"/>
  <c r="G104" i="2"/>
  <c r="F104" i="2"/>
  <c r="E104" i="2"/>
  <c r="D104" i="2"/>
  <c r="C104" i="2"/>
  <c r="Q103" i="2"/>
  <c r="P103" i="2"/>
  <c r="O103" i="2"/>
  <c r="N103" i="2"/>
  <c r="M103" i="2"/>
  <c r="L103" i="2"/>
  <c r="K103" i="2"/>
  <c r="J103" i="2"/>
  <c r="I103" i="2"/>
  <c r="H103" i="2"/>
  <c r="G103" i="2"/>
  <c r="F103" i="2"/>
  <c r="E103" i="2"/>
  <c r="D103" i="2"/>
  <c r="C103" i="2"/>
  <c r="Q102" i="2"/>
  <c r="P102" i="2"/>
  <c r="O102" i="2"/>
  <c r="N102" i="2"/>
  <c r="M102" i="2"/>
  <c r="L102" i="2"/>
  <c r="K102" i="2"/>
  <c r="J102" i="2"/>
  <c r="I102" i="2"/>
  <c r="H102" i="2"/>
  <c r="G102" i="2"/>
  <c r="F102" i="2"/>
  <c r="E102" i="2"/>
  <c r="D102" i="2"/>
  <c r="C102" i="2"/>
  <c r="Q101" i="2"/>
  <c r="P101" i="2"/>
  <c r="O101" i="2"/>
  <c r="N101" i="2"/>
  <c r="M101" i="2"/>
  <c r="L101" i="2"/>
  <c r="K101" i="2"/>
  <c r="J101" i="2"/>
  <c r="I101" i="2"/>
  <c r="H101" i="2"/>
  <c r="H11" i="3" s="1"/>
  <c r="I11" i="3" s="1"/>
  <c r="G101" i="2"/>
  <c r="F101" i="2"/>
  <c r="E101" i="2"/>
  <c r="D101" i="2"/>
  <c r="C101" i="2"/>
  <c r="M10" i="3" s="1"/>
  <c r="Q100" i="2"/>
  <c r="P100" i="2"/>
  <c r="O100" i="2"/>
  <c r="N100" i="2"/>
  <c r="M100" i="2"/>
  <c r="L100" i="2"/>
  <c r="K100" i="2"/>
  <c r="J100" i="2"/>
  <c r="I100" i="2"/>
  <c r="H100" i="2"/>
  <c r="G100" i="2"/>
  <c r="F100" i="2"/>
  <c r="E100" i="2"/>
  <c r="D100" i="2"/>
  <c r="C100" i="2"/>
  <c r="H10" i="3" s="1"/>
  <c r="Q99" i="2"/>
  <c r="P99" i="2"/>
  <c r="O99" i="2"/>
  <c r="N99" i="2"/>
  <c r="M99" i="2"/>
  <c r="L99" i="2"/>
  <c r="K99" i="2"/>
  <c r="J99" i="2"/>
  <c r="I99" i="2"/>
  <c r="H99" i="2"/>
  <c r="C11" i="3" s="1"/>
  <c r="D11" i="3" s="1"/>
  <c r="G99" i="2"/>
  <c r="F99" i="2"/>
  <c r="E99" i="2"/>
  <c r="D99" i="2"/>
  <c r="C99" i="2"/>
  <c r="P98" i="2"/>
  <c r="O98" i="2"/>
  <c r="N98" i="2"/>
  <c r="M98" i="2"/>
  <c r="L98" i="2"/>
  <c r="K98" i="2"/>
  <c r="J98" i="2"/>
  <c r="I98" i="2"/>
  <c r="P94" i="2"/>
  <c r="O94" i="2"/>
  <c r="N94" i="2"/>
  <c r="M94" i="2"/>
  <c r="L94" i="2"/>
  <c r="K94" i="2"/>
  <c r="J94" i="2"/>
  <c r="I94" i="2"/>
  <c r="H94" i="2"/>
  <c r="G94" i="2"/>
  <c r="F94" i="2"/>
  <c r="E94" i="2"/>
  <c r="D94" i="2"/>
  <c r="C94" i="2"/>
  <c r="P93" i="2"/>
  <c r="O93" i="2"/>
  <c r="N93" i="2"/>
  <c r="M93" i="2"/>
  <c r="L93" i="2"/>
  <c r="K93" i="2"/>
  <c r="J93" i="2"/>
  <c r="I93" i="2"/>
  <c r="H93" i="2"/>
  <c r="G93" i="2"/>
  <c r="F93" i="2"/>
  <c r="E93" i="2"/>
  <c r="D93" i="2"/>
  <c r="C93" i="2"/>
  <c r="P92" i="2"/>
  <c r="O92" i="2"/>
  <c r="N92" i="2"/>
  <c r="M92" i="2"/>
  <c r="L92" i="2"/>
  <c r="K92" i="2"/>
  <c r="J92" i="2"/>
  <c r="I92" i="2"/>
  <c r="H92" i="2"/>
  <c r="G92" i="2"/>
  <c r="F92" i="2"/>
  <c r="E92" i="2"/>
  <c r="D92" i="2"/>
  <c r="C92" i="2"/>
  <c r="P91" i="2"/>
  <c r="O91" i="2"/>
  <c r="N91" i="2"/>
  <c r="M91" i="2"/>
  <c r="L91" i="2"/>
  <c r="K91" i="2"/>
  <c r="J91" i="2"/>
  <c r="I91" i="2"/>
  <c r="H91" i="2"/>
  <c r="G91" i="2"/>
  <c r="F91" i="2"/>
  <c r="E91" i="2"/>
  <c r="D91" i="2"/>
  <c r="C91" i="2"/>
  <c r="P90" i="2"/>
  <c r="O90" i="2"/>
  <c r="N90" i="2"/>
  <c r="M90" i="2"/>
  <c r="L90" i="2"/>
  <c r="K90" i="2"/>
  <c r="J90" i="2"/>
  <c r="I90" i="2"/>
  <c r="H90" i="2"/>
  <c r="G90" i="2"/>
  <c r="F90" i="2"/>
  <c r="E90" i="2"/>
  <c r="D90" i="2"/>
  <c r="C90" i="2"/>
  <c r="Q89" i="2"/>
  <c r="P89" i="2"/>
  <c r="O89" i="2"/>
  <c r="N89" i="2"/>
  <c r="M89" i="2"/>
  <c r="L89" i="2"/>
  <c r="K89" i="2"/>
  <c r="J89" i="2"/>
  <c r="I89" i="2"/>
  <c r="H89" i="2"/>
  <c r="G89" i="2"/>
  <c r="F89" i="2"/>
  <c r="E89" i="2"/>
  <c r="D89" i="2"/>
  <c r="C89" i="2"/>
  <c r="C88" i="2"/>
  <c r="P87" i="2"/>
  <c r="O87" i="2"/>
  <c r="N87" i="2"/>
  <c r="M87" i="2"/>
  <c r="L87" i="2"/>
  <c r="K87" i="2"/>
  <c r="J87" i="2"/>
  <c r="I87" i="2"/>
  <c r="H87" i="2"/>
  <c r="G87" i="2"/>
  <c r="F87" i="2"/>
  <c r="E87" i="2"/>
  <c r="D87" i="2"/>
  <c r="C87" i="2"/>
  <c r="P86" i="2"/>
  <c r="O86" i="2"/>
  <c r="N86" i="2"/>
  <c r="M86" i="2"/>
  <c r="L86" i="2"/>
  <c r="K86" i="2"/>
  <c r="J86" i="2"/>
  <c r="I86" i="2"/>
  <c r="H86" i="2"/>
  <c r="G86" i="2"/>
  <c r="F86" i="2"/>
  <c r="E86" i="2"/>
  <c r="D86" i="2"/>
  <c r="C86" i="2"/>
  <c r="P85" i="2"/>
  <c r="O85" i="2"/>
  <c r="N85" i="2"/>
  <c r="M85" i="2"/>
  <c r="L85" i="2"/>
  <c r="K85" i="2"/>
  <c r="J85" i="2"/>
  <c r="I85" i="2"/>
  <c r="H85" i="2"/>
  <c r="G85" i="2"/>
  <c r="F85" i="2"/>
  <c r="E85" i="2"/>
  <c r="D85" i="2"/>
  <c r="C85" i="2"/>
  <c r="P84" i="2"/>
  <c r="O84" i="2"/>
  <c r="N84" i="2"/>
  <c r="M84" i="2"/>
  <c r="L84" i="2"/>
  <c r="K84" i="2"/>
  <c r="J84" i="2"/>
  <c r="I84" i="2"/>
  <c r="H84" i="2"/>
  <c r="G84" i="2"/>
  <c r="F84" i="2"/>
  <c r="E84" i="2"/>
  <c r="D84" i="2"/>
  <c r="C84" i="2"/>
  <c r="P83" i="2"/>
  <c r="O83" i="2"/>
  <c r="N83" i="2"/>
  <c r="M83" i="2"/>
  <c r="L83" i="2"/>
  <c r="K83" i="2"/>
  <c r="J83" i="2"/>
  <c r="I83" i="2"/>
  <c r="H83" i="2"/>
  <c r="G83" i="2"/>
  <c r="F83" i="2"/>
  <c r="E83" i="2"/>
  <c r="D83" i="2"/>
  <c r="C83" i="2"/>
  <c r="Q82" i="2"/>
  <c r="P82" i="2"/>
  <c r="O82" i="2"/>
  <c r="N82" i="2"/>
  <c r="M82" i="2"/>
  <c r="L82" i="2"/>
  <c r="K82" i="2"/>
  <c r="J82" i="2"/>
  <c r="I82" i="2"/>
  <c r="H82" i="2"/>
  <c r="G82" i="2"/>
  <c r="F82" i="2"/>
  <c r="E82" i="2"/>
  <c r="D82" i="2"/>
  <c r="C82" i="2"/>
  <c r="C81" i="2"/>
  <c r="P80" i="2"/>
  <c r="O80" i="2"/>
  <c r="N80" i="2"/>
  <c r="M80" i="2"/>
  <c r="L80" i="2"/>
  <c r="K80" i="2"/>
  <c r="J80" i="2"/>
  <c r="I80" i="2"/>
  <c r="H80" i="2"/>
  <c r="G80" i="2"/>
  <c r="F80" i="2"/>
  <c r="E80" i="2"/>
  <c r="D80" i="2"/>
  <c r="C80" i="2"/>
  <c r="P79" i="2"/>
  <c r="O79" i="2"/>
  <c r="N79" i="2"/>
  <c r="M79" i="2"/>
  <c r="L79" i="2"/>
  <c r="K79" i="2"/>
  <c r="J79" i="2"/>
  <c r="I79" i="2"/>
  <c r="H79" i="2"/>
  <c r="G79" i="2"/>
  <c r="F79" i="2"/>
  <c r="E79" i="2"/>
  <c r="D79" i="2"/>
  <c r="C79" i="2"/>
  <c r="P78" i="2"/>
  <c r="O78" i="2"/>
  <c r="N78" i="2"/>
  <c r="M78" i="2"/>
  <c r="L78" i="2"/>
  <c r="K78" i="2"/>
  <c r="J78" i="2"/>
  <c r="I78" i="2"/>
  <c r="H78" i="2"/>
  <c r="G78" i="2"/>
  <c r="F78" i="2"/>
  <c r="E78" i="2"/>
  <c r="D78" i="2"/>
  <c r="C78" i="2"/>
  <c r="P77" i="2"/>
  <c r="O77" i="2"/>
  <c r="N77" i="2"/>
  <c r="M77" i="2"/>
  <c r="L77" i="2"/>
  <c r="K77" i="2"/>
  <c r="J77" i="2"/>
  <c r="I77" i="2"/>
  <c r="H77" i="2"/>
  <c r="G77" i="2"/>
  <c r="F77" i="2"/>
  <c r="E77" i="2"/>
  <c r="D77" i="2"/>
  <c r="C77" i="2"/>
  <c r="P76" i="2"/>
  <c r="O76" i="2"/>
  <c r="N76" i="2"/>
  <c r="M76" i="2"/>
  <c r="L76" i="2"/>
  <c r="K76" i="2"/>
  <c r="J76" i="2"/>
  <c r="I76" i="2"/>
  <c r="H76" i="2"/>
  <c r="G76" i="2"/>
  <c r="F76" i="2"/>
  <c r="E76" i="2"/>
  <c r="D76" i="2"/>
  <c r="C76" i="2"/>
  <c r="Q75" i="2"/>
  <c r="P75" i="2"/>
  <c r="O75" i="2"/>
  <c r="N75" i="2"/>
  <c r="M75" i="2"/>
  <c r="L75" i="2"/>
  <c r="K75" i="2"/>
  <c r="J75" i="2"/>
  <c r="I75" i="2"/>
  <c r="H75" i="2"/>
  <c r="H16" i="3" s="1"/>
  <c r="I16" i="3" s="1"/>
  <c r="G75" i="2"/>
  <c r="F75" i="2"/>
  <c r="E75" i="2"/>
  <c r="D75" i="2"/>
  <c r="C75" i="2"/>
  <c r="C74" i="2"/>
  <c r="P73" i="2"/>
  <c r="O73" i="2"/>
  <c r="N73" i="2"/>
  <c r="M73" i="2"/>
  <c r="L73" i="2"/>
  <c r="K73" i="2"/>
  <c r="J73" i="2"/>
  <c r="I73" i="2"/>
  <c r="H73" i="2"/>
  <c r="G73" i="2"/>
  <c r="F73" i="2"/>
  <c r="E73" i="2"/>
  <c r="D73" i="2"/>
  <c r="C73" i="2"/>
  <c r="P72" i="2"/>
  <c r="O72" i="2"/>
  <c r="N72" i="2"/>
  <c r="M72" i="2"/>
  <c r="L72" i="2"/>
  <c r="K72" i="2"/>
  <c r="J72" i="2"/>
  <c r="I72" i="2"/>
  <c r="H72" i="2"/>
  <c r="G72" i="2"/>
  <c r="F72" i="2"/>
  <c r="E72" i="2"/>
  <c r="D72" i="2"/>
  <c r="C72" i="2"/>
  <c r="P71" i="2"/>
  <c r="O71" i="2"/>
  <c r="N71" i="2"/>
  <c r="M71" i="2"/>
  <c r="L71" i="2"/>
  <c r="K71" i="2"/>
  <c r="J71" i="2"/>
  <c r="I71" i="2"/>
  <c r="H71" i="2"/>
  <c r="G71" i="2"/>
  <c r="F71" i="2"/>
  <c r="E71" i="2"/>
  <c r="D71" i="2"/>
  <c r="C71" i="2"/>
  <c r="P70" i="2"/>
  <c r="O70" i="2"/>
  <c r="N70" i="2"/>
  <c r="M70" i="2"/>
  <c r="L70" i="2"/>
  <c r="K70" i="2"/>
  <c r="J70" i="2"/>
  <c r="I70" i="2"/>
  <c r="H70" i="2"/>
  <c r="G70" i="2"/>
  <c r="F70" i="2"/>
  <c r="E70" i="2"/>
  <c r="D70" i="2"/>
  <c r="C70" i="2"/>
  <c r="P69" i="2"/>
  <c r="O69" i="2"/>
  <c r="N69" i="2"/>
  <c r="M69" i="2"/>
  <c r="L69" i="2"/>
  <c r="K69" i="2"/>
  <c r="J69" i="2"/>
  <c r="I69" i="2"/>
  <c r="H69" i="2"/>
  <c r="G69" i="2"/>
  <c r="F69" i="2"/>
  <c r="E69" i="2"/>
  <c r="D69" i="2"/>
  <c r="C69" i="2"/>
  <c r="P68" i="2"/>
  <c r="O68" i="2"/>
  <c r="N68" i="2"/>
  <c r="M68" i="2"/>
  <c r="L68" i="2"/>
  <c r="K68" i="2"/>
  <c r="J68" i="2"/>
  <c r="I68" i="2"/>
  <c r="H68" i="2"/>
  <c r="G68" i="2"/>
  <c r="F68" i="2"/>
  <c r="E68" i="2"/>
  <c r="D68" i="2"/>
  <c r="C68" i="2"/>
  <c r="P67" i="2"/>
  <c r="O67" i="2"/>
  <c r="N67" i="2"/>
  <c r="M67" i="2"/>
  <c r="L67" i="2"/>
  <c r="K67" i="2"/>
  <c r="J67" i="2"/>
  <c r="I67" i="2"/>
  <c r="H67" i="2"/>
  <c r="G67" i="2"/>
  <c r="F67" i="2"/>
  <c r="E67" i="2"/>
  <c r="D67" i="2"/>
  <c r="C67" i="2"/>
  <c r="Q66" i="2"/>
  <c r="P66" i="2"/>
  <c r="O66" i="2"/>
  <c r="N66" i="2"/>
  <c r="M66" i="2"/>
  <c r="L66" i="2"/>
  <c r="K66" i="2"/>
  <c r="J66" i="2"/>
  <c r="I66" i="2"/>
  <c r="H66" i="2"/>
  <c r="G66" i="2"/>
  <c r="F66" i="2"/>
  <c r="E66" i="2"/>
  <c r="D66" i="2"/>
  <c r="C66" i="2"/>
  <c r="C65" i="2"/>
  <c r="Q64" i="2"/>
  <c r="P64" i="2"/>
  <c r="O64" i="2"/>
  <c r="N64" i="2"/>
  <c r="M64" i="2"/>
  <c r="L64" i="2"/>
  <c r="K64" i="2"/>
  <c r="J64" i="2"/>
  <c r="I64" i="2"/>
  <c r="H64" i="2"/>
  <c r="G64" i="2"/>
  <c r="F64" i="2"/>
  <c r="E64" i="2"/>
  <c r="D64" i="2"/>
  <c r="C64" i="2"/>
  <c r="Q63" i="2"/>
  <c r="P63" i="2"/>
  <c r="O63" i="2"/>
  <c r="N63" i="2"/>
  <c r="M63" i="2"/>
  <c r="L63" i="2"/>
  <c r="K63" i="2"/>
  <c r="J63" i="2"/>
  <c r="I63" i="2"/>
  <c r="H63" i="2"/>
  <c r="G63" i="2"/>
  <c r="F63" i="2"/>
  <c r="E63" i="2"/>
  <c r="D63" i="2"/>
  <c r="C63" i="2"/>
  <c r="Q62" i="2"/>
  <c r="P62" i="2"/>
  <c r="O62" i="2"/>
  <c r="N62" i="2"/>
  <c r="M62" i="2"/>
  <c r="L62" i="2"/>
  <c r="K62" i="2"/>
  <c r="J62" i="2"/>
  <c r="I62" i="2"/>
  <c r="H62" i="2"/>
  <c r="C16" i="3" s="1"/>
  <c r="D16" i="3" s="1"/>
  <c r="G62" i="2"/>
  <c r="F62" i="2"/>
  <c r="E62" i="2"/>
  <c r="D62" i="2"/>
  <c r="C62" i="2"/>
  <c r="Q61" i="2"/>
  <c r="P61" i="2"/>
  <c r="O61" i="2"/>
  <c r="N61" i="2"/>
  <c r="M61" i="2"/>
  <c r="L61" i="2"/>
  <c r="K61" i="2"/>
  <c r="J61" i="2"/>
  <c r="I61" i="2"/>
  <c r="H61" i="2"/>
  <c r="M21" i="3" s="1"/>
  <c r="N21" i="3" s="1"/>
  <c r="G61" i="2"/>
  <c r="F61" i="2"/>
  <c r="E61" i="2"/>
  <c r="D61" i="2"/>
  <c r="C61" i="2"/>
  <c r="M20" i="3" s="1"/>
  <c r="Q60" i="2"/>
  <c r="P60" i="2"/>
  <c r="O60" i="2"/>
  <c r="N60" i="2"/>
  <c r="M60" i="2"/>
  <c r="L60" i="2"/>
  <c r="K60" i="2"/>
  <c r="J60" i="2"/>
  <c r="I60" i="2"/>
  <c r="H60" i="2"/>
  <c r="G60" i="2"/>
  <c r="F60" i="2"/>
  <c r="E60" i="2"/>
  <c r="D60" i="2"/>
  <c r="C60" i="2"/>
  <c r="Q59" i="2"/>
  <c r="P59" i="2"/>
  <c r="O59" i="2"/>
  <c r="N59" i="2"/>
  <c r="M59" i="2"/>
  <c r="L59" i="2"/>
  <c r="K59" i="2"/>
  <c r="J59" i="2"/>
  <c r="I59" i="2"/>
  <c r="H59" i="2"/>
  <c r="G59" i="2"/>
  <c r="F59" i="2"/>
  <c r="E59" i="2"/>
  <c r="D59" i="2"/>
  <c r="C59" i="2"/>
  <c r="Q58" i="2"/>
  <c r="P58" i="2"/>
  <c r="O58" i="2"/>
  <c r="N58" i="2"/>
  <c r="M58" i="2"/>
  <c r="L58" i="2"/>
  <c r="K58" i="2"/>
  <c r="J58" i="2"/>
  <c r="I58" i="2"/>
  <c r="H58" i="2"/>
  <c r="C21" i="3" s="1"/>
  <c r="D21" i="3" s="1"/>
  <c r="G58" i="2"/>
  <c r="F58" i="2"/>
  <c r="E58" i="2"/>
  <c r="D58" i="2"/>
  <c r="C58" i="2"/>
  <c r="Q57" i="2"/>
  <c r="P57" i="2"/>
  <c r="O57" i="2"/>
  <c r="N57" i="2"/>
  <c r="M57" i="2"/>
  <c r="L57" i="2"/>
  <c r="K57" i="2"/>
  <c r="J57" i="2"/>
  <c r="I57" i="2"/>
  <c r="H57" i="2"/>
  <c r="H21" i="3" s="1"/>
  <c r="I21" i="3" s="1"/>
  <c r="G57" i="2"/>
  <c r="F57" i="2"/>
  <c r="E57" i="2"/>
  <c r="D57" i="2"/>
  <c r="C57" i="2"/>
  <c r="H20" i="3" s="1"/>
  <c r="Q56" i="2"/>
  <c r="P56" i="2"/>
  <c r="O56" i="2"/>
  <c r="N56" i="2"/>
  <c r="M56" i="2"/>
  <c r="L56" i="2"/>
  <c r="K56" i="2"/>
  <c r="J56" i="2"/>
  <c r="I56" i="2"/>
  <c r="H56" i="2"/>
  <c r="G56" i="2"/>
  <c r="F56" i="2"/>
  <c r="E56" i="2"/>
  <c r="D56" i="2"/>
  <c r="C56" i="2"/>
  <c r="Q55" i="2"/>
  <c r="P55" i="2"/>
  <c r="O55" i="2"/>
  <c r="N55" i="2"/>
  <c r="M55" i="2"/>
  <c r="L55" i="2"/>
  <c r="K55" i="2"/>
  <c r="J55" i="2"/>
  <c r="I55" i="2"/>
  <c r="H55" i="2"/>
  <c r="G55" i="2"/>
  <c r="F55" i="2"/>
  <c r="E55" i="2"/>
  <c r="D55" i="2"/>
  <c r="C55" i="2"/>
  <c r="Q54" i="2"/>
  <c r="P54" i="2"/>
  <c r="O54" i="2"/>
  <c r="N54" i="2"/>
  <c r="M54" i="2"/>
  <c r="L54" i="2"/>
  <c r="K54" i="2"/>
  <c r="J54" i="2"/>
  <c r="I54" i="2"/>
  <c r="H54" i="2"/>
  <c r="G54" i="2"/>
  <c r="F54" i="2"/>
  <c r="E54" i="2"/>
  <c r="D54" i="2"/>
  <c r="C54" i="2"/>
  <c r="Q53" i="2"/>
  <c r="P53" i="2"/>
  <c r="O53" i="2"/>
  <c r="N53" i="2"/>
  <c r="M53" i="2"/>
  <c r="L53" i="2"/>
  <c r="K53" i="2"/>
  <c r="J53" i="2"/>
  <c r="I53" i="2"/>
  <c r="H53" i="2"/>
  <c r="G53" i="2"/>
  <c r="F53" i="2"/>
  <c r="E53" i="2"/>
  <c r="D53" i="2"/>
  <c r="C53" i="2"/>
  <c r="Q52" i="2"/>
  <c r="P52" i="2"/>
  <c r="O52" i="2"/>
  <c r="N52" i="2"/>
  <c r="M52" i="2"/>
  <c r="L52" i="2"/>
  <c r="K52" i="2"/>
  <c r="J52" i="2"/>
  <c r="I52" i="2"/>
  <c r="H52" i="2"/>
  <c r="G52" i="2"/>
  <c r="F52" i="2"/>
  <c r="E52" i="2"/>
  <c r="D52" i="2"/>
  <c r="C52" i="2"/>
  <c r="Q51" i="2"/>
  <c r="P51" i="2"/>
  <c r="O51" i="2"/>
  <c r="N51" i="2"/>
  <c r="M51" i="2"/>
  <c r="L51" i="2"/>
  <c r="K51" i="2"/>
  <c r="J51" i="2"/>
  <c r="I51" i="2"/>
  <c r="H51" i="2"/>
  <c r="G51" i="2"/>
  <c r="F51" i="2"/>
  <c r="E51" i="2"/>
  <c r="D51" i="2"/>
  <c r="C51" i="2"/>
  <c r="Q50" i="2"/>
  <c r="P50" i="2"/>
  <c r="O50" i="2"/>
  <c r="N50" i="2"/>
  <c r="M50" i="2"/>
  <c r="L50" i="2"/>
  <c r="K50" i="2"/>
  <c r="J50" i="2"/>
  <c r="I50" i="2"/>
  <c r="H50" i="2"/>
  <c r="G50" i="2"/>
  <c r="F50" i="2"/>
  <c r="E50" i="2"/>
  <c r="D50" i="2"/>
  <c r="C50" i="2"/>
  <c r="P49" i="2"/>
  <c r="O49" i="2"/>
  <c r="N49" i="2"/>
  <c r="M49" i="2"/>
  <c r="L49" i="2"/>
  <c r="K49" i="2"/>
  <c r="J49" i="2"/>
  <c r="I49" i="2"/>
  <c r="Q45" i="2"/>
  <c r="P45" i="2"/>
  <c r="O45" i="2"/>
  <c r="N45" i="2"/>
  <c r="M45" i="2"/>
  <c r="L45" i="2"/>
  <c r="K45" i="2"/>
  <c r="J45" i="2"/>
  <c r="I45" i="2"/>
  <c r="H45" i="2"/>
  <c r="G45" i="2"/>
  <c r="F45" i="2"/>
  <c r="E45" i="2"/>
  <c r="D45" i="2"/>
  <c r="C45" i="2"/>
  <c r="Q44" i="2"/>
  <c r="P44" i="2"/>
  <c r="O44" i="2"/>
  <c r="N44" i="2"/>
  <c r="M44" i="2"/>
  <c r="L44" i="2"/>
  <c r="K44" i="2"/>
  <c r="J44" i="2"/>
  <c r="I44" i="2"/>
  <c r="H44" i="2"/>
  <c r="G44" i="2"/>
  <c r="F44" i="2"/>
  <c r="E44" i="2"/>
  <c r="D44" i="2"/>
  <c r="C44" i="2"/>
  <c r="P43" i="2"/>
  <c r="O43" i="2"/>
  <c r="N43" i="2"/>
  <c r="M43" i="2"/>
  <c r="L43" i="2"/>
  <c r="K43" i="2"/>
  <c r="J43" i="2"/>
  <c r="I43" i="2"/>
  <c r="D39" i="2"/>
  <c r="C39" i="2"/>
  <c r="D38" i="2"/>
  <c r="C38" i="2"/>
  <c r="D37" i="2"/>
  <c r="C37" i="2"/>
  <c r="D36" i="2"/>
  <c r="C36" i="2"/>
  <c r="D35" i="2"/>
  <c r="C35" i="2"/>
  <c r="Q34" i="2"/>
  <c r="P34" i="2"/>
  <c r="O34" i="2"/>
  <c r="N34" i="2"/>
  <c r="M34" i="2"/>
  <c r="L34" i="2"/>
  <c r="K34" i="2"/>
  <c r="J34" i="2"/>
  <c r="I34" i="2"/>
  <c r="H34" i="2"/>
  <c r="G34" i="2"/>
  <c r="F34" i="2"/>
  <c r="E34" i="2"/>
  <c r="D34" i="2"/>
  <c r="C34" i="2"/>
  <c r="D32" i="2"/>
  <c r="C32" i="2"/>
  <c r="D31" i="2"/>
  <c r="C31" i="2"/>
  <c r="D30" i="2"/>
  <c r="C30" i="2"/>
  <c r="D29" i="2"/>
  <c r="C29" i="2"/>
  <c r="Q28" i="2"/>
  <c r="P28" i="2"/>
  <c r="O28" i="2"/>
  <c r="N28" i="2"/>
  <c r="M28" i="2"/>
  <c r="L28" i="2"/>
  <c r="K28" i="2"/>
  <c r="J28" i="2"/>
  <c r="I28" i="2"/>
  <c r="H28" i="2"/>
  <c r="G28" i="2"/>
  <c r="F28" i="2"/>
  <c r="E28" i="2"/>
  <c r="D28" i="2"/>
  <c r="C28" i="2"/>
  <c r="D26" i="2"/>
  <c r="C26" i="2"/>
  <c r="D25" i="2"/>
  <c r="C25" i="2"/>
  <c r="Q24" i="2"/>
  <c r="P24" i="2"/>
  <c r="O24" i="2"/>
  <c r="N24" i="2"/>
  <c r="M24" i="2"/>
  <c r="L24" i="2"/>
  <c r="K24" i="2"/>
  <c r="J24" i="2"/>
  <c r="I24" i="2"/>
  <c r="H24" i="2"/>
  <c r="G24" i="2"/>
  <c r="F24" i="2"/>
  <c r="E24" i="2"/>
  <c r="D24" i="2"/>
  <c r="C24" i="2"/>
  <c r="D22" i="2"/>
  <c r="C22" i="2"/>
  <c r="D21" i="2"/>
  <c r="C21" i="2"/>
  <c r="D20" i="2"/>
  <c r="C20" i="2"/>
  <c r="Q19" i="2"/>
  <c r="P19" i="2"/>
  <c r="O19" i="2"/>
  <c r="N19" i="2"/>
  <c r="M19" i="2"/>
  <c r="L19" i="2"/>
  <c r="K19" i="2"/>
  <c r="J19" i="2"/>
  <c r="I19" i="2"/>
  <c r="H19" i="2"/>
  <c r="G19" i="2"/>
  <c r="F19" i="2"/>
  <c r="E19" i="2"/>
  <c r="D19" i="2"/>
  <c r="C19" i="2"/>
  <c r="D17" i="2"/>
  <c r="C17" i="2"/>
  <c r="D16" i="2"/>
  <c r="C16" i="2"/>
  <c r="D15" i="2"/>
  <c r="C15" i="2"/>
  <c r="Q14" i="2"/>
  <c r="P14" i="2"/>
  <c r="O14" i="2"/>
  <c r="N14" i="2"/>
  <c r="M14" i="2"/>
  <c r="L14" i="2"/>
  <c r="K14" i="2"/>
  <c r="J14" i="2"/>
  <c r="I14" i="2"/>
  <c r="H14" i="2"/>
  <c r="G14" i="2"/>
  <c r="F14" i="2"/>
  <c r="E14" i="2"/>
  <c r="D14" i="2"/>
  <c r="C14" i="2"/>
  <c r="P13" i="2"/>
  <c r="O13" i="2"/>
  <c r="N13" i="2"/>
  <c r="M13" i="2"/>
  <c r="L13" i="2"/>
  <c r="K13" i="2"/>
  <c r="J13" i="2"/>
  <c r="I13" i="2"/>
  <c r="H11" i="2"/>
  <c r="D4" i="2"/>
  <c r="D3" i="2"/>
  <c r="F12" i="1"/>
  <c r="M11" i="3" l="1"/>
  <c r="N11" i="3" s="1"/>
</calcChain>
</file>

<file path=xl/sharedStrings.xml><?xml version="1.0" encoding="utf-8"?>
<sst xmlns="http://schemas.openxmlformats.org/spreadsheetml/2006/main" count="386" uniqueCount="166">
  <si>
    <t>Select Province:
Choissisez votre province:</t>
  </si>
  <si>
    <t>YT</t>
  </si>
  <si>
    <t>Current Labor Rates</t>
  </si>
  <si>
    <t>Taux de main d'oeuvre en cours</t>
  </si>
  <si>
    <t>AB</t>
  </si>
  <si>
    <t>BC</t>
  </si>
  <si>
    <t>MB</t>
  </si>
  <si>
    <t>NB</t>
  </si>
  <si>
    <t>NL</t>
  </si>
  <si>
    <t>NS</t>
  </si>
  <si>
    <t>ON</t>
  </si>
  <si>
    <t>PEI</t>
  </si>
  <si>
    <t>QC</t>
  </si>
  <si>
    <t>SK</t>
  </si>
  <si>
    <t>All published prices, trim specifications, and availability are subject to change without prior notice.</t>
  </si>
  <si>
    <t>Tout prix, spécifications de versions et disponibilté d'accessoires publiés sont sujets à changer sans pré-avis.</t>
  </si>
  <si>
    <t>N/A</t>
  </si>
  <si>
    <t>Honda Internal</t>
  </si>
  <si>
    <t>Honda Accessories</t>
  </si>
  <si>
    <t>Model Name</t>
  </si>
  <si>
    <t>Model Year</t>
  </si>
  <si>
    <r>
      <rPr>
        <b/>
        <sz val="9"/>
        <color rgb="FFC8102E"/>
        <rFont val="Calibri"/>
        <family val="2"/>
        <scheme val="minor"/>
      </rPr>
      <t>S</t>
    </r>
    <r>
      <rPr>
        <sz val="9"/>
        <rFont val="Calibri"/>
        <family val="2"/>
        <scheme val="minor"/>
      </rPr>
      <t xml:space="preserve"> = Standard (accessory comes standard on this trim)</t>
    </r>
  </si>
  <si>
    <r>
      <rPr>
        <b/>
        <sz val="9"/>
        <color rgb="FFC8102E"/>
        <rFont val="Calibri"/>
        <family val="2"/>
        <scheme val="minor"/>
      </rPr>
      <t>T</t>
    </r>
    <r>
      <rPr>
        <sz val="9"/>
        <rFont val="Calibri"/>
        <family val="2"/>
        <scheme val="minor"/>
      </rPr>
      <t xml:space="preserve"> = Tire Size Change (the size of the accessory wheel is smaller/larger than the OE Wheel.  Customer will require new tires to fit these wheels.)</t>
    </r>
  </si>
  <si>
    <r>
      <rPr>
        <b/>
        <sz val="9"/>
        <color rgb="FFC8102E"/>
        <rFont val="Calibri"/>
        <family val="2"/>
        <scheme val="minor"/>
      </rPr>
      <t>E</t>
    </r>
    <r>
      <rPr>
        <b/>
        <sz val="9"/>
        <rFont val="Calibri"/>
        <family val="2"/>
        <scheme val="minor"/>
      </rPr>
      <t xml:space="preserve"> </t>
    </r>
    <r>
      <rPr>
        <sz val="9"/>
        <rFont val="Calibri"/>
        <family val="2"/>
        <scheme val="minor"/>
      </rPr>
      <t>= Exchange Standard Equipment (the size of the accessory wheel is the same size as the OE wheel and therefore they can use the OE tire.)</t>
    </r>
  </si>
  <si>
    <r>
      <rPr>
        <b/>
        <sz val="9"/>
        <color rgb="FFC8102E"/>
        <rFont val="Calibri"/>
        <family val="2"/>
        <scheme val="minor"/>
      </rPr>
      <t>N/A</t>
    </r>
    <r>
      <rPr>
        <sz val="9"/>
        <rFont val="Calibri"/>
        <family val="2"/>
        <scheme val="minor"/>
      </rPr>
      <t xml:space="preserve"> = Not Applicable (accessory cannot be applied to this trim)</t>
    </r>
  </si>
  <si>
    <t>Province</t>
  </si>
  <si>
    <t>1.0 Packages and Kits</t>
  </si>
  <si>
    <t>Description</t>
  </si>
  <si>
    <t>Part Number</t>
  </si>
  <si>
    <t>Dealer Net</t>
  </si>
  <si>
    <t>List Price</t>
  </si>
  <si>
    <t>FRT</t>
  </si>
  <si>
    <t>Installed Price</t>
  </si>
  <si>
    <t>Application</t>
  </si>
  <si>
    <t>Comments</t>
  </si>
  <si>
    <t>25ODY-PRO-PKG1</t>
  </si>
  <si>
    <t>08P17-THR-110A</t>
  </si>
  <si>
    <t>08U45-THR-100A</t>
  </si>
  <si>
    <t>08P09-THR-300A</t>
  </si>
  <si>
    <t>25ODY-PRO-PKG2</t>
  </si>
  <si>
    <t>08U45-THR-100B</t>
  </si>
  <si>
    <t>21ODY-COLD-PKG</t>
  </si>
  <si>
    <t>08T44-SJA-401A</t>
  </si>
  <si>
    <t>31670-BMS-004H</t>
  </si>
  <si>
    <t>25ODY-TOW-A1 or 
25ODY-TOW-B1</t>
  </si>
  <si>
    <t>08L92-THR-300A</t>
  </si>
  <si>
    <t>08L92-SCV-300A or 08L92-SCV-100B</t>
  </si>
  <si>
    <t>08L91-THR-300</t>
  </si>
  <si>
    <t>08L92-SJC-300A</t>
  </si>
  <si>
    <t>25ODY-TOW-A2 or 
25ODY-TOW-B2</t>
  </si>
  <si>
    <t>08L91-THR-300A</t>
  </si>
  <si>
    <t>2.0 Wheels and Wheel Accessories</t>
  </si>
  <si>
    <t>08W42-TG7-301A</t>
  </si>
  <si>
    <t>08W42-TK4-301</t>
  </si>
  <si>
    <t>3.0 Exterior</t>
  </si>
  <si>
    <t>08F20-THR-100</t>
  </si>
  <si>
    <t>08F20-T7S-100C</t>
  </si>
  <si>
    <t>08F20-TG7-100G</t>
  </si>
  <si>
    <t>08F59-THR-100A</t>
  </si>
  <si>
    <t>08F57-THR-101</t>
  </si>
  <si>
    <t>08P01-THR-100</t>
  </si>
  <si>
    <t>08P20-THR-100</t>
  </si>
  <si>
    <t>08R04-THR-102</t>
  </si>
  <si>
    <t>08P47-THR-301</t>
  </si>
  <si>
    <t>08R01-THR-301</t>
  </si>
  <si>
    <t>08Z04-SCV-110B</t>
  </si>
  <si>
    <t>08L02-THR-102</t>
  </si>
  <si>
    <t>08L02-THR-102A</t>
  </si>
  <si>
    <t>08L04-THR-100</t>
  </si>
  <si>
    <t>08LXX-E09-XXXX</t>
  </si>
  <si>
    <t>08L20-E09-101C</t>
  </si>
  <si>
    <t>08L07-E09-300A</t>
  </si>
  <si>
    <t>08L07-E09-101</t>
  </si>
  <si>
    <t>08L20-E09-300A</t>
  </si>
  <si>
    <t>08L20-E09-300B</t>
  </si>
  <si>
    <t>08L09-E09-101</t>
  </si>
  <si>
    <t>08L03-E09-300C</t>
  </si>
  <si>
    <t>08L05-E09-100</t>
  </si>
  <si>
    <t>08L91-THR-XXXX</t>
  </si>
  <si>
    <t>08L92-SCV-300A</t>
  </si>
  <si>
    <t>08L92-SCV-100B</t>
  </si>
  <si>
    <t>08P05-THR-XXXX</t>
  </si>
  <si>
    <t>08P05-THR-191</t>
  </si>
  <si>
    <t>08P05-THR-121</t>
  </si>
  <si>
    <t>08P05-THR-131</t>
  </si>
  <si>
    <t>08P05-THR-1B1</t>
  </si>
  <si>
    <t>08P05-THR-1A1</t>
  </si>
  <si>
    <t>08P05-THR-1C1</t>
  </si>
  <si>
    <t>08P20-THR-XXXX</t>
  </si>
  <si>
    <t>08P20-THR-190A</t>
  </si>
  <si>
    <t>08P20-THR-120A</t>
  </si>
  <si>
    <t>08P20-THR-130A</t>
  </si>
  <si>
    <t>08P20-THR-1B0A</t>
  </si>
  <si>
    <t>08P20-THR-1A0A</t>
  </si>
  <si>
    <t>08P20-THR-1C0A</t>
  </si>
  <si>
    <t>4.0 Interior</t>
  </si>
  <si>
    <t>08U45-THR-300</t>
  </si>
  <si>
    <t>08P42-THR-100</t>
  </si>
  <si>
    <t>08L96-THR-100</t>
  </si>
  <si>
    <t>08P32-THR-310D</t>
  </si>
  <si>
    <t>08P32-THR-310F</t>
  </si>
  <si>
    <t>5.0 Electrical</t>
  </si>
  <si>
    <t>08E12-THR-100</t>
  </si>
  <si>
    <t>08E12-THR-100A</t>
  </si>
  <si>
    <t>08E10-THR-100</t>
  </si>
  <si>
    <t>08V27-THR-100</t>
  </si>
  <si>
    <t>08V27-THR-100A</t>
  </si>
  <si>
    <t>08U59-THR-101</t>
  </si>
  <si>
    <t>08U59-THR-300A</t>
  </si>
  <si>
    <t>31670-BMS-LEAD</t>
  </si>
  <si>
    <t>6.0 Paint Pens</t>
  </si>
  <si>
    <t>TUCH-NH883P-A1</t>
  </si>
  <si>
    <t>TUCH-NH731P-A1</t>
  </si>
  <si>
    <t>TUCH-NH797M-A1</t>
  </si>
  <si>
    <t>TUCH-NH877P-A1</t>
  </si>
  <si>
    <t>TUCH-R580M-A1</t>
  </si>
  <si>
    <t>TUCH-NH932M-A1</t>
  </si>
  <si>
    <t>TUCH-NEEDLES</t>
  </si>
  <si>
    <t>TUCH-STICKS</t>
  </si>
  <si>
    <t>TUCH-TIPS</t>
  </si>
  <si>
    <t xml:space="preserve">Publication Date: </t>
  </si>
  <si>
    <t>Red Pricing = Promotional Pricing - offered for a limited time only and on a first come, first serve basis.</t>
  </si>
  <si>
    <t>26MY Honda Odyssey</t>
  </si>
  <si>
    <t>POPULAR ACCESSORIES</t>
  </si>
  <si>
    <t>/wk *</t>
  </si>
  <si>
    <t xml:space="preserve"> &amp; </t>
  </si>
  <si>
    <t>Genuine Honda Accessories purchased with a new Honda vehicle include a 3 year / 60,000 km manufacturer's warranty.</t>
  </si>
  <si>
    <t>Vehicle accessories purchased after vehicle sale include a 1 year / 20,000km manufacturer's warranty.</t>
  </si>
  <si>
    <t xml:space="preserve">*Prices shown include the cost of installation. </t>
  </si>
  <si>
    <t xml:space="preserve">*For informational purposes only.   Weekly amounts shown are estimated payments based on a 60 month finance contract at 6.99% APR (including the cost of installation).  Applicable taxes and fees are extra.   Accessories cannot be financed on their own and must be financed through Honda Canada Finance Inc., on approved credit, in conjunction with a Honda vehicle. Representative finance example: $350.00 financed at 6.99% APR equals $1.60 weekly for 60 months.  260 weekly payments required.  Cost of borrowing is $64.80 for a total obligation of $414.80.  Actual payment amounts will vary based on APR, finance contract term and cost of the applicable accessories. Conditions apply. See your Honda dealer for full details. </t>
  </si>
  <si>
    <t>*More customized weekly payment options &amp; accessories can be seen on Honda.ca - Build &amp; Price</t>
  </si>
  <si>
    <t>(6.99%)</t>
  </si>
  <si>
    <t xml:space="preserve">Publication
 Date: </t>
  </si>
  <si>
    <t>Accessoires Honda</t>
  </si>
  <si>
    <t>Nom du modèle</t>
  </si>
  <si>
    <t xml:space="preserve">Année modèle </t>
  </si>
  <si>
    <r>
      <rPr>
        <b/>
        <sz val="9"/>
        <color rgb="FFC8102E"/>
        <rFont val="Calibri"/>
        <family val="2"/>
        <scheme val="minor"/>
      </rPr>
      <t>S</t>
    </r>
    <r>
      <rPr>
        <sz val="9"/>
        <rFont val="Calibri"/>
        <family val="2"/>
        <scheme val="minor"/>
      </rPr>
      <t xml:space="preserve"> = De série (accessoire de série sur cette version).</t>
    </r>
  </si>
  <si>
    <r>
      <rPr>
        <b/>
        <sz val="9"/>
        <color rgb="FFC8102E"/>
        <rFont val="Calibri"/>
        <family val="2"/>
        <scheme val="minor"/>
      </rPr>
      <t>T</t>
    </r>
    <r>
      <rPr>
        <sz val="9"/>
        <rFont val="Calibri"/>
        <family val="2"/>
        <scheme val="minor"/>
      </rPr>
      <t xml:space="preserve"> = Taille des pneus (la taille de la jante accessoire diffère de la jante d’origine.  Le client aura besoin de nouveaux pneus pour ces jantes).</t>
    </r>
  </si>
  <si>
    <r>
      <rPr>
        <b/>
        <sz val="9"/>
        <color rgb="FFC8102E"/>
        <rFont val="Calibri"/>
        <family val="2"/>
        <scheme val="minor"/>
      </rPr>
      <t>E</t>
    </r>
    <r>
      <rPr>
        <sz val="9"/>
        <rFont val="Calibri"/>
        <family val="2"/>
        <scheme val="minor"/>
      </rPr>
      <t xml:space="preserve"> = Échange d’équipement de série (la taille de la jante accessoire est la même que celle de la jante d’origine.  Le client peut utiliser les pneus d’origine).</t>
    </r>
  </si>
  <si>
    <r>
      <rPr>
        <b/>
        <sz val="9"/>
        <color rgb="FFC8102E"/>
        <rFont val="Calibri"/>
        <family val="2"/>
        <scheme val="minor"/>
      </rPr>
      <t>N/A</t>
    </r>
    <r>
      <rPr>
        <sz val="9"/>
        <rFont val="Calibri"/>
        <family val="2"/>
        <scheme val="minor"/>
      </rPr>
      <t xml:space="preserve"> = Sans objet (l’accessoire ne peut être utilisé pour cette version).</t>
    </r>
  </si>
  <si>
    <t>1.0 Groupes et ensembles</t>
  </si>
  <si>
    <t>La description</t>
  </si>
  <si>
    <t>Numéro de pièce</t>
  </si>
  <si>
    <t>Prix net</t>
  </si>
  <si>
    <t>Prix de liste</t>
  </si>
  <si>
    <t>T.F.F.</t>
  </si>
  <si>
    <t>Prix installé</t>
  </si>
  <si>
    <t xml:space="preserve">Commentaires   </t>
  </si>
  <si>
    <t>25ODY-TOWA1 ou 
25ODY-TOWB1</t>
  </si>
  <si>
    <t>08L92-SCV-300A ou 08L92-SCV-100B</t>
  </si>
  <si>
    <t>25ODY-TOW-A2 ou 
25ODY-TOW-B2</t>
  </si>
  <si>
    <t>2.0 Jantes et accessoires de jantes</t>
  </si>
  <si>
    <t>3.0 Extérieur</t>
  </si>
  <si>
    <t>08V67-THR-1A0K</t>
  </si>
  <si>
    <t>4.0 Intérieur</t>
  </si>
  <si>
    <t>5.0 Électrique</t>
  </si>
  <si>
    <t>6.0 Crayon de retouche de peinture</t>
  </si>
  <si>
    <t xml:space="preserve">Date de publication: </t>
  </si>
  <si>
    <t>*Prix en rouge = Prix promotionnels offerts pour une durée limitée seulement, selon le principe du premier arrivé, premier servi.</t>
  </si>
  <si>
    <t>ACCESSOIRES POPULAIRES</t>
  </si>
  <si>
    <t xml:space="preserve">et </t>
  </si>
  <si>
    <t>Les accessoires Honda d’origine achetés avec un véhicule Honda neuf incluent une garantie du fabricant de 3 ans ou 60 000 km.</t>
  </si>
  <si>
    <t>Les accessoires de véhicule achetés après la vente du véhicule incluent une garantie du fabricant de 1 an ou 20 000 km.</t>
  </si>
  <si>
    <t xml:space="preserve">
*Les prix indiqués incluent le coût d'installation.</t>
  </si>
  <si>
    <t>*À titre d’information seulement. Les montants hebdomadaires indiqués sont des paiements estimés basés sur un contrat de financement de 60 mois à un taux annuel en pourcentage (TAP) de 6,99 % (coût d’installation compris). Taxes et frais applicables en sus. Les accessoires ne peuvent être financés seuls et doivent être financés par l’entremise de Honda Canada Finance Inc., sur approbation de crédit, conjointement avec un véhicule Honda. Exemple de financement représentatif : Un montant de 350,00 $ financé à un TAP de 6,99 % équivaut à un paiement hebdomadaire de 1,60 $ pendant 60 mois. 260 paiements hebdomadaires sont requis. Le coût d’emprunt est de 64,80 $, pour une obligation totale de 414,80 $. Le montant réel des paiements variera en fonction du TAP, de la période du contrat de financement et du coût des accessoires applicables. Certaines conditions s’appliquent. Veuillez visiter votre concessionnaire Honda pour obtenir tous les détails.</t>
  </si>
  <si>
    <t>*Vous pouvez voir d’autres options de paiements hebdomadaires personnalisés ainsi que des accessoires sur le site Honda.ca – Configuration et prix.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</si>
</sst>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8" formatCode="&quot;$&quot;#,##0.00_);[Red]\(&quot;$&quot;#,##0.00\)"/>
    <numFmt numFmtId="44" formatCode="_(&quot;$&quot;* #,##0.00_);_(&quot;$&quot;* \(#,##0.00\);_(&quot;$&quot;* &quot;-&quot;??_);_(@_)"/>
    <numFmt numFmtId="164" formatCode="_-[$$-409]* #,##0.00_ ;_-[$$-409]* \-#,##0.00\ ;_-[$$-409]* &quot;-&quot;??_ ;_-@_ "/>
    <numFmt numFmtId="165" formatCode="[$-409]d\-mmm\-yy;@"/>
    <numFmt numFmtId="166" formatCode="&quot;$&quot;#,##0.00"/>
    <numFmt numFmtId="167" formatCode="yyyy\-mm\-dd;@"/>
    <numFmt numFmtId="168" formatCode="&quot;$&quot;#,##0.00;[Red]\-&quot;$&quot;#,##0.00"/>
    <numFmt numFmtId="169" formatCode="_(&quot;$&quot;* #,##0_);_(&quot;$&quot;* \(#,##0\);_(&quot;$&quot;* &quot;-&quot;??_);_(@_)"/>
    <numFmt numFmtId="170" formatCode="_ * #,##0.00_)\ [$$-C0C]_ ;_ * \(#,##0.00\)\ [$$-C0C]_ ;_ * &quot;-&quot;??_)\ [$$-C0C]_ ;_ @_ "/>
    <numFmt numFmtId="171" formatCode="0.0"/>
    <numFmt numFmtId="172" formatCode="_ * #,##0_ \ [$$-C0C]_ ;_ * \-#,##0\ \ [$$-C0C]_ ;_ * &quot;-&quot;??_ \ [$$-C0C]_ ;_ @_ "/>
    <numFmt numFmtId="173" formatCode="_ * #,##0.00_ \ [$$-C0C]_ ;_ * \-#,##0.00\ \ [$$-C0C]_ ;_ * &quot;-&quot;??_ \ [$$-C0C]_ ;_ @_ "/>
  </numFmts>
  <fonts count="5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0"/>
      <name val="Arial"/>
      <family val="2"/>
    </font>
    <font>
      <sz val="18"/>
      <color theme="1"/>
      <name val="Calibri"/>
      <family val="2"/>
      <scheme val="minor"/>
    </font>
    <font>
      <b/>
      <sz val="18"/>
      <color rgb="FFC8102E"/>
      <name val="Calibri"/>
      <family val="2"/>
      <scheme val="minor"/>
    </font>
    <font>
      <i/>
      <sz val="10"/>
      <color rgb="FFC00000"/>
      <name val="Arial"/>
      <family val="2"/>
    </font>
    <font>
      <sz val="10"/>
      <name val="Calibri"/>
      <family val="2"/>
      <scheme val="minor"/>
    </font>
    <font>
      <sz val="10"/>
      <color theme="0"/>
      <name val="Arial"/>
      <family val="2"/>
    </font>
    <font>
      <i/>
      <sz val="10"/>
      <name val="Arial Narrow"/>
      <family val="2"/>
    </font>
    <font>
      <b/>
      <sz val="24"/>
      <color theme="0"/>
      <name val="Calibri"/>
      <family val="2"/>
      <scheme val="minor"/>
    </font>
    <font>
      <b/>
      <sz val="11"/>
      <color theme="6" tint="0.79998168889431442"/>
      <name val="Calibri"/>
      <family val="2"/>
      <scheme val="minor"/>
    </font>
    <font>
      <sz val="11"/>
      <name val="Calibri"/>
      <family val="2"/>
      <scheme val="minor"/>
    </font>
    <font>
      <sz val="11"/>
      <color theme="6" tint="-0.499984740745262"/>
      <name val="Calibri"/>
      <family val="2"/>
      <scheme val="minor"/>
    </font>
    <font>
      <b/>
      <sz val="11"/>
      <color theme="6" tint="-0.499984740745262"/>
      <name val="Calibri"/>
      <family val="2"/>
      <scheme val="minor"/>
    </font>
    <font>
      <b/>
      <sz val="20"/>
      <name val="Calibri"/>
      <family val="2"/>
      <scheme val="minor"/>
    </font>
    <font>
      <sz val="9"/>
      <name val="Calibri"/>
      <family val="2"/>
      <scheme val="minor"/>
    </font>
    <font>
      <b/>
      <sz val="9"/>
      <color rgb="FFC8102E"/>
      <name val="Calibri"/>
      <family val="2"/>
      <scheme val="minor"/>
    </font>
    <font>
      <b/>
      <sz val="9"/>
      <name val="Calibri"/>
      <family val="2"/>
      <scheme val="minor"/>
    </font>
    <font>
      <b/>
      <sz val="14"/>
      <color theme="0"/>
      <name val="Calibri"/>
      <family val="2"/>
      <scheme val="minor"/>
    </font>
    <font>
      <b/>
      <sz val="11"/>
      <name val="Calibri"/>
      <family val="2"/>
      <scheme val="minor"/>
    </font>
    <font>
      <sz val="14"/>
      <name val="Calibri"/>
      <family val="2"/>
      <scheme val="minor"/>
    </font>
    <font>
      <i/>
      <sz val="11"/>
      <name val="Arial Narrow"/>
      <family val="2"/>
    </font>
    <font>
      <sz val="14"/>
      <color theme="1"/>
      <name val="Calibri"/>
      <family val="2"/>
      <scheme val="minor"/>
    </font>
    <font>
      <i/>
      <sz val="14"/>
      <name val="Arial Narrow"/>
      <family val="2"/>
    </font>
    <font>
      <sz val="11"/>
      <color rgb="FFFFC000"/>
      <name val="Calibri"/>
      <family val="2"/>
      <scheme val="minor"/>
    </font>
    <font>
      <sz val="11"/>
      <name val="Arial Narrow"/>
      <family val="2"/>
    </font>
    <font>
      <i/>
      <sz val="11"/>
      <color theme="1"/>
      <name val="Calibri"/>
      <family val="2"/>
      <scheme val="minor"/>
    </font>
    <font>
      <sz val="10"/>
      <name val="Arial Narrow"/>
      <family val="2"/>
    </font>
    <font>
      <b/>
      <sz val="10"/>
      <name val="Calibri"/>
      <family val="2"/>
      <scheme val="minor"/>
    </font>
    <font>
      <sz val="10"/>
      <color theme="0" tint="-0.14999847407452621"/>
      <name val="Calibri"/>
      <family val="2"/>
      <scheme val="minor"/>
    </font>
    <font>
      <b/>
      <sz val="24"/>
      <name val="Calibri"/>
      <family val="2"/>
      <scheme val="minor"/>
    </font>
    <font>
      <i/>
      <sz val="10"/>
      <color theme="0"/>
      <name val="Calibri"/>
      <family val="2"/>
      <scheme val="minor"/>
    </font>
    <font>
      <sz val="10"/>
      <color theme="0"/>
      <name val="Calibri"/>
      <family val="2"/>
      <scheme val="minor"/>
    </font>
    <font>
      <b/>
      <sz val="12"/>
      <name val="Calibri"/>
      <family val="2"/>
      <scheme val="minor"/>
    </font>
    <font>
      <sz val="12"/>
      <name val="Calibri"/>
      <family val="2"/>
      <scheme val="minor"/>
    </font>
    <font>
      <i/>
      <sz val="12"/>
      <name val="Calibri"/>
      <family val="2"/>
      <scheme val="minor"/>
    </font>
    <font>
      <b/>
      <sz val="10.5"/>
      <name val="Calibri"/>
      <family val="2"/>
      <scheme val="minor"/>
    </font>
    <font>
      <b/>
      <i/>
      <sz val="12"/>
      <name val="Calibri"/>
      <family val="2"/>
      <scheme val="minor"/>
    </font>
    <font>
      <i/>
      <sz val="10"/>
      <name val="Calibri"/>
      <family val="2"/>
      <scheme val="minor"/>
    </font>
    <font>
      <b/>
      <i/>
      <sz val="10"/>
      <name val="Calibri"/>
      <family val="2"/>
      <scheme val="minor"/>
    </font>
    <font>
      <sz val="10"/>
      <color rgb="FFFF0000"/>
      <name val="Calibri"/>
      <family val="2"/>
      <scheme val="minor"/>
    </font>
    <font>
      <sz val="10"/>
      <color rgb="FFE3173E"/>
      <name val="Calibri"/>
      <family val="2"/>
      <scheme val="minor"/>
    </font>
    <font>
      <i/>
      <sz val="10"/>
      <color rgb="FFE3173E"/>
      <name val="Calibri"/>
      <family val="2"/>
      <scheme val="minor"/>
    </font>
    <font>
      <b/>
      <i/>
      <sz val="8"/>
      <name val="Calibri"/>
      <family val="2"/>
      <scheme val="minor"/>
    </font>
    <font>
      <sz val="10"/>
      <color rgb="FFC8102E"/>
      <name val="Calibri"/>
      <family val="2"/>
      <scheme val="minor"/>
    </font>
    <font>
      <b/>
      <sz val="10"/>
      <color rgb="FFE3173E"/>
      <name val="Calibri"/>
      <family val="2"/>
      <scheme val="minor"/>
    </font>
    <font>
      <b/>
      <sz val="11"/>
      <color rgb="FFC8102E"/>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rgb="FFC8102E"/>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E3173E"/>
        <bgColor indexed="64"/>
      </patternFill>
    </fill>
    <fill>
      <patternFill patternType="solid">
        <fgColor theme="6" tint="-0.24994659260841701"/>
        <bgColor indexed="64"/>
      </patternFill>
    </fill>
    <fill>
      <patternFill patternType="solid">
        <fgColor theme="0"/>
        <bgColor indexed="64"/>
      </patternFill>
    </fill>
    <fill>
      <patternFill patternType="solid">
        <fgColor theme="6" tint="0.59996337778862885"/>
        <bgColor indexed="64"/>
      </patternFill>
    </fill>
    <fill>
      <patternFill patternType="solid">
        <fgColor theme="6" tint="0.79998168889431442"/>
        <bgColor indexed="64"/>
      </patternFill>
    </fill>
    <fill>
      <patternFill patternType="solid">
        <fgColor theme="6" tint="0.39994506668294322"/>
        <bgColor indexed="64"/>
      </patternFill>
    </fill>
  </fills>
  <borders count="27">
    <border>
      <left/>
      <right/>
      <top/>
      <bottom/>
      <diagonal/>
    </border>
    <border>
      <left style="medium">
        <color indexed="64"/>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top/>
      <bottom style="thin">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medium">
        <color indexed="64"/>
      </left>
      <right style="thin">
        <color theme="0"/>
      </right>
      <top style="medium">
        <color indexed="64"/>
      </top>
      <bottom style="thin">
        <color theme="0"/>
      </bottom>
      <diagonal/>
    </border>
    <border>
      <left style="medium">
        <color indexed="64"/>
      </left>
      <right style="medium">
        <color indexed="64"/>
      </right>
      <top style="medium">
        <color indexed="64"/>
      </top>
      <bottom style="thin">
        <color theme="0"/>
      </bottom>
      <diagonal/>
    </border>
    <border>
      <left style="medium">
        <color indexed="64"/>
      </left>
      <right style="thin">
        <color theme="0"/>
      </right>
      <top style="thin">
        <color theme="0"/>
      </top>
      <bottom style="thin">
        <color theme="0"/>
      </bottom>
      <diagonal/>
    </border>
    <border>
      <left style="thin">
        <color theme="0"/>
      </left>
      <right style="medium">
        <color indexed="64"/>
      </right>
      <top style="thin">
        <color theme="0"/>
      </top>
      <bottom style="thin">
        <color theme="0"/>
      </bottom>
      <diagonal/>
    </border>
    <border>
      <left style="medium">
        <color indexed="64"/>
      </left>
      <right style="medium">
        <color indexed="64"/>
      </right>
      <top style="medium">
        <color indexed="64"/>
      </top>
      <bottom style="medium">
        <color indexed="64"/>
      </bottom>
      <diagonal/>
    </border>
    <border>
      <left style="medium">
        <color indexed="64"/>
      </left>
      <right style="thin">
        <color theme="0"/>
      </right>
      <top style="thin">
        <color theme="0"/>
      </top>
      <bottom style="medium">
        <color indexed="64"/>
      </bottom>
      <diagonal/>
    </border>
    <border>
      <left style="thin">
        <color theme="0"/>
      </left>
      <right style="medium">
        <color indexed="64"/>
      </right>
      <top style="thin">
        <color theme="0"/>
      </top>
      <bottom style="medium">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bottom style="thin">
        <color theme="0"/>
      </bottom>
      <diagonal/>
    </border>
    <border>
      <left style="thin">
        <color theme="0"/>
      </left>
      <right style="thin">
        <color theme="0"/>
      </right>
      <top/>
      <bottom/>
      <diagonal/>
    </border>
    <border>
      <left/>
      <right/>
      <top style="thin">
        <color theme="0"/>
      </top>
      <bottom style="thin">
        <color theme="0"/>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bottom style="medium">
        <color theme="1" tint="0.499984740745262"/>
      </bottom>
      <diagonal/>
    </border>
    <border>
      <left/>
      <right style="thin">
        <color theme="0"/>
      </right>
      <top/>
      <bottom style="thin">
        <color theme="0"/>
      </bottom>
      <diagonal/>
    </border>
    <border>
      <left/>
      <right/>
      <top style="thin">
        <color theme="0"/>
      </top>
      <bottom/>
      <diagonal/>
    </border>
  </borders>
  <cellStyleXfs count="13">
    <xf numFmtId="0" fontId="0" fillId="0" borderId="0"/>
    <xf numFmtId="44" fontId="5" fillId="0" borderId="0" applyFont="0" applyFill="0" applyBorder="0" applyAlignment="0" applyProtection="0"/>
    <xf numFmtId="0" fontId="5" fillId="0" borderId="0"/>
    <xf numFmtId="0" fontId="5" fillId="0" borderId="0"/>
    <xf numFmtId="0" fontId="2" fillId="4" borderId="0" applyNumberFormat="0" applyBorder="0" applyAlignment="0" applyProtection="0"/>
    <xf numFmtId="0" fontId="13" fillId="8" borderId="17" applyBorder="0">
      <alignment horizontal="center" vertical="center"/>
    </xf>
    <xf numFmtId="0" fontId="1" fillId="0" borderId="0"/>
    <xf numFmtId="0" fontId="15" fillId="10" borderId="7">
      <alignment horizontal="left" vertical="center" indent="1"/>
    </xf>
    <xf numFmtId="0" fontId="16" fillId="11" borderId="4" applyNumberFormat="0">
      <alignment horizontal="center" vertical="center"/>
    </xf>
    <xf numFmtId="0" fontId="15" fillId="12" borderId="5">
      <alignment horizontal="center" vertical="center"/>
    </xf>
    <xf numFmtId="0" fontId="1" fillId="0" borderId="0"/>
    <xf numFmtId="0" fontId="1" fillId="0" borderId="0"/>
    <xf numFmtId="9" fontId="5" fillId="0" borderId="0" applyFont="0" applyFill="0" applyBorder="0" applyAlignment="0" applyProtection="0"/>
  </cellStyleXfs>
  <cellXfs count="236">
    <xf numFmtId="0" fontId="0" fillId="0" borderId="0" xfId="0"/>
    <xf numFmtId="0" fontId="6" fillId="2" borderId="1" xfId="2" applyFont="1" applyFill="1" applyBorder="1" applyAlignment="1">
      <alignment horizontal="center" wrapText="1"/>
    </xf>
    <xf numFmtId="0" fontId="7" fillId="3" borderId="2" xfId="2" applyFont="1" applyFill="1" applyBorder="1" applyAlignment="1" applyProtection="1">
      <alignment horizontal="center" vertical="center"/>
      <protection locked="0"/>
    </xf>
    <xf numFmtId="0" fontId="5" fillId="0" borderId="3" xfId="2" applyBorder="1" applyAlignment="1">
      <alignment vertical="center"/>
    </xf>
    <xf numFmtId="0" fontId="5" fillId="0" borderId="4" xfId="2" applyBorder="1" applyAlignment="1">
      <alignment vertical="center"/>
    </xf>
    <xf numFmtId="0" fontId="5" fillId="0" borderId="5" xfId="2" applyBorder="1" applyAlignment="1">
      <alignment vertical="center"/>
    </xf>
    <xf numFmtId="0" fontId="5" fillId="0" borderId="6" xfId="2" applyBorder="1" applyAlignment="1">
      <alignment vertical="center"/>
    </xf>
    <xf numFmtId="0" fontId="5" fillId="0" borderId="7" xfId="2" applyBorder="1" applyAlignment="1">
      <alignment vertical="center"/>
    </xf>
    <xf numFmtId="0" fontId="5" fillId="0" borderId="0" xfId="2" applyAlignment="1">
      <alignment vertical="center"/>
    </xf>
    <xf numFmtId="0" fontId="5" fillId="0" borderId="8" xfId="2" applyBorder="1" applyAlignment="1">
      <alignment vertical="center"/>
    </xf>
    <xf numFmtId="0" fontId="8" fillId="0" borderId="4" xfId="2" applyFont="1" applyBorder="1" applyAlignment="1">
      <alignment vertical="center"/>
    </xf>
    <xf numFmtId="0" fontId="2" fillId="4" borderId="9" xfId="2" applyFont="1" applyFill="1" applyBorder="1" applyAlignment="1">
      <alignment horizontal="centerContinuous"/>
    </xf>
    <xf numFmtId="0" fontId="2" fillId="4" borderId="10" xfId="2" applyFont="1" applyFill="1" applyBorder="1" applyAlignment="1">
      <alignment horizontal="centerContinuous"/>
    </xf>
    <xf numFmtId="0" fontId="9" fillId="3" borderId="11" xfId="2" applyFont="1" applyFill="1" applyBorder="1" applyAlignment="1">
      <alignment horizontal="center"/>
    </xf>
    <xf numFmtId="164" fontId="9" fillId="5" borderId="12" xfId="2" applyNumberFormat="1" applyFont="1" applyFill="1" applyBorder="1"/>
    <xf numFmtId="0" fontId="5" fillId="6" borderId="13" xfId="2" applyFill="1" applyBorder="1" applyAlignment="1">
      <alignment horizontal="center" vertical="center"/>
    </xf>
    <xf numFmtId="0" fontId="9" fillId="3" borderId="14" xfId="2" applyFont="1" applyFill="1" applyBorder="1" applyAlignment="1">
      <alignment horizontal="center"/>
    </xf>
    <xf numFmtId="164" fontId="9" fillId="5" borderId="15" xfId="2" applyNumberFormat="1" applyFont="1" applyFill="1" applyBorder="1"/>
    <xf numFmtId="0" fontId="5" fillId="0" borderId="16" xfId="2" applyBorder="1" applyAlignment="1">
      <alignment vertical="center"/>
    </xf>
    <xf numFmtId="0" fontId="10" fillId="0" borderId="4" xfId="2" applyFont="1" applyBorder="1" applyAlignment="1">
      <alignment vertical="center"/>
    </xf>
    <xf numFmtId="0" fontId="11" fillId="0" borderId="0" xfId="3" applyFont="1" applyAlignment="1">
      <alignment vertical="center"/>
    </xf>
    <xf numFmtId="0" fontId="12" fillId="7" borderId="0" xfId="4" applyFont="1" applyFill="1" applyBorder="1" applyAlignment="1">
      <alignment vertical="center"/>
    </xf>
    <xf numFmtId="0" fontId="12" fillId="9" borderId="3" xfId="5" applyFont="1" applyFill="1" applyBorder="1" applyAlignment="1">
      <alignment vertical="center"/>
    </xf>
    <xf numFmtId="0" fontId="12" fillId="9" borderId="4" xfId="5" applyFont="1" applyFill="1" applyBorder="1" applyAlignment="1">
      <alignment vertical="center"/>
    </xf>
    <xf numFmtId="0" fontId="1" fillId="9" borderId="4" xfId="6" applyFill="1" applyBorder="1" applyAlignment="1">
      <alignment horizontal="center" vertical="center"/>
    </xf>
    <xf numFmtId="0" fontId="1" fillId="9" borderId="4" xfId="6" applyFill="1" applyBorder="1" applyAlignment="1">
      <alignment vertical="center"/>
    </xf>
    <xf numFmtId="0" fontId="14" fillId="9" borderId="4" xfId="6" applyFont="1" applyFill="1" applyBorder="1" applyAlignment="1">
      <alignment vertical="center"/>
    </xf>
    <xf numFmtId="0" fontId="14" fillId="9" borderId="5" xfId="6" applyFont="1" applyFill="1" applyBorder="1" applyAlignment="1">
      <alignment vertical="center"/>
    </xf>
    <xf numFmtId="0" fontId="9" fillId="0" borderId="0" xfId="3" applyFont="1" applyAlignment="1">
      <alignment vertical="center"/>
    </xf>
    <xf numFmtId="0" fontId="14" fillId="2" borderId="4" xfId="7" applyFont="1" applyFill="1" applyBorder="1" applyAlignment="1">
      <alignment horizontal="left" vertical="center"/>
    </xf>
    <xf numFmtId="0" fontId="17" fillId="3" borderId="4" xfId="8" applyNumberFormat="1" applyFont="1" applyFill="1">
      <alignment horizontal="center" vertical="center"/>
    </xf>
    <xf numFmtId="0" fontId="17" fillId="9" borderId="3" xfId="8" applyNumberFormat="1" applyFont="1" applyFill="1" applyBorder="1" applyAlignment="1">
      <alignment vertical="center"/>
    </xf>
    <xf numFmtId="0" fontId="17" fillId="9" borderId="4" xfId="8" applyNumberFormat="1" applyFont="1" applyFill="1" applyAlignment="1">
      <alignment vertical="center"/>
    </xf>
    <xf numFmtId="0" fontId="14" fillId="9" borderId="7" xfId="6" applyFont="1" applyFill="1" applyBorder="1" applyAlignment="1">
      <alignment vertical="center"/>
    </xf>
    <xf numFmtId="0" fontId="14" fillId="9" borderId="3" xfId="6" applyFont="1" applyFill="1" applyBorder="1" applyAlignment="1">
      <alignment vertical="center"/>
    </xf>
    <xf numFmtId="0" fontId="14" fillId="9" borderId="16" xfId="6" applyFont="1" applyFill="1" applyBorder="1" applyAlignment="1">
      <alignment vertical="center"/>
    </xf>
    <xf numFmtId="0" fontId="18" fillId="9" borderId="16" xfId="7" applyFont="1" applyFill="1" applyBorder="1" applyAlignment="1">
      <alignment horizontal="left" vertical="center"/>
    </xf>
    <xf numFmtId="0" fontId="18" fillId="9" borderId="4" xfId="7" applyFont="1" applyFill="1" applyBorder="1" applyAlignment="1">
      <alignment horizontal="left" vertical="center"/>
    </xf>
    <xf numFmtId="0" fontId="18" fillId="9" borderId="4" xfId="6" applyFont="1" applyFill="1" applyBorder="1" applyAlignment="1">
      <alignment vertical="center"/>
    </xf>
    <xf numFmtId="0" fontId="18" fillId="9" borderId="4" xfId="7" applyFont="1" applyFill="1" applyBorder="1" applyAlignment="1">
      <alignment vertical="center"/>
    </xf>
    <xf numFmtId="0" fontId="18" fillId="9" borderId="5" xfId="7" applyFont="1" applyFill="1" applyBorder="1" applyAlignment="1">
      <alignment vertical="center"/>
    </xf>
    <xf numFmtId="0" fontId="18" fillId="9" borderId="0" xfId="7" applyFont="1" applyFill="1" applyBorder="1" applyAlignment="1">
      <alignment vertical="center"/>
    </xf>
    <xf numFmtId="0" fontId="18" fillId="9" borderId="0" xfId="7" applyFont="1" applyFill="1" applyBorder="1" applyAlignment="1">
      <alignment horizontal="left" vertical="center"/>
    </xf>
    <xf numFmtId="0" fontId="18" fillId="9" borderId="8" xfId="6" applyFont="1" applyFill="1" applyBorder="1" applyAlignment="1">
      <alignment vertical="center"/>
    </xf>
    <xf numFmtId="0" fontId="9" fillId="9" borderId="0" xfId="3" applyFont="1" applyFill="1" applyAlignment="1">
      <alignment vertical="center"/>
    </xf>
    <xf numFmtId="0" fontId="9" fillId="9" borderId="0" xfId="7" applyFont="1" applyFill="1" applyBorder="1" applyAlignment="1">
      <alignment horizontal="center" wrapText="1"/>
    </xf>
    <xf numFmtId="0" fontId="14" fillId="9" borderId="8" xfId="6" applyFont="1" applyFill="1" applyBorder="1" applyAlignment="1">
      <alignment vertical="center"/>
    </xf>
    <xf numFmtId="0" fontId="21" fillId="7" borderId="0" xfId="4" applyFont="1" applyFill="1" applyBorder="1" applyAlignment="1"/>
    <xf numFmtId="0" fontId="4" fillId="7" borderId="0" xfId="6" applyFont="1" applyFill="1" applyAlignment="1">
      <alignment vertical="center"/>
    </xf>
    <xf numFmtId="0" fontId="1" fillId="9" borderId="0" xfId="6" applyFill="1" applyAlignment="1">
      <alignment vertical="center"/>
    </xf>
    <xf numFmtId="0" fontId="1" fillId="9" borderId="0" xfId="6" applyFill="1" applyAlignment="1">
      <alignment horizontal="center" vertical="center"/>
    </xf>
    <xf numFmtId="0" fontId="22" fillId="9" borderId="18" xfId="8" applyNumberFormat="1" applyFont="1" applyFill="1" applyBorder="1">
      <alignment horizontal="center" vertical="center"/>
    </xf>
    <xf numFmtId="0" fontId="9" fillId="9" borderId="18" xfId="3" applyFont="1" applyFill="1" applyBorder="1" applyAlignment="1">
      <alignment vertical="center"/>
    </xf>
    <xf numFmtId="0" fontId="22" fillId="2" borderId="4" xfId="9" applyFont="1" applyFill="1" applyBorder="1">
      <alignment horizontal="center" vertical="center"/>
    </xf>
    <xf numFmtId="0" fontId="22" fillId="2" borderId="4" xfId="9" applyFont="1" applyFill="1" applyBorder="1" applyAlignment="1">
      <alignment horizontal="center" vertical="center" wrapText="1"/>
    </xf>
    <xf numFmtId="0" fontId="22" fillId="2" borderId="4" xfId="9" applyFont="1" applyFill="1" applyBorder="1" applyAlignment="1">
      <alignment horizontal="center" vertical="center" wrapText="1"/>
    </xf>
    <xf numFmtId="0" fontId="11" fillId="0" borderId="0" xfId="3" applyFont="1" applyAlignment="1">
      <alignment horizontal="left" vertical="center"/>
    </xf>
    <xf numFmtId="0" fontId="22" fillId="3" borderId="4" xfId="7" applyFont="1" applyFill="1" applyBorder="1" applyAlignment="1">
      <alignment horizontal="left" vertical="center"/>
    </xf>
    <xf numFmtId="165" fontId="22" fillId="5" borderId="4" xfId="8" applyNumberFormat="1" applyFont="1" applyFill="1" applyAlignment="1">
      <alignment horizontal="left" vertical="center" wrapText="1"/>
    </xf>
    <xf numFmtId="44" fontId="14" fillId="5" borderId="5" xfId="1" applyFont="1" applyFill="1" applyBorder="1" applyAlignment="1">
      <alignment horizontal="center" vertical="center"/>
    </xf>
    <xf numFmtId="0" fontId="14" fillId="5" borderId="5" xfId="8" applyNumberFormat="1" applyFont="1" applyFill="1" applyBorder="1">
      <alignment horizontal="center" vertical="center"/>
    </xf>
    <xf numFmtId="44" fontId="22" fillId="3" borderId="5" xfId="1" applyFont="1" applyFill="1" applyBorder="1" applyAlignment="1">
      <alignment horizontal="center" vertical="center"/>
    </xf>
    <xf numFmtId="0" fontId="9" fillId="5" borderId="5" xfId="8" applyNumberFormat="1" applyFont="1" applyFill="1" applyBorder="1">
      <alignment horizontal="center" vertical="center"/>
    </xf>
    <xf numFmtId="0" fontId="14" fillId="3" borderId="5" xfId="9" applyFont="1" applyFill="1" applyAlignment="1">
      <alignment horizontal="left" vertical="center" wrapText="1"/>
    </xf>
    <xf numFmtId="0" fontId="23" fillId="9" borderId="0" xfId="3" applyFont="1" applyFill="1" applyAlignment="1">
      <alignment horizontal="left" vertical="center"/>
    </xf>
    <xf numFmtId="0" fontId="23" fillId="0" borderId="0" xfId="3" applyFont="1" applyAlignment="1">
      <alignment horizontal="left" vertical="center"/>
    </xf>
    <xf numFmtId="0" fontId="11" fillId="0" borderId="0" xfId="3" applyFont="1" applyAlignment="1">
      <alignment horizontal="left" vertical="center" wrapText="1"/>
    </xf>
    <xf numFmtId="0" fontId="14" fillId="3" borderId="4" xfId="7" applyFont="1" applyFill="1" applyBorder="1">
      <alignment horizontal="left" vertical="center" indent="1"/>
    </xf>
    <xf numFmtId="1" fontId="14" fillId="5" borderId="4" xfId="8" applyNumberFormat="1" applyFont="1" applyFill="1" applyAlignment="1">
      <alignment horizontal="left" vertical="center" wrapText="1" indent="1"/>
    </xf>
    <xf numFmtId="44" fontId="14" fillId="5" borderId="19" xfId="1" applyFont="1" applyFill="1" applyBorder="1" applyAlignment="1">
      <alignment horizontal="center" vertical="center"/>
    </xf>
    <xf numFmtId="0" fontId="14" fillId="5" borderId="19" xfId="8" applyNumberFormat="1" applyFont="1" applyFill="1" applyBorder="1">
      <alignment horizontal="center" vertical="center"/>
    </xf>
    <xf numFmtId="44" fontId="22" fillId="3" borderId="19" xfId="1" applyFont="1" applyFill="1" applyBorder="1" applyAlignment="1">
      <alignment horizontal="center" vertical="center"/>
    </xf>
    <xf numFmtId="0" fontId="9" fillId="5" borderId="19" xfId="8" applyNumberFormat="1" applyFont="1" applyFill="1" applyBorder="1">
      <alignment horizontal="center" vertical="center"/>
    </xf>
    <xf numFmtId="0" fontId="14" fillId="3" borderId="19" xfId="9" applyFont="1" applyFill="1" applyBorder="1" applyAlignment="1">
      <alignment horizontal="left" vertical="center" wrapText="1"/>
    </xf>
    <xf numFmtId="0" fontId="14" fillId="9" borderId="0" xfId="3" applyFont="1" applyFill="1" applyAlignment="1">
      <alignment vertical="center"/>
    </xf>
    <xf numFmtId="0" fontId="14" fillId="2" borderId="0" xfId="3" applyFont="1" applyFill="1" applyAlignment="1">
      <alignment vertical="center"/>
    </xf>
    <xf numFmtId="1" fontId="14" fillId="5" borderId="4" xfId="8" applyNumberFormat="1" applyFont="1" applyFill="1" applyAlignment="1">
      <alignment horizontal="left" vertical="center" indent="1"/>
    </xf>
    <xf numFmtId="44" fontId="14" fillId="5" borderId="16" xfId="1" applyFont="1" applyFill="1" applyBorder="1" applyAlignment="1">
      <alignment horizontal="center" vertical="center"/>
    </xf>
    <xf numFmtId="0" fontId="14" fillId="5" borderId="16" xfId="8" applyNumberFormat="1" applyFont="1" applyFill="1" applyBorder="1">
      <alignment horizontal="center" vertical="center"/>
    </xf>
    <xf numFmtId="44" fontId="22" fillId="3" borderId="16" xfId="1" applyFont="1" applyFill="1" applyBorder="1" applyAlignment="1">
      <alignment horizontal="center" vertical="center"/>
    </xf>
    <xf numFmtId="0" fontId="9" fillId="5" borderId="16" xfId="8" applyNumberFormat="1" applyFont="1" applyFill="1" applyBorder="1">
      <alignment horizontal="center" vertical="center"/>
    </xf>
    <xf numFmtId="0" fontId="14" fillId="3" borderId="16" xfId="9" applyFont="1" applyFill="1" applyBorder="1" applyAlignment="1">
      <alignment horizontal="left" vertical="center" wrapText="1"/>
    </xf>
    <xf numFmtId="0" fontId="14" fillId="2" borderId="7" xfId="3" applyFont="1" applyFill="1" applyBorder="1" applyAlignment="1">
      <alignment vertical="center"/>
    </xf>
    <xf numFmtId="0" fontId="14" fillId="2" borderId="20" xfId="3" applyFont="1" applyFill="1" applyBorder="1" applyAlignment="1">
      <alignment vertical="center"/>
    </xf>
    <xf numFmtId="0" fontId="14" fillId="2" borderId="3" xfId="3" applyFont="1" applyFill="1" applyBorder="1" applyAlignment="1">
      <alignment horizontal="left" vertical="center"/>
    </xf>
    <xf numFmtId="165" fontId="22" fillId="5" borderId="4" xfId="8" applyNumberFormat="1" applyFont="1" applyFill="1" applyAlignment="1">
      <alignment horizontal="left" vertical="center"/>
    </xf>
    <xf numFmtId="0" fontId="14" fillId="2" borderId="0" xfId="3" applyFont="1" applyFill="1" applyAlignment="1">
      <alignment horizontal="left" vertical="center"/>
    </xf>
    <xf numFmtId="0" fontId="9" fillId="5" borderId="5" xfId="8" applyNumberFormat="1" applyFont="1" applyFill="1" applyBorder="1" applyAlignment="1">
      <alignment horizontal="center" vertical="center" wrapText="1"/>
    </xf>
    <xf numFmtId="0" fontId="9" fillId="5" borderId="19" xfId="8" applyNumberFormat="1" applyFont="1" applyFill="1" applyBorder="1" applyAlignment="1">
      <alignment horizontal="center" vertical="center" wrapText="1"/>
    </xf>
    <xf numFmtId="0" fontId="9" fillId="5" borderId="16" xfId="8" applyNumberFormat="1" applyFont="1" applyFill="1" applyBorder="1" applyAlignment="1">
      <alignment horizontal="center" vertical="center" wrapText="1"/>
    </xf>
    <xf numFmtId="0" fontId="24" fillId="0" borderId="0" xfId="3" applyFont="1" applyAlignment="1">
      <alignment vertical="center"/>
    </xf>
    <xf numFmtId="0" fontId="1" fillId="9" borderId="0" xfId="6" applyFill="1" applyAlignment="1">
      <alignment horizontal="left" vertical="center"/>
    </xf>
    <xf numFmtId="0" fontId="14" fillId="0" borderId="0" xfId="3" applyFont="1" applyAlignment="1">
      <alignment vertical="center"/>
    </xf>
    <xf numFmtId="0" fontId="25" fillId="9" borderId="0" xfId="10" applyFont="1" applyFill="1" applyAlignment="1">
      <alignment horizontal="left" vertical="center"/>
    </xf>
    <xf numFmtId="0" fontId="24" fillId="2" borderId="0" xfId="3" applyFont="1" applyFill="1" applyAlignment="1">
      <alignment vertical="center"/>
    </xf>
    <xf numFmtId="0" fontId="14" fillId="3" borderId="16" xfId="7" applyFont="1" applyFill="1" applyBorder="1" applyAlignment="1">
      <alignment horizontal="left" vertical="center"/>
    </xf>
    <xf numFmtId="165" fontId="22" fillId="5" borderId="16" xfId="8" applyNumberFormat="1" applyFont="1" applyFill="1" applyBorder="1" applyAlignment="1">
      <alignment horizontal="left" vertical="center"/>
    </xf>
    <xf numFmtId="44" fontId="14" fillId="5" borderId="4" xfId="1" applyFont="1" applyFill="1" applyBorder="1" applyAlignment="1">
      <alignment horizontal="center" vertical="center"/>
    </xf>
    <xf numFmtId="0" fontId="14" fillId="5" borderId="4" xfId="8" applyNumberFormat="1" applyFont="1" applyFill="1">
      <alignment horizontal="center" vertical="center"/>
    </xf>
    <xf numFmtId="44" fontId="22" fillId="3" borderId="4" xfId="1" applyFont="1" applyFill="1" applyBorder="1" applyAlignment="1">
      <alignment horizontal="center" vertical="center"/>
    </xf>
    <xf numFmtId="0" fontId="9" fillId="5" borderId="4" xfId="8" applyNumberFormat="1" applyFont="1" applyFill="1">
      <alignment horizontal="center" vertical="center"/>
    </xf>
    <xf numFmtId="0" fontId="14" fillId="3" borderId="4" xfId="9" applyFont="1" applyFill="1" applyBorder="1" applyAlignment="1">
      <alignment horizontal="left" vertical="center" wrapText="1"/>
    </xf>
    <xf numFmtId="0" fontId="14" fillId="9" borderId="16" xfId="7" applyFont="1" applyFill="1" applyBorder="1" applyAlignment="1">
      <alignment horizontal="left" vertical="center"/>
    </xf>
    <xf numFmtId="165" fontId="22" fillId="9" borderId="6" xfId="8" applyNumberFormat="1" applyFont="1" applyFill="1" applyBorder="1" applyAlignment="1">
      <alignment horizontal="left" vertical="center"/>
    </xf>
    <xf numFmtId="166" fontId="14" fillId="9" borderId="0" xfId="8" applyNumberFormat="1" applyFont="1" applyFill="1" applyBorder="1">
      <alignment horizontal="center" vertical="center"/>
    </xf>
    <xf numFmtId="0" fontId="14" fillId="9" borderId="0" xfId="8" applyNumberFormat="1" applyFont="1" applyFill="1" applyBorder="1">
      <alignment horizontal="center" vertical="center"/>
    </xf>
    <xf numFmtId="166" fontId="14" fillId="9" borderId="0" xfId="9" applyNumberFormat="1" applyFont="1" applyFill="1" applyBorder="1">
      <alignment horizontal="center" vertical="center"/>
    </xf>
    <xf numFmtId="0" fontId="22" fillId="9" borderId="0" xfId="8" applyNumberFormat="1" applyFont="1" applyFill="1" applyBorder="1">
      <alignment horizontal="center" vertical="center"/>
    </xf>
    <xf numFmtId="0" fontId="14" fillId="9" borderId="0" xfId="9" applyFont="1" applyFill="1" applyBorder="1" applyAlignment="1">
      <alignment horizontal="left" vertical="center" wrapText="1"/>
    </xf>
    <xf numFmtId="0" fontId="26" fillId="0" borderId="0" xfId="3" applyFont="1" applyAlignment="1">
      <alignment horizontal="left" vertical="center"/>
    </xf>
    <xf numFmtId="0" fontId="22" fillId="3" borderId="16" xfId="7" applyFont="1" applyFill="1" applyBorder="1" applyAlignment="1">
      <alignment horizontal="left" vertical="center"/>
    </xf>
    <xf numFmtId="0" fontId="22" fillId="3" borderId="20" xfId="7" applyFont="1" applyFill="1" applyBorder="1" applyAlignment="1">
      <alignment vertical="center"/>
    </xf>
    <xf numFmtId="0" fontId="14" fillId="3" borderId="16" xfId="9" applyFont="1" applyFill="1" applyBorder="1" applyAlignment="1">
      <alignment horizontal="left" vertical="center" wrapText="1"/>
    </xf>
    <xf numFmtId="0" fontId="14" fillId="3" borderId="16" xfId="7" applyFont="1" applyFill="1" applyBorder="1">
      <alignment horizontal="left" vertical="center" indent="1"/>
    </xf>
    <xf numFmtId="0" fontId="14" fillId="3" borderId="3" xfId="9" applyFont="1" applyFill="1" applyBorder="1" applyAlignment="1">
      <alignment horizontal="left" vertical="center" wrapText="1"/>
    </xf>
    <xf numFmtId="0" fontId="1" fillId="9" borderId="5" xfId="6" applyFill="1" applyBorder="1" applyAlignment="1">
      <alignment vertical="center"/>
    </xf>
    <xf numFmtId="0" fontId="1" fillId="9" borderId="19" xfId="6" applyFill="1" applyBorder="1" applyAlignment="1">
      <alignment vertical="center"/>
    </xf>
    <xf numFmtId="0" fontId="27" fillId="9" borderId="19" xfId="6" applyFont="1" applyFill="1" applyBorder="1" applyAlignment="1">
      <alignment horizontal="center" vertical="center"/>
    </xf>
    <xf numFmtId="0" fontId="1" fillId="9" borderId="19" xfId="6" applyFill="1" applyBorder="1" applyAlignment="1">
      <alignment horizontal="left" vertical="center"/>
    </xf>
    <xf numFmtId="0" fontId="25" fillId="9" borderId="4" xfId="10" applyFont="1" applyFill="1" applyBorder="1" applyAlignment="1">
      <alignment horizontal="left" vertical="center"/>
    </xf>
    <xf numFmtId="0" fontId="14" fillId="0" borderId="16" xfId="7" applyFont="1" applyFill="1" applyBorder="1" applyAlignment="1">
      <alignment horizontal="left" vertical="center"/>
    </xf>
    <xf numFmtId="165" fontId="22" fillId="0" borderId="16" xfId="8" applyNumberFormat="1" applyFont="1" applyFill="1" applyBorder="1" applyAlignment="1">
      <alignment horizontal="left" vertical="center"/>
    </xf>
    <xf numFmtId="166" fontId="14" fillId="0" borderId="16" xfId="8" applyNumberFormat="1" applyFont="1" applyFill="1" applyBorder="1">
      <alignment horizontal="center" vertical="center"/>
    </xf>
    <xf numFmtId="0" fontId="14" fillId="0" borderId="16" xfId="8" applyNumberFormat="1" applyFont="1" applyFill="1" applyBorder="1">
      <alignment horizontal="center" vertical="center"/>
    </xf>
    <xf numFmtId="166" fontId="14" fillId="0" borderId="16" xfId="9" applyNumberFormat="1" applyFont="1" applyFill="1" applyBorder="1">
      <alignment horizontal="center" vertical="center"/>
    </xf>
    <xf numFmtId="0" fontId="22" fillId="0" borderId="16" xfId="8" applyNumberFormat="1" applyFont="1" applyFill="1" applyBorder="1">
      <alignment horizontal="center" vertical="center"/>
    </xf>
    <xf numFmtId="0" fontId="14" fillId="0" borderId="16" xfId="9" applyFont="1" applyFill="1" applyBorder="1" applyAlignment="1">
      <alignment horizontal="left" vertical="center" wrapText="1"/>
    </xf>
    <xf numFmtId="0" fontId="25" fillId="9" borderId="8" xfId="10" applyFont="1" applyFill="1" applyBorder="1" applyAlignment="1">
      <alignment horizontal="left" vertical="center"/>
    </xf>
    <xf numFmtId="0" fontId="25" fillId="9" borderId="5" xfId="10" applyFont="1" applyFill="1" applyBorder="1" applyAlignment="1">
      <alignment horizontal="left" vertical="center"/>
    </xf>
    <xf numFmtId="0" fontId="1" fillId="9" borderId="16" xfId="6" applyFill="1" applyBorder="1" applyAlignment="1">
      <alignment vertical="center"/>
    </xf>
    <xf numFmtId="0" fontId="1" fillId="9" borderId="6" xfId="6" applyFill="1" applyBorder="1" applyAlignment="1">
      <alignment vertical="center"/>
    </xf>
    <xf numFmtId="0" fontId="27" fillId="9" borderId="0" xfId="6" applyFont="1" applyFill="1" applyAlignment="1">
      <alignment horizontal="center" vertical="center"/>
    </xf>
    <xf numFmtId="0" fontId="28" fillId="0" borderId="0" xfId="3" applyFont="1" applyAlignment="1">
      <alignment vertical="center"/>
    </xf>
    <xf numFmtId="1" fontId="22" fillId="9" borderId="16" xfId="8" applyNumberFormat="1" applyFont="1" applyFill="1" applyBorder="1" applyAlignment="1">
      <alignment horizontal="left" vertical="center"/>
    </xf>
    <xf numFmtId="166" fontId="22" fillId="9" borderId="16" xfId="8" applyNumberFormat="1" applyFont="1" applyFill="1" applyBorder="1">
      <alignment horizontal="center" vertical="center"/>
    </xf>
    <xf numFmtId="0" fontId="22" fillId="9" borderId="16" xfId="8" applyNumberFormat="1" applyFont="1" applyFill="1" applyBorder="1">
      <alignment horizontal="center" vertical="center"/>
    </xf>
    <xf numFmtId="166" fontId="14" fillId="9" borderId="16" xfId="9" applyNumberFormat="1" applyFont="1" applyFill="1" applyBorder="1">
      <alignment horizontal="center" vertical="center"/>
    </xf>
    <xf numFmtId="0" fontId="3" fillId="9" borderId="4" xfId="11" applyFont="1" applyFill="1" applyBorder="1" applyAlignment="1">
      <alignment horizontal="left" vertical="center"/>
    </xf>
    <xf numFmtId="0" fontId="29" fillId="9" borderId="4" xfId="6" applyFont="1" applyFill="1" applyBorder="1" applyAlignment="1">
      <alignment vertical="center"/>
    </xf>
    <xf numFmtId="0" fontId="30" fillId="0" borderId="0" xfId="3" applyFont="1" applyAlignment="1">
      <alignment vertical="center"/>
    </xf>
    <xf numFmtId="167" fontId="31" fillId="9" borderId="0" xfId="3" applyNumberFormat="1" applyFont="1" applyFill="1" applyAlignment="1">
      <alignment horizontal="left" vertical="center"/>
    </xf>
    <xf numFmtId="0" fontId="32" fillId="9" borderId="0" xfId="3" applyFont="1" applyFill="1" applyAlignment="1">
      <alignment vertical="center"/>
    </xf>
    <xf numFmtId="0" fontId="9" fillId="2" borderId="0" xfId="3" applyFont="1" applyFill="1" applyAlignment="1">
      <alignment vertical="center"/>
    </xf>
    <xf numFmtId="0" fontId="33" fillId="9" borderId="0" xfId="3" applyFont="1" applyFill="1" applyAlignment="1">
      <alignment horizontal="center" vertical="center"/>
    </xf>
    <xf numFmtId="0" fontId="34" fillId="9" borderId="0" xfId="3" applyFont="1" applyFill="1" applyAlignment="1">
      <alignment horizontal="center" vertical="center"/>
    </xf>
    <xf numFmtId="0" fontId="12" fillId="7" borderId="0" xfId="3" applyFont="1" applyFill="1" applyAlignment="1">
      <alignment horizontal="center" vertical="center"/>
    </xf>
    <xf numFmtId="0" fontId="35" fillId="9" borderId="0" xfId="3" applyFont="1" applyFill="1" applyAlignment="1">
      <alignment horizontal="center" vertical="center"/>
    </xf>
    <xf numFmtId="0" fontId="9" fillId="9" borderId="0" xfId="3" applyFont="1" applyFill="1" applyAlignment="1">
      <alignment horizontal="center" vertical="center"/>
    </xf>
    <xf numFmtId="168" fontId="9" fillId="0" borderId="0" xfId="3" applyNumberFormat="1" applyFont="1" applyAlignment="1">
      <alignment vertical="center"/>
    </xf>
    <xf numFmtId="0" fontId="9" fillId="9" borderId="0" xfId="3" applyFont="1" applyFill="1" applyAlignment="1">
      <alignment horizontal="center" vertical="center"/>
    </xf>
    <xf numFmtId="0" fontId="36" fillId="3" borderId="21" xfId="3" applyFont="1" applyFill="1" applyBorder="1" applyAlignment="1">
      <alignment horizontal="center" vertical="center"/>
    </xf>
    <xf numFmtId="0" fontId="36" fillId="3" borderId="22" xfId="3" applyFont="1" applyFill="1" applyBorder="1" applyAlignment="1">
      <alignment horizontal="center" vertical="center"/>
    </xf>
    <xf numFmtId="0" fontId="36" fillId="3" borderId="23" xfId="3" applyFont="1" applyFill="1" applyBorder="1" applyAlignment="1">
      <alignment horizontal="center" vertical="center"/>
    </xf>
    <xf numFmtId="0" fontId="37" fillId="9" borderId="0" xfId="3" applyFont="1" applyFill="1" applyAlignment="1">
      <alignment vertical="center"/>
    </xf>
    <xf numFmtId="169" fontId="37" fillId="9" borderId="0" xfId="3" applyNumberFormat="1" applyFont="1" applyFill="1" applyAlignment="1">
      <alignment vertical="top"/>
    </xf>
    <xf numFmtId="8" fontId="36" fillId="9" borderId="0" xfId="3" applyNumberFormat="1" applyFont="1" applyFill="1" applyAlignment="1">
      <alignment horizontal="right" vertical="top"/>
    </xf>
    <xf numFmtId="44" fontId="36" fillId="9" borderId="0" xfId="3" applyNumberFormat="1" applyFont="1" applyFill="1" applyAlignment="1">
      <alignment horizontal="left" vertical="top"/>
    </xf>
    <xf numFmtId="9" fontId="38" fillId="9" borderId="0" xfId="3" applyNumberFormat="1" applyFont="1" applyFill="1" applyAlignment="1">
      <alignment vertical="center"/>
    </xf>
    <xf numFmtId="0" fontId="39" fillId="3" borderId="21" xfId="3" applyFont="1" applyFill="1" applyBorder="1" applyAlignment="1">
      <alignment horizontal="center" vertical="center" wrapText="1"/>
    </xf>
    <xf numFmtId="0" fontId="39" fillId="3" borderId="22" xfId="3" applyFont="1" applyFill="1" applyBorder="1" applyAlignment="1">
      <alignment horizontal="center" vertical="center"/>
    </xf>
    <xf numFmtId="0" fontId="39" fillId="3" borderId="23" xfId="3" applyFont="1" applyFill="1" applyBorder="1" applyAlignment="1">
      <alignment horizontal="center" vertical="center"/>
    </xf>
    <xf numFmtId="0" fontId="36" fillId="9" borderId="0" xfId="3" applyFont="1" applyFill="1" applyAlignment="1">
      <alignment vertical="center"/>
    </xf>
    <xf numFmtId="0" fontId="34" fillId="9" borderId="0" xfId="3" applyFont="1" applyFill="1" applyAlignment="1">
      <alignment horizontal="center" vertical="top"/>
    </xf>
    <xf numFmtId="0" fontId="37" fillId="9" borderId="0" xfId="3" applyFont="1" applyFill="1" applyAlignment="1">
      <alignment vertical="top"/>
    </xf>
    <xf numFmtId="0" fontId="9" fillId="9" borderId="0" xfId="3" applyFont="1" applyFill="1" applyAlignment="1">
      <alignment vertical="top"/>
    </xf>
    <xf numFmtId="0" fontId="9" fillId="2" borderId="0" xfId="3" applyFont="1" applyFill="1" applyAlignment="1">
      <alignment vertical="top"/>
    </xf>
    <xf numFmtId="0" fontId="9" fillId="0" borderId="0" xfId="3" applyFont="1" applyAlignment="1">
      <alignment vertical="top"/>
    </xf>
    <xf numFmtId="49" fontId="38" fillId="0" borderId="0" xfId="3" applyNumberFormat="1" applyFont="1" applyAlignment="1">
      <alignment vertical="top"/>
    </xf>
    <xf numFmtId="2" fontId="36" fillId="3" borderId="21" xfId="3" applyNumberFormat="1" applyFont="1" applyFill="1" applyBorder="1" applyAlignment="1">
      <alignment horizontal="center" vertical="center"/>
    </xf>
    <xf numFmtId="0" fontId="36" fillId="3" borderId="21" xfId="3" applyFont="1" applyFill="1" applyBorder="1" applyAlignment="1">
      <alignment horizontal="center" vertical="center" wrapText="1"/>
    </xf>
    <xf numFmtId="0" fontId="36" fillId="3" borderId="22" xfId="3" applyFont="1" applyFill="1" applyBorder="1" applyAlignment="1">
      <alignment horizontal="center" vertical="center" wrapText="1"/>
    </xf>
    <xf numFmtId="0" fontId="36" fillId="3" borderId="23" xfId="3" applyFont="1" applyFill="1" applyBorder="1" applyAlignment="1">
      <alignment horizontal="center" vertical="center" wrapText="1"/>
    </xf>
    <xf numFmtId="9" fontId="38" fillId="9" borderId="0" xfId="3" applyNumberFormat="1" applyFont="1" applyFill="1" applyAlignment="1">
      <alignment vertical="top"/>
    </xf>
    <xf numFmtId="0" fontId="35" fillId="9" borderId="0" xfId="3" applyFont="1" applyFill="1" applyAlignment="1">
      <alignment vertical="center"/>
    </xf>
    <xf numFmtId="0" fontId="40" fillId="9" borderId="0" xfId="3" applyFont="1" applyFill="1" applyAlignment="1">
      <alignment horizontal="left" vertical="center"/>
    </xf>
    <xf numFmtId="0" fontId="41" fillId="9" borderId="0" xfId="3" applyFont="1" applyFill="1" applyAlignment="1">
      <alignment vertical="center"/>
    </xf>
    <xf numFmtId="0" fontId="41" fillId="9" borderId="0" xfId="3" applyFont="1" applyFill="1" applyAlignment="1">
      <alignment horizontal="left" vertical="center" wrapText="1"/>
    </xf>
    <xf numFmtId="0" fontId="35" fillId="9" borderId="24" xfId="3" applyFont="1" applyFill="1" applyBorder="1" applyAlignment="1">
      <alignment horizontal="center" vertical="center"/>
    </xf>
    <xf numFmtId="0" fontId="41" fillId="9" borderId="24" xfId="3" applyFont="1" applyFill="1" applyBorder="1" applyAlignment="1">
      <alignment horizontal="left" vertical="center"/>
    </xf>
    <xf numFmtId="0" fontId="9" fillId="9" borderId="24" xfId="3" applyFont="1" applyFill="1" applyBorder="1" applyAlignment="1">
      <alignment vertical="center"/>
    </xf>
    <xf numFmtId="0" fontId="9" fillId="9" borderId="24" xfId="3" applyFont="1" applyFill="1" applyBorder="1" applyAlignment="1">
      <alignment horizontal="left" vertical="center"/>
    </xf>
    <xf numFmtId="0" fontId="42" fillId="9" borderId="24" xfId="3" applyFont="1" applyFill="1" applyBorder="1" applyAlignment="1">
      <alignment horizontal="left" vertical="center"/>
    </xf>
    <xf numFmtId="0" fontId="42" fillId="9" borderId="24" xfId="3" applyFont="1" applyFill="1" applyBorder="1" applyAlignment="1">
      <alignment vertical="center"/>
    </xf>
    <xf numFmtId="0" fontId="9" fillId="0" borderId="24" xfId="3" applyFont="1" applyBorder="1" applyAlignment="1">
      <alignment vertical="center"/>
    </xf>
    <xf numFmtId="0" fontId="42" fillId="9" borderId="24" xfId="3" applyFont="1" applyFill="1" applyBorder="1" applyAlignment="1">
      <alignment horizontal="right" vertical="center"/>
    </xf>
    <xf numFmtId="14" fontId="42" fillId="9" borderId="24" xfId="3" applyNumberFormat="1" applyFont="1" applyFill="1" applyBorder="1" applyAlignment="1">
      <alignment horizontal="left" vertical="center"/>
    </xf>
    <xf numFmtId="0" fontId="43" fillId="0" borderId="0" xfId="3" applyFont="1" applyAlignment="1">
      <alignment vertical="center"/>
    </xf>
    <xf numFmtId="0" fontId="44" fillId="7" borderId="0" xfId="3" applyFont="1" applyFill="1" applyAlignment="1">
      <alignment vertical="center"/>
    </xf>
    <xf numFmtId="0" fontId="45" fillId="7" borderId="0" xfId="3" applyFont="1" applyFill="1" applyAlignment="1">
      <alignment vertical="center"/>
    </xf>
    <xf numFmtId="0" fontId="44" fillId="7" borderId="0" xfId="3" applyFont="1" applyFill="1" applyAlignment="1">
      <alignment horizontal="left" vertical="center"/>
    </xf>
    <xf numFmtId="0" fontId="45" fillId="7" borderId="0" xfId="3" applyFont="1" applyFill="1" applyAlignment="1">
      <alignment horizontal="left" vertical="center"/>
    </xf>
    <xf numFmtId="0" fontId="42" fillId="9" borderId="0" xfId="3" applyFont="1" applyFill="1" applyAlignment="1">
      <alignment vertical="center"/>
    </xf>
    <xf numFmtId="49" fontId="44" fillId="7" borderId="0" xfId="12" applyNumberFormat="1" applyFont="1" applyFill="1" applyBorder="1" applyAlignment="1">
      <alignment vertical="center"/>
    </xf>
    <xf numFmtId="0" fontId="43" fillId="9" borderId="0" xfId="3" applyFont="1" applyFill="1" applyAlignment="1">
      <alignment vertical="center"/>
    </xf>
    <xf numFmtId="0" fontId="45" fillId="7" borderId="0" xfId="3" applyFont="1" applyFill="1" applyAlignment="1">
      <alignment horizontal="center" vertical="center"/>
    </xf>
    <xf numFmtId="0" fontId="46" fillId="9" borderId="0" xfId="3" applyFont="1" applyFill="1" applyAlignment="1">
      <alignment horizontal="right" vertical="center" wrapText="1"/>
    </xf>
    <xf numFmtId="167" fontId="9" fillId="9" borderId="0" xfId="12" applyNumberFormat="1" applyFont="1" applyFill="1" applyBorder="1" applyAlignment="1">
      <alignment horizontal="left" vertical="center"/>
    </xf>
    <xf numFmtId="0" fontId="47" fillId="9" borderId="0" xfId="3" applyFont="1" applyFill="1" applyAlignment="1">
      <alignment vertical="center"/>
    </xf>
    <xf numFmtId="0" fontId="9" fillId="9" borderId="0" xfId="3" applyFont="1" applyFill="1" applyAlignment="1">
      <alignment horizontal="right" vertical="center"/>
    </xf>
    <xf numFmtId="0" fontId="48" fillId="9" borderId="0" xfId="3" applyFont="1" applyFill="1" applyAlignment="1">
      <alignment horizontal="center" vertical="center"/>
    </xf>
    <xf numFmtId="0" fontId="32" fillId="0" borderId="0" xfId="3" applyFont="1" applyAlignment="1">
      <alignment vertical="center"/>
    </xf>
    <xf numFmtId="0" fontId="41" fillId="0" borderId="0" xfId="3" applyFont="1" applyAlignment="1">
      <alignment vertical="center"/>
    </xf>
    <xf numFmtId="0" fontId="37" fillId="0" borderId="0" xfId="7" applyFont="1" applyFill="1" applyBorder="1" applyAlignment="1">
      <alignment horizontal="center" vertical="center" wrapText="1"/>
    </xf>
    <xf numFmtId="0" fontId="49" fillId="0" borderId="0" xfId="8" applyNumberFormat="1" applyFont="1" applyFill="1" applyBorder="1">
      <alignment horizontal="center" vertical="center"/>
    </xf>
    <xf numFmtId="10" fontId="1" fillId="0" borderId="0" xfId="12" applyNumberFormat="1" applyFont="1" applyBorder="1" applyAlignment="1">
      <alignment vertical="center"/>
    </xf>
    <xf numFmtId="167" fontId="46" fillId="9" borderId="0" xfId="3" applyNumberFormat="1" applyFont="1" applyFill="1" applyAlignment="1">
      <alignment horizontal="left" vertical="center"/>
    </xf>
    <xf numFmtId="0" fontId="18" fillId="9" borderId="6" xfId="7" applyFont="1" applyFill="1" applyBorder="1" applyAlignment="1">
      <alignment horizontal="left" vertical="center"/>
    </xf>
    <xf numFmtId="0" fontId="18" fillId="9" borderId="18" xfId="7" applyFont="1" applyFill="1" applyBorder="1" applyAlignment="1">
      <alignment horizontal="left" vertical="center"/>
    </xf>
    <xf numFmtId="0" fontId="18" fillId="9" borderId="25" xfId="7" applyFont="1" applyFill="1" applyBorder="1" applyAlignment="1">
      <alignment horizontal="left" vertical="center"/>
    </xf>
    <xf numFmtId="0" fontId="18" fillId="9" borderId="25" xfId="7" applyFont="1" applyFill="1" applyBorder="1" applyAlignment="1">
      <alignment horizontal="left" vertical="center"/>
    </xf>
    <xf numFmtId="0" fontId="18" fillId="9" borderId="7" xfId="7" applyFont="1" applyFill="1" applyAlignment="1">
      <alignment horizontal="left" vertical="center"/>
    </xf>
    <xf numFmtId="0" fontId="18" fillId="9" borderId="20" xfId="7" applyFont="1" applyFill="1" applyBorder="1" applyAlignment="1">
      <alignment horizontal="left" vertical="center"/>
    </xf>
    <xf numFmtId="0" fontId="18" fillId="9" borderId="3" xfId="7" applyFont="1" applyFill="1" applyBorder="1" applyAlignment="1">
      <alignment horizontal="left" vertical="center"/>
    </xf>
    <xf numFmtId="0" fontId="18" fillId="9" borderId="3" xfId="7" applyFont="1" applyFill="1" applyBorder="1" applyAlignment="1">
      <alignment horizontal="left" vertical="center"/>
    </xf>
    <xf numFmtId="0" fontId="18" fillId="9" borderId="17" xfId="7" applyFont="1" applyFill="1" applyBorder="1" applyAlignment="1">
      <alignment horizontal="left" vertical="center"/>
    </xf>
    <xf numFmtId="0" fontId="18" fillId="9" borderId="26" xfId="7" applyFont="1" applyFill="1" applyBorder="1" applyAlignment="1">
      <alignment horizontal="left" vertical="center"/>
    </xf>
    <xf numFmtId="0" fontId="18" fillId="9" borderId="8" xfId="7" applyFont="1" applyFill="1" applyBorder="1" applyAlignment="1">
      <alignment horizontal="left" vertical="center"/>
    </xf>
    <xf numFmtId="0" fontId="18" fillId="9" borderId="8" xfId="7" applyFont="1" applyFill="1" applyBorder="1" applyAlignment="1">
      <alignment horizontal="left" vertical="center"/>
    </xf>
    <xf numFmtId="0" fontId="14" fillId="3" borderId="4" xfId="7" applyFont="1" applyFill="1" applyBorder="1" applyAlignment="1">
      <alignment horizontal="left" vertical="center" wrapText="1" indent="1"/>
    </xf>
    <xf numFmtId="0" fontId="14" fillId="3" borderId="4" xfId="7" applyFont="1" applyFill="1" applyBorder="1" applyAlignment="1">
      <alignment horizontal="left" vertical="center"/>
    </xf>
    <xf numFmtId="170" fontId="14" fillId="5" borderId="16" xfId="1" applyNumberFormat="1" applyFont="1" applyFill="1" applyBorder="1" applyAlignment="1">
      <alignment horizontal="center" vertical="center"/>
    </xf>
    <xf numFmtId="171" fontId="14" fillId="5" borderId="16" xfId="8" applyNumberFormat="1" applyFont="1" applyFill="1" applyBorder="1">
      <alignment horizontal="center" vertical="center"/>
    </xf>
    <xf numFmtId="170" fontId="22" fillId="3" borderId="16" xfId="1" applyNumberFormat="1" applyFont="1" applyFill="1" applyBorder="1" applyAlignment="1">
      <alignment horizontal="center" vertical="center"/>
    </xf>
    <xf numFmtId="0" fontId="9" fillId="5" borderId="16" xfId="8" applyNumberFormat="1" applyFont="1" applyFill="1" applyBorder="1">
      <alignment horizontal="center" vertical="center"/>
    </xf>
    <xf numFmtId="0" fontId="14" fillId="3" borderId="19" xfId="9" applyFont="1" applyFill="1" applyBorder="1" applyAlignment="1">
      <alignment horizontal="left" vertical="center" wrapText="1"/>
    </xf>
    <xf numFmtId="0" fontId="22" fillId="3" borderId="21" xfId="3" applyFont="1" applyFill="1" applyBorder="1" applyAlignment="1">
      <alignment horizontal="center" vertical="center"/>
    </xf>
    <xf numFmtId="0" fontId="22" fillId="3" borderId="22" xfId="3" applyFont="1" applyFill="1" applyBorder="1" applyAlignment="1">
      <alignment horizontal="center" vertical="center"/>
    </xf>
    <xf numFmtId="0" fontId="22" fillId="3" borderId="23" xfId="3" applyFont="1" applyFill="1" applyBorder="1" applyAlignment="1">
      <alignment horizontal="center" vertical="center"/>
    </xf>
    <xf numFmtId="172" fontId="37" fillId="9" borderId="0" xfId="3" applyNumberFormat="1" applyFont="1" applyFill="1" applyAlignment="1">
      <alignment vertical="top"/>
    </xf>
    <xf numFmtId="173" fontId="36" fillId="9" borderId="0" xfId="3" applyNumberFormat="1" applyFont="1" applyFill="1" applyAlignment="1">
      <alignment horizontal="right" vertical="top"/>
    </xf>
    <xf numFmtId="0" fontId="31" fillId="3" borderId="21" xfId="3" applyFont="1" applyFill="1" applyBorder="1" applyAlignment="1">
      <alignment horizontal="center" vertical="center" wrapText="1"/>
    </xf>
    <xf numFmtId="0" fontId="31" fillId="3" borderId="22" xfId="3" applyFont="1" applyFill="1" applyBorder="1" applyAlignment="1">
      <alignment horizontal="center" vertical="center" wrapText="1"/>
    </xf>
    <xf numFmtId="0" fontId="31" fillId="3" borderId="23" xfId="3" applyFont="1" applyFill="1" applyBorder="1" applyAlignment="1">
      <alignment horizontal="center" vertical="center" wrapText="1"/>
    </xf>
    <xf numFmtId="0" fontId="20" fillId="3" borderId="21" xfId="3" applyFont="1" applyFill="1" applyBorder="1" applyAlignment="1">
      <alignment horizontal="center" vertical="center"/>
    </xf>
    <xf numFmtId="0" fontId="20" fillId="3" borderId="22" xfId="3" applyFont="1" applyFill="1" applyBorder="1" applyAlignment="1">
      <alignment horizontal="center" vertical="center"/>
    </xf>
    <xf numFmtId="0" fontId="20" fillId="3" borderId="23" xfId="3" applyFont="1" applyFill="1" applyBorder="1" applyAlignment="1">
      <alignment horizontal="center" vertical="center"/>
    </xf>
  </cellXfs>
  <cellStyles count="13">
    <cellStyle name="200, 16, 46 - HONDA Red" xfId="4" xr:uid="{FCF768FC-3E89-4A36-AD21-4E32C411A7C4}"/>
    <cellStyle name="Currency" xfId="1" builtinId="4"/>
    <cellStyle name="Normal" xfId="0" builtinId="0"/>
    <cellStyle name="Normal 100" xfId="3" xr:uid="{1C224693-188D-4F2D-813D-6ADEF556D37C}"/>
    <cellStyle name="Normal 11" xfId="2" xr:uid="{6658F311-7BAF-4D87-A55A-58175D25B5BE}"/>
    <cellStyle name="Normal 5 16 6" xfId="6" xr:uid="{D4AAC44E-B82E-43AB-ACF5-405C77CC6CDE}"/>
    <cellStyle name="Normal 5 2 2 2 4 2 2" xfId="10" xr:uid="{D52AB8D9-7803-4C3E-AF54-53A5D8E438FA}"/>
    <cellStyle name="Normal 5 4 9 2 5 10" xfId="11" xr:uid="{5ABDB407-0178-43B1-A8A4-8AA3F357FF78}"/>
    <cellStyle name="Percent 2" xfId="12" xr:uid="{7AF74939-5B73-4665-9975-06E4A5052DCE}"/>
    <cellStyle name="sch-data" xfId="7" xr:uid="{FCF1D65E-84F4-441E-807A-501A8CD5F8C7}"/>
    <cellStyle name="sch-heads" xfId="5" xr:uid="{2D9C4FE6-F83E-4B12-8CE5-5B6BBFA9EFFF}"/>
    <cellStyle name="sch-inputs" xfId="8" xr:uid="{DB652A64-4AE6-4609-8096-C22BB466AD88}"/>
    <cellStyle name="sch-subheads" xfId="9" xr:uid="{C6D6430C-3356-4F8E-A24F-DA855CA1273A}"/>
  </cellStyles>
  <dxfs count="13">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hyperlink" Target="#'25MY_ODYSSEY_APP_FR'!Print_Area"/><Relationship Id="rId2" Type="http://schemas.openxmlformats.org/officeDocument/2006/relationships/hyperlink" Target="#'25MY_ODYSSEY_APP_EN'!Print_Area"/><Relationship Id="rId1" Type="http://schemas.openxmlformats.org/officeDocument/2006/relationships/hyperlink" Target="#'25MY_ODYSSEY_SELL-EN'!Print_Area"/><Relationship Id="rId4" Type="http://schemas.openxmlformats.org/officeDocument/2006/relationships/hyperlink" Target="#'25MY_ODYSSEY_SELL-FR'!Print_Are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4.png"/><Relationship Id="rId2" Type="http://schemas.openxmlformats.org/officeDocument/2006/relationships/image" Target="../media/image5.png"/><Relationship Id="rId1" Type="http://schemas.openxmlformats.org/officeDocument/2006/relationships/image" Target="../media/image2.png"/><Relationship Id="rId6" Type="http://schemas.openxmlformats.org/officeDocument/2006/relationships/image" Target="../media/image9.png"/><Relationship Id="rId11" Type="http://schemas.openxmlformats.org/officeDocument/2006/relationships/image" Target="../media/image3.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6</xdr:col>
      <xdr:colOff>617220</xdr:colOff>
      <xdr:row>3</xdr:row>
      <xdr:rowOff>58103</xdr:rowOff>
    </xdr:from>
    <xdr:to>
      <xdr:col>10</xdr:col>
      <xdr:colOff>193001</xdr:colOff>
      <xdr:row>5</xdr:row>
      <xdr:rowOff>138630</xdr:rowOff>
    </xdr:to>
    <xdr:sp macro="" textlink="">
      <xdr:nvSpPr>
        <xdr:cNvPr id="2" name="Rounded Rectangle 18">
          <a:hlinkClick xmlns:r="http://schemas.openxmlformats.org/officeDocument/2006/relationships" r:id="rId1"/>
          <a:extLst>
            <a:ext uri="{FF2B5EF4-FFF2-40B4-BE49-F238E27FC236}">
              <a16:creationId xmlns:a16="http://schemas.microsoft.com/office/drawing/2014/main" id="{F6897BEF-A4CC-4DBF-89AA-3BAAE80B1601}"/>
            </a:ext>
          </a:extLst>
        </xdr:cNvPr>
        <xdr:cNvSpPr/>
      </xdr:nvSpPr>
      <xdr:spPr>
        <a:xfrm>
          <a:off x="7618095" y="991553"/>
          <a:ext cx="2023706" cy="471052"/>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SELL</a:t>
          </a:r>
          <a:r>
            <a:rPr lang="en-CA" sz="1200" b="1" baseline="0"/>
            <a:t> SHEET</a:t>
          </a:r>
          <a:endParaRPr lang="en-CA" sz="1200" b="1"/>
        </a:p>
      </xdr:txBody>
    </xdr:sp>
    <xdr:clientData/>
  </xdr:twoCellAnchor>
  <xdr:twoCellAnchor>
    <xdr:from>
      <xdr:col>6</xdr:col>
      <xdr:colOff>623410</xdr:colOff>
      <xdr:row>0</xdr:row>
      <xdr:rowOff>432434</xdr:rowOff>
    </xdr:from>
    <xdr:to>
      <xdr:col>10</xdr:col>
      <xdr:colOff>194905</xdr:colOff>
      <xdr:row>2</xdr:row>
      <xdr:rowOff>101958</xdr:rowOff>
    </xdr:to>
    <xdr:sp macro="" textlink="">
      <xdr:nvSpPr>
        <xdr:cNvPr id="3" name="Rounded Rectangle 44">
          <a:hlinkClick xmlns:r="http://schemas.openxmlformats.org/officeDocument/2006/relationships" r:id="rId2"/>
          <a:extLst>
            <a:ext uri="{FF2B5EF4-FFF2-40B4-BE49-F238E27FC236}">
              <a16:creationId xmlns:a16="http://schemas.microsoft.com/office/drawing/2014/main" id="{8B10EE74-F397-4B0E-989F-6882CE59C6E0}"/>
            </a:ext>
          </a:extLst>
        </xdr:cNvPr>
        <xdr:cNvSpPr/>
      </xdr:nvSpPr>
      <xdr:spPr>
        <a:xfrm>
          <a:off x="7624285" y="432434"/>
          <a:ext cx="2019420" cy="431524"/>
        </a:xfrm>
        <a:prstGeom prst="roundRect">
          <a:avLst/>
        </a:prstGeom>
        <a:solidFill>
          <a:srgbClr val="C8102E"/>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a:t>EN - APPLICATION CHART</a:t>
          </a:r>
        </a:p>
      </xdr:txBody>
    </xdr:sp>
    <xdr:clientData/>
  </xdr:twoCellAnchor>
  <xdr:twoCellAnchor>
    <xdr:from>
      <xdr:col>7</xdr:col>
      <xdr:colOff>0</xdr:colOff>
      <xdr:row>11</xdr:row>
      <xdr:rowOff>64769</xdr:rowOff>
    </xdr:from>
    <xdr:to>
      <xdr:col>10</xdr:col>
      <xdr:colOff>191096</xdr:colOff>
      <xdr:row>13</xdr:row>
      <xdr:rowOff>154346</xdr:rowOff>
    </xdr:to>
    <xdr:sp macro="" textlink="">
      <xdr:nvSpPr>
        <xdr:cNvPr id="4" name="Rounded Rectangle 12">
          <a:hlinkClick xmlns:r="http://schemas.openxmlformats.org/officeDocument/2006/relationships" r:id="rId3"/>
          <a:extLst>
            <a:ext uri="{FF2B5EF4-FFF2-40B4-BE49-F238E27FC236}">
              <a16:creationId xmlns:a16="http://schemas.microsoft.com/office/drawing/2014/main" id="{99F5189F-6D2D-42BE-B24E-EBB9C3122097}"/>
            </a:ext>
          </a:extLst>
        </xdr:cNvPr>
        <xdr:cNvSpPr/>
      </xdr:nvSpPr>
      <xdr:spPr>
        <a:xfrm>
          <a:off x="7620000" y="2369819"/>
          <a:ext cx="2019896" cy="422952"/>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CHARTE D'APPLICATION</a:t>
          </a:r>
          <a:endParaRPr lang="en-CA" sz="1200" b="1"/>
        </a:p>
      </xdr:txBody>
    </xdr:sp>
    <xdr:clientData/>
  </xdr:twoCellAnchor>
  <xdr:twoCellAnchor>
    <xdr:from>
      <xdr:col>7</xdr:col>
      <xdr:colOff>0</xdr:colOff>
      <xdr:row>14</xdr:row>
      <xdr:rowOff>87630</xdr:rowOff>
    </xdr:from>
    <xdr:to>
      <xdr:col>10</xdr:col>
      <xdr:colOff>193001</xdr:colOff>
      <xdr:row>17</xdr:row>
      <xdr:rowOff>9566</xdr:rowOff>
    </xdr:to>
    <xdr:sp macro="" textlink="">
      <xdr:nvSpPr>
        <xdr:cNvPr id="5" name="Rounded Rectangle 39">
          <a:hlinkClick xmlns:r="http://schemas.openxmlformats.org/officeDocument/2006/relationships" r:id="rId4"/>
          <a:extLst>
            <a:ext uri="{FF2B5EF4-FFF2-40B4-BE49-F238E27FC236}">
              <a16:creationId xmlns:a16="http://schemas.microsoft.com/office/drawing/2014/main" id="{176908C4-B06D-4B65-9D07-4E7BBA41B3FF}"/>
            </a:ext>
          </a:extLst>
        </xdr:cNvPr>
        <xdr:cNvSpPr/>
      </xdr:nvSpPr>
      <xdr:spPr>
        <a:xfrm>
          <a:off x="7620000" y="2887980"/>
          <a:ext cx="2021801" cy="417236"/>
        </a:xfrm>
        <a:prstGeom prst="roundRect">
          <a:avLst/>
        </a:prstGeom>
        <a:solidFill>
          <a:srgbClr val="032842"/>
        </a:solidFill>
        <a:ln w="19050">
          <a:solidFill>
            <a:schemeClr val="tx1"/>
          </a:solidFill>
        </a:ln>
        <a:effectLst/>
      </xdr:spPr>
      <xdr:style>
        <a:lnRef idx="1">
          <a:schemeClr val="accent2"/>
        </a:lnRef>
        <a:fillRef idx="3">
          <a:schemeClr val="accent2"/>
        </a:fillRef>
        <a:effectRef idx="2">
          <a:schemeClr val="accent2"/>
        </a:effectRef>
        <a:fontRef idx="minor">
          <a:schemeClr val="lt1"/>
        </a:fontRef>
      </xdr:style>
      <xdr:txBody>
        <a:bodyPr vertOverflow="clip" horzOverflow="clip" rtlCol="0" anchor="ctr"/>
        <a:lstStyle/>
        <a:p>
          <a:pPr algn="l"/>
          <a:r>
            <a:rPr lang="en-CA" sz="1200" b="1" baseline="0"/>
            <a:t>FR - FICHE DE VENTE </a:t>
          </a:r>
          <a:endParaRPr lang="en-CA" sz="1200" b="1"/>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3692752</xdr:colOff>
      <xdr:row>8</xdr:row>
      <xdr:rowOff>114574</xdr:rowOff>
    </xdr:to>
    <xdr:pic>
      <xdr:nvPicPr>
        <xdr:cNvPr id="2" name="Picture 1">
          <a:extLst>
            <a:ext uri="{FF2B5EF4-FFF2-40B4-BE49-F238E27FC236}">
              <a16:creationId xmlns:a16="http://schemas.microsoft.com/office/drawing/2014/main" id="{0DFF7D98-F76E-4C89-8FFE-79F082B028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11063" y="708626"/>
          <a:ext cx="2335439" cy="14252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3E799CDA-014A-4504-8656-8BE5B5C884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201" y="13531850"/>
          <a:ext cx="806450" cy="521943"/>
        </a:xfrm>
        <a:prstGeom prst="rect">
          <a:avLst/>
        </a:prstGeom>
      </xdr:spPr>
    </xdr:pic>
    <xdr:clientData/>
  </xdr:twoCellAnchor>
  <xdr:twoCellAnchor editAs="oneCell">
    <xdr:from>
      <xdr:col>1</xdr:col>
      <xdr:colOff>448237</xdr:colOff>
      <xdr:row>2</xdr:row>
      <xdr:rowOff>306294</xdr:rowOff>
    </xdr:from>
    <xdr:to>
      <xdr:col>8</xdr:col>
      <xdr:colOff>485589</xdr:colOff>
      <xdr:row>4</xdr:row>
      <xdr:rowOff>356646</xdr:rowOff>
    </xdr:to>
    <xdr:pic>
      <xdr:nvPicPr>
        <xdr:cNvPr id="3" name="Picture 2">
          <a:extLst>
            <a:ext uri="{FF2B5EF4-FFF2-40B4-BE49-F238E27FC236}">
              <a16:creationId xmlns:a16="http://schemas.microsoft.com/office/drawing/2014/main" id="{50064CAD-0EB0-4703-BD68-9C2C1D330BF8}"/>
            </a:ext>
          </a:extLst>
        </xdr:cNvPr>
        <xdr:cNvPicPr>
          <a:picLocks noChangeAspect="1"/>
        </xdr:cNvPicPr>
      </xdr:nvPicPr>
      <xdr:blipFill>
        <a:blip xmlns:r="http://schemas.openxmlformats.org/officeDocument/2006/relationships" r:embed="rId2"/>
        <a:stretch>
          <a:fillRect/>
        </a:stretch>
      </xdr:blipFill>
      <xdr:spPr>
        <a:xfrm>
          <a:off x="1038787" y="696819"/>
          <a:ext cx="4799852" cy="2526852"/>
        </a:xfrm>
        <a:prstGeom prst="rect">
          <a:avLst/>
        </a:prstGeom>
      </xdr:spPr>
    </xdr:pic>
    <xdr:clientData/>
  </xdr:twoCellAnchor>
  <xdr:twoCellAnchor editAs="oneCell">
    <xdr:from>
      <xdr:col>10</xdr:col>
      <xdr:colOff>44824</xdr:colOff>
      <xdr:row>3</xdr:row>
      <xdr:rowOff>194235</xdr:rowOff>
    </xdr:from>
    <xdr:to>
      <xdr:col>16</xdr:col>
      <xdr:colOff>357208</xdr:colOff>
      <xdr:row>4</xdr:row>
      <xdr:rowOff>347857</xdr:rowOff>
    </xdr:to>
    <xdr:pic>
      <xdr:nvPicPr>
        <xdr:cNvPr id="4" name="Picture 3">
          <a:extLst>
            <a:ext uri="{FF2B5EF4-FFF2-40B4-BE49-F238E27FC236}">
              <a16:creationId xmlns:a16="http://schemas.microsoft.com/office/drawing/2014/main" id="{3FEC8F71-6C63-4296-BCB1-5B52293FDCFA}"/>
            </a:ext>
          </a:extLst>
        </xdr:cNvPr>
        <xdr:cNvPicPr>
          <a:picLocks noChangeAspect="1"/>
        </xdr:cNvPicPr>
      </xdr:nvPicPr>
      <xdr:blipFill>
        <a:blip xmlns:r="http://schemas.openxmlformats.org/officeDocument/2006/relationships" r:embed="rId3"/>
        <a:stretch>
          <a:fillRect/>
        </a:stretch>
      </xdr:blipFill>
      <xdr:spPr>
        <a:xfrm>
          <a:off x="6540874" y="899085"/>
          <a:ext cx="4331934" cy="2315797"/>
        </a:xfrm>
        <a:prstGeom prst="rect">
          <a:avLst/>
        </a:prstGeom>
      </xdr:spPr>
    </xdr:pic>
    <xdr:clientData/>
  </xdr:twoCellAnchor>
  <xdr:twoCellAnchor editAs="oneCell">
    <xdr:from>
      <xdr:col>7</xdr:col>
      <xdr:colOff>22413</xdr:colOff>
      <xdr:row>7</xdr:row>
      <xdr:rowOff>44827</xdr:rowOff>
    </xdr:from>
    <xdr:to>
      <xdr:col>10</xdr:col>
      <xdr:colOff>703542</xdr:colOff>
      <xdr:row>8</xdr:row>
      <xdr:rowOff>46981</xdr:rowOff>
    </xdr:to>
    <xdr:pic>
      <xdr:nvPicPr>
        <xdr:cNvPr id="5" name="Picture 4">
          <a:extLst>
            <a:ext uri="{FF2B5EF4-FFF2-40B4-BE49-F238E27FC236}">
              <a16:creationId xmlns:a16="http://schemas.microsoft.com/office/drawing/2014/main" id="{9D9830E9-4744-4E52-A2A5-663350FB0B66}"/>
            </a:ext>
          </a:extLst>
        </xdr:cNvPr>
        <xdr:cNvPicPr>
          <a:picLocks noChangeAspect="1"/>
        </xdr:cNvPicPr>
      </xdr:nvPicPr>
      <xdr:blipFill rotWithShape="1">
        <a:blip xmlns:r="http://schemas.openxmlformats.org/officeDocument/2006/relationships" r:embed="rId4"/>
        <a:srcRect t="4959"/>
        <a:stretch/>
      </xdr:blipFill>
      <xdr:spPr>
        <a:xfrm>
          <a:off x="4537263" y="3873877"/>
          <a:ext cx="2662329" cy="1907154"/>
        </a:xfrm>
        <a:prstGeom prst="rect">
          <a:avLst/>
        </a:prstGeom>
      </xdr:spPr>
    </xdr:pic>
    <xdr:clientData/>
  </xdr:twoCellAnchor>
  <xdr:twoCellAnchor editAs="oneCell">
    <xdr:from>
      <xdr:col>12</xdr:col>
      <xdr:colOff>14941</xdr:colOff>
      <xdr:row>7</xdr:row>
      <xdr:rowOff>47925</xdr:rowOff>
    </xdr:from>
    <xdr:to>
      <xdr:col>16</xdr:col>
      <xdr:colOff>14941</xdr:colOff>
      <xdr:row>8</xdr:row>
      <xdr:rowOff>52294</xdr:rowOff>
    </xdr:to>
    <xdr:pic>
      <xdr:nvPicPr>
        <xdr:cNvPr id="6" name="Picture 5">
          <a:extLst>
            <a:ext uri="{FF2B5EF4-FFF2-40B4-BE49-F238E27FC236}">
              <a16:creationId xmlns:a16="http://schemas.microsoft.com/office/drawing/2014/main" id="{E78C529F-78E2-4177-9FDA-FB45EE9C9188}"/>
            </a:ext>
          </a:extLst>
        </xdr:cNvPr>
        <xdr:cNvPicPr>
          <a:picLocks noChangeAspect="1"/>
        </xdr:cNvPicPr>
      </xdr:nvPicPr>
      <xdr:blipFill rotWithShape="1">
        <a:blip xmlns:r="http://schemas.openxmlformats.org/officeDocument/2006/relationships" r:embed="rId5"/>
        <a:srcRect t="4580"/>
        <a:stretch/>
      </xdr:blipFill>
      <xdr:spPr>
        <a:xfrm>
          <a:off x="7844491" y="3876975"/>
          <a:ext cx="2686050" cy="1909369"/>
        </a:xfrm>
        <a:prstGeom prst="rect">
          <a:avLst/>
        </a:prstGeom>
      </xdr:spPr>
    </xdr:pic>
    <xdr:clientData/>
  </xdr:twoCellAnchor>
  <xdr:twoCellAnchor editAs="oneCell">
    <xdr:from>
      <xdr:col>2</xdr:col>
      <xdr:colOff>29883</xdr:colOff>
      <xdr:row>12</xdr:row>
      <xdr:rowOff>96377</xdr:rowOff>
    </xdr:from>
    <xdr:to>
      <xdr:col>6</xdr:col>
      <xdr:colOff>7471</xdr:colOff>
      <xdr:row>13</xdr:row>
      <xdr:rowOff>52295</xdr:rowOff>
    </xdr:to>
    <xdr:pic>
      <xdr:nvPicPr>
        <xdr:cNvPr id="7" name="Picture 6">
          <a:extLst>
            <a:ext uri="{FF2B5EF4-FFF2-40B4-BE49-F238E27FC236}">
              <a16:creationId xmlns:a16="http://schemas.microsoft.com/office/drawing/2014/main" id="{CAA32BE5-482C-4B1D-8A18-BE90434CD62B}"/>
            </a:ext>
          </a:extLst>
        </xdr:cNvPr>
        <xdr:cNvPicPr>
          <a:picLocks noChangeAspect="1"/>
        </xdr:cNvPicPr>
      </xdr:nvPicPr>
      <xdr:blipFill rotWithShape="1">
        <a:blip xmlns:r="http://schemas.openxmlformats.org/officeDocument/2006/relationships" r:embed="rId6"/>
        <a:srcRect l="6140" r="2987"/>
        <a:stretch/>
      </xdr:blipFill>
      <xdr:spPr>
        <a:xfrm>
          <a:off x="1230033" y="6573377"/>
          <a:ext cx="2663638" cy="1860918"/>
        </a:xfrm>
        <a:prstGeom prst="rect">
          <a:avLst/>
        </a:prstGeom>
      </xdr:spPr>
    </xdr:pic>
    <xdr:clientData/>
  </xdr:twoCellAnchor>
  <xdr:twoCellAnchor editAs="oneCell">
    <xdr:from>
      <xdr:col>2</xdr:col>
      <xdr:colOff>52294</xdr:colOff>
      <xdr:row>17</xdr:row>
      <xdr:rowOff>141946</xdr:rowOff>
    </xdr:from>
    <xdr:to>
      <xdr:col>6</xdr:col>
      <xdr:colOff>0</xdr:colOff>
      <xdr:row>18</xdr:row>
      <xdr:rowOff>44824</xdr:rowOff>
    </xdr:to>
    <xdr:pic>
      <xdr:nvPicPr>
        <xdr:cNvPr id="8" name="Picture 7">
          <a:extLst>
            <a:ext uri="{FF2B5EF4-FFF2-40B4-BE49-F238E27FC236}">
              <a16:creationId xmlns:a16="http://schemas.microsoft.com/office/drawing/2014/main" id="{0F437163-61D8-46A3-A403-EDE11E449484}"/>
            </a:ext>
          </a:extLst>
        </xdr:cNvPr>
        <xdr:cNvPicPr>
          <a:picLocks noChangeAspect="1"/>
        </xdr:cNvPicPr>
      </xdr:nvPicPr>
      <xdr:blipFill rotWithShape="1">
        <a:blip xmlns:r="http://schemas.openxmlformats.org/officeDocument/2006/relationships" r:embed="rId7"/>
        <a:srcRect b="8932"/>
        <a:stretch/>
      </xdr:blipFill>
      <xdr:spPr>
        <a:xfrm>
          <a:off x="1252444" y="9304996"/>
          <a:ext cx="2633756" cy="1807878"/>
        </a:xfrm>
        <a:prstGeom prst="rect">
          <a:avLst/>
        </a:prstGeom>
      </xdr:spPr>
    </xdr:pic>
    <xdr:clientData/>
  </xdr:twoCellAnchor>
  <xdr:twoCellAnchor editAs="oneCell">
    <xdr:from>
      <xdr:col>7</xdr:col>
      <xdr:colOff>1121</xdr:colOff>
      <xdr:row>17</xdr:row>
      <xdr:rowOff>156892</xdr:rowOff>
    </xdr:from>
    <xdr:to>
      <xdr:col>11</xdr:col>
      <xdr:colOff>7472</xdr:colOff>
      <xdr:row>18</xdr:row>
      <xdr:rowOff>52298</xdr:rowOff>
    </xdr:to>
    <xdr:pic>
      <xdr:nvPicPr>
        <xdr:cNvPr id="9" name="Picture 8">
          <a:extLst>
            <a:ext uri="{FF2B5EF4-FFF2-40B4-BE49-F238E27FC236}">
              <a16:creationId xmlns:a16="http://schemas.microsoft.com/office/drawing/2014/main" id="{152E608F-D53F-4ABB-A0BB-001EB4B87D27}"/>
            </a:ext>
          </a:extLst>
        </xdr:cNvPr>
        <xdr:cNvPicPr>
          <a:picLocks noChangeAspect="1"/>
        </xdr:cNvPicPr>
      </xdr:nvPicPr>
      <xdr:blipFill rotWithShape="1">
        <a:blip xmlns:r="http://schemas.openxmlformats.org/officeDocument/2006/relationships" r:embed="rId8"/>
        <a:srcRect l="2506" r="3250" b="8221"/>
        <a:stretch/>
      </xdr:blipFill>
      <xdr:spPr>
        <a:xfrm>
          <a:off x="4515971" y="9319942"/>
          <a:ext cx="2692401" cy="1800406"/>
        </a:xfrm>
        <a:prstGeom prst="rect">
          <a:avLst/>
        </a:prstGeom>
      </xdr:spPr>
    </xdr:pic>
    <xdr:clientData/>
  </xdr:twoCellAnchor>
  <xdr:twoCellAnchor editAs="oneCell">
    <xdr:from>
      <xdr:col>7</xdr:col>
      <xdr:colOff>7464</xdr:colOff>
      <xdr:row>12</xdr:row>
      <xdr:rowOff>45893</xdr:rowOff>
    </xdr:from>
    <xdr:to>
      <xdr:col>11</xdr:col>
      <xdr:colOff>14941</xdr:colOff>
      <xdr:row>13</xdr:row>
      <xdr:rowOff>48329</xdr:rowOff>
    </xdr:to>
    <xdr:pic>
      <xdr:nvPicPr>
        <xdr:cNvPr id="10" name="Picture 9">
          <a:extLst>
            <a:ext uri="{FF2B5EF4-FFF2-40B4-BE49-F238E27FC236}">
              <a16:creationId xmlns:a16="http://schemas.microsoft.com/office/drawing/2014/main" id="{439DFE48-9777-44C9-98D0-7705DAF1CB46}"/>
            </a:ext>
          </a:extLst>
        </xdr:cNvPr>
        <xdr:cNvPicPr>
          <a:picLocks noChangeAspect="1"/>
        </xdr:cNvPicPr>
      </xdr:nvPicPr>
      <xdr:blipFill rotWithShape="1">
        <a:blip xmlns:r="http://schemas.openxmlformats.org/officeDocument/2006/relationships" r:embed="rId9"/>
        <a:srcRect l="3218" r="10115"/>
        <a:stretch/>
      </xdr:blipFill>
      <xdr:spPr>
        <a:xfrm>
          <a:off x="4522314" y="6522893"/>
          <a:ext cx="2693527" cy="1907436"/>
        </a:xfrm>
        <a:prstGeom prst="rect">
          <a:avLst/>
        </a:prstGeom>
      </xdr:spPr>
    </xdr:pic>
    <xdr:clientData/>
  </xdr:twoCellAnchor>
  <xdr:twoCellAnchor editAs="oneCell">
    <xdr:from>
      <xdr:col>2</xdr:col>
      <xdr:colOff>14942</xdr:colOff>
      <xdr:row>7</xdr:row>
      <xdr:rowOff>45299</xdr:rowOff>
    </xdr:from>
    <xdr:to>
      <xdr:col>6</xdr:col>
      <xdr:colOff>1</xdr:colOff>
      <xdr:row>8</xdr:row>
      <xdr:rowOff>44822</xdr:rowOff>
    </xdr:to>
    <xdr:pic>
      <xdr:nvPicPr>
        <xdr:cNvPr id="11" name="Picture 10">
          <a:extLst>
            <a:ext uri="{FF2B5EF4-FFF2-40B4-BE49-F238E27FC236}">
              <a16:creationId xmlns:a16="http://schemas.microsoft.com/office/drawing/2014/main" id="{C2251183-2C76-4E74-881F-CB248A2750CB}"/>
            </a:ext>
          </a:extLst>
        </xdr:cNvPr>
        <xdr:cNvPicPr>
          <a:picLocks noChangeAspect="1"/>
        </xdr:cNvPicPr>
      </xdr:nvPicPr>
      <xdr:blipFill rotWithShape="1">
        <a:blip xmlns:r="http://schemas.openxmlformats.org/officeDocument/2006/relationships" r:embed="rId10"/>
        <a:srcRect l="3543" r="8118"/>
        <a:stretch/>
      </xdr:blipFill>
      <xdr:spPr>
        <a:xfrm>
          <a:off x="1215092" y="3874349"/>
          <a:ext cx="2671109" cy="1904523"/>
        </a:xfrm>
        <a:prstGeom prst="rect">
          <a:avLst/>
        </a:prstGeom>
      </xdr:spPr>
    </xdr:pic>
    <xdr:clientData/>
  </xdr:twoCellAnchor>
  <xdr:twoCellAnchor editAs="oneCell">
    <xdr:from>
      <xdr:col>12</xdr:col>
      <xdr:colOff>44823</xdr:colOff>
      <xdr:row>17</xdr:row>
      <xdr:rowOff>241582</xdr:rowOff>
    </xdr:from>
    <xdr:to>
      <xdr:col>16</xdr:col>
      <xdr:colOff>29882</xdr:colOff>
      <xdr:row>18</xdr:row>
      <xdr:rowOff>44922</xdr:rowOff>
    </xdr:to>
    <xdr:pic>
      <xdr:nvPicPr>
        <xdr:cNvPr id="12" name="Picture 11">
          <a:extLst>
            <a:ext uri="{FF2B5EF4-FFF2-40B4-BE49-F238E27FC236}">
              <a16:creationId xmlns:a16="http://schemas.microsoft.com/office/drawing/2014/main" id="{62E0EC20-FBBD-4F02-9995-9819642870F2}"/>
            </a:ext>
          </a:extLst>
        </xdr:cNvPr>
        <xdr:cNvPicPr>
          <a:picLocks noChangeAspect="1"/>
        </xdr:cNvPicPr>
      </xdr:nvPicPr>
      <xdr:blipFill rotWithShape="1">
        <a:blip xmlns:r="http://schemas.openxmlformats.org/officeDocument/2006/relationships" r:embed="rId11"/>
        <a:srcRect l="6031"/>
        <a:stretch/>
      </xdr:blipFill>
      <xdr:spPr>
        <a:xfrm>
          <a:off x="7874373" y="9404632"/>
          <a:ext cx="2671109" cy="1708340"/>
        </a:xfrm>
        <a:prstGeom prst="rect">
          <a:avLst/>
        </a:prstGeom>
      </xdr:spPr>
    </xdr:pic>
    <xdr:clientData/>
  </xdr:twoCellAnchor>
  <xdr:twoCellAnchor editAs="oneCell">
    <xdr:from>
      <xdr:col>12</xdr:col>
      <xdr:colOff>37353</xdr:colOff>
      <xdr:row>12</xdr:row>
      <xdr:rowOff>52294</xdr:rowOff>
    </xdr:from>
    <xdr:to>
      <xdr:col>16</xdr:col>
      <xdr:colOff>748</xdr:colOff>
      <xdr:row>13</xdr:row>
      <xdr:rowOff>37353</xdr:rowOff>
    </xdr:to>
    <xdr:pic>
      <xdr:nvPicPr>
        <xdr:cNvPr id="13" name="Picture 12">
          <a:extLst>
            <a:ext uri="{FF2B5EF4-FFF2-40B4-BE49-F238E27FC236}">
              <a16:creationId xmlns:a16="http://schemas.microsoft.com/office/drawing/2014/main" id="{D4B3972C-633D-4FA7-BA41-B9CEA4E4A21E}"/>
            </a:ext>
          </a:extLst>
        </xdr:cNvPr>
        <xdr:cNvPicPr>
          <a:picLocks noChangeAspect="1"/>
        </xdr:cNvPicPr>
      </xdr:nvPicPr>
      <xdr:blipFill rotWithShape="1">
        <a:blip xmlns:r="http://schemas.openxmlformats.org/officeDocument/2006/relationships" r:embed="rId12"/>
        <a:srcRect l="1571" t="5575" r="1832" b="6256"/>
        <a:stretch/>
      </xdr:blipFill>
      <xdr:spPr>
        <a:xfrm>
          <a:off x="7866903" y="6529294"/>
          <a:ext cx="2649445" cy="189005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1357313</xdr:colOff>
      <xdr:row>2</xdr:row>
      <xdr:rowOff>99026</xdr:rowOff>
    </xdr:from>
    <xdr:to>
      <xdr:col>16</xdr:col>
      <xdr:colOff>3692752</xdr:colOff>
      <xdr:row>8</xdr:row>
      <xdr:rowOff>114574</xdr:rowOff>
    </xdr:to>
    <xdr:pic>
      <xdr:nvPicPr>
        <xdr:cNvPr id="2" name="Picture 1">
          <a:extLst>
            <a:ext uri="{FF2B5EF4-FFF2-40B4-BE49-F238E27FC236}">
              <a16:creationId xmlns:a16="http://schemas.microsoft.com/office/drawing/2014/main" id="{FF7CFE45-4333-4787-85AF-9E796C7384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9763" y="708626"/>
          <a:ext cx="2335439" cy="14252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298451</xdr:colOff>
      <xdr:row>27</xdr:row>
      <xdr:rowOff>82550</xdr:rowOff>
    </xdr:from>
    <xdr:to>
      <xdr:col>16</xdr:col>
      <xdr:colOff>400051</xdr:colOff>
      <xdr:row>29</xdr:row>
      <xdr:rowOff>118718</xdr:rowOff>
    </xdr:to>
    <xdr:pic>
      <xdr:nvPicPr>
        <xdr:cNvPr id="2" name="Picture 1">
          <a:extLst>
            <a:ext uri="{FF2B5EF4-FFF2-40B4-BE49-F238E27FC236}">
              <a16:creationId xmlns:a16="http://schemas.microsoft.com/office/drawing/2014/main" id="{02E7C0B6-6669-47D2-AF64-9B4C028A4E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09201" y="13541375"/>
          <a:ext cx="806450" cy="521943"/>
        </a:xfrm>
        <a:prstGeom prst="rect">
          <a:avLst/>
        </a:prstGeom>
      </xdr:spPr>
    </xdr:pic>
    <xdr:clientData/>
  </xdr:twoCellAnchor>
  <xdr:twoCellAnchor editAs="oneCell">
    <xdr:from>
      <xdr:col>7</xdr:col>
      <xdr:colOff>7471</xdr:colOff>
      <xdr:row>7</xdr:row>
      <xdr:rowOff>0</xdr:rowOff>
    </xdr:from>
    <xdr:to>
      <xdr:col>11</xdr:col>
      <xdr:colOff>2800</xdr:colOff>
      <xdr:row>8</xdr:row>
      <xdr:rowOff>2154</xdr:rowOff>
    </xdr:to>
    <xdr:pic>
      <xdr:nvPicPr>
        <xdr:cNvPr id="3" name="Picture 2">
          <a:extLst>
            <a:ext uri="{FF2B5EF4-FFF2-40B4-BE49-F238E27FC236}">
              <a16:creationId xmlns:a16="http://schemas.microsoft.com/office/drawing/2014/main" id="{83DF516F-5055-42F3-AD36-DD7A5F26FCA8}"/>
            </a:ext>
          </a:extLst>
        </xdr:cNvPr>
        <xdr:cNvPicPr>
          <a:picLocks noChangeAspect="1"/>
        </xdr:cNvPicPr>
      </xdr:nvPicPr>
      <xdr:blipFill rotWithShape="1">
        <a:blip xmlns:r="http://schemas.openxmlformats.org/officeDocument/2006/relationships" r:embed="rId2"/>
        <a:srcRect t="4959"/>
        <a:stretch/>
      </xdr:blipFill>
      <xdr:spPr>
        <a:xfrm>
          <a:off x="4522321" y="3514725"/>
          <a:ext cx="2681379" cy="1907154"/>
        </a:xfrm>
        <a:prstGeom prst="rect">
          <a:avLst/>
        </a:prstGeom>
      </xdr:spPr>
    </xdr:pic>
    <xdr:clientData/>
  </xdr:twoCellAnchor>
  <xdr:twoCellAnchor editAs="oneCell">
    <xdr:from>
      <xdr:col>11</xdr:col>
      <xdr:colOff>657411</xdr:colOff>
      <xdr:row>7</xdr:row>
      <xdr:rowOff>3098</xdr:rowOff>
    </xdr:from>
    <xdr:to>
      <xdr:col>15</xdr:col>
      <xdr:colOff>704662</xdr:colOff>
      <xdr:row>8</xdr:row>
      <xdr:rowOff>7467</xdr:rowOff>
    </xdr:to>
    <xdr:pic>
      <xdr:nvPicPr>
        <xdr:cNvPr id="4" name="Picture 3">
          <a:extLst>
            <a:ext uri="{FF2B5EF4-FFF2-40B4-BE49-F238E27FC236}">
              <a16:creationId xmlns:a16="http://schemas.microsoft.com/office/drawing/2014/main" id="{AC5C416B-63B6-4E2F-BA1F-407E62C02153}"/>
            </a:ext>
          </a:extLst>
        </xdr:cNvPr>
        <xdr:cNvPicPr>
          <a:picLocks noChangeAspect="1"/>
        </xdr:cNvPicPr>
      </xdr:nvPicPr>
      <xdr:blipFill rotWithShape="1">
        <a:blip xmlns:r="http://schemas.openxmlformats.org/officeDocument/2006/relationships" r:embed="rId3"/>
        <a:srcRect t="4580"/>
        <a:stretch/>
      </xdr:blipFill>
      <xdr:spPr>
        <a:xfrm>
          <a:off x="7829736" y="3517823"/>
          <a:ext cx="2685676" cy="1909369"/>
        </a:xfrm>
        <a:prstGeom prst="rect">
          <a:avLst/>
        </a:prstGeom>
      </xdr:spPr>
    </xdr:pic>
    <xdr:clientData/>
  </xdr:twoCellAnchor>
  <xdr:twoCellAnchor editAs="oneCell">
    <xdr:from>
      <xdr:col>2</xdr:col>
      <xdr:colOff>14941</xdr:colOff>
      <xdr:row>12</xdr:row>
      <xdr:rowOff>51551</xdr:rowOff>
    </xdr:from>
    <xdr:to>
      <xdr:col>5</xdr:col>
      <xdr:colOff>703542</xdr:colOff>
      <xdr:row>13</xdr:row>
      <xdr:rowOff>7469</xdr:rowOff>
    </xdr:to>
    <xdr:pic>
      <xdr:nvPicPr>
        <xdr:cNvPr id="5" name="Picture 4">
          <a:extLst>
            <a:ext uri="{FF2B5EF4-FFF2-40B4-BE49-F238E27FC236}">
              <a16:creationId xmlns:a16="http://schemas.microsoft.com/office/drawing/2014/main" id="{7BDAE5CD-0EA4-4457-8F18-9A013A5990F9}"/>
            </a:ext>
          </a:extLst>
        </xdr:cNvPr>
        <xdr:cNvPicPr>
          <a:picLocks noChangeAspect="1"/>
        </xdr:cNvPicPr>
      </xdr:nvPicPr>
      <xdr:blipFill rotWithShape="1">
        <a:blip xmlns:r="http://schemas.openxmlformats.org/officeDocument/2006/relationships" r:embed="rId4"/>
        <a:srcRect l="6140" r="2987"/>
        <a:stretch/>
      </xdr:blipFill>
      <xdr:spPr>
        <a:xfrm>
          <a:off x="1215091" y="6214226"/>
          <a:ext cx="2669801" cy="1860918"/>
        </a:xfrm>
        <a:prstGeom prst="rect">
          <a:avLst/>
        </a:prstGeom>
      </xdr:spPr>
    </xdr:pic>
    <xdr:clientData/>
  </xdr:twoCellAnchor>
  <xdr:twoCellAnchor editAs="oneCell">
    <xdr:from>
      <xdr:col>2</xdr:col>
      <xdr:colOff>37352</xdr:colOff>
      <xdr:row>17</xdr:row>
      <xdr:rowOff>97119</xdr:rowOff>
    </xdr:from>
    <xdr:to>
      <xdr:col>6</xdr:col>
      <xdr:colOff>746</xdr:colOff>
      <xdr:row>17</xdr:row>
      <xdr:rowOff>1904997</xdr:rowOff>
    </xdr:to>
    <xdr:pic>
      <xdr:nvPicPr>
        <xdr:cNvPr id="6" name="Picture 5">
          <a:extLst>
            <a:ext uri="{FF2B5EF4-FFF2-40B4-BE49-F238E27FC236}">
              <a16:creationId xmlns:a16="http://schemas.microsoft.com/office/drawing/2014/main" id="{0AF2BF51-408E-45FF-B494-9B19F05643CF}"/>
            </a:ext>
          </a:extLst>
        </xdr:cNvPr>
        <xdr:cNvPicPr>
          <a:picLocks noChangeAspect="1"/>
        </xdr:cNvPicPr>
      </xdr:nvPicPr>
      <xdr:blipFill rotWithShape="1">
        <a:blip xmlns:r="http://schemas.openxmlformats.org/officeDocument/2006/relationships" r:embed="rId5"/>
        <a:srcRect b="8932"/>
        <a:stretch/>
      </xdr:blipFill>
      <xdr:spPr>
        <a:xfrm>
          <a:off x="1237502" y="8945844"/>
          <a:ext cx="2649444" cy="1807878"/>
        </a:xfrm>
        <a:prstGeom prst="rect">
          <a:avLst/>
        </a:prstGeom>
      </xdr:spPr>
    </xdr:pic>
    <xdr:clientData/>
  </xdr:twoCellAnchor>
  <xdr:twoCellAnchor editAs="oneCell">
    <xdr:from>
      <xdr:col>6</xdr:col>
      <xdr:colOff>643591</xdr:colOff>
      <xdr:row>17</xdr:row>
      <xdr:rowOff>112065</xdr:rowOff>
    </xdr:from>
    <xdr:to>
      <xdr:col>10</xdr:col>
      <xdr:colOff>703543</xdr:colOff>
      <xdr:row>18</xdr:row>
      <xdr:rowOff>7471</xdr:rowOff>
    </xdr:to>
    <xdr:pic>
      <xdr:nvPicPr>
        <xdr:cNvPr id="7" name="Picture 6">
          <a:extLst>
            <a:ext uri="{FF2B5EF4-FFF2-40B4-BE49-F238E27FC236}">
              <a16:creationId xmlns:a16="http://schemas.microsoft.com/office/drawing/2014/main" id="{77A8F110-6FC8-445F-AD5B-15BD8F18C963}"/>
            </a:ext>
          </a:extLst>
        </xdr:cNvPr>
        <xdr:cNvPicPr>
          <a:picLocks noChangeAspect="1"/>
        </xdr:cNvPicPr>
      </xdr:nvPicPr>
      <xdr:blipFill rotWithShape="1">
        <a:blip xmlns:r="http://schemas.openxmlformats.org/officeDocument/2006/relationships" r:embed="rId6"/>
        <a:srcRect l="2506" r="3250" b="8221"/>
        <a:stretch/>
      </xdr:blipFill>
      <xdr:spPr>
        <a:xfrm>
          <a:off x="4510741" y="8960790"/>
          <a:ext cx="2688852" cy="1800406"/>
        </a:xfrm>
        <a:prstGeom prst="rect">
          <a:avLst/>
        </a:prstGeom>
      </xdr:spPr>
    </xdr:pic>
    <xdr:clientData/>
  </xdr:twoCellAnchor>
  <xdr:twoCellAnchor editAs="oneCell">
    <xdr:from>
      <xdr:col>6</xdr:col>
      <xdr:colOff>649934</xdr:colOff>
      <xdr:row>12</xdr:row>
      <xdr:rowOff>1067</xdr:rowOff>
    </xdr:from>
    <xdr:to>
      <xdr:col>10</xdr:col>
      <xdr:colOff>701487</xdr:colOff>
      <xdr:row>13</xdr:row>
      <xdr:rowOff>3503</xdr:rowOff>
    </xdr:to>
    <xdr:pic>
      <xdr:nvPicPr>
        <xdr:cNvPr id="8" name="Picture 7">
          <a:extLst>
            <a:ext uri="{FF2B5EF4-FFF2-40B4-BE49-F238E27FC236}">
              <a16:creationId xmlns:a16="http://schemas.microsoft.com/office/drawing/2014/main" id="{988BF06D-D036-4C94-8E4D-3C28DB706322}"/>
            </a:ext>
          </a:extLst>
        </xdr:cNvPr>
        <xdr:cNvPicPr>
          <a:picLocks noChangeAspect="1"/>
        </xdr:cNvPicPr>
      </xdr:nvPicPr>
      <xdr:blipFill rotWithShape="1">
        <a:blip xmlns:r="http://schemas.openxmlformats.org/officeDocument/2006/relationships" r:embed="rId7"/>
        <a:srcRect l="3218" r="10115"/>
        <a:stretch/>
      </xdr:blipFill>
      <xdr:spPr>
        <a:xfrm>
          <a:off x="4517084" y="6163742"/>
          <a:ext cx="2680453" cy="1907436"/>
        </a:xfrm>
        <a:prstGeom prst="rect">
          <a:avLst/>
        </a:prstGeom>
      </xdr:spPr>
    </xdr:pic>
    <xdr:clientData/>
  </xdr:twoCellAnchor>
  <xdr:twoCellAnchor editAs="oneCell">
    <xdr:from>
      <xdr:col>2</xdr:col>
      <xdr:colOff>0</xdr:colOff>
      <xdr:row>7</xdr:row>
      <xdr:rowOff>472</xdr:rowOff>
    </xdr:from>
    <xdr:to>
      <xdr:col>6</xdr:col>
      <xdr:colOff>747</xdr:colOff>
      <xdr:row>7</xdr:row>
      <xdr:rowOff>1904995</xdr:rowOff>
    </xdr:to>
    <xdr:pic>
      <xdr:nvPicPr>
        <xdr:cNvPr id="9" name="Picture 8">
          <a:extLst>
            <a:ext uri="{FF2B5EF4-FFF2-40B4-BE49-F238E27FC236}">
              <a16:creationId xmlns:a16="http://schemas.microsoft.com/office/drawing/2014/main" id="{4AA905A5-5495-426E-A41E-24EC6598BA7B}"/>
            </a:ext>
          </a:extLst>
        </xdr:cNvPr>
        <xdr:cNvPicPr>
          <a:picLocks noChangeAspect="1"/>
        </xdr:cNvPicPr>
      </xdr:nvPicPr>
      <xdr:blipFill rotWithShape="1">
        <a:blip xmlns:r="http://schemas.openxmlformats.org/officeDocument/2006/relationships" r:embed="rId8"/>
        <a:srcRect l="3543" r="8118"/>
        <a:stretch/>
      </xdr:blipFill>
      <xdr:spPr>
        <a:xfrm>
          <a:off x="1200150" y="3515197"/>
          <a:ext cx="2686797" cy="1904523"/>
        </a:xfrm>
        <a:prstGeom prst="rect">
          <a:avLst/>
        </a:prstGeom>
      </xdr:spPr>
    </xdr:pic>
    <xdr:clientData/>
  </xdr:twoCellAnchor>
  <xdr:twoCellAnchor editAs="oneCell">
    <xdr:from>
      <xdr:col>12</xdr:col>
      <xdr:colOff>29881</xdr:colOff>
      <xdr:row>17</xdr:row>
      <xdr:rowOff>196755</xdr:rowOff>
    </xdr:from>
    <xdr:to>
      <xdr:col>16</xdr:col>
      <xdr:colOff>14940</xdr:colOff>
      <xdr:row>18</xdr:row>
      <xdr:rowOff>95</xdr:rowOff>
    </xdr:to>
    <xdr:pic>
      <xdr:nvPicPr>
        <xdr:cNvPr id="10" name="Picture 9">
          <a:extLst>
            <a:ext uri="{FF2B5EF4-FFF2-40B4-BE49-F238E27FC236}">
              <a16:creationId xmlns:a16="http://schemas.microsoft.com/office/drawing/2014/main" id="{D4426D89-0A76-4733-8EFF-21B7F153DA6B}"/>
            </a:ext>
          </a:extLst>
        </xdr:cNvPr>
        <xdr:cNvPicPr>
          <a:picLocks noChangeAspect="1"/>
        </xdr:cNvPicPr>
      </xdr:nvPicPr>
      <xdr:blipFill rotWithShape="1">
        <a:blip xmlns:r="http://schemas.openxmlformats.org/officeDocument/2006/relationships" r:embed="rId9"/>
        <a:srcRect l="6031"/>
        <a:stretch/>
      </xdr:blipFill>
      <xdr:spPr>
        <a:xfrm>
          <a:off x="7859431" y="9045480"/>
          <a:ext cx="2671109" cy="1708340"/>
        </a:xfrm>
        <a:prstGeom prst="rect">
          <a:avLst/>
        </a:prstGeom>
      </xdr:spPr>
    </xdr:pic>
    <xdr:clientData/>
  </xdr:twoCellAnchor>
  <xdr:twoCellAnchor editAs="oneCell">
    <xdr:from>
      <xdr:col>12</xdr:col>
      <xdr:colOff>22411</xdr:colOff>
      <xdr:row>12</xdr:row>
      <xdr:rowOff>7468</xdr:rowOff>
    </xdr:from>
    <xdr:to>
      <xdr:col>15</xdr:col>
      <xdr:colOff>700181</xdr:colOff>
      <xdr:row>12</xdr:row>
      <xdr:rowOff>1897527</xdr:rowOff>
    </xdr:to>
    <xdr:pic>
      <xdr:nvPicPr>
        <xdr:cNvPr id="11" name="Picture 10">
          <a:extLst>
            <a:ext uri="{FF2B5EF4-FFF2-40B4-BE49-F238E27FC236}">
              <a16:creationId xmlns:a16="http://schemas.microsoft.com/office/drawing/2014/main" id="{05DFC8AF-3E49-4403-A6A4-1F7684983CEB}"/>
            </a:ext>
          </a:extLst>
        </xdr:cNvPr>
        <xdr:cNvPicPr>
          <a:picLocks noChangeAspect="1"/>
        </xdr:cNvPicPr>
      </xdr:nvPicPr>
      <xdr:blipFill rotWithShape="1">
        <a:blip xmlns:r="http://schemas.openxmlformats.org/officeDocument/2006/relationships" r:embed="rId10"/>
        <a:srcRect l="1571" t="5575" r="1832" b="6256"/>
        <a:stretch/>
      </xdr:blipFill>
      <xdr:spPr>
        <a:xfrm>
          <a:off x="7851961" y="6170143"/>
          <a:ext cx="2658970" cy="1890059"/>
        </a:xfrm>
        <a:prstGeom prst="rect">
          <a:avLst/>
        </a:prstGeom>
      </xdr:spPr>
    </xdr:pic>
    <xdr:clientData/>
  </xdr:twoCellAnchor>
  <xdr:twoCellAnchor editAs="oneCell">
    <xdr:from>
      <xdr:col>1</xdr:col>
      <xdr:colOff>586177</xdr:colOff>
      <xdr:row>3</xdr:row>
      <xdr:rowOff>37353</xdr:rowOff>
    </xdr:from>
    <xdr:to>
      <xdr:col>8</xdr:col>
      <xdr:colOff>209176</xdr:colOff>
      <xdr:row>4</xdr:row>
      <xdr:rowOff>379057</xdr:rowOff>
    </xdr:to>
    <xdr:pic>
      <xdr:nvPicPr>
        <xdr:cNvPr id="12" name="Picture 11">
          <a:extLst>
            <a:ext uri="{FF2B5EF4-FFF2-40B4-BE49-F238E27FC236}">
              <a16:creationId xmlns:a16="http://schemas.microsoft.com/office/drawing/2014/main" id="{B001F790-B96C-4D90-8605-4CAAAF810D3C}"/>
            </a:ext>
          </a:extLst>
        </xdr:cNvPr>
        <xdr:cNvPicPr>
          <a:picLocks noChangeAspect="1"/>
        </xdr:cNvPicPr>
      </xdr:nvPicPr>
      <xdr:blipFill>
        <a:blip xmlns:r="http://schemas.openxmlformats.org/officeDocument/2006/relationships" r:embed="rId11"/>
        <a:stretch>
          <a:fillRect/>
        </a:stretch>
      </xdr:blipFill>
      <xdr:spPr>
        <a:xfrm>
          <a:off x="1176727" y="608853"/>
          <a:ext cx="4385499" cy="2322904"/>
        </a:xfrm>
        <a:prstGeom prst="rect">
          <a:avLst/>
        </a:prstGeom>
      </xdr:spPr>
    </xdr:pic>
    <xdr:clientData/>
  </xdr:twoCellAnchor>
  <xdr:twoCellAnchor editAs="oneCell">
    <xdr:from>
      <xdr:col>9</xdr:col>
      <xdr:colOff>560294</xdr:colOff>
      <xdr:row>3</xdr:row>
      <xdr:rowOff>116943</xdr:rowOff>
    </xdr:from>
    <xdr:to>
      <xdr:col>16</xdr:col>
      <xdr:colOff>177913</xdr:colOff>
      <xdr:row>4</xdr:row>
      <xdr:rowOff>400151</xdr:rowOff>
    </xdr:to>
    <xdr:pic>
      <xdr:nvPicPr>
        <xdr:cNvPr id="13" name="Picture 12">
          <a:extLst>
            <a:ext uri="{FF2B5EF4-FFF2-40B4-BE49-F238E27FC236}">
              <a16:creationId xmlns:a16="http://schemas.microsoft.com/office/drawing/2014/main" id="{567C61D4-7D89-4C9E-A3CF-77E973C32940}"/>
            </a:ext>
          </a:extLst>
        </xdr:cNvPr>
        <xdr:cNvPicPr>
          <a:picLocks noChangeAspect="1"/>
        </xdr:cNvPicPr>
      </xdr:nvPicPr>
      <xdr:blipFill>
        <a:blip xmlns:r="http://schemas.openxmlformats.org/officeDocument/2006/relationships" r:embed="rId12"/>
        <a:stretch>
          <a:fillRect/>
        </a:stretch>
      </xdr:blipFill>
      <xdr:spPr>
        <a:xfrm>
          <a:off x="6484844" y="688443"/>
          <a:ext cx="4208669" cy="22644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HCDSSRV1\sh$all\Parts%20Marketing\ACCESSORY%20INFO\26MY%20ACCY%20LISTING\Honda\Odyssey\26MY_ODYSSEY_APP_SELL%20Sep%202.xlsm" TargetMode="External"/><Relationship Id="rId1" Type="http://schemas.openxmlformats.org/officeDocument/2006/relationships/externalLinkPath" Target="file:///\\CHCDSSRV1\sh$all\Parts%20Marketing\ACCESSORY%20INFO\26MY%20ACCY%20LISTING\Honda\Odyssey\26MY_ODYSSEY_APP_SELL%20Sep%20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hcdssrv1\sh$all\personal\vanessa_chan_ch_honda_com\Documents\Documents\1_Vanessa%20Main\3_MODELS\24MY%20Passport\EVL_EXPORT_3CP_E2_2023.08.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ell Sheet Formula"/>
      <sheetName val="Hierarchy"/>
      <sheetName val="26MY_ODYSSEY_DATA"/>
      <sheetName val="SELECT PROVINCE"/>
      <sheetName val="26MY_ODYSSEY_APP_EN"/>
      <sheetName val="25MY_ODYSSEY_SELL-EN"/>
      <sheetName val="26MY_ODYSSEY_APP_FR"/>
      <sheetName val="25MY_ODYSSEY_SELL-FR"/>
    </sheetNames>
    <sheetDataSet>
      <sheetData sheetId="0" refreshError="1"/>
      <sheetData sheetId="1" refreshError="1"/>
      <sheetData sheetId="2">
        <row r="1">
          <cell r="B1" t="str">
            <v>Model Name</v>
          </cell>
          <cell r="C1" t="str">
            <v>Odyssey</v>
          </cell>
          <cell r="M1" t="str">
            <v>=</v>
          </cell>
          <cell r="O1" t="str">
            <v>N/A</v>
          </cell>
          <cell r="P1" t="str">
            <v>S</v>
          </cell>
          <cell r="Q1" t="str">
            <v>E</v>
          </cell>
          <cell r="R1" t="str">
            <v>E</v>
          </cell>
          <cell r="S1" t="str">
            <v>E</v>
          </cell>
          <cell r="T1" t="str">
            <v>E</v>
          </cell>
          <cell r="X1" t="str">
            <v>Yes</v>
          </cell>
        </row>
        <row r="2">
          <cell r="B2" t="str">
            <v>Model Year</v>
          </cell>
          <cell r="C2">
            <v>2026</v>
          </cell>
          <cell r="X2" t="str">
            <v>No</v>
          </cell>
        </row>
        <row r="3">
          <cell r="B3" t="str">
            <v>Publication Date</v>
          </cell>
          <cell r="C3">
            <v>45902</v>
          </cell>
        </row>
        <row r="4">
          <cell r="M4" t="str">
            <v>* if it's "N/A" or "S" do not show on trim</v>
          </cell>
        </row>
        <row r="5">
          <cell r="B5" t="str">
            <v xml:space="preserve">PARTS </v>
          </cell>
          <cell r="C5" t="str">
            <v xml:space="preserve">HAC </v>
          </cell>
          <cell r="L5" t="str">
            <v>YT</v>
          </cell>
          <cell r="M5" t="str">
            <v>Trim Application*</v>
          </cell>
          <cell r="X5" t="str">
            <v>Images</v>
          </cell>
          <cell r="AG5" t="str">
            <v>Wheels</v>
          </cell>
          <cell r="AH5" t="str">
            <v>Charging</v>
          </cell>
          <cell r="AI5" t="str">
            <v>Featured</v>
          </cell>
          <cell r="AJ5" t="str">
            <v>Accessories</v>
          </cell>
        </row>
        <row r="6">
          <cell r="B6" t="str">
            <v>Part Number / 
Kit Part Number</v>
          </cell>
          <cell r="C6" t="str">
            <v>Part Number</v>
          </cell>
          <cell r="D6" t="str">
            <v>Item Name English</v>
          </cell>
          <cell r="E6" t="str">
            <v>Item Name French</v>
          </cell>
          <cell r="F6" t="str">
            <v xml:space="preserve">Description English </v>
          </cell>
          <cell r="G6" t="str">
            <v>Description French</v>
          </cell>
          <cell r="H6" t="str">
            <v>FRT</v>
          </cell>
          <cell r="I6" t="str">
            <v>Residual-ized $</v>
          </cell>
          <cell r="J6" t="str">
            <v>Dealer Net</v>
          </cell>
          <cell r="K6" t="str">
            <v xml:space="preserve">List Price </v>
          </cell>
          <cell r="L6" t="str">
            <v xml:space="preserve">Install Price </v>
          </cell>
          <cell r="N6" t="str">
            <v>Sport</v>
          </cell>
          <cell r="O6" t="str">
            <v>Sport-L</v>
          </cell>
          <cell r="P6" t="str">
            <v>Touring</v>
          </cell>
          <cell r="Q6" t="str">
            <v>Black Edition</v>
          </cell>
          <cell r="U6" t="str">
            <v>Comments English</v>
          </cell>
          <cell r="V6" t="str">
            <v>Comments French</v>
          </cell>
          <cell r="W6" t="str">
            <v>Display Order</v>
          </cell>
          <cell r="X6" t="str">
            <v>SiteCore</v>
          </cell>
          <cell r="Y6" t="str">
            <v>Overlay 1</v>
          </cell>
          <cell r="Z6" t="str">
            <v>Overlay 2</v>
          </cell>
          <cell r="AA6" t="str">
            <v>Overlay 3</v>
          </cell>
          <cell r="AB6" t="str">
            <v>Overlay 4</v>
          </cell>
          <cell r="AC6" t="str">
            <v>Overlay 5</v>
          </cell>
          <cell r="AD6" t="str">
            <v>Overlay 6</v>
          </cell>
          <cell r="AE6" t="str">
            <v>Overlay 7</v>
          </cell>
          <cell r="AF6" t="str">
            <v>Overlay 8</v>
          </cell>
          <cell r="AJ6" t="str">
            <v>Safety &amp; Exterior Protection</v>
          </cell>
          <cell r="AK6" t="str">
            <v>Winter Season</v>
          </cell>
          <cell r="AL6" t="str">
            <v>Exterior &amp; Interior Utility</v>
          </cell>
          <cell r="AM6" t="str">
            <v>Interior Styling</v>
          </cell>
          <cell r="AN6" t="str">
            <v xml:space="preserve">Exterior Styling </v>
          </cell>
          <cell r="AO6" t="str">
            <v>Misc-ellaneous</v>
          </cell>
          <cell r="AQ6" t="str">
            <v>Dependancies</v>
          </cell>
          <cell r="AR6" t="str">
            <v>Exclusions</v>
          </cell>
        </row>
        <row r="7">
          <cell r="B7" t="str">
            <v>25ODY-PRO-PKG1</v>
          </cell>
          <cell r="C7" t="str">
            <v>25ODY-PRO-PKG1</v>
          </cell>
          <cell r="D7" t="str">
            <v>Protection Package 1</v>
          </cell>
          <cell r="E7" t="str">
            <v xml:space="preserve">Ensemble de protection 1 </v>
          </cell>
          <cell r="F7" t="str">
            <v>Includes All-Season Floor Mats, Cargo Tray - Deep, and Rear Splash Guards.</v>
          </cell>
          <cell r="G7" t="str">
            <v>Inclus les tapis pour planchers toutes saisons, plateau de compartiment à bagages et des garde-boue arrière.</v>
          </cell>
          <cell r="H7">
            <v>0.60000000000000009</v>
          </cell>
          <cell r="J7">
            <v>375.3</v>
          </cell>
          <cell r="K7">
            <v>695</v>
          </cell>
          <cell r="L7">
            <v>795.8</v>
          </cell>
          <cell r="N7" t="str">
            <v>•</v>
          </cell>
          <cell r="O7" t="str">
            <v>•</v>
          </cell>
          <cell r="P7" t="str">
            <v>•</v>
          </cell>
          <cell r="Q7" t="str">
            <v>•</v>
          </cell>
          <cell r="U7" t="str">
            <v>White 'ODYSSEY' lettering on Floor Mats.
Cargo Tray - Deep.</v>
          </cell>
          <cell r="V7" t="str">
            <v>Inscription 'ODYSSEY' blanche sur les tapis de sol.Plateau de chargement - Profond.</v>
          </cell>
          <cell r="W7">
            <v>1</v>
          </cell>
          <cell r="AI7" t="str">
            <v>•</v>
          </cell>
          <cell r="AL7" t="str">
            <v>•</v>
          </cell>
          <cell r="AR7" t="str">
            <v xml:space="preserve">All-Season Floor Mats - 08P17-THR-110A
Cargo Tray - Deep - 08U45-THR-100A
Rear Splash Guards - 08P09-THR-300
25ODY-PRO-PKG2	Protection Package 2 </v>
          </cell>
        </row>
        <row r="8">
          <cell r="B8" t="str">
            <v>25ODY-PRO-PKG2</v>
          </cell>
          <cell r="C8" t="str">
            <v>25ODY-PRO-PKG2</v>
          </cell>
          <cell r="D8" t="str">
            <v xml:space="preserve">Protection Package 2 </v>
          </cell>
          <cell r="E8" t="str">
            <v>Ensemble de protection 2</v>
          </cell>
          <cell r="F8" t="str">
            <v>Includes All-Season Floor Mats, Cargo Tray - Folding, and Rear Splash Guards.</v>
          </cell>
          <cell r="G8" t="str">
            <v>Inclus les tapis pour planchers toutes saisons, un bac pliant d’espace de chargement et des garde-boue arrière.</v>
          </cell>
          <cell r="H8">
            <v>0.60000000000000009</v>
          </cell>
          <cell r="J8">
            <v>393.3</v>
          </cell>
          <cell r="K8">
            <v>729</v>
          </cell>
          <cell r="L8">
            <v>829.8</v>
          </cell>
          <cell r="N8" t="str">
            <v>•</v>
          </cell>
          <cell r="O8" t="str">
            <v>•</v>
          </cell>
          <cell r="P8" t="str">
            <v>•</v>
          </cell>
          <cell r="Q8" t="str">
            <v>•</v>
          </cell>
          <cell r="U8" t="str">
            <v>White 'ODYSSEY' lettering on Floor Mats.
Cargo Tray - Folding.</v>
          </cell>
          <cell r="V8" t="str">
            <v>Inscription 'ODYSSEY' blanche sur les tapis de sol.
Plateau de chargement - Pliable.</v>
          </cell>
          <cell r="W8">
            <v>2</v>
          </cell>
          <cell r="AI8" t="str">
            <v>•</v>
          </cell>
          <cell r="AL8" t="str">
            <v>•</v>
          </cell>
          <cell r="AR8" t="str">
            <v>All-Season Floor Mats - 08P17-THR-110A
Cargo Tray - Folding - 08U45-THR-100B
Rear Splash Guards - 08P09-THR-300
25ODY-PRO-PKG1	Protection Package 1</v>
          </cell>
        </row>
        <row r="9">
          <cell r="B9" t="str">
            <v>21ODY-COLD-PKG</v>
          </cell>
          <cell r="C9" t="str">
            <v>21ODY-COLD-PKG</v>
          </cell>
          <cell r="D9" t="str">
            <v>Cold Weather Package</v>
          </cell>
          <cell r="E9" t="str">
            <v>Ensemble de temps froid</v>
          </cell>
          <cell r="F9" t="str">
            <v>Help keep your vehicle running smoothly during the cold winter months with the Cold Weather Package. Includes engine block heater and auto battery charger/maintainer</v>
          </cell>
          <cell r="G9" t="str">
            <v>Aidez votre véhicule à fonctionner en douceur pendant les mois d'hiver avec cet ensemble de temps froid. Comprend un chauffe-moteur et un chargeur/mainteneur de charge de batterie automobile.</v>
          </cell>
          <cell r="H9">
            <v>1.4</v>
          </cell>
          <cell r="J9">
            <v>224.2</v>
          </cell>
          <cell r="K9">
            <v>374.29999999999995</v>
          </cell>
          <cell r="L9">
            <v>609.5</v>
          </cell>
          <cell r="N9" t="str">
            <v>•</v>
          </cell>
          <cell r="O9" t="str">
            <v>•</v>
          </cell>
          <cell r="P9" t="str">
            <v>•</v>
          </cell>
          <cell r="Q9" t="str">
            <v>•</v>
          </cell>
          <cell r="U9" t="str">
            <v>5% discount applied.</v>
          </cell>
          <cell r="V9" t="str">
            <v>Rabais de 5% est appliqué.</v>
          </cell>
          <cell r="W9">
            <v>5</v>
          </cell>
          <cell r="AI9" t="str">
            <v>•</v>
          </cell>
          <cell r="AK9" t="str">
            <v>•</v>
          </cell>
          <cell r="AR9" t="str">
            <v>Engine Block Heater - 08T44-SJA-401A
Optimate 12V Auto Battery Charger/Maintainer - 31670-BMS-004H</v>
          </cell>
        </row>
        <row r="10">
          <cell r="B10" t="str">
            <v>25ODY-TOW-A1 or 
25ODY-TOW-B1</v>
          </cell>
          <cell r="C10" t="str">
            <v>25ODY-TOW1</v>
          </cell>
          <cell r="D10" t="str">
            <v xml:space="preserve">Towing Package </v>
          </cell>
          <cell r="E10" t="str">
            <v xml:space="preserve">Ensemble de remorquage </v>
          </cell>
          <cell r="F10" t="str">
            <v>Includes: Trailer Hitch, Harness, Locking Pin &amp; Hitch Ball</v>
          </cell>
          <cell r="G10" t="str">
            <v>L’ensemble comprend : Attelage de remorque, faisceau, support de boule d’attelage, goupille de verrouillage et boule d'attelage.</v>
          </cell>
          <cell r="H10">
            <v>2.2999999999999998</v>
          </cell>
          <cell r="J10">
            <v>784.80000000000007</v>
          </cell>
          <cell r="K10">
            <v>1296</v>
          </cell>
          <cell r="L10">
            <v>1682.4</v>
          </cell>
          <cell r="N10" t="str">
            <v>•</v>
          </cell>
          <cell r="O10" t="str">
            <v>•</v>
          </cell>
          <cell r="P10" t="str">
            <v>N/A</v>
          </cell>
          <cell r="Q10" t="str">
            <v>N/A</v>
          </cell>
          <cell r="U10" t="str">
            <v>10% Discount Applied.
Trailer Hitch Rating: Class II.
Trailer Hitch Receiver Size: 2-in x 2-in.
Towing Capacity: 1,587 kg / 3,500 lbs.</v>
          </cell>
          <cell r="V10" t="str">
            <v>Rabais de 10 % est appliqué.
Attelage de remorque: Classe II.
Attelage de remorque dimensions du réceptacle: 2 po x 2 po.
Capacité de remorquage: 1,360 kg / 3,000 lbs.</v>
          </cell>
          <cell r="W10">
            <v>3</v>
          </cell>
          <cell r="AI10" t="str">
            <v>•</v>
          </cell>
          <cell r="AL10" t="str">
            <v>•</v>
          </cell>
          <cell r="AR10" t="str">
            <v>Trailer Hitch - 08L92-THR-300
Trailer Hitch Ball 1 7/8" - 08L92-SCV-300A
Trailer Hitch Ball 2" - 08L92-SCV-100B
Trailer Hitch Harness - 08L91-THR-300
Trailer Hitch Locking Pin - 08L92-SJC-300A</v>
          </cell>
        </row>
        <row r="11">
          <cell r="B11" t="str">
            <v>25ODY-TOWA1 ou 
25ODY-TOWB1</v>
          </cell>
          <cell r="C11" t="str">
            <v>N/A only used for app chart</v>
          </cell>
          <cell r="E11" t="str">
            <v xml:space="preserve">Ensemble de remorquage </v>
          </cell>
          <cell r="G11" t="str">
            <v>L’ensemble comprend : Attelage de remorque, faisceau, support de boule d’attelage, goupille de verrouillage et boule d'attelage.</v>
          </cell>
          <cell r="H11">
            <v>2.2999999999999998</v>
          </cell>
          <cell r="J11">
            <v>784.80000000000007</v>
          </cell>
          <cell r="K11">
            <v>1296</v>
          </cell>
          <cell r="L11">
            <v>1682.4</v>
          </cell>
          <cell r="N11" t="str">
            <v>•</v>
          </cell>
          <cell r="O11" t="str">
            <v>•</v>
          </cell>
          <cell r="P11" t="str">
            <v>N/A</v>
          </cell>
          <cell r="Q11" t="str">
            <v>N/A</v>
          </cell>
          <cell r="U11" t="str">
            <v>10% Discount Applied.
Trailer Hitch Rating: Class II.
Trailer Hitch Receiver Size: 2-in x 2-in.
Towing Capacity: 1,587 kg / 3,500 lbs.</v>
          </cell>
          <cell r="V11" t="str">
            <v>Rabais de 10 % est appliqué.
Attelage de remorque: Classe II.
Attelage de remorque dimensions du réceptacle: 2 po x 2 po.
Capacité de remorquage: 1,360 kg / 3,000 lbs.</v>
          </cell>
          <cell r="AI11" t="str">
            <v>•</v>
          </cell>
        </row>
        <row r="12">
          <cell r="B12" t="str">
            <v>25ODY-TOW-A2 or 
25ODY-TOW-B2</v>
          </cell>
          <cell r="C12" t="str">
            <v>25ODY-TOW-A2</v>
          </cell>
          <cell r="D12" t="str">
            <v xml:space="preserve">Towing Package </v>
          </cell>
          <cell r="E12" t="str">
            <v xml:space="preserve">Ensemble de remorquage </v>
          </cell>
          <cell r="F12" t="str">
            <v>Includes: Trailer Hitch, Harness, Locking Pin, Trailer Hitch Ball and Kick Sensor Hitch Adaptor</v>
          </cell>
          <cell r="G12" t="str">
            <v>L’ensemble comprend : Attelage de remorque, faisceau, support de boule d’attelage, goupille de verrouillage, boule d'attelage et adaptateur de capteur de mouvement pour attelage de remorque</v>
          </cell>
          <cell r="H12">
            <v>2.5</v>
          </cell>
          <cell r="J12">
            <v>999</v>
          </cell>
          <cell r="K12">
            <v>1653.3</v>
          </cell>
          <cell r="L12">
            <v>2073.3000000000002</v>
          </cell>
          <cell r="N12" t="str">
            <v>N/A</v>
          </cell>
          <cell r="O12" t="str">
            <v>N/A</v>
          </cell>
          <cell r="P12" t="str">
            <v>•</v>
          </cell>
          <cell r="Q12" t="str">
            <v>•</v>
          </cell>
          <cell r="U12" t="str">
            <v>10% Discount Applied.
Black Edition: Requires Hands-Free Power Tailgate Sensor Adapter since Hands-Free comes standard.
Trailer Hitch Rating: Class II.
Trailer Hitch Receiver Size: 2-in x 2-in.
Towing Capacity: 1,587 kg / 3,500 lbs.</v>
          </cell>
          <cell r="V12" t="str">
            <v>Rabais de 10 % est appliqué.
Black Edition :Nécessite adaptateur de capteur de hayon électrique mains libres puisque le système mains libres est de série.
Attelage de remorque: Classe II.
Attelage de remorque dimensions du réceptacle: 2 po x 2 po.
Capacité de remorquage: 1,360 kg / 3,000 lbs.</v>
          </cell>
          <cell r="W12">
            <v>4</v>
          </cell>
          <cell r="AI12" t="str">
            <v>•</v>
          </cell>
          <cell r="AL12" t="str">
            <v>•</v>
          </cell>
          <cell r="AR12" t="str">
            <v>Trailer Hitch - 08L92-THR-300
Hands-Free Power Tailgate Sensor Adapter - 08L91-THR-300A
Trailer Hitch Ball 1 7/8" - 08L92-SCV-300A
Trailer Hitch Ball 2" - 08L92-SCV-100B
Trailer Hitch Harness - 08L91-THR-300
Trailer Hitch Locking Pin - 08L92-SJC-300A</v>
          </cell>
        </row>
        <row r="13">
          <cell r="B13" t="str">
            <v>25ODY-TOW-A2 ou 
25ODY-TOW-B2</v>
          </cell>
          <cell r="C13" t="str">
            <v>N/A only used for app chart</v>
          </cell>
          <cell r="E13" t="str">
            <v xml:space="preserve">Ensemble de remorquage </v>
          </cell>
          <cell r="G13" t="str">
            <v>L’ensemble comprend : Attelage de remorque, faisceau, support de boule d’attelage, goupille de verrouillage, boule d'attelage et adaptateur de capteur de mouvement pour attelage de remorque</v>
          </cell>
          <cell r="H13">
            <v>2.5</v>
          </cell>
          <cell r="J13">
            <v>999</v>
          </cell>
          <cell r="K13">
            <v>1653.3</v>
          </cell>
          <cell r="L13">
            <v>2073.3000000000002</v>
          </cell>
          <cell r="N13" t="str">
            <v>N/A</v>
          </cell>
          <cell r="O13" t="str">
            <v>N/A</v>
          </cell>
          <cell r="P13" t="str">
            <v>•</v>
          </cell>
          <cell r="Q13" t="str">
            <v>•</v>
          </cell>
          <cell r="U13" t="str">
            <v>10% Discount Applied.
Black Edition: Requires Hands-Free Power Tailgate Sensor Adapter since Hands-Free comes standard.
Trailer Hitch Rating: Class II.
Trailer Hitch Receiver Size: 2-in x 2-in.
Towing Capacity: 1,587 kg / 3,500 lbs.</v>
          </cell>
          <cell r="V13" t="str">
            <v>Rabais de 10 % est appliqué.
Black Edition :Nécessite adaptateur de capteur de hayon électrique mains libres puisque le système mains libres est de série.
Attelage de remorque: Classe II.
Attelage de remorque dimensions du réceptacle: 2 po x 2 po.
Capacité de remorquage: 1,360 kg / 3,000 lbs.</v>
          </cell>
        </row>
        <row r="14">
          <cell r="B14" t="str">
            <v>08L92-SCV-300A or 08L92-SCV-100B</v>
          </cell>
          <cell r="C14" t="str">
            <v>N/A only used for app chart</v>
          </cell>
          <cell r="D14" t="str">
            <v>Trailer Hitch Ball - 1-7/8" or 2"</v>
          </cell>
        </row>
        <row r="15">
          <cell r="B15" t="str">
            <v>08L92-SCV-300A ou 08L92-SCV-100B</v>
          </cell>
          <cell r="C15" t="str">
            <v>N/A only used for app chart</v>
          </cell>
          <cell r="E15" t="str">
            <v>Rotule d'attelage de 1 7/8 po ou 2 po</v>
          </cell>
        </row>
        <row r="29">
          <cell r="B29" t="str">
            <v>08W42-TK4-301</v>
          </cell>
          <cell r="C29" t="str">
            <v>08W42-TK4-301</v>
          </cell>
          <cell r="D29" t="str">
            <v>Wheel Locks - Chrome</v>
          </cell>
          <cell r="E29" t="str">
            <v>Écrous de roue antivol  - Chromés</v>
          </cell>
          <cell r="F29" t="str">
            <v>A great way to help ensure that your wheels stay on your truck where they belong.</v>
          </cell>
          <cell r="G29" t="str">
            <v>Un excellent moyen de vous assurer que les roues demeurent sur votre camion, là où elles devraient se trouver</v>
          </cell>
          <cell r="H29">
            <v>0.2</v>
          </cell>
          <cell r="J29">
            <v>91</v>
          </cell>
          <cell r="K29">
            <v>152</v>
          </cell>
          <cell r="L29">
            <v>185.6</v>
          </cell>
          <cell r="N29" t="str">
            <v>•</v>
          </cell>
          <cell r="O29" t="str">
            <v>•</v>
          </cell>
          <cell r="P29" t="str">
            <v>•</v>
          </cell>
          <cell r="Q29" t="str">
            <v>•</v>
          </cell>
          <cell r="W29">
            <v>7</v>
          </cell>
          <cell r="AJ29" t="str">
            <v>•</v>
          </cell>
          <cell r="AR29" t="str">
            <v>Wheel Locks Black - 08W42-TG7-301A</v>
          </cell>
        </row>
        <row r="30">
          <cell r="B30" t="str">
            <v>08W42-TG7-301A</v>
          </cell>
          <cell r="C30" t="str">
            <v>08W42-TG7-301A</v>
          </cell>
          <cell r="D30" t="str">
            <v>Wheel Locks - Black</v>
          </cell>
          <cell r="E30" t="str">
            <v>Écrous de roue antivol  - Noirs</v>
          </cell>
          <cell r="F30" t="str">
            <v>A great way to help ensure that your wheels stay on your truck where they belong.</v>
          </cell>
          <cell r="G30" t="str">
            <v>Un excellent moyen de vous assurer que les roues demeurent sur votre camion, là où elles devraient se trouver.</v>
          </cell>
          <cell r="H30">
            <v>0.2</v>
          </cell>
          <cell r="J30">
            <v>85</v>
          </cell>
          <cell r="K30">
            <v>140</v>
          </cell>
          <cell r="L30">
            <v>173.6</v>
          </cell>
          <cell r="N30" t="str">
            <v>•</v>
          </cell>
          <cell r="O30" t="str">
            <v>•</v>
          </cell>
          <cell r="P30" t="str">
            <v>•</v>
          </cell>
          <cell r="Q30" t="str">
            <v>•</v>
          </cell>
          <cell r="W30">
            <v>6</v>
          </cell>
          <cell r="AJ30" t="str">
            <v>•</v>
          </cell>
          <cell r="AR30" t="str">
            <v>Wheel Locks Chrome - 08W42-TK4-301</v>
          </cell>
        </row>
        <row r="32">
          <cell r="B32" t="str">
            <v>08P01-THR-100</v>
          </cell>
          <cell r="C32" t="str">
            <v>08P01-THR-100</v>
          </cell>
          <cell r="D32" t="str">
            <v>Bumper Protector - Chrome</v>
          </cell>
          <cell r="E32" t="str">
            <v xml:space="preserve">Protecteur de pare-chocs arrière  </v>
          </cell>
          <cell r="F32" t="str">
            <v>Protection with styling, this rear bumper protector adds a finished touch that enhances the exterior while preventing scratches when loading and unloading items from the rear.</v>
          </cell>
          <cell r="G32" t="str">
            <v>Offrant une protection avec style, ce protecteur de pare-chocs arrière ajoute une touche finie qui améliore l’extérieur tout en prévenant les égratignures lors du chargement et du déchargement d’articles de l’arrière.</v>
          </cell>
          <cell r="H32">
            <v>0.8</v>
          </cell>
          <cell r="J32">
            <v>22.99</v>
          </cell>
          <cell r="K32">
            <v>37.99</v>
          </cell>
          <cell r="L32">
            <v>172.39000000000001</v>
          </cell>
          <cell r="N32" t="str">
            <v>•</v>
          </cell>
          <cell r="O32" t="str">
            <v>•</v>
          </cell>
          <cell r="P32" t="str">
            <v>•</v>
          </cell>
          <cell r="Q32" t="str">
            <v>•</v>
          </cell>
          <cell r="W32">
            <v>8</v>
          </cell>
          <cell r="AJ32" t="str">
            <v>•</v>
          </cell>
        </row>
        <row r="33">
          <cell r="B33" t="str">
            <v>08P20-THR-100</v>
          </cell>
          <cell r="C33" t="str">
            <v>08P20-THR-100</v>
          </cell>
          <cell r="D33" t="str">
            <v>Door Edge Film</v>
          </cell>
          <cell r="E33" t="str">
            <v>Pellicule pour rebord de portière</v>
          </cell>
          <cell r="F33" t="str">
            <v>Help protect against unsightly nicks and scrapes around your door edges with Door Edge Film. The transparent urethane film helps protect without being seen.</v>
          </cell>
          <cell r="G33" t="str">
            <v>La pellicule d’uréthane transparente placée dans l’espace de la poignée de porte protège la peinture des égratignures inesthétiques causées par les ongles, les bijoux et les clés.</v>
          </cell>
          <cell r="H33">
            <v>0.2</v>
          </cell>
          <cell r="J33">
            <v>5.99</v>
          </cell>
          <cell r="K33">
            <v>9.99</v>
          </cell>
          <cell r="L33">
            <v>43.59</v>
          </cell>
          <cell r="N33" t="str">
            <v>•</v>
          </cell>
          <cell r="O33" t="str">
            <v>•</v>
          </cell>
          <cell r="P33" t="str">
            <v>•</v>
          </cell>
          <cell r="Q33" t="str">
            <v>•</v>
          </cell>
          <cell r="U33" t="str">
            <v>Cannot be installed with Door Edge Guards.</v>
          </cell>
          <cell r="V33" t="str">
            <v>Ne peut être installé simultanément avec pellicule pour rebord de portière</v>
          </cell>
          <cell r="W33">
            <v>45</v>
          </cell>
          <cell r="AJ33" t="str">
            <v>•</v>
          </cell>
          <cell r="AR33" t="str">
            <v>Door Edge Guards - 08P20-THR-110A?</v>
          </cell>
        </row>
        <row r="34">
          <cell r="B34" t="str">
            <v>08R04-THR-102</v>
          </cell>
          <cell r="C34" t="str">
            <v>08R04-THR-102</v>
          </cell>
          <cell r="D34" t="str">
            <v>Door Visor</v>
          </cell>
          <cell r="E34" t="str">
            <v>Pare-soleil de portière</v>
          </cell>
          <cell r="F34" t="str">
            <v>This Door Visor help to protect you and your passengers from sun glare and minimizes outside noise when the windows are partially open.</v>
          </cell>
          <cell r="G34" t="str">
            <v>Ce déflecteur de portière aide à réduire les reflets du soleil ainsi que le bruit provenant de l'extérieur quand les glaces sont partiellement ouvertes.</v>
          </cell>
          <cell r="H34">
            <v>0.5</v>
          </cell>
          <cell r="J34">
            <v>234</v>
          </cell>
          <cell r="K34">
            <v>390</v>
          </cell>
          <cell r="L34">
            <v>474</v>
          </cell>
          <cell r="N34" t="str">
            <v>•</v>
          </cell>
          <cell r="O34" t="str">
            <v>•</v>
          </cell>
          <cell r="P34" t="str">
            <v>•</v>
          </cell>
          <cell r="Q34" t="str">
            <v>•</v>
          </cell>
          <cell r="W34">
            <v>9</v>
          </cell>
          <cell r="AL34" t="str">
            <v>•</v>
          </cell>
        </row>
        <row r="35">
          <cell r="B35" t="str">
            <v>08F20-THR-100</v>
          </cell>
          <cell r="C35" t="str">
            <v>08F20-THR-100</v>
          </cell>
          <cell r="D35" t="str">
            <v>Black Emblems - H-Mark &amp; Odyssey</v>
          </cell>
          <cell r="E35" t="str">
            <v>Emblèmes noir - Logo « H » et Oydssey</v>
          </cell>
          <cell r="F35" t="str">
            <v>If attention to detail is important to you then you’re sure to love the look of the Gloss Black Rear Emblems. Their bold feature not only completes your Odyssey’s original unique exterior style, but also accentuates it. The Rear Emblems include Odyssey and the H-Mark, which are made of high-quality material for long-lasting durability.</v>
          </cell>
          <cell r="G35" t="str">
            <v>L’apparence audacieuse des emblèmes noirs lustrés permet de compléter et de rehausser le style extérieur unique de votre Odyssey. Les emblèmes sont fabriqués d’un matériau de haute qualité, pour une durabilité accrue. Les emblèmes « H » et Odyssey sont inclus</v>
          </cell>
          <cell r="H35">
            <v>0.9</v>
          </cell>
          <cell r="J35">
            <v>69</v>
          </cell>
          <cell r="K35">
            <v>115</v>
          </cell>
          <cell r="L35">
            <v>266.20000000000005</v>
          </cell>
          <cell r="N35" t="str">
            <v>•</v>
          </cell>
          <cell r="O35" t="str">
            <v>•</v>
          </cell>
          <cell r="P35" t="str">
            <v>•</v>
          </cell>
          <cell r="Q35" t="str">
            <v>•</v>
          </cell>
          <cell r="W35">
            <v>13</v>
          </cell>
          <cell r="AN35" t="str">
            <v>•</v>
          </cell>
        </row>
        <row r="36">
          <cell r="B36" t="str">
            <v>08F20-T7S-100C</v>
          </cell>
          <cell r="C36" t="str">
            <v>08F20-T7S-100C</v>
          </cell>
          <cell r="D36" t="str">
            <v>Black Emblem - Sport</v>
          </cell>
          <cell r="E36" t="str">
            <v>Emblème noir - SPORT</v>
          </cell>
          <cell r="H36">
            <v>0.3</v>
          </cell>
          <cell r="J36">
            <v>41</v>
          </cell>
          <cell r="K36">
            <v>68</v>
          </cell>
          <cell r="L36">
            <v>118.4</v>
          </cell>
          <cell r="N36" t="str">
            <v>•</v>
          </cell>
          <cell r="O36" t="str">
            <v>•</v>
          </cell>
          <cell r="P36" t="str">
            <v>N/A</v>
          </cell>
          <cell r="Q36" t="str">
            <v>N/A</v>
          </cell>
          <cell r="W36">
            <v>14</v>
          </cell>
          <cell r="AN36" t="str">
            <v>•</v>
          </cell>
        </row>
        <row r="37">
          <cell r="B37" t="str">
            <v>08F20-TG7-100G</v>
          </cell>
          <cell r="C37" t="str">
            <v>08F20-TG7-100G</v>
          </cell>
          <cell r="D37" t="str">
            <v>Black Emblem - Black Edition</v>
          </cell>
          <cell r="E37" t="str">
            <v>Emblème noir  - Black Edition</v>
          </cell>
          <cell r="H37">
            <v>0.3</v>
          </cell>
          <cell r="J37">
            <v>70</v>
          </cell>
          <cell r="K37">
            <v>117</v>
          </cell>
          <cell r="L37">
            <v>167.4</v>
          </cell>
          <cell r="N37" t="str">
            <v>N/A</v>
          </cell>
          <cell r="O37" t="str">
            <v>N/A</v>
          </cell>
          <cell r="P37" t="str">
            <v>N/A</v>
          </cell>
          <cell r="Q37" t="str">
            <v>•</v>
          </cell>
          <cell r="W37">
            <v>15</v>
          </cell>
          <cell r="AN37" t="str">
            <v>•</v>
          </cell>
        </row>
        <row r="38">
          <cell r="B38" t="str">
            <v>08F59-THR-100A</v>
          </cell>
          <cell r="C38" t="str">
            <v>08F59-THR-100A</v>
          </cell>
          <cell r="D38" t="str">
            <v>Fender Emblems</v>
          </cell>
          <cell r="E38" t="str">
            <v>Écussons d’ailes</v>
          </cell>
          <cell r="F38" t="str">
            <v>Add to the sporty look of the Odyssey with these emblem accents.</v>
          </cell>
          <cell r="G38" t="str">
            <v>Ajoutez au look sportif de l'Odyssey avec ces accents d'emblème</v>
          </cell>
          <cell r="H38">
            <v>0.2</v>
          </cell>
          <cell r="J38">
            <v>138</v>
          </cell>
          <cell r="K38">
            <v>197</v>
          </cell>
          <cell r="L38">
            <v>230.6</v>
          </cell>
          <cell r="N38" t="str">
            <v>•</v>
          </cell>
          <cell r="O38" t="str">
            <v>•</v>
          </cell>
          <cell r="P38" t="str">
            <v>•</v>
          </cell>
          <cell r="Q38" t="str">
            <v>•</v>
          </cell>
          <cell r="W38">
            <v>16</v>
          </cell>
          <cell r="AN38" t="str">
            <v>•</v>
          </cell>
        </row>
        <row r="39">
          <cell r="B39" t="str">
            <v>08P47-THR-301</v>
          </cell>
          <cell r="C39" t="str">
            <v>08P47-THR-301</v>
          </cell>
          <cell r="D39" t="str">
            <v>Hood Air Deflector</v>
          </cell>
          <cell r="E39" t="str">
            <v>Déflecteur d’air du capot</v>
          </cell>
          <cell r="F39" t="str">
            <v>This stylish Hood Edge Deflector helps protect the finish of Passport from small stones and flying insects.</v>
          </cell>
          <cell r="G39" t="str">
            <v>Ce défleteur de capot élégant aide à protéger le fini de votre Pilot des projections de petites roches et des insectes.</v>
          </cell>
          <cell r="H39">
            <v>0.5</v>
          </cell>
          <cell r="J39">
            <v>204</v>
          </cell>
          <cell r="K39">
            <v>340</v>
          </cell>
          <cell r="L39">
            <v>424</v>
          </cell>
          <cell r="N39" t="str">
            <v>•</v>
          </cell>
          <cell r="O39" t="str">
            <v>•</v>
          </cell>
          <cell r="P39" t="str">
            <v>•</v>
          </cell>
          <cell r="Q39" t="str">
            <v>•</v>
          </cell>
          <cell r="W39">
            <v>53</v>
          </cell>
          <cell r="AL39" t="str">
            <v>•</v>
          </cell>
        </row>
        <row r="40">
          <cell r="B40" t="str">
            <v>08F57-THR-101</v>
          </cell>
          <cell r="C40" t="str">
            <v>08F57-THR-101</v>
          </cell>
          <cell r="D40" t="str">
            <v>Lower Door Trim - Chrome</v>
          </cell>
          <cell r="E40" t="str">
            <v>Garnitures de portière - chromées</v>
          </cell>
          <cell r="F40" t="str">
            <v>The Door Trim is a stylish accent that gives your Odyssey an even more upscale look.</v>
          </cell>
          <cell r="G40" t="str">
            <v>La garniture de porte inférieure représente un élément contrastant stylisé qui confère un surcroît d’élégance.</v>
          </cell>
          <cell r="H40">
            <v>0.4</v>
          </cell>
          <cell r="J40">
            <v>9.99</v>
          </cell>
          <cell r="K40">
            <v>16.989999999999998</v>
          </cell>
          <cell r="L40">
            <v>84.19</v>
          </cell>
          <cell r="N40" t="str">
            <v>•</v>
          </cell>
          <cell r="O40" t="str">
            <v>•</v>
          </cell>
          <cell r="P40" t="str">
            <v>•</v>
          </cell>
          <cell r="Q40" t="str">
            <v>•</v>
          </cell>
          <cell r="W40">
            <v>12</v>
          </cell>
          <cell r="AN40" t="str">
            <v>•</v>
          </cell>
        </row>
        <row r="41">
          <cell r="B41" t="str">
            <v>08R01-THR-301</v>
          </cell>
          <cell r="C41" t="str">
            <v>08R01-THR-301</v>
          </cell>
          <cell r="D41" t="str">
            <v>Moonroof Visor</v>
          </cell>
          <cell r="E41" t="str">
            <v>Pare-soleil de toit ouvrant</v>
          </cell>
          <cell r="F41" t="str">
            <v>This tinted acrylic Moonroof Wind Deflector helps reduce glare by providing a sunscreen effect and, when it's open, minimizes wind noise.</v>
          </cell>
          <cell r="G41" t="str">
            <v>Ce déflecteur de toit ouvrant en acrylique teinté contribue, par son effet de filtre solaire, à atténuer les reflets; quand le toit est ouvert, le bruit de vent est réduit au minimum.</v>
          </cell>
          <cell r="H41">
            <v>0.3</v>
          </cell>
          <cell r="J41">
            <v>171</v>
          </cell>
          <cell r="K41">
            <v>285</v>
          </cell>
          <cell r="L41">
            <v>335.4</v>
          </cell>
          <cell r="N41" t="str">
            <v>•</v>
          </cell>
          <cell r="O41" t="str">
            <v>•</v>
          </cell>
          <cell r="P41" t="str">
            <v>•</v>
          </cell>
          <cell r="Q41" t="str">
            <v>•</v>
          </cell>
          <cell r="W41">
            <v>10</v>
          </cell>
          <cell r="AL41" t="str">
            <v>•</v>
          </cell>
        </row>
        <row r="42">
          <cell r="B42" t="str">
            <v>08P09-THR-300A</v>
          </cell>
          <cell r="C42" t="str">
            <v>08P09-THR-300A</v>
          </cell>
          <cell r="D42" t="str">
            <v>Rear Splash Guards</v>
          </cell>
          <cell r="E42" t="str">
            <v xml:space="preserve">Garde-boue arrière </v>
          </cell>
          <cell r="F42" t="str">
            <v>These durable, custom-fitted Rear Splash Guards complement the style of your Odyssey, and are designed to help protect the lower body side from mud and road debris.</v>
          </cell>
          <cell r="G42" t="str">
            <v>Durables et fabriqués sur mesure, ces garde-boue arrière s'harmonisent au style de votre Odyssey, et sont conçus pour contribuer à protéger le bas de la carrosserie contre la boue et les projections</v>
          </cell>
          <cell r="H42">
            <v>0.4</v>
          </cell>
          <cell r="J42">
            <v>82</v>
          </cell>
          <cell r="K42">
            <v>137</v>
          </cell>
          <cell r="L42">
            <v>204.2</v>
          </cell>
          <cell r="N42" t="str">
            <v>•</v>
          </cell>
          <cell r="O42" t="str">
            <v>•</v>
          </cell>
          <cell r="P42" t="str">
            <v>•</v>
          </cell>
          <cell r="Q42" t="str">
            <v>•</v>
          </cell>
          <cell r="W42">
            <v>54</v>
          </cell>
          <cell r="AL42" t="str">
            <v>•</v>
          </cell>
          <cell r="AR42" t="str">
            <v xml:space="preserve">25ODY-PRO-PKG1	Protection Package 1
25ODY-PRO-PKG2	Protection Package 2 </v>
          </cell>
        </row>
        <row r="43">
          <cell r="B43" t="str">
            <v>08Z04-SCV-110B</v>
          </cell>
          <cell r="C43" t="str">
            <v>08Z04-SCV-110B</v>
          </cell>
          <cell r="D43" t="str">
            <v xml:space="preserve">Tent </v>
          </cell>
          <cell r="E43" t="str">
            <v>Tente</v>
          </cell>
          <cell r="F43" t="str">
            <v>You never need reservations when you bring your very own camping system along with you. 10 ft by 10 ft, sleeps 6 people. Rainfly is 6 ft by 6 ft, extends usable area and provides added protection for the entire roof. Full access to vehicle while inside the tent. Great for tailgating or as a shaded environment for outdoor gatherings.</v>
          </cell>
          <cell r="G43" t="str">
            <v>Vous n’avez jamais besoin de réservation lorsque vous apportez votre propre système de camping de 10 pieds sur 10 pieds, pouvant accommoder 6 personnes. Le double toit de 6 pieds sur 6 pieds augmente la surface utilisable et protège le toit au complet. Accès à tout le véhicule de l’intérieur de la tente. Excellent pour les fêtes d’avant partie et comme abri lors de rassemblements extérieurs.</v>
          </cell>
          <cell r="H43">
            <v>0</v>
          </cell>
          <cell r="J43">
            <v>477</v>
          </cell>
          <cell r="K43">
            <v>681</v>
          </cell>
          <cell r="L43">
            <v>681</v>
          </cell>
          <cell r="N43" t="str">
            <v>•</v>
          </cell>
          <cell r="O43" t="str">
            <v>•</v>
          </cell>
          <cell r="P43" t="str">
            <v>•</v>
          </cell>
          <cell r="Q43" t="str">
            <v>•</v>
          </cell>
          <cell r="W43">
            <v>52</v>
          </cell>
          <cell r="AL43" t="str">
            <v>•</v>
          </cell>
        </row>
        <row r="44">
          <cell r="J44" t="e">
            <v>#N/A</v>
          </cell>
          <cell r="K44" t="e">
            <v>#N/A</v>
          </cell>
          <cell r="L44" t="e">
            <v>#N/A</v>
          </cell>
        </row>
        <row r="45">
          <cell r="B45" t="str">
            <v>08L91-THR-XXXX</v>
          </cell>
          <cell r="C45" t="str">
            <v>N/A only used for app chart</v>
          </cell>
          <cell r="D45" t="str">
            <v>Trailer Hitch parts</v>
          </cell>
          <cell r="E45" t="str">
            <v>Pièces d’attelage de remorque</v>
          </cell>
        </row>
        <row r="46">
          <cell r="B46" t="str">
            <v>08L92-THR-300A</v>
          </cell>
          <cell r="C46" t="str">
            <v>08L92-THR-300A</v>
          </cell>
          <cell r="D46" t="str">
            <v>Trailer Hitch</v>
          </cell>
          <cell r="E46" t="str">
            <v xml:space="preserve">Attelage de remorque   </v>
          </cell>
          <cell r="F46" t="str">
            <v>Rating: Class II. Receiver Opening: 2 in x 2 in. TOURING: requires Hands-Free Power Tailgate Sensor Adaptor. Trailer Hitch Ball, Ball Mount, and Locking Pin sold separately.</v>
          </cell>
          <cell r="G46" t="str">
            <v>Classement: Classe II. Ouverture du récepteur: 2 po x 2 po. TOURING: Nécessitent également un capteur de hayon électrique mains libres – adaptateur. Boule d’attelage de remorque, support de boule et goupille de verrouillage vendus séparément.</v>
          </cell>
          <cell r="H46">
            <v>1.5</v>
          </cell>
          <cell r="J46">
            <v>576</v>
          </cell>
          <cell r="K46">
            <v>960</v>
          </cell>
          <cell r="L46">
            <v>1212</v>
          </cell>
          <cell r="N46" t="str">
            <v>•</v>
          </cell>
          <cell r="O46" t="str">
            <v>•</v>
          </cell>
          <cell r="P46" t="str">
            <v>•</v>
          </cell>
          <cell r="Q46" t="str">
            <v>•</v>
          </cell>
          <cell r="U46" t="str">
            <v>Trailer Hitch Rating: Class II.
Trailer Hitch Receiver Size: 2-in x 2-in.
TOURING: Requires Hands-Free Power Tailgate Sensor Adaptor.</v>
          </cell>
          <cell r="V46" t="str">
            <v>Attelage de remorque: Classe II.
Attelage de remorque dimensions du réceptacle: 2 po x 2 po.
TOURING:
Nécessite adaptateur de capteur de hayon électrique mains libres.</v>
          </cell>
          <cell r="W46">
            <v>22</v>
          </cell>
          <cell r="AL46" t="str">
            <v>•</v>
          </cell>
          <cell r="AR46" t="str">
            <v xml:space="preserve">25ODY-TOW1	Towing Package 
25ODY-TOW-A2	Towing Package </v>
          </cell>
        </row>
        <row r="47">
          <cell r="B47" t="str">
            <v>08L92-SCV-300A</v>
          </cell>
          <cell r="C47" t="str">
            <v>08L92-SCV-300A</v>
          </cell>
          <cell r="D47" t="str">
            <v>Trailer Hitch Ball - 1-7/8"</v>
          </cell>
          <cell r="E47" t="str">
            <v>Rotule d'attelage de 1 7/8 po</v>
          </cell>
          <cell r="F47" t="str">
            <v>Trailer Hitch Ball - 1-7/8"</v>
          </cell>
          <cell r="G47" t="str">
            <v>Rotule d'attelage de 1 7/8 po</v>
          </cell>
          <cell r="H47">
            <v>0</v>
          </cell>
          <cell r="J47">
            <v>28</v>
          </cell>
          <cell r="K47">
            <v>47</v>
          </cell>
          <cell r="L47">
            <v>47</v>
          </cell>
          <cell r="N47" t="str">
            <v>•</v>
          </cell>
          <cell r="O47" t="str">
            <v>•</v>
          </cell>
          <cell r="P47" t="str">
            <v>•</v>
          </cell>
          <cell r="Q47" t="str">
            <v>•</v>
          </cell>
          <cell r="W47">
            <v>23</v>
          </cell>
          <cell r="AL47" t="str">
            <v>•</v>
          </cell>
          <cell r="AQ47" t="str">
            <v>Trailer Hitch - 08L92-THR-300</v>
          </cell>
          <cell r="AR47" t="str">
            <v xml:space="preserve">25ODY-TOW1	Towing Package 
25ODY-TOW-A2	Towing Package </v>
          </cell>
        </row>
        <row r="48">
          <cell r="B48" t="str">
            <v>08L92-SCV-100B</v>
          </cell>
          <cell r="C48" t="str">
            <v>08L92-SCV-100B</v>
          </cell>
          <cell r="D48" t="str">
            <v>Trailer Hitch Ball - 2"</v>
          </cell>
          <cell r="E48" t="str">
            <v>Rotule d'attelage de 2 po</v>
          </cell>
          <cell r="F48" t="str">
            <v>Trailer Hitch Ball - 2"</v>
          </cell>
          <cell r="G48" t="str">
            <v>Rotule d'attelage de 2 po</v>
          </cell>
          <cell r="H48">
            <v>0</v>
          </cell>
          <cell r="J48">
            <v>28</v>
          </cell>
          <cell r="K48">
            <v>47</v>
          </cell>
          <cell r="L48">
            <v>47</v>
          </cell>
          <cell r="N48" t="str">
            <v>•</v>
          </cell>
          <cell r="O48" t="str">
            <v>•</v>
          </cell>
          <cell r="P48" t="str">
            <v>•</v>
          </cell>
          <cell r="Q48" t="str">
            <v>•</v>
          </cell>
          <cell r="W48">
            <v>24</v>
          </cell>
          <cell r="AL48" t="str">
            <v>•</v>
          </cell>
          <cell r="AQ48" t="str">
            <v>Trailer Hitch - 08L92-THR-300</v>
          </cell>
          <cell r="AR48" t="str">
            <v xml:space="preserve">25ODY-TOW1	Towing Package 
25ODY-TOW-A2	Towing Package </v>
          </cell>
        </row>
        <row r="49">
          <cell r="B49" t="str">
            <v>08L91-THR-300</v>
          </cell>
          <cell r="C49" t="str">
            <v>08L91-THR-300</v>
          </cell>
          <cell r="D49" t="str">
            <v>Trailer Hitch Harness</v>
          </cell>
          <cell r="E49" t="str">
            <v>Harnais pour remorque</v>
          </cell>
          <cell r="H49">
            <v>0.8</v>
          </cell>
          <cell r="J49">
            <v>162</v>
          </cell>
          <cell r="K49">
            <v>270</v>
          </cell>
          <cell r="L49">
            <v>404.4</v>
          </cell>
          <cell r="N49" t="str">
            <v>•</v>
          </cell>
          <cell r="O49" t="str">
            <v>•</v>
          </cell>
          <cell r="P49" t="str">
            <v>•</v>
          </cell>
          <cell r="Q49" t="str">
            <v>•</v>
          </cell>
          <cell r="W49">
            <v>25</v>
          </cell>
          <cell r="AL49" t="str">
            <v>•</v>
          </cell>
          <cell r="AQ49" t="str">
            <v>Trailer Hitch - 08L92-THR-300</v>
          </cell>
          <cell r="AR49" t="str">
            <v xml:space="preserve">25ODY-TOW1	Towing Package 
25ODY-TOW-A2	Towing Package </v>
          </cell>
        </row>
        <row r="50">
          <cell r="B50" t="str">
            <v>08L92-SJC-300A</v>
          </cell>
          <cell r="C50" t="str">
            <v>08L92-SJC-300A</v>
          </cell>
          <cell r="D50" t="str">
            <v>Trailer Hitch Locking Pin</v>
          </cell>
          <cell r="E50" t="str">
            <v>Goupille de verrouillage pour l'attelage de remorque</v>
          </cell>
          <cell r="F50" t="str">
            <v>Trailer Hitch Locking Pin - for added security</v>
          </cell>
          <cell r="G50" t="str">
            <v>Goupille de verrouillage d’attelage de remorque pour plus de sécurité.</v>
          </cell>
          <cell r="H50">
            <v>0</v>
          </cell>
          <cell r="J50">
            <v>106</v>
          </cell>
          <cell r="K50">
            <v>163</v>
          </cell>
          <cell r="L50">
            <v>163</v>
          </cell>
          <cell r="N50" t="str">
            <v>•</v>
          </cell>
          <cell r="O50" t="str">
            <v>•</v>
          </cell>
          <cell r="P50" t="str">
            <v>•</v>
          </cell>
          <cell r="Q50" t="str">
            <v>•</v>
          </cell>
          <cell r="W50">
            <v>26</v>
          </cell>
          <cell r="AL50" t="str">
            <v>•</v>
          </cell>
          <cell r="AQ50" t="str">
            <v>Trailer Hitch - 08L92-THR-300</v>
          </cell>
          <cell r="AR50" t="str">
            <v xml:space="preserve">25ODY-TOW1	Towing Package 
25ODY-TOW-A2	Towing Package </v>
          </cell>
        </row>
        <row r="51">
          <cell r="B51" t="str">
            <v>08L02-THR-102</v>
          </cell>
          <cell r="C51" t="str">
            <v>08L02-THR-102</v>
          </cell>
          <cell r="D51" t="str">
            <v xml:space="preserve">Roof Rails - Black </v>
          </cell>
          <cell r="E51" t="str">
            <v xml:space="preserve">Rails de toit - Noir </v>
          </cell>
          <cell r="F51" t="str">
            <v>Roof Rails, along with Crossbars, can securely haul items on top of your Pilot depending on your choice of roof attachments. 165-lb maximum-load capacity. Available in Black or Chrome</v>
          </cell>
          <cell r="G51" t="str">
            <v>Les longerons de toit et les barres transversales servent à transporter des articles en toute sécurité sur le toit de votre Pilot, à l’aide de la fixation de toit de votre choix. Capacité de chargement maximale de 75 kg (165 lb). Offerts en noir ou chrome.</v>
          </cell>
          <cell r="H51">
            <v>1</v>
          </cell>
          <cell r="J51">
            <v>460</v>
          </cell>
          <cell r="K51">
            <v>767</v>
          </cell>
          <cell r="L51">
            <v>935</v>
          </cell>
          <cell r="N51" t="str">
            <v>•</v>
          </cell>
          <cell r="O51" t="str">
            <v>•</v>
          </cell>
          <cell r="P51" t="str">
            <v>•</v>
          </cell>
          <cell r="Q51" t="str">
            <v>•</v>
          </cell>
          <cell r="W51">
            <v>29</v>
          </cell>
          <cell r="AL51" t="str">
            <v>•</v>
          </cell>
          <cell r="AR51" t="str">
            <v>Roof Rails - Chrome - 08L02-THR-102A</v>
          </cell>
        </row>
        <row r="52">
          <cell r="B52" t="str">
            <v>08L02-THR-102A</v>
          </cell>
          <cell r="C52" t="str">
            <v>08L02-THR-102A</v>
          </cell>
          <cell r="D52" t="str">
            <v>Roof Rails - Chrome</v>
          </cell>
          <cell r="E52" t="str">
            <v xml:space="preserve">Rails de toit - Chromées </v>
          </cell>
          <cell r="F52" t="str">
            <v>Roof Rails, along with Crossbars, can securely haul items on top of your Pilot depending on your choice of roof attachments. 165-lb maximum-load capacity. Available in Black or Chrome</v>
          </cell>
          <cell r="G52" t="str">
            <v>Les longerons de toit et les barres transversales servent à transporter des articles en toute sécurité sur le toit de votre Pilot, à l’aide de la fixation de toit de votre choix. Capacité de chargement maximale de 75 kg (165 lb). Offerts en noir ou chrome.</v>
          </cell>
          <cell r="H52">
            <v>1</v>
          </cell>
          <cell r="J52">
            <v>655</v>
          </cell>
          <cell r="K52">
            <v>999</v>
          </cell>
          <cell r="L52">
            <v>1167</v>
          </cell>
          <cell r="N52" t="str">
            <v>•</v>
          </cell>
          <cell r="O52" t="str">
            <v>•</v>
          </cell>
          <cell r="P52" t="str">
            <v>•</v>
          </cell>
          <cell r="Q52" t="str">
            <v>•</v>
          </cell>
          <cell r="W52">
            <v>30</v>
          </cell>
          <cell r="AL52" t="str">
            <v>•</v>
          </cell>
          <cell r="AR52" t="str">
            <v>Roof Rails - Black  - 08L02-THR-102</v>
          </cell>
        </row>
        <row r="53">
          <cell r="B53" t="str">
            <v>08L04-THR-100</v>
          </cell>
          <cell r="C53" t="str">
            <v>08L04-THR-100</v>
          </cell>
          <cell r="D53" t="str">
            <v xml:space="preserve">Crossbars </v>
          </cell>
          <cell r="E53" t="str">
            <v xml:space="preserve">Barres transversales </v>
          </cell>
          <cell r="F53" t="str">
            <v>Add a sportier look to your Honda with the addition of Roof Rack Cross Bars, while making more room for bikes, skis or extra luggage. Roof Rack Required</v>
          </cell>
          <cell r="G53" t="str">
            <v>Ajoutez au look sportif de votre Honda avec les barres transversales pour galerie de toit qui vous donnent un espace de rangement additionnel pour les vélos, les skis et tout autre bagage encombrant. Galerie de toit requise.</v>
          </cell>
          <cell r="H53">
            <v>0.2</v>
          </cell>
          <cell r="J53">
            <v>216</v>
          </cell>
          <cell r="K53">
            <v>360</v>
          </cell>
          <cell r="L53">
            <v>393.6</v>
          </cell>
          <cell r="N53" t="str">
            <v>•</v>
          </cell>
          <cell r="O53" t="str">
            <v>•</v>
          </cell>
          <cell r="P53" t="str">
            <v>•</v>
          </cell>
          <cell r="Q53" t="str">
            <v>•</v>
          </cell>
          <cell r="U53" t="str">
            <v>Requires Roof Rails.</v>
          </cell>
          <cell r="V53" t="str">
            <v>Nécessite des rails de toit.</v>
          </cell>
          <cell r="W53">
            <v>31</v>
          </cell>
          <cell r="AL53" t="str">
            <v>•</v>
          </cell>
          <cell r="AQ53" t="str">
            <v>Roof Rails - Black  - 08L02-THR-102
Roof Rails - Chrome - 08L02-THR-102A</v>
          </cell>
        </row>
        <row r="54">
          <cell r="B54" t="str">
            <v>08LXX-E09-XXXX</v>
          </cell>
          <cell r="C54" t="str">
            <v>N/A App Chart reference</v>
          </cell>
          <cell r="D54" t="str">
            <v xml:space="preserve">Roof Attachments </v>
          </cell>
          <cell r="E54" t="str">
            <v>Accessoires de toit</v>
          </cell>
        </row>
        <row r="55">
          <cell r="B55" t="str">
            <v>08L20-E09-101C</v>
          </cell>
          <cell r="C55" t="str">
            <v>08L20-E09-101C</v>
          </cell>
          <cell r="D55" t="str">
            <v>Roof Basket</v>
          </cell>
          <cell r="E55" t="str">
            <v>Panier de toit</v>
          </cell>
          <cell r="F55" t="str">
            <v>Honda has you covered with a low-profile Roof Basket that’ll hold up to 150 lbs. Its tapered side walls make loading easier and wind fairing directs airflow over your cargo. The Roof Basket is rated up to 150 lbs. However, the combined weight of the Roof Basket and load cannot exceed 154 lbs. Requires Roof Rails and Crossbars.</v>
          </cell>
          <cell r="G55" t="str">
            <v>Honda propose un panier de toit à profil bas qui peut contenir jusqu’à 150 lb. Les parois latérales inclinées facilitent le chargement. Le carénage permet le déplacement de l’air au-dessus de votre chargement. Le panier de toit peut contenir jusqu’à 150 lb. Cependant, le poids combiné du panier de toit et de la charge ne doit pas dépasser 154 lb. Nécessite des rails de toit et des barres transversales.</v>
          </cell>
          <cell r="H55">
            <v>0.4</v>
          </cell>
          <cell r="J55">
            <v>571</v>
          </cell>
          <cell r="K55">
            <v>952</v>
          </cell>
          <cell r="L55">
            <v>1019.2</v>
          </cell>
          <cell r="N55" t="str">
            <v>•</v>
          </cell>
          <cell r="O55" t="str">
            <v>•</v>
          </cell>
          <cell r="P55" t="str">
            <v>•</v>
          </cell>
          <cell r="Q55" t="str">
            <v>•</v>
          </cell>
          <cell r="U55" t="str">
            <v>Requires Roof Rails and Crossbars.</v>
          </cell>
          <cell r="V55" t="str">
            <v>Nécessite des rails de toit et des barres transversales.</v>
          </cell>
          <cell r="W55">
            <v>32</v>
          </cell>
          <cell r="AL55" t="str">
            <v>•</v>
          </cell>
          <cell r="AQ55" t="str">
            <v>Roof Rails - Black  - 08L02-THR-102
Roof Rails - Chrome - 08L02-THR-102A
Crossbars  - 08L04-THR-100</v>
          </cell>
        </row>
        <row r="56">
          <cell r="B56" t="str">
            <v>08L07-E09-300A</v>
          </cell>
          <cell r="C56" t="str">
            <v>08L07-E09-300A</v>
          </cell>
          <cell r="D56" t="str">
            <v>Roof Bicycle Attachment - Forkmount</v>
          </cell>
          <cell r="E56" t="str">
            <v>Galerie de toit, Porte-vélo - monture de fourche</v>
          </cell>
          <cell r="F56" t="str">
            <v>The Fork Mount Bike Attachment features a same-side adjustment dial that provides fast loading and maximum security for your bike. Two bike attachments can be added to the crossbars. Requires Roof Rails and Crossbars.</v>
          </cell>
          <cell r="G56" t="str">
            <v>La fixation de fourche pour porte-vélo comprend un bouton de réglage permettant un chargement rapide et une sécurité maximale pour votre vélo. Deux porte-vélos peuvent être ajoutés aux traverses de toit. Nécessite les longerons et les barres transversales de toit.</v>
          </cell>
          <cell r="H56">
            <v>0.4</v>
          </cell>
          <cell r="J56">
            <v>292</v>
          </cell>
          <cell r="K56">
            <v>487</v>
          </cell>
          <cell r="L56">
            <v>554.20000000000005</v>
          </cell>
          <cell r="N56" t="str">
            <v>•</v>
          </cell>
          <cell r="O56" t="str">
            <v>•</v>
          </cell>
          <cell r="P56" t="str">
            <v>•</v>
          </cell>
          <cell r="Q56" t="str">
            <v>•</v>
          </cell>
          <cell r="U56" t="str">
            <v>Requires Roof Rails and Crossbars.</v>
          </cell>
          <cell r="V56" t="str">
            <v>Nécessite des rails de toit et des barres transversales.</v>
          </cell>
          <cell r="W56">
            <v>47</v>
          </cell>
          <cell r="AL56" t="str">
            <v>•</v>
          </cell>
          <cell r="AQ56" t="str">
            <v>Roof Rails - Black  - 08L02-THR-102
Roof Rails - Chrome - 08L02-THR-102A
Crossbars  - 08L04-THR-100</v>
          </cell>
        </row>
        <row r="57">
          <cell r="B57" t="str">
            <v>08L07-E09-101</v>
          </cell>
          <cell r="C57" t="str">
            <v>08L07-E09-101</v>
          </cell>
          <cell r="D57" t="str">
            <v>Roof Bicycle Attachment - Frame mount</v>
          </cell>
          <cell r="E57" t="str">
            <v>Support à vélo vertical pour porte-bagages de toit</v>
          </cell>
          <cell r="F57" t="str">
            <v>This Roof Bike Attachment lets you securely transport your bicycle and keep it safely out of the way. (Roof Rails and Cross Bars required, one bicycle per attachment)</v>
          </cell>
          <cell r="G57" t="str">
            <v>Le porte-bicyclette pour le toit vous permet, en toute sécurité, de transporter votre vélo bien à l'abri des autres bagages. (Deux porte-bicyclette représentés. Barres transversales pour galerie de toit et galerie de toit requises.)</v>
          </cell>
          <cell r="H57">
            <v>0.6</v>
          </cell>
          <cell r="J57">
            <v>383</v>
          </cell>
          <cell r="K57">
            <v>547</v>
          </cell>
          <cell r="L57">
            <v>647.79999999999995</v>
          </cell>
          <cell r="N57" t="str">
            <v>•</v>
          </cell>
          <cell r="O57" t="str">
            <v>•</v>
          </cell>
          <cell r="P57" t="str">
            <v>•</v>
          </cell>
          <cell r="Q57" t="str">
            <v>•</v>
          </cell>
          <cell r="U57" t="str">
            <v>Requires Roof Rails and Crossbars.</v>
          </cell>
          <cell r="V57" t="str">
            <v>Nécessite des rails de toit et des barres transversales.</v>
          </cell>
          <cell r="W57">
            <v>33</v>
          </cell>
          <cell r="AL57" t="str">
            <v>•</v>
          </cell>
          <cell r="AQ57" t="str">
            <v>Roof Rails - Black  - 08L02-THR-102
Roof Rails - Chrome - 08L02-THR-102A
Crossbars  - 08L04-THR-100</v>
          </cell>
        </row>
        <row r="58">
          <cell r="B58" t="str">
            <v>08L20-E09-300A</v>
          </cell>
          <cell r="C58" t="str">
            <v>08L20-E09-300A</v>
          </cell>
          <cell r="D58" t="str">
            <v>Roof Box - Mid-Size</v>
          </cell>
          <cell r="E58" t="str">
            <v>Boîte de toit - moyenne</v>
          </cell>
          <cell r="F58" t="str">
            <v>Keep your golf clubs, snowboards, skis, and other gear protected and out of the elements in the Midsize Roof Box. Impact and UV-resistant. 16 cu.ft. of lockable storage space - length 74 in, width 36 in, height 16.5 in. 110lbs max load capacity. Dual-side opening for easy access. Requires Roof Rails and Crossbars.</v>
          </cell>
          <cell r="G58" t="str">
            <v>Cette boîte de toit aux lignes aérodynamiques est conçue pour garder vos objets précieux au sec et à l'abri des regards indiscrets, lors de vos sorties de plein air. Porte-bagages de toit requis. Longueur : 193 cm, largeur : 84 cm, hauteur : 40 cm (76 po x 33 po x 15,6 po); capacité de charge maximale : 50 kg (110 lb) Nécessite des rails de toit et des barres transversales.</v>
          </cell>
          <cell r="H58">
            <v>0.2</v>
          </cell>
          <cell r="J58">
            <v>875</v>
          </cell>
          <cell r="K58">
            <v>1458</v>
          </cell>
          <cell r="L58">
            <v>1491.6</v>
          </cell>
          <cell r="N58" t="str">
            <v>•</v>
          </cell>
          <cell r="O58" t="str">
            <v>•</v>
          </cell>
          <cell r="P58" t="str">
            <v>•</v>
          </cell>
          <cell r="Q58" t="str">
            <v>•</v>
          </cell>
          <cell r="U58" t="str">
            <v>Requires Roof Rails and Crossbars.</v>
          </cell>
          <cell r="V58" t="str">
            <v>Nécessite des rails de toit et des barres transversales.</v>
          </cell>
          <cell r="W58">
            <v>48</v>
          </cell>
          <cell r="AL58" t="str">
            <v>•</v>
          </cell>
          <cell r="AQ58" t="str">
            <v>Roof Rails - Black  - 08L02-THR-102
Roof Rails - Chrome - 08L02-THR-102A
Crossbars  - 08L04-THR-100</v>
          </cell>
        </row>
        <row r="59">
          <cell r="B59" t="str">
            <v>08L20-E09-300B</v>
          </cell>
          <cell r="C59" t="str">
            <v>08L20-E09-300B</v>
          </cell>
          <cell r="D59" t="str">
            <v>Roof Box - Short</v>
          </cell>
          <cell r="E59" t="str">
            <v>Boîte de toit - courte</v>
          </cell>
          <cell r="F59" t="str">
            <v>You can always use more storage space on a road trip, and the Short Roof Box provides just that. 13 cu. ft. of lockable storage space - length 65in, width 34.5 in, height 16in. 110lbs max load capacity. Dual-side opening for easy access. Requires Roof Rails and Crossbars.</v>
          </cell>
          <cell r="G59" t="str">
            <v>Vous pouvez toujours profiter de plus d'espace pour un voyage et la boîte de toit courte vous offre la solution. Espace de rangement se verrouillant à clé de 13 pi2 - longueur de 65 po, largeur de 34,5 po, hauteur de 16 po. Capacité de charge maximale de 110 lb. Ouverture sur les deux côtés pour faciliter l'accès. Nécessite des rails de toit et des barres transversales.</v>
          </cell>
          <cell r="H59">
            <v>0.2</v>
          </cell>
          <cell r="J59">
            <v>799</v>
          </cell>
          <cell r="K59">
            <v>1332</v>
          </cell>
          <cell r="L59">
            <v>1365.6</v>
          </cell>
          <cell r="N59" t="str">
            <v>•</v>
          </cell>
          <cell r="O59" t="str">
            <v>•</v>
          </cell>
          <cell r="P59" t="str">
            <v>•</v>
          </cell>
          <cell r="Q59" t="str">
            <v>•</v>
          </cell>
          <cell r="U59" t="str">
            <v>Requires Roof Rails and Crossbars.</v>
          </cell>
          <cell r="V59" t="str">
            <v>Nécessite des rails de toit et des barres transversales.</v>
          </cell>
          <cell r="W59">
            <v>49</v>
          </cell>
          <cell r="AL59" t="str">
            <v>•</v>
          </cell>
          <cell r="AQ59" t="str">
            <v>Roof Rails - Black  - 08L02-THR-102
Roof Rails - Chrome - 08L02-THR-102A
Crossbars  - 08L04-THR-100</v>
          </cell>
        </row>
        <row r="60">
          <cell r="B60" t="str">
            <v>08L09-E09-101</v>
          </cell>
          <cell r="C60" t="str">
            <v>08L09-E09-101</v>
          </cell>
          <cell r="D60" t="str">
            <v>Roof Kayak Attachment</v>
          </cell>
          <cell r="E60" t="str">
            <v>Galerie de toit, fixation pour kayak</v>
          </cell>
          <cell r="F60" t="str">
            <v>Handle kayaks up to 36 in wide and weighing up to 75 lbs. Easy loading with the pivoting, felt-lined rear saddles that help glide and center your kayak. Two independent pivoting saddles conform to a limitless range of hull shapes. Requires Roof Rails and Crossbars.</v>
          </cell>
          <cell r="G60" t="str">
            <v>Permet de transporter des kayaks jusqu’à 36 po de large et dont le poids peut atteindre 75 lb. Chargement facile à l'aide des selles arrière pivotantes à revêtement feutré qui aident à guider et centrer votre kayak. Deux selles pivotantes et indépendantes s'adaptent à une gamme infinie de formes de coque. Les traverses de toit sont requises.  Nécessite des rails de toit et des barres transversales.</v>
          </cell>
          <cell r="H60">
            <v>0.2</v>
          </cell>
          <cell r="J60">
            <v>430</v>
          </cell>
          <cell r="K60">
            <v>717</v>
          </cell>
          <cell r="L60">
            <v>750.6</v>
          </cell>
          <cell r="N60" t="str">
            <v>•</v>
          </cell>
          <cell r="O60" t="str">
            <v>•</v>
          </cell>
          <cell r="P60" t="str">
            <v>•</v>
          </cell>
          <cell r="Q60" t="str">
            <v>•</v>
          </cell>
          <cell r="U60" t="str">
            <v>Requires Roof Rails and Crossbars.</v>
          </cell>
          <cell r="V60" t="str">
            <v>Nécessite des rails de toit et des barres transversales.</v>
          </cell>
          <cell r="W60">
            <v>50</v>
          </cell>
          <cell r="AL60" t="str">
            <v>•</v>
          </cell>
          <cell r="AQ60" t="str">
            <v>Roof Rails - Black  - 08L02-THR-102
Roof Rails - Chrome - 08L02-THR-102A
Crossbars  - 08L04-THR-100</v>
          </cell>
        </row>
        <row r="61">
          <cell r="B61" t="str">
            <v>08L03-E09-300C</v>
          </cell>
          <cell r="C61" t="str">
            <v>08L03-E09-300C</v>
          </cell>
          <cell r="D61" t="str">
            <v>Roof Ski/Snowboard Attachment</v>
          </cell>
          <cell r="E61" t="str">
            <v>Galerie de toit, Fixation pour skis/planche à neige</v>
          </cell>
          <cell r="F61" t="str">
            <v>The handy Ski Attachment keeps your skis and snowboards outside so your interior stays clean and dry.  Requires Roof Rails and Crossbars.</v>
          </cell>
          <cell r="G61" t="str">
            <v>La fixation pratique pour skis permet de transporter ceux-ci à l’extérieur du véhicule, pour que l’habitacle demeure propre et sec. Nécessite des rails de toit et des barres transversales.</v>
          </cell>
          <cell r="H61">
            <v>0.2</v>
          </cell>
          <cell r="J61">
            <v>415</v>
          </cell>
          <cell r="K61">
            <v>692</v>
          </cell>
          <cell r="L61">
            <v>725.6</v>
          </cell>
          <cell r="N61" t="str">
            <v>•</v>
          </cell>
          <cell r="O61" t="str">
            <v>•</v>
          </cell>
          <cell r="P61" t="str">
            <v>•</v>
          </cell>
          <cell r="Q61" t="str">
            <v>•</v>
          </cell>
          <cell r="U61" t="str">
            <v>Requires Roof Rails and Crossbars.</v>
          </cell>
          <cell r="V61" t="str">
            <v>Nécessite des rails de toit et des barres transversales.</v>
          </cell>
          <cell r="W61">
            <v>34</v>
          </cell>
          <cell r="AL61" t="str">
            <v>•</v>
          </cell>
          <cell r="AQ61" t="str">
            <v>Roof Rails - Black  - 08L02-THR-102
Roof Rails - Chrome - 08L02-THR-102A
Crossbars  - 08L04-THR-100</v>
          </cell>
        </row>
        <row r="62">
          <cell r="B62" t="str">
            <v>08L05-E09-100</v>
          </cell>
          <cell r="C62" t="str">
            <v>08L05-E09-100</v>
          </cell>
          <cell r="D62" t="str">
            <v>Roof Surfboard Attachment</v>
          </cell>
          <cell r="E62" t="str">
            <v>Galerie de toit, Fixation pour planche de surf</v>
          </cell>
          <cell r="F62" t="str">
            <v>The telescoping design allows a custom fit for boards up to 34 in wide. Handles two boards with maximum stability. Soft, weather-resistant padding and strong, durable load straps with adjustable padding protect boards from strap abrasion. Requires Roof Rails and Crossbars.</v>
          </cell>
          <cell r="G62" t="str">
            <v>La conception télescopique offre un ajustement personnalisé pour les planches dont la largeur peut atteindre 34 po. Permet de transporter deux planches avec un maximum de stabilité. Rembourrage souple et résistant aux intempéries et sangles résistantes et durables avec rembourrage réglable protégeant les planches contre l'abrasion causée par les sangles. Nécessite des rails de toit et des barres transversales.</v>
          </cell>
          <cell r="H62">
            <v>0.2</v>
          </cell>
          <cell r="J62">
            <v>207</v>
          </cell>
          <cell r="K62">
            <v>345</v>
          </cell>
          <cell r="L62">
            <v>378.6</v>
          </cell>
          <cell r="N62" t="str">
            <v>•</v>
          </cell>
          <cell r="O62" t="str">
            <v>•</v>
          </cell>
          <cell r="P62" t="str">
            <v>•</v>
          </cell>
          <cell r="Q62" t="str">
            <v>•</v>
          </cell>
          <cell r="U62" t="str">
            <v>Requires Roof Rails and Crossbars.</v>
          </cell>
          <cell r="V62" t="str">
            <v>Nécessite des rails de toit et des barres transversales.</v>
          </cell>
          <cell r="W62">
            <v>51</v>
          </cell>
          <cell r="AL62" t="str">
            <v>•</v>
          </cell>
          <cell r="AQ62" t="str">
            <v>Roof Rails - Black  - 08L02-THR-102
Roof Rails - Chrome - 08L02-THR-102A
Crossbars  - 08L04-THR-100</v>
          </cell>
        </row>
        <row r="63">
          <cell r="B63" t="str">
            <v>08T44-SJA-401A</v>
          </cell>
          <cell r="C63" t="str">
            <v>08T44-SJA-401AODY</v>
          </cell>
          <cell r="D63" t="str">
            <v>Engine Block Heater</v>
          </cell>
          <cell r="E63" t="str">
            <v xml:space="preserve">Chauffe-moteur   </v>
          </cell>
          <cell r="F63" t="str">
            <v>The engine block heater makes for easier starts during the cold winter months.</v>
          </cell>
          <cell r="G63" t="str">
            <v>Le chauffe-moteur permettra de démarrer votre Honda plus rapidement par temps glacial, et de réduire considérablement l’usure et la détérioration de votre batterie et de votre moteur.</v>
          </cell>
          <cell r="H63">
            <v>1.4</v>
          </cell>
          <cell r="J63">
            <v>145</v>
          </cell>
          <cell r="K63">
            <v>242</v>
          </cell>
          <cell r="L63">
            <v>477.2</v>
          </cell>
          <cell r="N63" t="str">
            <v>•</v>
          </cell>
          <cell r="O63" t="str">
            <v>•</v>
          </cell>
          <cell r="P63" t="str">
            <v>•</v>
          </cell>
          <cell r="Q63" t="str">
            <v>•</v>
          </cell>
          <cell r="W63">
            <v>35</v>
          </cell>
          <cell r="AK63" t="str">
            <v>•</v>
          </cell>
          <cell r="AR63" t="str">
            <v>21ODY-COLD-PKG	Cold Weather Package</v>
          </cell>
        </row>
        <row r="67">
          <cell r="B67" t="str">
            <v xml:space="preserve">web only </v>
          </cell>
          <cell r="C67" t="str">
            <v>08U59-THR-101</v>
          </cell>
          <cell r="D67" t="str">
            <v>Hands-Free Power Tailgate Sensor</v>
          </cell>
          <cell r="E67" t="str">
            <v>Capteur de hayon électrique mains libres</v>
          </cell>
          <cell r="H67">
            <v>1.4</v>
          </cell>
          <cell r="J67">
            <v>399</v>
          </cell>
          <cell r="K67">
            <v>600</v>
          </cell>
          <cell r="L67">
            <v>835.2</v>
          </cell>
          <cell r="N67" t="str">
            <v>•</v>
          </cell>
          <cell r="O67" t="str">
            <v>•</v>
          </cell>
          <cell r="P67" t="str">
            <v>S</v>
          </cell>
          <cell r="Q67" t="str">
            <v>S</v>
          </cell>
          <cell r="U67" t="str">
            <v>Requires Sensor &amp; Attachment.</v>
          </cell>
          <cell r="V67" t="str">
            <v>Nécessite un capteur et un accessoire.</v>
          </cell>
          <cell r="W67">
            <v>27</v>
          </cell>
          <cell r="AL67" t="str">
            <v>•</v>
          </cell>
        </row>
        <row r="68">
          <cell r="B68" t="str">
            <v>08U59-THR-101</v>
          </cell>
          <cell r="C68" t="str">
            <v>N/A</v>
          </cell>
          <cell r="D68" t="str">
            <v>Hands-Free Power Tailgate Sensor</v>
          </cell>
          <cell r="E68" t="str">
            <v>Capteur de hayon électrique mains libres</v>
          </cell>
          <cell r="H68">
            <v>0.2</v>
          </cell>
          <cell r="J68">
            <v>273</v>
          </cell>
          <cell r="K68">
            <v>390</v>
          </cell>
          <cell r="L68">
            <v>423.6</v>
          </cell>
          <cell r="N68" t="str">
            <v>•</v>
          </cell>
          <cell r="O68" t="str">
            <v>•</v>
          </cell>
          <cell r="P68" t="str">
            <v>S</v>
          </cell>
          <cell r="Q68" t="str">
            <v>S</v>
          </cell>
          <cell r="U68" t="str">
            <v>Requires Sensor &amp; Attachment.</v>
          </cell>
          <cell r="V68" t="str">
            <v>Nécessite un capteur et un accessoire.</v>
          </cell>
        </row>
        <row r="69">
          <cell r="B69" t="str">
            <v>08U59-THR-300A</v>
          </cell>
          <cell r="C69" t="str">
            <v>N/A</v>
          </cell>
          <cell r="D69" t="str">
            <v>Hands-Free Power Tailgate Sensor - Attachment</v>
          </cell>
          <cell r="E69" t="str">
            <v>Fixation du capteur de hayon électrique mains libres</v>
          </cell>
          <cell r="H69">
            <v>1.2</v>
          </cell>
          <cell r="J69">
            <v>126</v>
          </cell>
          <cell r="K69">
            <v>210</v>
          </cell>
          <cell r="L69">
            <v>411.6</v>
          </cell>
          <cell r="N69" t="str">
            <v>•</v>
          </cell>
          <cell r="O69" t="str">
            <v>•</v>
          </cell>
          <cell r="P69" t="str">
            <v>S</v>
          </cell>
          <cell r="Q69" t="str">
            <v>S</v>
          </cell>
          <cell r="U69" t="str">
            <v>Requires Sensor &amp; Attachment.</v>
          </cell>
          <cell r="V69" t="str">
            <v>Nécessite un capteur et un accessoire.</v>
          </cell>
        </row>
        <row r="70">
          <cell r="B70" t="str">
            <v>08L91-THR-300A</v>
          </cell>
          <cell r="C70" t="str">
            <v>08L91-THR-300A</v>
          </cell>
          <cell r="D70" t="str">
            <v>Hands-Free Power Tailgate Sensor Adapter</v>
          </cell>
          <cell r="E70" t="str">
            <v>Adaptateur de capteur de hayon électrique mains libres</v>
          </cell>
          <cell r="H70">
            <v>0.2</v>
          </cell>
          <cell r="J70">
            <v>238</v>
          </cell>
          <cell r="K70">
            <v>397</v>
          </cell>
          <cell r="L70">
            <v>430.6</v>
          </cell>
          <cell r="N70" t="str">
            <v>•</v>
          </cell>
          <cell r="O70" t="str">
            <v>•</v>
          </cell>
          <cell r="P70" t="str">
            <v>•</v>
          </cell>
          <cell r="Q70" t="str">
            <v>•</v>
          </cell>
          <cell r="W70">
            <v>28</v>
          </cell>
          <cell r="AL70" t="str">
            <v>•</v>
          </cell>
        </row>
        <row r="72">
          <cell r="B72" t="str">
            <v>08E12-THR-100</v>
          </cell>
          <cell r="C72" t="str">
            <v>08E12-THR-100</v>
          </cell>
          <cell r="D72" t="str">
            <v>Illuminated Door Sill Trim - Front &amp; Rear</v>
          </cell>
          <cell r="E72" t="str">
            <v>Garniture lumineuses de bas de portière - Avant et arrière</v>
          </cell>
          <cell r="F72" t="str">
            <v>Blue LED lights illuminate the Odyssey logo on all four doors when opened. Made of durable, polished stainless steel.</v>
          </cell>
          <cell r="G72" t="str">
            <v>Les lampes à DEL bleues illuminent le logo Odyssey lorsque la portière est ouverte. Faites en acier inoxydable poli et durable.</v>
          </cell>
          <cell r="H72">
            <v>1.2</v>
          </cell>
          <cell r="J72">
            <v>564</v>
          </cell>
          <cell r="K72">
            <v>868</v>
          </cell>
          <cell r="L72">
            <v>1069.5999999999999</v>
          </cell>
          <cell r="N72" t="str">
            <v>•</v>
          </cell>
          <cell r="O72" t="str">
            <v>•</v>
          </cell>
          <cell r="P72" t="str">
            <v>•</v>
          </cell>
          <cell r="Q72" t="str">
            <v>•</v>
          </cell>
          <cell r="U72" t="str">
            <v>Front and Rear Doors Sills.</v>
          </cell>
          <cell r="V72" t="str">
            <v>Garniture de portes avant et arrière.</v>
          </cell>
          <cell r="W72">
            <v>20</v>
          </cell>
          <cell r="AM72" t="str">
            <v>•</v>
          </cell>
          <cell r="AR72" t="str">
            <v>Illuminated Door Sill Trim - Front Only - 08E12-THR-100A</v>
          </cell>
        </row>
        <row r="73">
          <cell r="B73" t="str">
            <v>08E12-THR-100A</v>
          </cell>
          <cell r="C73" t="str">
            <v>08E12-THR-100A</v>
          </cell>
          <cell r="D73" t="str">
            <v>Illuminated Door Sill Trim - Front Only</v>
          </cell>
          <cell r="E73" t="str">
            <v>Garniture lumineuse de bas de portière - Avant seulement</v>
          </cell>
          <cell r="F73" t="str">
            <v>Blue LED lights illuminate the Odyssey logo on the front driver-side and passenger-side doors when opened. Made of durable, polished stainless steel.</v>
          </cell>
          <cell r="G73" t="str">
            <v>Les lampes à DEL bleues illuminent le logo Odyssey lorsque la portière du côté conducteur ou la portière du côté passager est ouverte. Faites en acier inoxydable poli et durable.</v>
          </cell>
          <cell r="H73">
            <v>0.8</v>
          </cell>
          <cell r="J73">
            <v>19.989999999999998</v>
          </cell>
          <cell r="K73">
            <v>32.99</v>
          </cell>
          <cell r="L73">
            <v>167.39000000000001</v>
          </cell>
          <cell r="N73" t="str">
            <v>•</v>
          </cell>
          <cell r="O73" t="str">
            <v>•</v>
          </cell>
          <cell r="P73" t="str">
            <v>•</v>
          </cell>
          <cell r="Q73" t="str">
            <v>•</v>
          </cell>
          <cell r="U73" t="str">
            <v>Front Doors Sills only.</v>
          </cell>
          <cell r="V73" t="str">
            <v>Garniture de portes avant.</v>
          </cell>
          <cell r="W73">
            <v>21</v>
          </cell>
          <cell r="AM73" t="str">
            <v>•</v>
          </cell>
          <cell r="AR73" t="str">
            <v>Illuminated Door Sill Trim - Front &amp; Rear - 08E12-THR-100</v>
          </cell>
        </row>
        <row r="74">
          <cell r="B74" t="str">
            <v>08E10-THR-100</v>
          </cell>
          <cell r="C74" t="str">
            <v>08E10-THR-100</v>
          </cell>
          <cell r="D74" t="str">
            <v>Illuminated Interior</v>
          </cell>
          <cell r="E74" t="str">
            <v>Lumières d'amiance</v>
          </cell>
          <cell r="H74">
            <v>0.8</v>
          </cell>
          <cell r="J74">
            <v>98</v>
          </cell>
          <cell r="K74">
            <v>163</v>
          </cell>
          <cell r="L74">
            <v>297.39999999999998</v>
          </cell>
          <cell r="N74" t="str">
            <v>•</v>
          </cell>
          <cell r="O74" t="str">
            <v>•</v>
          </cell>
          <cell r="P74" t="str">
            <v>•</v>
          </cell>
          <cell r="Q74" t="str">
            <v>•</v>
          </cell>
          <cell r="W74">
            <v>17</v>
          </cell>
          <cell r="AM74" t="str">
            <v>•</v>
          </cell>
        </row>
        <row r="75">
          <cell r="B75" t="str">
            <v>08V27-THR-100</v>
          </cell>
          <cell r="C75" t="str">
            <v>08V27-THR-100</v>
          </cell>
          <cell r="D75" t="str">
            <v>Pattern Projector</v>
          </cell>
          <cell r="E75" t="str">
            <v>Projecteurs de motifs</v>
          </cell>
          <cell r="F75" t="str">
            <v>Upon opening your vehicle’s door, our Logo Pattern Projector illuminates the ground for added visibility. LED lights project the Odyssey logo.</v>
          </cell>
          <cell r="G75" t="str">
            <v>Lors de l’ouverture de la portière du véhicule, le projecteur de logo illumine le sol pour une visibilité accrue. Un éclairage à DEL projette le logo « Odyssey ».</v>
          </cell>
          <cell r="H75">
            <v>1.2</v>
          </cell>
          <cell r="J75">
            <v>9.99</v>
          </cell>
          <cell r="K75">
            <v>16.989999999999998</v>
          </cell>
          <cell r="L75">
            <v>218.59</v>
          </cell>
          <cell r="N75" t="str">
            <v>•</v>
          </cell>
          <cell r="O75" t="str">
            <v>•</v>
          </cell>
          <cell r="P75" t="str">
            <v>•</v>
          </cell>
          <cell r="Q75" t="str">
            <v>•</v>
          </cell>
          <cell r="W75">
            <v>18</v>
          </cell>
          <cell r="AN75" t="str">
            <v>•</v>
          </cell>
        </row>
        <row r="76">
          <cell r="B76" t="str">
            <v>08V27-THR-100A</v>
          </cell>
          <cell r="C76" t="str">
            <v>08V27-THR-100A</v>
          </cell>
          <cell r="D76" t="str">
            <v>Welcome Lights</v>
          </cell>
          <cell r="E76" t="str">
            <v>Lumières d’accueil</v>
          </cell>
          <cell r="F76" t="str">
            <v>The Welcome Light illuminates when your Odyssey is unlocked with a key fob or a door is opened to provide a luxurious, upscale appearance. White LED light provides a welcoming ambience</v>
          </cell>
          <cell r="G76" t="str">
            <v>La lumière ’accueil allume lorsque votre Odyssey est déverrouillée à l’aide d’un porte-clés ou qu’une porte est ouverte pour lui donner une apparence luxueuse et haut de gamme.</v>
          </cell>
          <cell r="H76">
            <v>2.5</v>
          </cell>
          <cell r="J76">
            <v>263</v>
          </cell>
          <cell r="K76">
            <v>376</v>
          </cell>
          <cell r="L76">
            <v>796</v>
          </cell>
          <cell r="N76" t="str">
            <v>•</v>
          </cell>
          <cell r="O76" t="str">
            <v>•</v>
          </cell>
          <cell r="P76" t="str">
            <v>•</v>
          </cell>
          <cell r="Q76" t="str">
            <v>•</v>
          </cell>
          <cell r="W76">
            <v>19</v>
          </cell>
          <cell r="AN76" t="str">
            <v>•</v>
          </cell>
        </row>
        <row r="77">
          <cell r="B77" t="str">
            <v>31670-BMS-004H</v>
          </cell>
          <cell r="C77" t="str">
            <v>31670-BMS-004H</v>
          </cell>
          <cell r="D77" t="str">
            <v>Optimate 12V Auto Battery Charger/Maintainer</v>
          </cell>
          <cell r="E77" t="str">
            <v>Chargeur/mainteneur de charge de batterie automobile 12 V</v>
          </cell>
          <cell r="F77" t="str">
            <v>Extended battery life by charging/maintaining a Honda battery to ideal charge levels.</v>
          </cell>
          <cell r="G77" t="str">
            <v>Vie prolongée de la batterie Honda en maintenant la charge au niveau ideal</v>
          </cell>
          <cell r="H77">
            <v>0</v>
          </cell>
          <cell r="J77">
            <v>91</v>
          </cell>
          <cell r="K77">
            <v>152</v>
          </cell>
          <cell r="L77">
            <v>152</v>
          </cell>
          <cell r="N77" t="str">
            <v>•</v>
          </cell>
          <cell r="O77" t="str">
            <v>•</v>
          </cell>
          <cell r="P77" t="str">
            <v>•</v>
          </cell>
          <cell r="Q77" t="str">
            <v>•</v>
          </cell>
          <cell r="W77">
            <v>36</v>
          </cell>
          <cell r="AK77" t="str">
            <v>•</v>
          </cell>
          <cell r="AR77" t="str">
            <v>21ODY-COLD-PKG	Cold Weather Package</v>
          </cell>
        </row>
        <row r="78">
          <cell r="B78" t="str">
            <v>31670-BMS-LEAD</v>
          </cell>
          <cell r="C78" t="str">
            <v>N/A App Chart</v>
          </cell>
          <cell r="D78" t="str">
            <v>Battery Lead</v>
          </cell>
          <cell r="E78" t="str">
            <v>Câble de batterie</v>
          </cell>
          <cell r="H78">
            <v>0</v>
          </cell>
          <cell r="J78">
            <v>18.63</v>
          </cell>
          <cell r="K78">
            <v>26.91</v>
          </cell>
          <cell r="L78">
            <v>26.91</v>
          </cell>
          <cell r="N78" t="str">
            <v>•</v>
          </cell>
          <cell r="O78" t="str">
            <v>•</v>
          </cell>
          <cell r="P78" t="str">
            <v>•</v>
          </cell>
          <cell r="Q78" t="str">
            <v>•</v>
          </cell>
        </row>
        <row r="79">
          <cell r="J79" t="e">
            <v>#N/A</v>
          </cell>
          <cell r="K79" t="e">
            <v>#N/A</v>
          </cell>
          <cell r="L79" t="e">
            <v>#N/A</v>
          </cell>
        </row>
        <row r="80">
          <cell r="B80" t="str">
            <v>08P05-THR-XXXX</v>
          </cell>
          <cell r="C80" t="str">
            <v>08P05-THR-191</v>
          </cell>
          <cell r="D80" t="str">
            <v>Body Side Moulding</v>
          </cell>
          <cell r="E80" t="str">
            <v>Moulure latérale</v>
          </cell>
          <cell r="F80" t="str">
            <v>Designed for perfect fit and finish, this Body Side Moulding complements the sleek contours of your vehicle and helps to protect its doors from minor dents.</v>
          </cell>
          <cell r="G80" t="str">
            <v>D'une façon et d'une finition parfaitement assorties, cette moulure latérale de la carrosserie est un complément idéal pour la forme effilée de votre véhicule et aide à protéger les portières contre les bosselures.</v>
          </cell>
          <cell r="H80">
            <v>0.4</v>
          </cell>
          <cell r="J80">
            <v>231</v>
          </cell>
          <cell r="K80">
            <v>385</v>
          </cell>
          <cell r="L80">
            <v>452.2</v>
          </cell>
          <cell r="N80" t="str">
            <v>•</v>
          </cell>
          <cell r="O80" t="str">
            <v>•</v>
          </cell>
          <cell r="P80" t="str">
            <v>•</v>
          </cell>
          <cell r="Q80" t="str">
            <v>•</v>
          </cell>
          <cell r="U80" t="str">
            <v>Cannot be applied simultaneously with Door Edge Guard.</v>
          </cell>
          <cell r="V80" t="str">
            <v>Assortie à la couleur du véhicule. Ne peut être installé simultanément avec les protecteurs de rebords de portière.</v>
          </cell>
          <cell r="W80">
            <v>11</v>
          </cell>
          <cell r="AJ80" t="str">
            <v>•</v>
          </cell>
        </row>
        <row r="81">
          <cell r="B81" t="str">
            <v>08P05-THR-191</v>
          </cell>
          <cell r="C81" t="str">
            <v>N/A</v>
          </cell>
          <cell r="D81" t="str">
            <v>Platinum White Pearl (NH-883P)</v>
          </cell>
          <cell r="E81" t="str">
            <v>Blanc platine nacré (NH-883P)</v>
          </cell>
          <cell r="H81">
            <v>0.4</v>
          </cell>
          <cell r="J81">
            <v>231</v>
          </cell>
          <cell r="K81">
            <v>385</v>
          </cell>
          <cell r="L81">
            <v>452.2</v>
          </cell>
          <cell r="N81" t="str">
            <v>•</v>
          </cell>
          <cell r="O81" t="str">
            <v>•</v>
          </cell>
          <cell r="P81" t="str">
            <v>•</v>
          </cell>
          <cell r="Q81" t="str">
            <v>•</v>
          </cell>
        </row>
        <row r="82">
          <cell r="B82" t="str">
            <v>08P05-THR-121</v>
          </cell>
          <cell r="C82" t="str">
            <v>N/A</v>
          </cell>
          <cell r="D82" t="str">
            <v>Crystal Black Pearl (NH-731P)</v>
          </cell>
          <cell r="E82" t="str">
            <v>Noir cristal nacré (NH-731P)</v>
          </cell>
          <cell r="H82">
            <v>0.4</v>
          </cell>
          <cell r="J82">
            <v>231</v>
          </cell>
          <cell r="K82">
            <v>385</v>
          </cell>
          <cell r="L82">
            <v>452.2</v>
          </cell>
          <cell r="N82" t="str">
            <v>•</v>
          </cell>
          <cell r="O82" t="str">
            <v>N/A</v>
          </cell>
          <cell r="P82" t="str">
            <v>N/A</v>
          </cell>
          <cell r="Q82" t="str">
            <v>•</v>
          </cell>
        </row>
        <row r="83">
          <cell r="B83" t="str">
            <v>08P05-THR-131</v>
          </cell>
          <cell r="C83" t="str">
            <v>N/A</v>
          </cell>
          <cell r="D83" t="str">
            <v>Modern Steel Metallic (NH-797M)</v>
          </cell>
          <cell r="E83" t="str">
            <v>Acier moderne métallisé (NH-797M)</v>
          </cell>
          <cell r="H83">
            <v>0.4</v>
          </cell>
          <cell r="J83">
            <v>231</v>
          </cell>
          <cell r="K83">
            <v>385</v>
          </cell>
          <cell r="L83">
            <v>452.2</v>
          </cell>
          <cell r="N83" t="str">
            <v>N/A</v>
          </cell>
          <cell r="O83" t="str">
            <v>•</v>
          </cell>
          <cell r="P83" t="str">
            <v>•</v>
          </cell>
          <cell r="Q83" t="str">
            <v>N/A</v>
          </cell>
        </row>
        <row r="84">
          <cell r="B84" t="str">
            <v>08P05-THR-1B1</v>
          </cell>
          <cell r="C84" t="str">
            <v>N/A</v>
          </cell>
          <cell r="D84" t="str">
            <v>Sonic Gray Pearl (NH-877P)</v>
          </cell>
          <cell r="E84" t="str">
            <v>Gris sonique nacré (NH-877P)</v>
          </cell>
          <cell r="H84">
            <v>0.4</v>
          </cell>
          <cell r="J84">
            <v>231</v>
          </cell>
          <cell r="K84">
            <v>385</v>
          </cell>
          <cell r="L84">
            <v>452.2</v>
          </cell>
          <cell r="N84" t="str">
            <v>N/A</v>
          </cell>
          <cell r="O84" t="str">
            <v>N/A</v>
          </cell>
          <cell r="P84" t="str">
            <v>•</v>
          </cell>
          <cell r="Q84" t="str">
            <v>•</v>
          </cell>
        </row>
        <row r="85">
          <cell r="B85" t="str">
            <v>08P05-THR-1A1</v>
          </cell>
          <cell r="C85" t="str">
            <v>N/A</v>
          </cell>
          <cell r="D85" t="str">
            <v>Radiant Red Metallic II (R-580M)</v>
          </cell>
          <cell r="E85" t="str">
            <v>Radiant rouge métallisé II (R-580M)</v>
          </cell>
          <cell r="H85">
            <v>0.4</v>
          </cell>
          <cell r="J85">
            <v>231</v>
          </cell>
          <cell r="K85">
            <v>385</v>
          </cell>
          <cell r="L85">
            <v>452.2</v>
          </cell>
          <cell r="N85" t="str">
            <v>N/A</v>
          </cell>
          <cell r="O85" t="str">
            <v>N/A</v>
          </cell>
          <cell r="P85" t="str">
            <v>N/A</v>
          </cell>
          <cell r="Q85" t="str">
            <v>•</v>
          </cell>
        </row>
        <row r="86">
          <cell r="B86" t="str">
            <v>08P05-THR-1C1</v>
          </cell>
          <cell r="C86" t="str">
            <v>N/A</v>
          </cell>
          <cell r="D86" t="str">
            <v>Solar Reflection Silver (NH-932M)</v>
          </cell>
          <cell r="E86" t="str">
            <v>Refl et solaire argent métallisé (NH-932M)</v>
          </cell>
          <cell r="H86">
            <v>0.4</v>
          </cell>
          <cell r="J86">
            <v>231</v>
          </cell>
          <cell r="K86">
            <v>385</v>
          </cell>
          <cell r="L86">
            <v>452.2</v>
          </cell>
          <cell r="N86" t="str">
            <v>•</v>
          </cell>
          <cell r="O86" t="str">
            <v>•</v>
          </cell>
          <cell r="P86" t="str">
            <v>•</v>
          </cell>
          <cell r="Q86" t="str">
            <v>N/A</v>
          </cell>
        </row>
        <row r="87">
          <cell r="B87" t="str">
            <v>08P20-THR-XXXX</v>
          </cell>
          <cell r="C87" t="str">
            <v>08P20-THR-190A</v>
          </cell>
          <cell r="D87" t="str">
            <v>Door Edge Guards</v>
          </cell>
          <cell r="E87" t="str">
            <v>Protecteurs de bordure de porte</v>
          </cell>
          <cell r="F87" t="str">
            <v>Door Edge Guards help protect your doors from nicks and scrapes that can be expensive to repair.</v>
          </cell>
          <cell r="G87" t="str">
            <v>Les protecteurs de rebords de portières aident à protéger les portières de votre véhicule contre les égratignures et éraflures dont la réparation serait coûteuse.</v>
          </cell>
          <cell r="H87">
            <v>0.3</v>
          </cell>
          <cell r="J87">
            <v>87</v>
          </cell>
          <cell r="K87">
            <v>145</v>
          </cell>
          <cell r="L87">
            <v>195.4</v>
          </cell>
          <cell r="N87" t="str">
            <v>•</v>
          </cell>
          <cell r="O87" t="str">
            <v>•</v>
          </cell>
          <cell r="P87" t="str">
            <v>•</v>
          </cell>
          <cell r="Q87" t="str">
            <v>•</v>
          </cell>
          <cell r="U87" t="str">
            <v>Cannot be installed with Door Edge Film</v>
          </cell>
          <cell r="V87" t="str">
            <v>Ne peut être installé simultanément avec pellicule pour rebord de portière</v>
          </cell>
          <cell r="W87">
            <v>46</v>
          </cell>
          <cell r="AJ87" t="str">
            <v>•</v>
          </cell>
          <cell r="AR87" t="str">
            <v>Door Edge Film - 08P20-THR-100</v>
          </cell>
        </row>
        <row r="88">
          <cell r="B88" t="str">
            <v>08P20-THR-190A</v>
          </cell>
          <cell r="C88" t="str">
            <v>N/A</v>
          </cell>
          <cell r="D88" t="str">
            <v>Platinum White Pearl (NH-883P)</v>
          </cell>
          <cell r="E88" t="str">
            <v>Blanc platine nacré (NH-883P)</v>
          </cell>
          <cell r="H88">
            <v>0.3</v>
          </cell>
          <cell r="J88">
            <v>87</v>
          </cell>
          <cell r="K88">
            <v>145</v>
          </cell>
          <cell r="L88">
            <v>195.4</v>
          </cell>
          <cell r="N88" t="str">
            <v>•</v>
          </cell>
          <cell r="O88" t="str">
            <v>•</v>
          </cell>
          <cell r="P88" t="str">
            <v>•</v>
          </cell>
          <cell r="Q88" t="str">
            <v>•</v>
          </cell>
        </row>
        <row r="89">
          <cell r="B89" t="str">
            <v>08P20-THR-120A</v>
          </cell>
          <cell r="C89" t="str">
            <v>N/A</v>
          </cell>
          <cell r="D89" t="str">
            <v>Crystal Black Pearl (NH-731P)</v>
          </cell>
          <cell r="E89" t="str">
            <v>Noir cristal nacré (NH-731P)</v>
          </cell>
          <cell r="H89">
            <v>0.3</v>
          </cell>
          <cell r="J89">
            <v>87</v>
          </cell>
          <cell r="K89">
            <v>145</v>
          </cell>
          <cell r="L89">
            <v>195.4</v>
          </cell>
          <cell r="N89" t="str">
            <v>•</v>
          </cell>
          <cell r="O89" t="str">
            <v>N/A</v>
          </cell>
          <cell r="P89" t="str">
            <v>N/A</v>
          </cell>
          <cell r="Q89" t="str">
            <v>•</v>
          </cell>
        </row>
        <row r="90">
          <cell r="B90" t="str">
            <v>08P20-THR-130A</v>
          </cell>
          <cell r="C90" t="str">
            <v>N/A</v>
          </cell>
          <cell r="D90" t="str">
            <v>Modern Steel Metallic (NH-797M)</v>
          </cell>
          <cell r="E90" t="str">
            <v>Acier moderne métallisé (NH-797M)</v>
          </cell>
          <cell r="H90">
            <v>0.3</v>
          </cell>
          <cell r="J90">
            <v>87</v>
          </cell>
          <cell r="K90">
            <v>145</v>
          </cell>
          <cell r="L90">
            <v>195.4</v>
          </cell>
          <cell r="N90" t="str">
            <v>N/A</v>
          </cell>
          <cell r="O90" t="str">
            <v>•</v>
          </cell>
          <cell r="P90" t="str">
            <v>•</v>
          </cell>
          <cell r="Q90" t="str">
            <v>N/A</v>
          </cell>
        </row>
        <row r="91">
          <cell r="B91" t="str">
            <v>08P20-THR-1B0A</v>
          </cell>
          <cell r="C91" t="str">
            <v>N/A</v>
          </cell>
          <cell r="D91" t="str">
            <v>Sonic Gray Pearl (NH-877P)</v>
          </cell>
          <cell r="E91" t="str">
            <v>Gris sonique nacré (NH-877P)</v>
          </cell>
          <cell r="H91">
            <v>0.3</v>
          </cell>
          <cell r="J91">
            <v>87</v>
          </cell>
          <cell r="K91">
            <v>145</v>
          </cell>
          <cell r="L91">
            <v>195.4</v>
          </cell>
          <cell r="N91" t="str">
            <v>N/A</v>
          </cell>
          <cell r="O91" t="str">
            <v>N/A</v>
          </cell>
          <cell r="P91" t="str">
            <v>•</v>
          </cell>
          <cell r="Q91" t="str">
            <v>•</v>
          </cell>
        </row>
        <row r="92">
          <cell r="B92" t="str">
            <v>08P20-THR-1A0A</v>
          </cell>
          <cell r="C92" t="str">
            <v>N/A</v>
          </cell>
          <cell r="D92" t="str">
            <v>Radiant Red Metallic II (R-580M)</v>
          </cell>
          <cell r="E92" t="str">
            <v>Radiant rouge métallisé II (R-580M)</v>
          </cell>
          <cell r="H92">
            <v>0.3</v>
          </cell>
          <cell r="J92">
            <v>23.99</v>
          </cell>
          <cell r="K92">
            <v>39.99</v>
          </cell>
          <cell r="L92">
            <v>90.39</v>
          </cell>
          <cell r="N92" t="str">
            <v>N/A</v>
          </cell>
          <cell r="O92" t="str">
            <v>N/A</v>
          </cell>
          <cell r="P92" t="str">
            <v>N/A</v>
          </cell>
          <cell r="Q92" t="str">
            <v>•</v>
          </cell>
        </row>
        <row r="93">
          <cell r="B93" t="str">
            <v>08P20-THR-1C0A</v>
          </cell>
          <cell r="C93" t="str">
            <v>N/A</v>
          </cell>
          <cell r="D93" t="str">
            <v>Solar Reflection Silver (NH-932M)</v>
          </cell>
          <cell r="E93" t="str">
            <v>Refl et solaire argent métallisé (NH-932M)</v>
          </cell>
          <cell r="H93">
            <v>0.3</v>
          </cell>
          <cell r="J93">
            <v>87</v>
          </cell>
          <cell r="K93">
            <v>145</v>
          </cell>
          <cell r="L93">
            <v>195.4</v>
          </cell>
          <cell r="N93" t="str">
            <v>•</v>
          </cell>
          <cell r="O93" t="str">
            <v>•</v>
          </cell>
          <cell r="P93" t="str">
            <v>•</v>
          </cell>
          <cell r="Q93" t="str">
            <v>N/A</v>
          </cell>
        </row>
        <row r="94">
          <cell r="B94" t="str">
            <v>08P17-THR-110A</v>
          </cell>
          <cell r="C94" t="str">
            <v>08P17-THR-110A</v>
          </cell>
          <cell r="D94" t="str">
            <v>All-Season Floor Mats - White Logo</v>
          </cell>
          <cell r="E94" t="str">
            <v>Protège-tapis toutes saisons - logo blanc</v>
          </cell>
          <cell r="F94" t="str">
            <v>With all the places you'll be travelling, these durable high wall All Season Floor Mats help protect your interior from muddy, wet shoes and more.</v>
          </cell>
          <cell r="G94" t="str">
            <v>Vos nombreux voyages vous permettrons d'apprécier ces tapis toutes saisons qui aideront à protéger l'habitacle des chaussures mouillées et autres objets salissants que vous y déposerez.</v>
          </cell>
          <cell r="H94">
            <v>0.1</v>
          </cell>
          <cell r="J94">
            <v>195</v>
          </cell>
          <cell r="K94">
            <v>325</v>
          </cell>
          <cell r="L94">
            <v>341.8</v>
          </cell>
          <cell r="N94" t="str">
            <v>•</v>
          </cell>
          <cell r="O94" t="str">
            <v>•</v>
          </cell>
          <cell r="P94" t="str">
            <v>•</v>
          </cell>
          <cell r="Q94" t="str">
            <v>•</v>
          </cell>
          <cell r="U94" t="str">
            <v>White Logo.</v>
          </cell>
          <cell r="V94" t="str">
            <v>Logo blanc.</v>
          </cell>
          <cell r="W94">
            <v>37</v>
          </cell>
          <cell r="AL94" t="str">
            <v>•</v>
          </cell>
          <cell r="AR94" t="str">
            <v xml:space="preserve">25ODY-PRO-PKG1	Protection Package 1
25ODY-PRO-PKG2	Protection Package 2 </v>
          </cell>
        </row>
        <row r="95">
          <cell r="B95" t="str">
            <v>08U45-THR-300</v>
          </cell>
          <cell r="C95" t="str">
            <v>08U45-THR-300</v>
          </cell>
          <cell r="D95" t="str">
            <v>Cargo Bins</v>
          </cell>
          <cell r="E95" t="str">
            <v>Des paniers de compartiment à bagages</v>
          </cell>
          <cell r="F95" t="str">
            <v>These Cargo Bins are designed to be inserted into the wheel well behind the rear seats. The two bins are sized to match the width of the 60/40 split seats. Either or both can be removed to stow the corresponding seat. 77-lb maximum load capacity for the bins and on the lids.</v>
          </cell>
          <cell r="G95" t="str">
            <v>Ces bacs de chargement sont conçus pour être posés dans le logement de roue derrière les sièges arrière. Les dimensions des deux bacs correspondent à la largeur des sièges divisés 60/40. L’un ou l’autre peut être retiré pour ranger le siège correspondant. Capacité de chargement maximale de 35 kg (77 lb) pour les bacs et sur les couvercles.</v>
          </cell>
          <cell r="H95">
            <v>0.1</v>
          </cell>
          <cell r="J95">
            <v>413</v>
          </cell>
          <cell r="K95">
            <v>688</v>
          </cell>
          <cell r="L95">
            <v>704.8</v>
          </cell>
          <cell r="N95" t="str">
            <v>•</v>
          </cell>
          <cell r="O95" t="str">
            <v>•</v>
          </cell>
          <cell r="P95" t="str">
            <v>•</v>
          </cell>
          <cell r="Q95" t="str">
            <v>•</v>
          </cell>
          <cell r="W95">
            <v>40</v>
          </cell>
          <cell r="AL95" t="str">
            <v>•</v>
          </cell>
        </row>
        <row r="96">
          <cell r="B96" t="str">
            <v>08P42-THR-100</v>
          </cell>
          <cell r="C96" t="str">
            <v>08P42-THR-100</v>
          </cell>
          <cell r="D96" t="str">
            <v>Cargo Liner</v>
          </cell>
          <cell r="E96" t="str">
            <v xml:space="preserve">Protection pour compartiment utilitaire </v>
          </cell>
          <cell r="F96" t="str">
            <v>Whether you're loading or unloading sports gear or groceries, this roll out Cargo Liner helps protect your vehicle's bumper from scratches.</v>
          </cell>
          <cell r="G96" t="str">
            <v>Chargez ou déchargez à volonté vos accessoires sportifs ou sacs d'épicerie, votre doublure d'espace de chargement aidera à prévenir les marques d'accrocs sur le pare-chocs.</v>
          </cell>
          <cell r="H96">
            <v>1.2</v>
          </cell>
          <cell r="J96">
            <v>295</v>
          </cell>
          <cell r="K96">
            <v>421</v>
          </cell>
          <cell r="L96">
            <v>622.6</v>
          </cell>
          <cell r="N96" t="str">
            <v>•</v>
          </cell>
          <cell r="O96" t="str">
            <v>•</v>
          </cell>
          <cell r="P96" t="str">
            <v>•</v>
          </cell>
          <cell r="Q96" t="str">
            <v>•</v>
          </cell>
          <cell r="W96">
            <v>41</v>
          </cell>
          <cell r="AL96" t="str">
            <v>•</v>
          </cell>
        </row>
        <row r="97">
          <cell r="B97" t="str">
            <v>08L96-THR-100</v>
          </cell>
          <cell r="C97" t="str">
            <v>08L96-THR-100</v>
          </cell>
          <cell r="D97" t="str">
            <v>Cargo Net</v>
          </cell>
          <cell r="E97" t="str">
            <v xml:space="preserve">Filet d’arrimage </v>
          </cell>
          <cell r="F97" t="str">
            <v>From groceries to parcels, this convenient Cargo Net helps keep items secure and easy to retrieve from the trunk.</v>
          </cell>
          <cell r="G97" t="str">
            <v>Que vous transportiez des sacs d'épicerie ou des articles de sport, ce filet de protection du chargement à mailles élastiques contribue à garder vos choses en place et bien accessibles.</v>
          </cell>
          <cell r="H97">
            <v>0.1</v>
          </cell>
          <cell r="J97">
            <v>42</v>
          </cell>
          <cell r="K97">
            <v>70</v>
          </cell>
          <cell r="L97">
            <v>86.8</v>
          </cell>
          <cell r="N97" t="str">
            <v>•</v>
          </cell>
          <cell r="O97" t="str">
            <v>•</v>
          </cell>
          <cell r="P97" t="str">
            <v>•</v>
          </cell>
          <cell r="Q97" t="str">
            <v>•</v>
          </cell>
          <cell r="W97">
            <v>42</v>
          </cell>
          <cell r="AL97" t="str">
            <v>•</v>
          </cell>
        </row>
        <row r="98">
          <cell r="B98" t="str">
            <v>08U45-THR-100A</v>
          </cell>
          <cell r="C98" t="str">
            <v>08U45-THR-100A</v>
          </cell>
          <cell r="D98" t="str">
            <v>Cargo Tray - Deep</v>
          </cell>
          <cell r="E98" t="str">
            <v>Plateau de compartiment à bagages - profond</v>
          </cell>
          <cell r="F98" t="str">
            <v>This durable Cargo Tray helps prevent dirt, water and moisture from ruining the carpeting in the back of your Honda.</v>
          </cell>
          <cell r="G98" t="str">
            <v>Ce bac durable empêche la poussière, l'eau et l'humidité de détruire la moquette de l'espace de chargement de votre Honda.</v>
          </cell>
          <cell r="H98">
            <v>0.1</v>
          </cell>
          <cell r="J98">
            <v>140</v>
          </cell>
          <cell r="K98">
            <v>233</v>
          </cell>
          <cell r="L98">
            <v>249.8</v>
          </cell>
          <cell r="N98" t="str">
            <v>•</v>
          </cell>
          <cell r="O98" t="str">
            <v>•</v>
          </cell>
          <cell r="P98" t="str">
            <v>•</v>
          </cell>
          <cell r="Q98" t="str">
            <v>•</v>
          </cell>
          <cell r="W98">
            <v>38</v>
          </cell>
          <cell r="AL98" t="str">
            <v>•</v>
          </cell>
          <cell r="AR98" t="str">
            <v xml:space="preserve">Cargo Tray - Folding - 08U45-THR-100B
25ODY-PRO-PKG1	Protection Package 1
25ODY-PRO-PKG2	Protection Package 2 </v>
          </cell>
        </row>
        <row r="99">
          <cell r="B99" t="str">
            <v>08U45-THR-100B</v>
          </cell>
          <cell r="C99" t="str">
            <v>08U45-THR-100B</v>
          </cell>
          <cell r="D99" t="str">
            <v>Cargo Tray - Folding</v>
          </cell>
          <cell r="E99" t="str">
            <v>Plateaux de coffre pliants</v>
          </cell>
          <cell r="F99" t="str">
            <v>The molded vinyl Tri-Fold Cargo Mat protects the cargo-area carpet from wear and spills. Designed with flexible hinges to fold and accommodate the 3rd-row seating. Specially designed for use with accessory Cargo Net. Features Odyssey logo for custom appearance.</v>
          </cell>
          <cell r="G99" t="str">
            <v>Fabriqué en vinyle, ce bac de coffre ce replie en trois sections pour protéger le tapis d'origine de votre coffre contre l'usure et les dégâts. Les charnières sont flexible pour accommoder le troisième siège pour passager. Spécialement conçus pour être utilisé avec le filet d'arrimage offert en accessoire. Décoré du logo Odyssey pour un look personnalisé</v>
          </cell>
          <cell r="H99">
            <v>0.1</v>
          </cell>
          <cell r="J99">
            <v>160</v>
          </cell>
          <cell r="K99">
            <v>267</v>
          </cell>
          <cell r="L99">
            <v>283.8</v>
          </cell>
          <cell r="N99" t="str">
            <v>•</v>
          </cell>
          <cell r="O99" t="str">
            <v>•</v>
          </cell>
          <cell r="P99" t="str">
            <v>•</v>
          </cell>
          <cell r="Q99" t="str">
            <v>•</v>
          </cell>
          <cell r="W99">
            <v>39</v>
          </cell>
          <cell r="AL99" t="str">
            <v>•</v>
          </cell>
          <cell r="AR99" t="str">
            <v xml:space="preserve">Cargo Tray - Deep - 08U45-THR-100A
25ODY-PRO-PKG1	Protection Package 1
25ODY-PRO-PKG2	Protection Package 2 </v>
          </cell>
        </row>
        <row r="100">
          <cell r="B100" t="str">
            <v>08P32-THR-310D</v>
          </cell>
          <cell r="C100" t="str">
            <v>08P32-THR-310D</v>
          </cell>
          <cell r="D100" t="str">
            <v>Seat Cover, 2nd Row (8P)</v>
          </cell>
          <cell r="E100" t="str">
            <v>Housse pour sièges, 2e rangée</v>
          </cell>
          <cell r="F100" t="str">
            <v>These Rear Seat Covers offer stylish protection that will help keep your original seats in primo condition. Covers entire 2nd-row and headrests. Made with durable, water-resistant wetsuit-like material. Machine washable.</v>
          </cell>
          <cell r="G100" t="str">
            <v>Ces couvre-sièges arrière offrent une protection élégante qui maintiendra vos sièges dans leur état d’origine. Couvre la totalité de la 2e rangée et les appuie-tête. Fabriqué à l'aide d’un matériau durable, résistant à l'eau et ressemblant à une combinaison isotherme. Lavable à la machine.</v>
          </cell>
          <cell r="H100">
            <v>0.3</v>
          </cell>
          <cell r="J100">
            <v>394</v>
          </cell>
          <cell r="K100">
            <v>563</v>
          </cell>
          <cell r="L100">
            <v>613.4</v>
          </cell>
          <cell r="N100" t="str">
            <v>•</v>
          </cell>
          <cell r="O100" t="str">
            <v>•</v>
          </cell>
          <cell r="P100" t="str">
            <v>•</v>
          </cell>
          <cell r="Q100" t="str">
            <v>•</v>
          </cell>
          <cell r="U100" t="str">
            <v>8 Passenger Seating.</v>
          </cell>
          <cell r="V100" t="str">
            <v>8 sièges passagers.</v>
          </cell>
          <cell r="W100">
            <v>43</v>
          </cell>
          <cell r="AL100" t="str">
            <v>•</v>
          </cell>
        </row>
        <row r="101">
          <cell r="B101" t="str">
            <v>08P32-THR-310F</v>
          </cell>
          <cell r="C101" t="str">
            <v>08P32-THR-310F</v>
          </cell>
          <cell r="D101" t="str">
            <v>Seat Cover, 3rd Row</v>
          </cell>
          <cell r="E101" t="str">
            <v>Housse pour sièges, 3e rangée</v>
          </cell>
          <cell r="F101" t="str">
            <v>These Rear Seat Covers offer stylish protection that will help keep your original seats in primo condition. Covers entire 2nd-row and headrests. Made with durable, water-resistant wetsuit-like material. Machine washable.</v>
          </cell>
          <cell r="G101" t="str">
            <v>Ces couvre-sièges arrière offrent une protection élégante qui maintiendra vos sièges dans leur état d’origine. Couvre la totalité de la 2e rangée et les appuie-tête. Fabriqué à l'aide d’un matériau durable, résistant à l'eau et ressemblant à une combinaison isotherme. Lavable à la machine.</v>
          </cell>
          <cell r="H101">
            <v>0.2</v>
          </cell>
          <cell r="J101">
            <v>304</v>
          </cell>
          <cell r="K101">
            <v>434</v>
          </cell>
          <cell r="L101">
            <v>467.6</v>
          </cell>
          <cell r="N101" t="str">
            <v>•</v>
          </cell>
          <cell r="O101" t="str">
            <v>•</v>
          </cell>
          <cell r="P101" t="str">
            <v>•</v>
          </cell>
          <cell r="Q101" t="str">
            <v>•</v>
          </cell>
          <cell r="W101">
            <v>44</v>
          </cell>
          <cell r="AL101" t="str">
            <v>•</v>
          </cell>
        </row>
        <row r="103">
          <cell r="B103" t="str">
            <v>TUPP-HONDA</v>
          </cell>
          <cell r="C103" t="str">
            <v>TUCH-NH883P-A1</v>
          </cell>
          <cell r="D103" t="str">
            <v>Paint Pens</v>
          </cell>
          <cell r="E103" t="str">
            <v>Crayon de retouche de peinture</v>
          </cell>
          <cell r="F103" t="str">
            <v>Matched to your original paint colour, keep the Touch-Up Paint Pen on hand to conveniently cover minor scratches should they occur.</v>
          </cell>
          <cell r="G103" t="str">
            <v>Puisque celui-ci est agencé à la couleur de votre peinture d'origine, gardez un crayon de peinture de retouche sous la main pour masquer de petites égratignures imprévues.</v>
          </cell>
          <cell r="J103">
            <v>13</v>
          </cell>
          <cell r="K103">
            <v>21.5</v>
          </cell>
          <cell r="L103">
            <v>21.5</v>
          </cell>
          <cell r="N103" t="str">
            <v>•</v>
          </cell>
          <cell r="O103" t="str">
            <v>•</v>
          </cell>
          <cell r="P103" t="str">
            <v>•</v>
          </cell>
          <cell r="Q103" t="str">
            <v>•</v>
          </cell>
          <cell r="W103">
            <v>249</v>
          </cell>
          <cell r="AO103" t="str">
            <v>•</v>
          </cell>
        </row>
        <row r="104">
          <cell r="B104" t="str">
            <v>TUCH-NH883P-A1</v>
          </cell>
          <cell r="C104" t="str">
            <v>N/A</v>
          </cell>
          <cell r="D104" t="str">
            <v>Platinum White Pearl (NH-883P)</v>
          </cell>
          <cell r="E104" t="str">
            <v>Blanc platine nacré (NH-883P)</v>
          </cell>
          <cell r="J104">
            <v>13</v>
          </cell>
          <cell r="K104">
            <v>21.5</v>
          </cell>
          <cell r="L104">
            <v>21.5</v>
          </cell>
          <cell r="N104" t="str">
            <v>•</v>
          </cell>
          <cell r="O104" t="str">
            <v>•</v>
          </cell>
          <cell r="P104" t="str">
            <v>•</v>
          </cell>
          <cell r="Q104" t="str">
            <v>•</v>
          </cell>
        </row>
        <row r="105">
          <cell r="B105" t="str">
            <v>TUCH-NH731P-A1</v>
          </cell>
          <cell r="C105" t="str">
            <v>N/A</v>
          </cell>
          <cell r="D105" t="str">
            <v>Crystal Black Pearl (NH-731P)</v>
          </cell>
          <cell r="E105" t="str">
            <v>Noir cristal nacré (NH-731P)</v>
          </cell>
          <cell r="J105">
            <v>13</v>
          </cell>
          <cell r="K105">
            <v>21.5</v>
          </cell>
          <cell r="L105">
            <v>21.5</v>
          </cell>
          <cell r="N105" t="str">
            <v>•</v>
          </cell>
          <cell r="O105" t="str">
            <v>•</v>
          </cell>
          <cell r="P105" t="str">
            <v>N/A</v>
          </cell>
          <cell r="Q105" t="str">
            <v>•</v>
          </cell>
        </row>
        <row r="106">
          <cell r="B106" t="str">
            <v>TUCH-NH797M-A1</v>
          </cell>
          <cell r="C106" t="str">
            <v>N/A</v>
          </cell>
          <cell r="D106" t="str">
            <v>Modern Steel Metallic (NH-797M)</v>
          </cell>
          <cell r="E106" t="str">
            <v>Acier moderne métallisé (NH-797M)</v>
          </cell>
          <cell r="J106">
            <v>13</v>
          </cell>
          <cell r="K106">
            <v>21.5</v>
          </cell>
          <cell r="L106">
            <v>21.5</v>
          </cell>
          <cell r="N106" t="str">
            <v>N/A</v>
          </cell>
          <cell r="O106" t="str">
            <v>•</v>
          </cell>
          <cell r="P106" t="str">
            <v>•</v>
          </cell>
          <cell r="Q106" t="str">
            <v>N/A</v>
          </cell>
        </row>
        <row r="107">
          <cell r="B107" t="str">
            <v>TUCH-NH877P-A1</v>
          </cell>
          <cell r="C107" t="str">
            <v>N/A</v>
          </cell>
          <cell r="D107" t="str">
            <v>Sonic Gray Pearl (NH-877P)</v>
          </cell>
          <cell r="E107" t="str">
            <v>Gris sonique nacré (NH-877P)</v>
          </cell>
          <cell r="J107">
            <v>13</v>
          </cell>
          <cell r="K107">
            <v>21.5</v>
          </cell>
          <cell r="L107">
            <v>21.5</v>
          </cell>
          <cell r="N107" t="str">
            <v>N/A</v>
          </cell>
          <cell r="O107" t="str">
            <v>N/A</v>
          </cell>
          <cell r="P107" t="str">
            <v>•</v>
          </cell>
          <cell r="Q107" t="str">
            <v>•</v>
          </cell>
        </row>
        <row r="108">
          <cell r="B108" t="str">
            <v>TUCH-R580M-A1</v>
          </cell>
          <cell r="C108" t="str">
            <v>N/A</v>
          </cell>
          <cell r="D108" t="str">
            <v>Radiant Red Metallic II (R-580M)</v>
          </cell>
          <cell r="E108" t="str">
            <v>Radiant rouge métallisé II (R-580M)</v>
          </cell>
          <cell r="J108">
            <v>13</v>
          </cell>
          <cell r="K108">
            <v>21.5</v>
          </cell>
          <cell r="L108">
            <v>21.5</v>
          </cell>
          <cell r="N108" t="str">
            <v>N/A</v>
          </cell>
          <cell r="O108" t="str">
            <v>N/A</v>
          </cell>
          <cell r="P108" t="str">
            <v>N/A</v>
          </cell>
          <cell r="Q108" t="str">
            <v>•</v>
          </cell>
        </row>
        <row r="109">
          <cell r="B109" t="str">
            <v>TUCH-NH932M-A1</v>
          </cell>
          <cell r="C109" t="str">
            <v>N/A</v>
          </cell>
          <cell r="D109" t="str">
            <v>Solar Reflection Silver (NH-932M)</v>
          </cell>
          <cell r="E109" t="str">
            <v>Refl et solaire argent métallisé (NH-932M)</v>
          </cell>
          <cell r="J109">
            <v>13</v>
          </cell>
          <cell r="K109">
            <v>21.5</v>
          </cell>
          <cell r="L109">
            <v>21.5</v>
          </cell>
          <cell r="N109" t="str">
            <v>•</v>
          </cell>
          <cell r="O109" t="str">
            <v>•</v>
          </cell>
          <cell r="P109" t="str">
            <v>•</v>
          </cell>
          <cell r="Q109" t="str">
            <v>N/A</v>
          </cell>
        </row>
        <row r="110">
          <cell r="B110" t="str">
            <v>TUCH-NEEDLES</v>
          </cell>
          <cell r="C110" t="str">
            <v>N/A App Chart reference</v>
          </cell>
          <cell r="D110" t="str">
            <v>Fine Sanding Needles</v>
          </cell>
          <cell r="E110" t="str">
            <v>Aiguilles abrasives fines</v>
          </cell>
          <cell r="J110">
            <v>9.5</v>
          </cell>
          <cell r="K110">
            <v>15.75</v>
          </cell>
          <cell r="L110">
            <v>15.75</v>
          </cell>
          <cell r="N110" t="str">
            <v>•</v>
          </cell>
          <cell r="O110" t="str">
            <v>•</v>
          </cell>
          <cell r="P110" t="str">
            <v>•</v>
          </cell>
          <cell r="Q110" t="str">
            <v>•</v>
          </cell>
          <cell r="U110" t="str">
            <v>Quantity of 5.</v>
          </cell>
          <cell r="V110" t="str">
            <v>Quantité de 5</v>
          </cell>
        </row>
        <row r="111">
          <cell r="B111" t="str">
            <v>TUCH-STICKS</v>
          </cell>
          <cell r="C111" t="str">
            <v>N/A App Chart reference</v>
          </cell>
          <cell r="D111" t="str">
            <v>Fine Sanding Sticks</v>
          </cell>
          <cell r="E111" t="str">
            <v>Bâtons abrasifs fins</v>
          </cell>
          <cell r="J111">
            <v>2.4500000000000002</v>
          </cell>
          <cell r="K111">
            <v>4</v>
          </cell>
          <cell r="L111">
            <v>4</v>
          </cell>
          <cell r="N111" t="str">
            <v>•</v>
          </cell>
          <cell r="O111" t="str">
            <v>•</v>
          </cell>
          <cell r="P111" t="str">
            <v>•</v>
          </cell>
          <cell r="Q111" t="str">
            <v>•</v>
          </cell>
          <cell r="U111" t="str">
            <v>Quantity of 5.</v>
          </cell>
          <cell r="V111" t="str">
            <v>Quantité de 5</v>
          </cell>
        </row>
        <row r="112">
          <cell r="B112" t="str">
            <v>TUCH-TIPS</v>
          </cell>
          <cell r="C112" t="str">
            <v>N/A App Chart reference</v>
          </cell>
          <cell r="D112" t="str">
            <v>Paint Pen Replacement Tips</v>
          </cell>
          <cell r="E112" t="str">
            <v>Pointes de remplacement pour stylos de peinture</v>
          </cell>
          <cell r="J112">
            <v>13.75</v>
          </cell>
          <cell r="K112">
            <v>23</v>
          </cell>
          <cell r="L112">
            <v>23</v>
          </cell>
          <cell r="N112" t="str">
            <v>•</v>
          </cell>
          <cell r="O112" t="str">
            <v>•</v>
          </cell>
          <cell r="P112" t="str">
            <v>•</v>
          </cell>
          <cell r="Q112" t="str">
            <v>•</v>
          </cell>
          <cell r="U112" t="str">
            <v>Quantity of 25.</v>
          </cell>
          <cell r="V112" t="str">
            <v>Quantité de 25</v>
          </cell>
        </row>
        <row r="114">
          <cell r="B114" t="str">
            <v>08U97-THR-111A</v>
          </cell>
          <cell r="D114" t="str">
            <v>Heated Steering Wheel</v>
          </cell>
          <cell r="E114" t="str">
            <v>Volant chauffant</v>
          </cell>
          <cell r="H114">
            <v>0.6</v>
          </cell>
          <cell r="J114">
            <v>787</v>
          </cell>
          <cell r="K114">
            <v>1124</v>
          </cell>
          <cell r="L114">
            <v>1224.8</v>
          </cell>
        </row>
        <row r="115">
          <cell r="B115" t="str">
            <v>08U97-THR-100E</v>
          </cell>
          <cell r="D115" t="str">
            <v>Heated Steering Wheel Switch Assembly (NH863L)</v>
          </cell>
          <cell r="E115" t="str">
            <v>Volant chauffant  - commutateur (NH863L)</v>
          </cell>
          <cell r="H115">
            <v>0</v>
          </cell>
          <cell r="J115">
            <v>9.99</v>
          </cell>
          <cell r="K115">
            <v>16.989999999999998</v>
          </cell>
          <cell r="L115">
            <v>16.989999999999998</v>
          </cell>
        </row>
        <row r="116">
          <cell r="B116" t="str">
            <v>08U58-THR-100C</v>
          </cell>
          <cell r="C116" t="str">
            <v>N/A App Chart reference</v>
          </cell>
          <cell r="D116" t="str">
            <v>Wireless Charger</v>
          </cell>
          <cell r="E116" t="str">
            <v>Chargeur sans fil</v>
          </cell>
          <cell r="H116">
            <v>0.6</v>
          </cell>
          <cell r="J116" t="e">
            <v>#N/A</v>
          </cell>
          <cell r="K116" t="e">
            <v>#N/A</v>
          </cell>
          <cell r="L116" t="e">
            <v>#N/A</v>
          </cell>
          <cell r="N116" t="str">
            <v>•</v>
          </cell>
          <cell r="O116" t="str">
            <v>S</v>
          </cell>
          <cell r="P116" t="str">
            <v>S</v>
          </cell>
          <cell r="Q116" t="str">
            <v>S</v>
          </cell>
          <cell r="U116" t="str">
            <v>Requires charger and attachment</v>
          </cell>
          <cell r="V116" t="str">
            <v>Nécessite un chargeur et un fixation</v>
          </cell>
        </row>
        <row r="117">
          <cell r="B117" t="str">
            <v>08U58-THR-110B</v>
          </cell>
          <cell r="C117" t="str">
            <v>N/A App Chart reference</v>
          </cell>
          <cell r="D117" t="str">
            <v>Wireless Charger Attachment</v>
          </cell>
          <cell r="E117" t="str">
            <v>Fixation du chargeur sans fil</v>
          </cell>
          <cell r="H117">
            <v>0</v>
          </cell>
          <cell r="J117" t="e">
            <v>#N/A</v>
          </cell>
          <cell r="K117" t="e">
            <v>#N/A</v>
          </cell>
          <cell r="L117" t="e">
            <v>#N/A</v>
          </cell>
        </row>
        <row r="118">
          <cell r="B118" t="str">
            <v xml:space="preserve">web only </v>
          </cell>
          <cell r="C118" t="str">
            <v>08U58-THR-100C</v>
          </cell>
          <cell r="D118" t="str">
            <v>Wireless Charger</v>
          </cell>
          <cell r="E118" t="str">
            <v>Chargeur sans fil</v>
          </cell>
          <cell r="H118">
            <v>0.6</v>
          </cell>
          <cell r="J118" t="e">
            <v>#N/A</v>
          </cell>
          <cell r="K118" t="e">
            <v>#N/A</v>
          </cell>
          <cell r="L118" t="e">
            <v>#N/A</v>
          </cell>
          <cell r="N118" t="str">
            <v>•</v>
          </cell>
          <cell r="O118" t="str">
            <v>S</v>
          </cell>
          <cell r="P118" t="str">
            <v>S</v>
          </cell>
          <cell r="Q118" t="str">
            <v>S</v>
          </cell>
          <cell r="U118" t="str">
            <v>Requires charger and attachment</v>
          </cell>
          <cell r="V118" t="str">
            <v>Nécessite un chargeur et un fixation</v>
          </cell>
        </row>
        <row r="120">
          <cell r="B120" t="str">
            <v>N/A web only</v>
          </cell>
          <cell r="C120" t="str">
            <v>08V67-THR-300A</v>
          </cell>
          <cell r="D120" t="str">
            <v xml:space="preserve">Back up Sensors </v>
          </cell>
          <cell r="E120" t="str">
            <v xml:space="preserve">Capteurs de recul à l’arrière   </v>
          </cell>
          <cell r="F120" t="str">
            <v>The next best thing to having eyes in the back of your head, Back-Up Sensors will have you slipping in and out of tight spots with ease.  Color-matched to your vehicle. Four sensors emit audible beeps that quicken as you approach objects</v>
          </cell>
          <cell r="H120">
            <v>1.8</v>
          </cell>
          <cell r="J120">
            <v>542</v>
          </cell>
          <cell r="K120">
            <v>904</v>
          </cell>
          <cell r="L120">
            <v>1206.4000000000001</v>
          </cell>
          <cell r="N120" t="str">
            <v>•</v>
          </cell>
          <cell r="O120" t="str">
            <v>•</v>
          </cell>
          <cell r="P120" t="str">
            <v>S</v>
          </cell>
          <cell r="Q120" t="str">
            <v>S</v>
          </cell>
          <cell r="U120" t="str">
            <v>Requires Sensor Attachment and Sensor.</v>
          </cell>
          <cell r="V120" t="str">
            <v>Nécessite une fixation de capteur et un capteur.</v>
          </cell>
          <cell r="W120">
            <v>197</v>
          </cell>
          <cell r="AL120" t="str">
            <v>•</v>
          </cell>
        </row>
        <row r="121">
          <cell r="B121" t="str">
            <v>08V67-THR-300A</v>
          </cell>
          <cell r="C121" t="str">
            <v>N/A App Chart</v>
          </cell>
          <cell r="D121" t="str">
            <v>Back Up Sensor Attachment</v>
          </cell>
          <cell r="E121" t="str">
            <v xml:space="preserve">Fixation pour détecteur d'obstacle de marche arrière </v>
          </cell>
          <cell r="H121">
            <v>1</v>
          </cell>
          <cell r="J121">
            <v>271</v>
          </cell>
          <cell r="K121">
            <v>452</v>
          </cell>
          <cell r="L121">
            <v>620</v>
          </cell>
          <cell r="N121" t="str">
            <v>•</v>
          </cell>
          <cell r="O121" t="str">
            <v>•</v>
          </cell>
          <cell r="P121" t="str">
            <v>S</v>
          </cell>
          <cell r="Q121" t="str">
            <v>S</v>
          </cell>
          <cell r="U121" t="str">
            <v>Requires Sensor Attachment and Sensor.</v>
          </cell>
          <cell r="V121" t="str">
            <v>Nécessite une fixation de capteur et un capteur.</v>
          </cell>
        </row>
        <row r="122">
          <cell r="B122" t="str">
            <v>08P67-THR-XXXX</v>
          </cell>
          <cell r="C122" t="str">
            <v>N/A App Chart</v>
          </cell>
          <cell r="D122" t="str">
            <v>Back up sensors</v>
          </cell>
          <cell r="E122" t="str">
            <v xml:space="preserve">Capteurs de recul à l’arrière   </v>
          </cell>
          <cell r="H122">
            <v>0.8</v>
          </cell>
          <cell r="J122">
            <v>271</v>
          </cell>
          <cell r="K122">
            <v>452</v>
          </cell>
          <cell r="L122">
            <v>586.4</v>
          </cell>
          <cell r="N122" t="str">
            <v>•</v>
          </cell>
          <cell r="O122" t="str">
            <v>•</v>
          </cell>
          <cell r="P122" t="str">
            <v>S</v>
          </cell>
          <cell r="Q122" t="str">
            <v>S</v>
          </cell>
          <cell r="U122" t="str">
            <v>Requires Sensor Attachment and Sensor.</v>
          </cell>
          <cell r="V122" t="str">
            <v>Nécessite une fixation de capteur et un capteur.</v>
          </cell>
        </row>
        <row r="123">
          <cell r="B123" t="str">
            <v>08V67-THR-190K</v>
          </cell>
          <cell r="C123" t="str">
            <v>N/A</v>
          </cell>
          <cell r="D123" t="str">
            <v>Platinum White Pearl (NH-883P)</v>
          </cell>
          <cell r="E123" t="str">
            <v>Blanc platine nacré (NH-883P)</v>
          </cell>
          <cell r="H123">
            <v>0.8</v>
          </cell>
          <cell r="J123">
            <v>271</v>
          </cell>
          <cell r="K123">
            <v>452</v>
          </cell>
          <cell r="L123">
            <v>586.4</v>
          </cell>
          <cell r="N123" t="str">
            <v>•</v>
          </cell>
          <cell r="O123" t="str">
            <v>•</v>
          </cell>
          <cell r="P123" t="str">
            <v>S</v>
          </cell>
          <cell r="Q123" t="str">
            <v>S</v>
          </cell>
          <cell r="U123" t="str">
            <v>Requires Sensor Attachment and Sensor.</v>
          </cell>
          <cell r="V123" t="str">
            <v>Nécessite une fixation de capteur et un capteur.</v>
          </cell>
        </row>
        <row r="124">
          <cell r="B124" t="str">
            <v>08V67-THR-120K</v>
          </cell>
          <cell r="C124" t="str">
            <v>N/A</v>
          </cell>
          <cell r="D124" t="str">
            <v>Crystal Black Pearl (NH-731P)</v>
          </cell>
          <cell r="E124" t="str">
            <v>Noir cristal nacré (NH-731P)</v>
          </cell>
          <cell r="H124">
            <v>0.8</v>
          </cell>
          <cell r="J124">
            <v>271</v>
          </cell>
          <cell r="K124">
            <v>452</v>
          </cell>
          <cell r="L124">
            <v>586.4</v>
          </cell>
          <cell r="N124" t="str">
            <v>•</v>
          </cell>
          <cell r="O124" t="str">
            <v>N/A</v>
          </cell>
          <cell r="P124" t="str">
            <v>S</v>
          </cell>
          <cell r="Q124" t="str">
            <v>S</v>
          </cell>
          <cell r="U124" t="str">
            <v>Requires Sensor Attachment and Sensor.</v>
          </cell>
          <cell r="V124" t="str">
            <v>Nécessite une fixation de capteur et un capteur.</v>
          </cell>
        </row>
        <row r="125">
          <cell r="B125" t="str">
            <v>08V67-THR-130K</v>
          </cell>
          <cell r="C125" t="str">
            <v>N/A</v>
          </cell>
          <cell r="D125" t="str">
            <v>Modern Steel Metallic (NH-797M)</v>
          </cell>
          <cell r="E125" t="str">
            <v>Acier moderne métallisé (NH-797M)</v>
          </cell>
          <cell r="H125">
            <v>0.8</v>
          </cell>
          <cell r="J125">
            <v>271</v>
          </cell>
          <cell r="K125">
            <v>452</v>
          </cell>
          <cell r="L125">
            <v>586.4</v>
          </cell>
          <cell r="N125" t="str">
            <v>N/A</v>
          </cell>
          <cell r="O125" t="str">
            <v>•</v>
          </cell>
          <cell r="P125" t="str">
            <v>S</v>
          </cell>
          <cell r="Q125" t="str">
            <v>S</v>
          </cell>
          <cell r="U125" t="str">
            <v>Requires Sensor Attachment and Sensor.</v>
          </cell>
          <cell r="V125" t="str">
            <v>Nécessite une fixation de capteur et un capteur.</v>
          </cell>
        </row>
        <row r="126">
          <cell r="B126" t="str">
            <v>08V67-THR-1B0K</v>
          </cell>
          <cell r="C126" t="str">
            <v>N/A</v>
          </cell>
          <cell r="D126" t="str">
            <v>Sonic Gray Pearl (NH-877P)</v>
          </cell>
          <cell r="E126" t="str">
            <v>Gris sonique nacré (NH-877P)</v>
          </cell>
          <cell r="H126">
            <v>0.8</v>
          </cell>
          <cell r="J126">
            <v>271</v>
          </cell>
          <cell r="K126">
            <v>452</v>
          </cell>
          <cell r="L126">
            <v>586.4</v>
          </cell>
          <cell r="N126" t="str">
            <v>N/A</v>
          </cell>
          <cell r="O126" t="str">
            <v>N/A</v>
          </cell>
          <cell r="P126" t="str">
            <v>S</v>
          </cell>
          <cell r="Q126" t="str">
            <v>S</v>
          </cell>
          <cell r="U126" t="str">
            <v>Requires Sensor Attachment and Sensor.</v>
          </cell>
          <cell r="V126" t="str">
            <v>Nécessite une fixation de capteur et un capteur.</v>
          </cell>
        </row>
        <row r="127">
          <cell r="B127" t="str">
            <v>08V67-THR-1A0K</v>
          </cell>
          <cell r="C127" t="str">
            <v>N/A</v>
          </cell>
          <cell r="D127" t="str">
            <v>Radiant Red Metallic II (R-580M)</v>
          </cell>
          <cell r="E127" t="str">
            <v>Radiant rouge métallisé II (R-580M)</v>
          </cell>
          <cell r="H127">
            <v>0.8</v>
          </cell>
          <cell r="J127" t="e">
            <v>#N/A</v>
          </cell>
          <cell r="K127" t="e">
            <v>#N/A</v>
          </cell>
          <cell r="L127" t="e">
            <v>#N/A</v>
          </cell>
          <cell r="N127" t="str">
            <v>N/A</v>
          </cell>
          <cell r="O127" t="str">
            <v>N/A</v>
          </cell>
          <cell r="P127" t="str">
            <v>S</v>
          </cell>
          <cell r="Q127" t="str">
            <v>S</v>
          </cell>
          <cell r="U127" t="str">
            <v>Requires Sensor Attachment and Sensor.</v>
          </cell>
          <cell r="V127" t="str">
            <v>Nécessite une fixation de capteur et un capteur.</v>
          </cell>
        </row>
        <row r="128">
          <cell r="U128" t="str">
            <v>Requires Sensor Attachment and Sensor.</v>
          </cell>
          <cell r="V128" t="str">
            <v>Nécessite une fixation de capteur et un capteur.</v>
          </cell>
        </row>
      </sheetData>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L"/>
    </sheetNames>
    <sheetDataSet>
      <sheetData sheetId="0">
        <row r="5">
          <cell r="F5"/>
        </row>
        <row r="6">
          <cell r="E6"/>
          <cell r="F6"/>
        </row>
        <row r="7">
          <cell r="E7"/>
          <cell r="F7"/>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862C7-7866-4BC0-81E2-5D82FFCBACE2}">
  <sheetPr codeName="Sheet1">
    <tabColor theme="1"/>
  </sheetPr>
  <dimension ref="A1:AF45"/>
  <sheetViews>
    <sheetView showGridLines="0" zoomScaleNormal="100" workbookViewId="0">
      <selection activeCell="C21" sqref="C21"/>
    </sheetView>
  </sheetViews>
  <sheetFormatPr defaultColWidth="9.140625" defaultRowHeight="12.75" x14ac:dyDescent="0.25"/>
  <cols>
    <col min="1" max="1" width="49.42578125" style="4" customWidth="1"/>
    <col min="2" max="3" width="14.140625" style="4" customWidth="1"/>
    <col min="4" max="16384" width="9.140625" style="4"/>
  </cols>
  <sheetData>
    <row r="1" spans="1:12" ht="47.25" thickBot="1" x14ac:dyDescent="0.4">
      <c r="A1" s="1" t="s">
        <v>0</v>
      </c>
      <c r="B1" s="2" t="s">
        <v>1</v>
      </c>
      <c r="C1" s="3"/>
      <c r="G1" s="5"/>
      <c r="H1" s="5"/>
      <c r="I1" s="5"/>
      <c r="J1" s="5"/>
      <c r="K1" s="5"/>
    </row>
    <row r="2" spans="1:12" x14ac:dyDescent="0.25">
      <c r="A2" s="6"/>
      <c r="C2" s="3"/>
      <c r="F2" s="7"/>
      <c r="G2" s="8"/>
      <c r="H2" s="8"/>
      <c r="I2" s="8"/>
      <c r="J2" s="8"/>
      <c r="K2" s="8"/>
      <c r="L2" s="3"/>
    </row>
    <row r="3" spans="1:12" ht="13.5" thickBot="1" x14ac:dyDescent="0.3">
      <c r="A3" s="6"/>
      <c r="B3" s="8"/>
      <c r="C3" s="9"/>
      <c r="E3" s="10"/>
      <c r="F3" s="7"/>
      <c r="G3" s="8"/>
      <c r="H3" s="8"/>
      <c r="I3" s="8"/>
      <c r="J3" s="8"/>
      <c r="K3" s="8"/>
      <c r="L3" s="3"/>
    </row>
    <row r="4" spans="1:12" ht="15.75" thickBot="1" x14ac:dyDescent="0.3">
      <c r="A4" s="6"/>
      <c r="B4" s="11" t="s">
        <v>2</v>
      </c>
      <c r="C4" s="12"/>
      <c r="F4" s="7"/>
      <c r="G4" s="8"/>
      <c r="H4" s="8"/>
      <c r="I4" s="8"/>
      <c r="J4" s="8"/>
      <c r="K4" s="8"/>
      <c r="L4" s="3"/>
    </row>
    <row r="5" spans="1:12" ht="15" x14ac:dyDescent="0.25">
      <c r="B5" s="11" t="s">
        <v>3</v>
      </c>
      <c r="C5" s="12"/>
      <c r="F5" s="7"/>
      <c r="G5" s="8"/>
      <c r="H5" s="8"/>
      <c r="I5" s="8"/>
      <c r="J5" s="8"/>
      <c r="K5" s="8"/>
      <c r="L5" s="3"/>
    </row>
    <row r="6" spans="1:12" x14ac:dyDescent="0.2">
      <c r="A6" s="7"/>
      <c r="B6" s="13" t="s">
        <v>4</v>
      </c>
      <c r="C6" s="14">
        <v>162</v>
      </c>
      <c r="D6" s="3"/>
      <c r="F6" s="7"/>
      <c r="G6" s="8"/>
      <c r="H6" s="8"/>
      <c r="I6" s="8"/>
      <c r="J6" s="8"/>
      <c r="K6" s="8"/>
      <c r="L6" s="3"/>
    </row>
    <row r="7" spans="1:12" x14ac:dyDescent="0.2">
      <c r="A7" s="7"/>
      <c r="B7" s="13" t="s">
        <v>5</v>
      </c>
      <c r="C7" s="14">
        <v>168</v>
      </c>
      <c r="D7" s="3"/>
      <c r="F7" s="7"/>
      <c r="G7" s="8"/>
      <c r="H7" s="8"/>
      <c r="I7" s="8"/>
      <c r="J7" s="8"/>
      <c r="K7" s="8"/>
      <c r="L7" s="3"/>
    </row>
    <row r="8" spans="1:12" x14ac:dyDescent="0.2">
      <c r="A8" s="7"/>
      <c r="B8" s="13" t="s">
        <v>6</v>
      </c>
      <c r="C8" s="14">
        <v>155</v>
      </c>
      <c r="D8" s="3"/>
      <c r="F8" s="7"/>
      <c r="G8" s="8"/>
      <c r="H8" s="8"/>
      <c r="I8" s="8"/>
      <c r="J8" s="8"/>
      <c r="K8" s="8"/>
      <c r="L8" s="3"/>
    </row>
    <row r="9" spans="1:12" x14ac:dyDescent="0.2">
      <c r="A9" s="7"/>
      <c r="B9" s="13" t="s">
        <v>7</v>
      </c>
      <c r="C9" s="14">
        <v>130</v>
      </c>
      <c r="D9" s="3"/>
      <c r="F9" s="7"/>
      <c r="G9" s="8"/>
      <c r="H9" s="8"/>
      <c r="I9" s="8"/>
      <c r="J9" s="8"/>
      <c r="K9" s="8"/>
      <c r="L9" s="3"/>
    </row>
    <row r="10" spans="1:12" x14ac:dyDescent="0.2">
      <c r="A10" s="7"/>
      <c r="B10" s="13" t="s">
        <v>8</v>
      </c>
      <c r="C10" s="14">
        <v>130</v>
      </c>
      <c r="D10" s="3"/>
      <c r="F10" s="7"/>
      <c r="G10" s="8"/>
      <c r="H10" s="8"/>
      <c r="I10" s="8"/>
      <c r="J10" s="8"/>
      <c r="K10" s="8"/>
      <c r="L10" s="3"/>
    </row>
    <row r="11" spans="1:12" ht="13.5" thickBot="1" x14ac:dyDescent="0.25">
      <c r="A11" s="7"/>
      <c r="B11" s="13" t="s">
        <v>9</v>
      </c>
      <c r="C11" s="14">
        <v>130</v>
      </c>
      <c r="D11" s="3"/>
      <c r="F11" s="7"/>
      <c r="G11" s="8"/>
      <c r="H11" s="8"/>
      <c r="I11" s="8"/>
      <c r="J11" s="8"/>
      <c r="K11" s="8"/>
      <c r="L11" s="3"/>
    </row>
    <row r="12" spans="1:12" ht="13.5" thickBot="1" x14ac:dyDescent="0.25">
      <c r="A12" s="7"/>
      <c r="B12" s="13" t="s">
        <v>10</v>
      </c>
      <c r="C12" s="14">
        <v>150</v>
      </c>
      <c r="D12" s="3"/>
      <c r="F12" s="15" t="str">
        <f>prov_cd</f>
        <v>YT</v>
      </c>
      <c r="G12" s="8"/>
      <c r="H12" s="8"/>
      <c r="I12" s="8"/>
      <c r="J12" s="8"/>
      <c r="K12" s="8"/>
      <c r="L12" s="3"/>
    </row>
    <row r="13" spans="1:12" x14ac:dyDescent="0.2">
      <c r="A13" s="7"/>
      <c r="B13" s="13" t="s">
        <v>11</v>
      </c>
      <c r="C13" s="14">
        <v>125</v>
      </c>
      <c r="D13" s="3"/>
      <c r="F13" s="7"/>
      <c r="G13" s="8"/>
      <c r="H13" s="8"/>
      <c r="I13" s="8"/>
      <c r="J13" s="8"/>
      <c r="K13" s="8"/>
      <c r="L13" s="3"/>
    </row>
    <row r="14" spans="1:12" x14ac:dyDescent="0.2">
      <c r="A14" s="7"/>
      <c r="B14" s="13" t="s">
        <v>12</v>
      </c>
      <c r="C14" s="14">
        <v>140</v>
      </c>
      <c r="D14" s="3"/>
      <c r="F14" s="7"/>
      <c r="G14" s="8"/>
      <c r="H14" s="8"/>
      <c r="I14" s="8"/>
      <c r="J14" s="8"/>
      <c r="K14" s="8"/>
      <c r="L14" s="3"/>
    </row>
    <row r="15" spans="1:12" x14ac:dyDescent="0.2">
      <c r="A15" s="7"/>
      <c r="B15" s="13" t="s">
        <v>13</v>
      </c>
      <c r="C15" s="14">
        <v>155</v>
      </c>
      <c r="D15" s="3"/>
      <c r="F15" s="7"/>
      <c r="G15" s="8"/>
      <c r="H15" s="8"/>
      <c r="I15" s="8"/>
      <c r="J15" s="8"/>
      <c r="K15" s="8"/>
      <c r="L15" s="3"/>
    </row>
    <row r="16" spans="1:12" ht="13.5" thickBot="1" x14ac:dyDescent="0.25">
      <c r="A16" s="7"/>
      <c r="B16" s="16" t="s">
        <v>1</v>
      </c>
      <c r="C16" s="17">
        <v>168</v>
      </c>
      <c r="D16" s="3"/>
      <c r="F16" s="7"/>
      <c r="G16" s="8"/>
      <c r="H16" s="8"/>
      <c r="I16" s="8"/>
      <c r="J16" s="8"/>
      <c r="K16" s="8"/>
      <c r="L16" s="3"/>
    </row>
    <row r="17" spans="1:12" x14ac:dyDescent="0.25">
      <c r="A17" s="7"/>
      <c r="D17" s="3"/>
      <c r="F17" s="7"/>
      <c r="G17" s="8"/>
      <c r="H17" s="8"/>
      <c r="I17" s="8"/>
      <c r="J17" s="8"/>
      <c r="K17" s="8"/>
      <c r="L17" s="3"/>
    </row>
    <row r="18" spans="1:12" x14ac:dyDescent="0.25">
      <c r="B18" s="18"/>
      <c r="C18" s="18"/>
      <c r="F18" s="7"/>
      <c r="G18" s="8"/>
      <c r="H18" s="8"/>
      <c r="I18" s="8"/>
      <c r="J18" s="8"/>
      <c r="K18" s="8"/>
      <c r="L18" s="3"/>
    </row>
    <row r="19" spans="1:12" x14ac:dyDescent="0.25">
      <c r="F19" s="7"/>
      <c r="G19" s="8"/>
      <c r="H19" s="8"/>
      <c r="I19" s="8"/>
      <c r="J19" s="8"/>
      <c r="K19" s="8"/>
      <c r="L19" s="3"/>
    </row>
    <row r="20" spans="1:12" x14ac:dyDescent="0.25">
      <c r="F20" s="7"/>
      <c r="G20" s="8"/>
      <c r="H20" s="8"/>
      <c r="I20" s="8"/>
      <c r="J20" s="8"/>
      <c r="K20" s="8"/>
      <c r="L20" s="3"/>
    </row>
    <row r="21" spans="1:12" x14ac:dyDescent="0.25">
      <c r="F21" s="7"/>
      <c r="G21" s="8"/>
      <c r="H21" s="8"/>
      <c r="I21" s="8"/>
      <c r="J21" s="8"/>
      <c r="K21" s="8"/>
      <c r="L21" s="3"/>
    </row>
    <row r="22" spans="1:12" x14ac:dyDescent="0.25">
      <c r="F22" s="7"/>
      <c r="G22" s="8"/>
      <c r="H22" s="8"/>
      <c r="I22" s="8"/>
      <c r="J22" s="8"/>
      <c r="K22" s="8"/>
      <c r="L22" s="3"/>
    </row>
    <row r="23" spans="1:12" x14ac:dyDescent="0.25">
      <c r="A23" s="10" t="s">
        <v>14</v>
      </c>
      <c r="F23" s="7"/>
      <c r="G23" s="8"/>
      <c r="H23" s="8"/>
      <c r="I23" s="8"/>
      <c r="J23" s="8"/>
      <c r="K23" s="8"/>
      <c r="L23" s="3"/>
    </row>
    <row r="24" spans="1:12" x14ac:dyDescent="0.25">
      <c r="A24" s="10" t="s">
        <v>15</v>
      </c>
      <c r="F24" s="7"/>
      <c r="G24" s="8"/>
      <c r="H24" s="8"/>
      <c r="I24" s="8"/>
      <c r="J24" s="8"/>
      <c r="K24" s="8"/>
      <c r="L24" s="3"/>
    </row>
    <row r="25" spans="1:12" x14ac:dyDescent="0.25">
      <c r="F25" s="7"/>
      <c r="G25" s="8"/>
      <c r="H25" s="8"/>
      <c r="I25" s="8"/>
      <c r="J25" s="8"/>
      <c r="K25" s="8"/>
      <c r="L25" s="3"/>
    </row>
    <row r="26" spans="1:12" x14ac:dyDescent="0.25">
      <c r="A26" s="19"/>
      <c r="F26" s="7"/>
      <c r="G26" s="8"/>
      <c r="H26" s="8"/>
      <c r="I26" s="8"/>
      <c r="J26" s="8"/>
      <c r="K26" s="8"/>
      <c r="L26" s="3"/>
    </row>
    <row r="27" spans="1:12" x14ac:dyDescent="0.25">
      <c r="A27" s="19"/>
      <c r="F27" s="7"/>
      <c r="G27" s="8"/>
      <c r="H27" s="8"/>
      <c r="I27" s="8"/>
      <c r="J27" s="8"/>
      <c r="K27" s="8"/>
      <c r="L27" s="3"/>
    </row>
    <row r="28" spans="1:12" x14ac:dyDescent="0.25">
      <c r="F28" s="7"/>
      <c r="G28" s="8"/>
      <c r="H28" s="8"/>
      <c r="I28" s="8"/>
      <c r="J28" s="8"/>
      <c r="K28" s="8"/>
      <c r="L28" s="3"/>
    </row>
    <row r="29" spans="1:12" x14ac:dyDescent="0.25">
      <c r="F29" s="7"/>
      <c r="G29" s="8"/>
      <c r="H29" s="8"/>
      <c r="I29" s="8"/>
      <c r="J29" s="8"/>
      <c r="K29" s="8"/>
      <c r="L29" s="3"/>
    </row>
    <row r="30" spans="1:12" x14ac:dyDescent="0.25">
      <c r="F30" s="7"/>
      <c r="G30" s="8"/>
      <c r="H30" s="8"/>
      <c r="I30" s="8"/>
      <c r="J30" s="8"/>
      <c r="K30" s="8"/>
      <c r="L30" s="3"/>
    </row>
    <row r="31" spans="1:12" x14ac:dyDescent="0.25">
      <c r="F31" s="7"/>
      <c r="G31" s="8"/>
      <c r="H31" s="8"/>
      <c r="I31" s="8"/>
      <c r="J31" s="8"/>
      <c r="K31" s="8"/>
      <c r="L31" s="3"/>
    </row>
    <row r="32" spans="1:12" x14ac:dyDescent="0.25">
      <c r="F32" s="7"/>
      <c r="G32" s="8"/>
      <c r="H32" s="8"/>
      <c r="I32" s="8"/>
      <c r="J32" s="8"/>
      <c r="K32" s="8"/>
      <c r="L32" s="3"/>
    </row>
    <row r="33" spans="6:32" x14ac:dyDescent="0.25">
      <c r="F33" s="7"/>
      <c r="G33" s="8"/>
      <c r="H33" s="8"/>
      <c r="I33" s="8"/>
      <c r="J33" s="8"/>
      <c r="K33" s="8"/>
      <c r="L33" s="3"/>
    </row>
    <row r="34" spans="6:32" x14ac:dyDescent="0.25">
      <c r="F34" s="7"/>
      <c r="G34" s="8"/>
      <c r="H34" s="8"/>
      <c r="I34" s="8"/>
      <c r="J34" s="8"/>
      <c r="K34" s="8"/>
      <c r="L34" s="3"/>
    </row>
    <row r="35" spans="6:32" x14ac:dyDescent="0.25">
      <c r="F35" s="7"/>
      <c r="G35" s="8"/>
      <c r="H35" s="8"/>
      <c r="I35" s="8"/>
      <c r="J35" s="8"/>
      <c r="K35" s="8"/>
      <c r="L35" s="3"/>
    </row>
    <row r="36" spans="6:32" x14ac:dyDescent="0.25">
      <c r="F36" s="7"/>
      <c r="G36" s="8"/>
      <c r="H36" s="8"/>
      <c r="I36" s="8"/>
      <c r="J36" s="8"/>
      <c r="K36" s="8"/>
      <c r="L36" s="3"/>
    </row>
    <row r="37" spans="6:32" x14ac:dyDescent="0.25">
      <c r="F37" s="7"/>
      <c r="G37" s="8"/>
      <c r="H37" s="8"/>
      <c r="I37" s="8"/>
      <c r="J37" s="8"/>
      <c r="K37" s="8"/>
      <c r="L37" s="3"/>
      <c r="AF37" s="4" t="s">
        <v>16</v>
      </c>
    </row>
    <row r="38" spans="6:32" x14ac:dyDescent="0.25">
      <c r="F38" s="7"/>
      <c r="G38" s="8"/>
      <c r="H38" s="8"/>
      <c r="I38" s="8"/>
      <c r="J38" s="8"/>
      <c r="K38" s="8"/>
      <c r="L38" s="3"/>
    </row>
    <row r="39" spans="6:32" x14ac:dyDescent="0.25">
      <c r="G39" s="18"/>
      <c r="H39" s="18"/>
      <c r="I39" s="18"/>
      <c r="J39" s="6"/>
      <c r="K39" s="8"/>
      <c r="L39" s="3"/>
    </row>
    <row r="40" spans="6:32" x14ac:dyDescent="0.25">
      <c r="J40" s="7"/>
      <c r="K40" s="8"/>
      <c r="L40" s="3"/>
    </row>
    <row r="41" spans="6:32" x14ac:dyDescent="0.25">
      <c r="J41" s="7"/>
      <c r="K41" s="8"/>
      <c r="L41" s="3"/>
    </row>
    <row r="42" spans="6:32" x14ac:dyDescent="0.25">
      <c r="J42" s="7"/>
      <c r="K42" s="8"/>
      <c r="L42" s="3"/>
    </row>
    <row r="43" spans="6:32" x14ac:dyDescent="0.25">
      <c r="J43" s="7"/>
      <c r="K43" s="8"/>
      <c r="L43" s="3"/>
    </row>
    <row r="44" spans="6:32" x14ac:dyDescent="0.25">
      <c r="J44" s="7"/>
      <c r="K44" s="8"/>
      <c r="L44" s="3"/>
    </row>
    <row r="45" spans="6:32" x14ac:dyDescent="0.25">
      <c r="J45" s="7"/>
      <c r="K45" s="8"/>
      <c r="L45" s="3"/>
    </row>
  </sheetData>
  <dataValidations count="1">
    <dataValidation type="list" allowBlank="1" showInputMessage="1" showErrorMessage="1" sqref="B1" xr:uid="{B5B2C680-1D98-4264-B172-6717232C423D}">
      <formula1>province_codes</formula1>
    </dataValidation>
  </dataValidations>
  <pageMargins left="0.7" right="0.7" top="0.75" bottom="0.75" header="0.3" footer="0.3"/>
  <pageSetup scale="6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7BF5D-74BF-4469-B155-7381C883720C}">
  <sheetPr codeName="Sheet4">
    <tabColor rgb="FFC8102E"/>
    <pageSetUpPr fitToPage="1"/>
  </sheetPr>
  <dimension ref="A2:T158"/>
  <sheetViews>
    <sheetView view="pageBreakPreview" topLeftCell="A8" zoomScale="80" zoomScaleNormal="60" zoomScaleSheetLayoutView="80" workbookViewId="0">
      <selection activeCell="C21" sqref="C21"/>
    </sheetView>
  </sheetViews>
  <sheetFormatPr defaultColWidth="9.140625" defaultRowHeight="12.75" outlineLevelCol="1" x14ac:dyDescent="0.25"/>
  <cols>
    <col min="1" max="1" width="9.140625" style="28"/>
    <col min="2" max="2" width="15.5703125" style="139" hidden="1" customWidth="1"/>
    <col min="3" max="3" width="42.85546875" style="28" customWidth="1"/>
    <col min="4" max="4" width="20.85546875" style="28" customWidth="1"/>
    <col min="5" max="5" width="13.140625" style="28" customWidth="1" outlineLevel="1"/>
    <col min="6" max="6" width="13.5703125" style="28" customWidth="1"/>
    <col min="7" max="7" width="9.85546875" style="28" customWidth="1"/>
    <col min="8" max="8" width="13.5703125" style="28" customWidth="1"/>
    <col min="9" max="9" width="10.5703125" style="28" hidden="1" customWidth="1"/>
    <col min="10" max="10" width="10.28515625" style="28" customWidth="1"/>
    <col min="11" max="11" width="10.7109375" style="28" customWidth="1"/>
    <col min="12" max="12" width="10" style="28" customWidth="1"/>
    <col min="13" max="13" width="10.28515625" style="28" customWidth="1"/>
    <col min="14" max="15" width="5.140625" style="28" hidden="1" customWidth="1"/>
    <col min="16" max="16" width="5.7109375" style="28" hidden="1" customWidth="1"/>
    <col min="17" max="17" width="62" style="28" customWidth="1"/>
    <col min="18" max="18" width="9.140625" style="28" customWidth="1"/>
    <col min="19" max="16384" width="9.140625" style="28"/>
  </cols>
  <sheetData>
    <row r="2" spans="2:20" ht="35.25" customHeight="1" x14ac:dyDescent="0.25">
      <c r="B2" s="20" t="s">
        <v>17</v>
      </c>
      <c r="C2" s="21" t="s">
        <v>18</v>
      </c>
      <c r="D2" s="21"/>
      <c r="E2" s="22"/>
      <c r="F2" s="23"/>
      <c r="G2" s="24"/>
      <c r="H2" s="25"/>
      <c r="I2" s="25"/>
      <c r="J2" s="25"/>
      <c r="K2" s="26"/>
      <c r="L2" s="27"/>
      <c r="M2" s="26"/>
      <c r="N2" s="26"/>
      <c r="O2" s="26"/>
      <c r="P2" s="26"/>
      <c r="Q2" s="26"/>
    </row>
    <row r="3" spans="2:20" ht="30" customHeight="1" x14ac:dyDescent="0.25">
      <c r="B3" s="20"/>
      <c r="C3" s="29" t="s">
        <v>19</v>
      </c>
      <c r="D3" s="30" t="str">
        <f>'[1]26MY_ODYSSEY_DATA'!C1</f>
        <v>Odyssey</v>
      </c>
      <c r="E3" s="31"/>
      <c r="F3" s="32"/>
      <c r="G3" s="24"/>
      <c r="H3" s="25"/>
      <c r="I3" s="25"/>
      <c r="J3" s="25"/>
      <c r="K3" s="33"/>
      <c r="M3" s="34"/>
      <c r="N3" s="34"/>
      <c r="O3" s="34"/>
      <c r="P3" s="26"/>
      <c r="Q3" s="26"/>
    </row>
    <row r="4" spans="2:20" ht="30" customHeight="1" x14ac:dyDescent="0.25">
      <c r="B4" s="20"/>
      <c r="C4" s="29" t="s">
        <v>20</v>
      </c>
      <c r="D4" s="30">
        <f>'[1]26MY_ODYSSEY_DATA'!C2</f>
        <v>2026</v>
      </c>
      <c r="E4" s="31"/>
      <c r="F4" s="32"/>
      <c r="G4" s="24"/>
      <c r="H4" s="25"/>
      <c r="I4" s="25"/>
      <c r="J4" s="25"/>
      <c r="K4" s="26"/>
      <c r="L4" s="35"/>
      <c r="M4" s="26"/>
      <c r="N4" s="26"/>
      <c r="O4" s="26"/>
      <c r="P4" s="26"/>
      <c r="Q4" s="26"/>
    </row>
    <row r="5" spans="2:20" x14ac:dyDescent="0.25">
      <c r="B5" s="20"/>
      <c r="C5" s="36" t="s">
        <v>21</v>
      </c>
      <c r="D5" s="36"/>
      <c r="E5" s="37"/>
      <c r="F5" s="37"/>
      <c r="G5" s="37"/>
      <c r="H5" s="37"/>
      <c r="I5" s="37"/>
      <c r="J5" s="37"/>
      <c r="K5" s="37"/>
      <c r="L5" s="37"/>
      <c r="M5" s="37"/>
      <c r="N5" s="37"/>
      <c r="O5" s="37"/>
      <c r="P5" s="37"/>
      <c r="Q5" s="38"/>
    </row>
    <row r="6" spans="2:20" x14ac:dyDescent="0.25">
      <c r="B6" s="20"/>
      <c r="C6" s="39" t="s">
        <v>22</v>
      </c>
      <c r="D6" s="39"/>
      <c r="E6" s="39"/>
      <c r="F6" s="39"/>
      <c r="G6" s="39"/>
      <c r="H6" s="39"/>
      <c r="I6" s="39"/>
      <c r="J6" s="39"/>
      <c r="K6" s="39"/>
      <c r="L6" s="39"/>
      <c r="M6" s="39"/>
      <c r="N6" s="39"/>
      <c r="O6" s="39"/>
      <c r="P6" s="37"/>
      <c r="Q6" s="38"/>
    </row>
    <row r="7" spans="2:20" x14ac:dyDescent="0.25">
      <c r="B7" s="20"/>
      <c r="C7" s="39" t="s">
        <v>23</v>
      </c>
      <c r="D7" s="39"/>
      <c r="E7" s="39"/>
      <c r="F7" s="39"/>
      <c r="G7" s="39"/>
      <c r="H7" s="39"/>
      <c r="I7" s="39"/>
      <c r="J7" s="39"/>
      <c r="K7" s="39"/>
      <c r="L7" s="39"/>
      <c r="M7" s="39"/>
      <c r="N7" s="39"/>
      <c r="O7" s="39"/>
      <c r="P7" s="37"/>
      <c r="Q7" s="38"/>
    </row>
    <row r="8" spans="2:20" x14ac:dyDescent="0.25">
      <c r="B8" s="20"/>
      <c r="C8" s="39" t="s">
        <v>24</v>
      </c>
      <c r="D8" s="39"/>
      <c r="E8" s="39"/>
      <c r="F8" s="39"/>
      <c r="G8" s="39"/>
      <c r="H8" s="40"/>
      <c r="I8" s="39"/>
      <c r="J8" s="39"/>
      <c r="K8" s="39"/>
      <c r="L8" s="39"/>
      <c r="M8" s="39"/>
      <c r="N8" s="39"/>
      <c r="O8" s="39"/>
      <c r="P8" s="37"/>
      <c r="Q8" s="38"/>
    </row>
    <row r="9" spans="2:20" x14ac:dyDescent="0.25">
      <c r="B9" s="20"/>
      <c r="C9" s="41"/>
      <c r="D9" s="41"/>
      <c r="E9" s="41"/>
      <c r="F9" s="41"/>
      <c r="G9" s="41"/>
      <c r="H9" s="41"/>
      <c r="I9" s="41"/>
      <c r="J9" s="41"/>
      <c r="K9" s="41"/>
      <c r="L9" s="41"/>
      <c r="M9" s="41"/>
      <c r="N9" s="41"/>
      <c r="O9" s="41"/>
      <c r="P9" s="42"/>
      <c r="Q9" s="43"/>
    </row>
    <row r="10" spans="2:20" ht="15" x14ac:dyDescent="0.2">
      <c r="B10" s="20"/>
      <c r="C10" s="44"/>
      <c r="D10" s="44"/>
      <c r="E10" s="44"/>
      <c r="F10" s="44"/>
      <c r="G10" s="44"/>
      <c r="H10" s="45" t="s">
        <v>25</v>
      </c>
      <c r="I10" s="44"/>
      <c r="J10" s="44"/>
      <c r="K10" s="44"/>
      <c r="L10" s="44"/>
      <c r="M10" s="44"/>
      <c r="N10" s="44"/>
      <c r="O10" s="44"/>
      <c r="P10" s="44"/>
      <c r="Q10" s="46"/>
    </row>
    <row r="11" spans="2:20" ht="18.75" x14ac:dyDescent="0.3">
      <c r="B11" s="20"/>
      <c r="C11" s="47" t="s">
        <v>26</v>
      </c>
      <c r="D11" s="48"/>
      <c r="E11" s="49"/>
      <c r="F11" s="49"/>
      <c r="G11" s="50"/>
      <c r="H11" s="51" t="str">
        <f>prov_cd</f>
        <v>YT</v>
      </c>
      <c r="I11" s="52"/>
      <c r="J11" s="44"/>
      <c r="K11" s="44"/>
      <c r="L11" s="44"/>
      <c r="M11" s="44"/>
      <c r="N11" s="44"/>
      <c r="O11" s="44"/>
      <c r="P11" s="44"/>
      <c r="Q11" s="44"/>
    </row>
    <row r="12" spans="2:20" ht="15" x14ac:dyDescent="0.25">
      <c r="B12" s="20"/>
      <c r="C12" s="53" t="s">
        <v>27</v>
      </c>
      <c r="D12" s="53" t="s">
        <v>28</v>
      </c>
      <c r="E12" s="53" t="s">
        <v>29</v>
      </c>
      <c r="F12" s="53" t="s">
        <v>30</v>
      </c>
      <c r="G12" s="53" t="s">
        <v>31</v>
      </c>
      <c r="H12" s="54" t="s">
        <v>32</v>
      </c>
      <c r="I12" s="53" t="s">
        <v>33</v>
      </c>
      <c r="J12" s="53"/>
      <c r="K12" s="53"/>
      <c r="L12" s="53"/>
      <c r="M12" s="53"/>
      <c r="N12" s="53"/>
      <c r="O12" s="53"/>
      <c r="P12" s="53"/>
      <c r="Q12" s="53" t="s">
        <v>34</v>
      </c>
    </row>
    <row r="13" spans="2:20" ht="29.1" customHeight="1" x14ac:dyDescent="0.25">
      <c r="B13" s="20"/>
      <c r="C13" s="53"/>
      <c r="D13" s="53"/>
      <c r="E13" s="53"/>
      <c r="F13" s="53"/>
      <c r="G13" s="53"/>
      <c r="H13" s="54"/>
      <c r="I13" s="55">
        <f>'[1]26MY_ODYSSEY_DATA'!M$6</f>
        <v>0</v>
      </c>
      <c r="J13" s="55" t="str">
        <f>'[1]26MY_ODYSSEY_DATA'!N$6</f>
        <v>Sport</v>
      </c>
      <c r="K13" s="55" t="str">
        <f>'[1]26MY_ODYSSEY_DATA'!O$6</f>
        <v>Sport-L</v>
      </c>
      <c r="L13" s="55" t="str">
        <f>'[1]26MY_ODYSSEY_DATA'!P$6</f>
        <v>Touring</v>
      </c>
      <c r="M13" s="55" t="str">
        <f>'[1]26MY_ODYSSEY_DATA'!Q$6</f>
        <v>Black Edition</v>
      </c>
      <c r="N13" s="55">
        <f>'[1]26MY_ODYSSEY_DATA'!R$6</f>
        <v>0</v>
      </c>
      <c r="O13" s="55">
        <f>'[1]26MY_ODYSSEY_DATA'!S$6</f>
        <v>0</v>
      </c>
      <c r="P13" s="55">
        <f>'[1]26MY_ODYSSEY_DATA'!T$6</f>
        <v>0</v>
      </c>
      <c r="Q13" s="53"/>
    </row>
    <row r="14" spans="2:20" s="65" customFormat="1" ht="17.25" customHeight="1" x14ac:dyDescent="0.25">
      <c r="B14" s="56" t="s">
        <v>35</v>
      </c>
      <c r="C14" s="57" t="str">
        <f>VLOOKUP(B14,'[1]26MY_ODYSSEY_DATA'!B:AR,3,FALSE)</f>
        <v>Protection Package 1</v>
      </c>
      <c r="D14" s="58" t="str">
        <f>B14</f>
        <v>25ODY-PRO-PKG1</v>
      </c>
      <c r="E14" s="59">
        <f>VLOOKUP(B14,'[1]26MY_ODYSSEY_DATA'!B:AR,9,FALSE)</f>
        <v>375.3</v>
      </c>
      <c r="F14" s="59">
        <f>VLOOKUP(B14,'[1]26MY_ODYSSEY_DATA'!B:AR,10,FALSE)</f>
        <v>695</v>
      </c>
      <c r="G14" s="60">
        <f>VLOOKUP(B14,'[1]26MY_ODYSSEY_DATA'!B:AR,7,FALSE)</f>
        <v>0.60000000000000009</v>
      </c>
      <c r="H14" s="61">
        <f>VLOOKUP(B14,'[1]26MY_ODYSSEY_DATA'!B:AR,11,FALSE)</f>
        <v>795.8</v>
      </c>
      <c r="I14" s="62">
        <f>VLOOKUP(B14,'[1]26MY_ODYSSEY_DATA'!B:AR,12,FALSE)</f>
        <v>0</v>
      </c>
      <c r="J14" s="62" t="str">
        <f>VLOOKUP(B14,'[1]26MY_ODYSSEY_DATA'!B:AR,13,FALSE)</f>
        <v>•</v>
      </c>
      <c r="K14" s="62" t="str">
        <f>VLOOKUP(B14,'[1]26MY_ODYSSEY_DATA'!B:AR,14,FALSE)</f>
        <v>•</v>
      </c>
      <c r="L14" s="62" t="str">
        <f>VLOOKUP(B14,'[1]26MY_ODYSSEY_DATA'!B:AR,15,FALSE)</f>
        <v>•</v>
      </c>
      <c r="M14" s="62" t="str">
        <f>VLOOKUP(B14,'[1]26MY_ODYSSEY_DATA'!B:AR,16,FALSE)</f>
        <v>•</v>
      </c>
      <c r="N14" s="62">
        <f>VLOOKUP($B14,'[1]26MY_ODYSSEY_DATA'!$B:$AR,17,FALSE)</f>
        <v>0</v>
      </c>
      <c r="O14" s="62">
        <f>VLOOKUP($B14,'[1]26MY_ODYSSEY_DATA'!$B:$AR,18,FALSE)</f>
        <v>0</v>
      </c>
      <c r="P14" s="62">
        <f>VLOOKUP($B14,'[1]26MY_ODYSSEY_DATA'!$B:$AR,19,FALSE)</f>
        <v>0</v>
      </c>
      <c r="Q14" s="63" t="str">
        <f>IF(VLOOKUP(B14,'[1]26MY_ODYSSEY_DATA'!B:AR,20,FALSE)="","",VLOOKUP(B14,'[1]26MY_ODYSSEY_DATA'!B:AR,20,FALSE))</f>
        <v>White 'ODYSSEY' lettering on Floor Mats.
Cargo Tray - Deep.</v>
      </c>
      <c r="R14" s="64"/>
      <c r="S14" s="64"/>
      <c r="T14" s="64"/>
    </row>
    <row r="15" spans="2:20" s="75" customFormat="1" ht="15" x14ac:dyDescent="0.25">
      <c r="B15" s="66" t="s">
        <v>36</v>
      </c>
      <c r="C15" s="67" t="str">
        <f>VLOOKUP(B15,'[1]26MY_ODYSSEY_DATA'!B:AR,3,FALSE)</f>
        <v>All-Season Floor Mats - White Logo</v>
      </c>
      <c r="D15" s="68" t="str">
        <f t="shared" ref="D15:D17" si="0">B15</f>
        <v>08P17-THR-110A</v>
      </c>
      <c r="E15" s="69"/>
      <c r="F15" s="69"/>
      <c r="G15" s="70"/>
      <c r="H15" s="71"/>
      <c r="I15" s="72"/>
      <c r="J15" s="72"/>
      <c r="K15" s="72"/>
      <c r="L15" s="72"/>
      <c r="M15" s="72"/>
      <c r="N15" s="72"/>
      <c r="O15" s="72"/>
      <c r="P15" s="72"/>
      <c r="Q15" s="73"/>
      <c r="R15" s="74"/>
      <c r="S15" s="74"/>
      <c r="T15" s="74"/>
    </row>
    <row r="16" spans="2:20" s="75" customFormat="1" ht="15" x14ac:dyDescent="0.25">
      <c r="B16" s="66" t="s">
        <v>37</v>
      </c>
      <c r="C16" s="67" t="str">
        <f>VLOOKUP(B16,'[1]26MY_ODYSSEY_DATA'!B:AR,3,FALSE)</f>
        <v>Cargo Tray - Deep</v>
      </c>
      <c r="D16" s="68" t="str">
        <f t="shared" si="0"/>
        <v>08U45-THR-100A</v>
      </c>
      <c r="E16" s="69"/>
      <c r="F16" s="69"/>
      <c r="G16" s="70"/>
      <c r="H16" s="71"/>
      <c r="I16" s="72"/>
      <c r="J16" s="72"/>
      <c r="K16" s="72"/>
      <c r="L16" s="72"/>
      <c r="M16" s="72"/>
      <c r="N16" s="72"/>
      <c r="O16" s="72"/>
      <c r="P16" s="72"/>
      <c r="Q16" s="73"/>
      <c r="R16" s="74"/>
      <c r="S16" s="74"/>
      <c r="T16" s="74"/>
    </row>
    <row r="17" spans="2:20" s="75" customFormat="1" ht="15" customHeight="1" x14ac:dyDescent="0.25">
      <c r="B17" s="56" t="s">
        <v>38</v>
      </c>
      <c r="C17" s="67" t="str">
        <f>VLOOKUP(B17,'[1]26MY_ODYSSEY_DATA'!B:AR,3,FALSE)</f>
        <v>Rear Splash Guards</v>
      </c>
      <c r="D17" s="76" t="str">
        <f t="shared" si="0"/>
        <v>08P09-THR-300A</v>
      </c>
      <c r="E17" s="77"/>
      <c r="F17" s="77"/>
      <c r="G17" s="78"/>
      <c r="H17" s="79"/>
      <c r="I17" s="80"/>
      <c r="J17" s="80"/>
      <c r="K17" s="80"/>
      <c r="L17" s="80"/>
      <c r="M17" s="80"/>
      <c r="N17" s="80"/>
      <c r="O17" s="80"/>
      <c r="P17" s="80"/>
      <c r="Q17" s="81"/>
      <c r="R17" s="74"/>
      <c r="S17" s="74"/>
      <c r="T17" s="74"/>
    </row>
    <row r="18" spans="2:20" s="75" customFormat="1" ht="7.15" customHeight="1" x14ac:dyDescent="0.25">
      <c r="B18" s="56"/>
      <c r="C18" s="82"/>
      <c r="D18" s="83"/>
      <c r="E18" s="83"/>
      <c r="F18" s="83"/>
      <c r="G18" s="83"/>
      <c r="H18" s="83"/>
      <c r="I18" s="83"/>
      <c r="J18" s="83"/>
      <c r="K18" s="83"/>
      <c r="L18" s="83"/>
      <c r="M18" s="83"/>
      <c r="N18" s="83"/>
      <c r="O18" s="83"/>
      <c r="P18" s="83"/>
      <c r="Q18" s="84"/>
      <c r="R18" s="74"/>
      <c r="S18" s="74"/>
      <c r="T18" s="74"/>
    </row>
    <row r="19" spans="2:20" s="75" customFormat="1" ht="15" x14ac:dyDescent="0.25">
      <c r="B19" s="56" t="s">
        <v>39</v>
      </c>
      <c r="C19" s="57" t="str">
        <f>VLOOKUP(B19,'[1]26MY_ODYSSEY_DATA'!B:AR,3,FALSE)</f>
        <v xml:space="preserve">Protection Package 2 </v>
      </c>
      <c r="D19" s="58" t="str">
        <f>B19</f>
        <v>25ODY-PRO-PKG2</v>
      </c>
      <c r="E19" s="59">
        <f>VLOOKUP(B19,'[1]26MY_ODYSSEY_DATA'!B:AR,9,FALSE)</f>
        <v>393.3</v>
      </c>
      <c r="F19" s="59">
        <f>VLOOKUP(B19,'[1]26MY_ODYSSEY_DATA'!B:AR,10,FALSE)</f>
        <v>729</v>
      </c>
      <c r="G19" s="60">
        <f>VLOOKUP(B19,'[1]26MY_ODYSSEY_DATA'!B:AR,7,FALSE)</f>
        <v>0.60000000000000009</v>
      </c>
      <c r="H19" s="61">
        <f>VLOOKUP(B19,'[1]26MY_ODYSSEY_DATA'!B:AR,11,FALSE)</f>
        <v>829.8</v>
      </c>
      <c r="I19" s="62">
        <f>VLOOKUP(B19,'[1]26MY_ODYSSEY_DATA'!B:AR,12,FALSE)</f>
        <v>0</v>
      </c>
      <c r="J19" s="62" t="str">
        <f>VLOOKUP(B19,'[1]26MY_ODYSSEY_DATA'!B:AR,13,FALSE)</f>
        <v>•</v>
      </c>
      <c r="K19" s="62" t="str">
        <f>VLOOKUP(B19,'[1]26MY_ODYSSEY_DATA'!B:AR,14,FALSE)</f>
        <v>•</v>
      </c>
      <c r="L19" s="62" t="str">
        <f>VLOOKUP(B19,'[1]26MY_ODYSSEY_DATA'!B:AR,15,FALSE)</f>
        <v>•</v>
      </c>
      <c r="M19" s="62" t="str">
        <f>VLOOKUP(B19,'[1]26MY_ODYSSEY_DATA'!B:AR,16,FALSE)</f>
        <v>•</v>
      </c>
      <c r="N19" s="62">
        <f>VLOOKUP($B19,'[1]26MY_ODYSSEY_DATA'!$B:$AR,17,FALSE)</f>
        <v>0</v>
      </c>
      <c r="O19" s="62">
        <f>VLOOKUP($B19,'[1]26MY_ODYSSEY_DATA'!$B:$AR,18,FALSE)</f>
        <v>0</v>
      </c>
      <c r="P19" s="62">
        <f>VLOOKUP($B19,'[1]26MY_ODYSSEY_DATA'!$B:$AR,19,FALSE)</f>
        <v>0</v>
      </c>
      <c r="Q19" s="63" t="str">
        <f>IF(VLOOKUP(B19,'[1]26MY_ODYSSEY_DATA'!B:AR,20,FALSE)="","",VLOOKUP(B19,'[1]26MY_ODYSSEY_DATA'!B:AR,20,FALSE))</f>
        <v>White 'ODYSSEY' lettering on Floor Mats.
Cargo Tray - Folding.</v>
      </c>
      <c r="R19" s="74"/>
      <c r="S19" s="74"/>
      <c r="T19" s="74"/>
    </row>
    <row r="20" spans="2:20" s="75" customFormat="1" ht="15" x14ac:dyDescent="0.25">
      <c r="B20" s="66" t="s">
        <v>36</v>
      </c>
      <c r="C20" s="67" t="str">
        <f>VLOOKUP(B20,'[1]26MY_ODYSSEY_DATA'!B:AR,3,FALSE)</f>
        <v>All-Season Floor Mats - White Logo</v>
      </c>
      <c r="D20" s="68" t="str">
        <f t="shared" ref="D20:D22" si="1">B20</f>
        <v>08P17-THR-110A</v>
      </c>
      <c r="E20" s="69"/>
      <c r="F20" s="69"/>
      <c r="G20" s="70"/>
      <c r="H20" s="71"/>
      <c r="I20" s="72"/>
      <c r="J20" s="72"/>
      <c r="K20" s="72"/>
      <c r="L20" s="72"/>
      <c r="M20" s="72"/>
      <c r="N20" s="72"/>
      <c r="O20" s="72"/>
      <c r="P20" s="72"/>
      <c r="Q20" s="73"/>
      <c r="R20" s="74"/>
      <c r="S20" s="74"/>
      <c r="T20" s="74"/>
    </row>
    <row r="21" spans="2:20" s="75" customFormat="1" ht="15" x14ac:dyDescent="0.25">
      <c r="B21" s="56" t="s">
        <v>40</v>
      </c>
      <c r="C21" s="67" t="str">
        <f>VLOOKUP(B21,'[1]26MY_ODYSSEY_DATA'!B:AR,3,FALSE)</f>
        <v>Cargo Tray - Folding</v>
      </c>
      <c r="D21" s="76" t="str">
        <f t="shared" si="1"/>
        <v>08U45-THR-100B</v>
      </c>
      <c r="E21" s="69"/>
      <c r="F21" s="69"/>
      <c r="G21" s="70"/>
      <c r="H21" s="71"/>
      <c r="I21" s="72"/>
      <c r="J21" s="72"/>
      <c r="K21" s="72"/>
      <c r="L21" s="72"/>
      <c r="M21" s="72"/>
      <c r="N21" s="72"/>
      <c r="O21" s="72"/>
      <c r="P21" s="72"/>
      <c r="Q21" s="73"/>
      <c r="R21" s="74"/>
      <c r="S21" s="74"/>
      <c r="T21" s="74"/>
    </row>
    <row r="22" spans="2:20" s="75" customFormat="1" ht="15" x14ac:dyDescent="0.25">
      <c r="B22" s="56" t="s">
        <v>38</v>
      </c>
      <c r="C22" s="67" t="str">
        <f>VLOOKUP(B22,'[1]26MY_ODYSSEY_DATA'!B:AR,3,FALSE)</f>
        <v>Rear Splash Guards</v>
      </c>
      <c r="D22" s="76" t="str">
        <f t="shared" si="1"/>
        <v>08P09-THR-300A</v>
      </c>
      <c r="E22" s="77"/>
      <c r="F22" s="77"/>
      <c r="G22" s="78"/>
      <c r="H22" s="79"/>
      <c r="I22" s="80"/>
      <c r="J22" s="80"/>
      <c r="K22" s="80"/>
      <c r="L22" s="80"/>
      <c r="M22" s="80"/>
      <c r="N22" s="80"/>
      <c r="O22" s="80"/>
      <c r="P22" s="80"/>
      <c r="Q22" s="81"/>
      <c r="R22" s="74"/>
      <c r="S22" s="74"/>
      <c r="T22" s="74"/>
    </row>
    <row r="23" spans="2:20" s="75" customFormat="1" ht="7.15" customHeight="1" x14ac:dyDescent="0.25">
      <c r="B23" s="56"/>
      <c r="C23" s="82"/>
      <c r="D23" s="83"/>
      <c r="E23" s="83"/>
      <c r="F23" s="83"/>
      <c r="G23" s="83"/>
      <c r="H23" s="83"/>
      <c r="I23" s="83"/>
      <c r="J23" s="83"/>
      <c r="K23" s="83"/>
      <c r="L23" s="83"/>
      <c r="M23" s="83"/>
      <c r="N23" s="83"/>
      <c r="O23" s="83"/>
      <c r="P23" s="83"/>
      <c r="Q23" s="84"/>
      <c r="R23" s="74"/>
      <c r="S23" s="74"/>
    </row>
    <row r="24" spans="2:20" s="75" customFormat="1" ht="15" x14ac:dyDescent="0.25">
      <c r="B24" s="56" t="s">
        <v>41</v>
      </c>
      <c r="C24" s="57" t="str">
        <f>VLOOKUP(B24,'[1]26MY_ODYSSEY_DATA'!B:AR,3,FALSE)</f>
        <v>Cold Weather Package</v>
      </c>
      <c r="D24" s="85" t="str">
        <f>B24</f>
        <v>21ODY-COLD-PKG</v>
      </c>
      <c r="E24" s="59">
        <f>VLOOKUP(B24,'[1]26MY_ODYSSEY_DATA'!B:AR,9,FALSE)</f>
        <v>224.2</v>
      </c>
      <c r="F24" s="59">
        <f>VLOOKUP(B24,'[1]26MY_ODYSSEY_DATA'!B:AR,10,FALSE)</f>
        <v>374.29999999999995</v>
      </c>
      <c r="G24" s="60">
        <f>VLOOKUP(B24,'[1]26MY_ODYSSEY_DATA'!B:AR,7,FALSE)</f>
        <v>1.4</v>
      </c>
      <c r="H24" s="61">
        <f>VLOOKUP(B24,'[1]26MY_ODYSSEY_DATA'!B:AR,11,FALSE)</f>
        <v>609.5</v>
      </c>
      <c r="I24" s="62">
        <f>VLOOKUP(B24,'[1]26MY_ODYSSEY_DATA'!B:AR,12,FALSE)</f>
        <v>0</v>
      </c>
      <c r="J24" s="62" t="str">
        <f>VLOOKUP(B24,'[1]26MY_ODYSSEY_DATA'!B:AR,13,FALSE)</f>
        <v>•</v>
      </c>
      <c r="K24" s="62" t="str">
        <f>VLOOKUP(B24,'[1]26MY_ODYSSEY_DATA'!B:AR,14,FALSE)</f>
        <v>•</v>
      </c>
      <c r="L24" s="62" t="str">
        <f>VLOOKUP(B24,'[1]26MY_ODYSSEY_DATA'!B:AR,15,FALSE)</f>
        <v>•</v>
      </c>
      <c r="M24" s="62" t="str">
        <f>VLOOKUP(B24,'[1]26MY_ODYSSEY_DATA'!B:AR,16,FALSE)</f>
        <v>•</v>
      </c>
      <c r="N24" s="62">
        <f>VLOOKUP($B24,'[1]26MY_ODYSSEY_DATA'!$B:$AR,17,FALSE)</f>
        <v>0</v>
      </c>
      <c r="O24" s="62">
        <f>VLOOKUP($B24,'[1]26MY_ODYSSEY_DATA'!$B:$AR,18,FALSE)</f>
        <v>0</v>
      </c>
      <c r="P24" s="62">
        <f>VLOOKUP($B24,'[1]26MY_ODYSSEY_DATA'!$B:$AR,19,FALSE)</f>
        <v>0</v>
      </c>
      <c r="Q24" s="63" t="str">
        <f>IF(VLOOKUP(B24,'[1]26MY_ODYSSEY_DATA'!B:AR,20,FALSE)="","",VLOOKUP(B24,'[1]26MY_ODYSSEY_DATA'!B:AR,20,FALSE))</f>
        <v>5% discount applied.</v>
      </c>
      <c r="R24" s="74"/>
      <c r="S24" s="74"/>
      <c r="T24" s="74"/>
    </row>
    <row r="25" spans="2:20" s="75" customFormat="1" ht="15" x14ac:dyDescent="0.25">
      <c r="B25" s="56" t="s">
        <v>42</v>
      </c>
      <c r="C25" s="67" t="str">
        <f>VLOOKUP(B25,'[1]26MY_ODYSSEY_DATA'!B:AR,3,FALSE)</f>
        <v>Engine Block Heater</v>
      </c>
      <c r="D25" s="76" t="str">
        <f t="shared" ref="D25:D26" si="2">B25</f>
        <v>08T44-SJA-401A</v>
      </c>
      <c r="E25" s="69"/>
      <c r="F25" s="69"/>
      <c r="G25" s="70"/>
      <c r="H25" s="71"/>
      <c r="I25" s="72"/>
      <c r="J25" s="72"/>
      <c r="K25" s="72"/>
      <c r="L25" s="72"/>
      <c r="M25" s="72"/>
      <c r="N25" s="72"/>
      <c r="O25" s="72"/>
      <c r="P25" s="72"/>
      <c r="Q25" s="73"/>
      <c r="R25" s="74"/>
      <c r="S25" s="74"/>
      <c r="T25" s="74"/>
    </row>
    <row r="26" spans="2:20" s="75" customFormat="1" ht="15" x14ac:dyDescent="0.25">
      <c r="B26" s="56" t="s">
        <v>43</v>
      </c>
      <c r="C26" s="67" t="str">
        <f>VLOOKUP(B26,'[1]26MY_ODYSSEY_DATA'!B:AR,3,FALSE)</f>
        <v>Optimate 12V Auto Battery Charger/Maintainer</v>
      </c>
      <c r="D26" s="76" t="str">
        <f t="shared" si="2"/>
        <v>31670-BMS-004H</v>
      </c>
      <c r="E26" s="77"/>
      <c r="F26" s="77"/>
      <c r="G26" s="78"/>
      <c r="H26" s="79"/>
      <c r="I26" s="80"/>
      <c r="J26" s="80"/>
      <c r="K26" s="80"/>
      <c r="L26" s="80"/>
      <c r="M26" s="80"/>
      <c r="N26" s="80"/>
      <c r="O26" s="80"/>
      <c r="P26" s="80"/>
      <c r="Q26" s="81"/>
      <c r="R26" s="74"/>
      <c r="S26" s="74"/>
      <c r="T26" s="74"/>
    </row>
    <row r="27" spans="2:20" s="75" customFormat="1" ht="7.15" customHeight="1" x14ac:dyDescent="0.25">
      <c r="B27" s="56"/>
      <c r="C27" s="82"/>
      <c r="D27" s="83"/>
      <c r="E27" s="83"/>
      <c r="F27" s="83"/>
      <c r="G27" s="83"/>
      <c r="H27" s="83"/>
      <c r="I27" s="83"/>
      <c r="J27" s="83"/>
      <c r="K27" s="83"/>
      <c r="L27" s="83"/>
      <c r="M27" s="83"/>
      <c r="N27" s="83"/>
      <c r="O27" s="83"/>
      <c r="P27" s="83"/>
      <c r="Q27" s="84"/>
      <c r="R27" s="74"/>
      <c r="S27" s="74"/>
      <c r="T27" s="74"/>
    </row>
    <row r="28" spans="2:20" s="75" customFormat="1" ht="40.5" customHeight="1" x14ac:dyDescent="0.25">
      <c r="B28" s="66" t="s">
        <v>44</v>
      </c>
      <c r="C28" s="57" t="str">
        <f>VLOOKUP(B28,'[1]26MY_ODYSSEY_DATA'!B:AR,3,FALSE)</f>
        <v xml:space="preserve">Towing Package </v>
      </c>
      <c r="D28" s="58" t="str">
        <f>B28</f>
        <v>25ODY-TOW-A1 or 
25ODY-TOW-B1</v>
      </c>
      <c r="E28" s="59">
        <f>VLOOKUP(B28,'[1]26MY_ODYSSEY_DATA'!B:AR,9,FALSE)</f>
        <v>784.80000000000007</v>
      </c>
      <c r="F28" s="59">
        <f>VLOOKUP(B28,'[1]26MY_ODYSSEY_DATA'!B:AR,10,FALSE)</f>
        <v>1296</v>
      </c>
      <c r="G28" s="60">
        <f>VLOOKUP(B28,'[1]26MY_ODYSSEY_DATA'!B:AR,7,FALSE)</f>
        <v>2.2999999999999998</v>
      </c>
      <c r="H28" s="61">
        <f>VLOOKUP(B28,'[1]26MY_ODYSSEY_DATA'!B:AR,11,FALSE)</f>
        <v>1682.4</v>
      </c>
      <c r="I28" s="62">
        <f>VLOOKUP(B28,'[1]26MY_ODYSSEY_DATA'!B:AR,12,FALSE)</f>
        <v>0</v>
      </c>
      <c r="J28" s="62" t="str">
        <f>VLOOKUP(B28,'[1]26MY_ODYSSEY_DATA'!B:AR,13,FALSE)</f>
        <v>•</v>
      </c>
      <c r="K28" s="62" t="str">
        <f>VLOOKUP(B28,'[1]26MY_ODYSSEY_DATA'!B:AR,14,FALSE)</f>
        <v>•</v>
      </c>
      <c r="L28" s="62" t="str">
        <f>VLOOKUP(B28,'[1]26MY_ODYSSEY_DATA'!B:AR,15,FALSE)</f>
        <v>N/A</v>
      </c>
      <c r="M28" s="62" t="str">
        <f>VLOOKUP(B28,'[1]26MY_ODYSSEY_DATA'!B:AR,16,FALSE)</f>
        <v>N/A</v>
      </c>
      <c r="N28" s="62">
        <f>VLOOKUP($B28,'[1]26MY_ODYSSEY_DATA'!$B:$AR,17,FALSE)</f>
        <v>0</v>
      </c>
      <c r="O28" s="62">
        <f>VLOOKUP($B28,'[1]26MY_ODYSSEY_DATA'!$B:$AR,18,FALSE)</f>
        <v>0</v>
      </c>
      <c r="P28" s="62">
        <f>VLOOKUP($B28,'[1]26MY_ODYSSEY_DATA'!$B:$AR,19,FALSE)</f>
        <v>0</v>
      </c>
      <c r="Q28" s="63" t="str">
        <f>IF(VLOOKUP(B28,'[1]26MY_ODYSSEY_DATA'!B:AR,20,FALSE)="","",VLOOKUP(B28,'[1]26MY_ODYSSEY_DATA'!B:AR,20,FALSE))</f>
        <v>10% Discount Applied.
Trailer Hitch Rating: Class II.
Trailer Hitch Receiver Size: 2-in x 2-in.
Towing Capacity: 1,587 kg / 3,500 lbs.</v>
      </c>
      <c r="R28" s="74"/>
      <c r="S28" s="74"/>
      <c r="T28" s="74"/>
    </row>
    <row r="29" spans="2:20" s="75" customFormat="1" ht="15" x14ac:dyDescent="0.25">
      <c r="B29" s="56" t="s">
        <v>45</v>
      </c>
      <c r="C29" s="67" t="str">
        <f>VLOOKUP(B29,'[1]26MY_ODYSSEY_DATA'!B:AR,3,FALSE)</f>
        <v>Trailer Hitch</v>
      </c>
      <c r="D29" s="76" t="str">
        <f t="shared" ref="D29:D32" si="3">B29</f>
        <v>08L92-THR-300A</v>
      </c>
      <c r="E29" s="69"/>
      <c r="F29" s="69"/>
      <c r="G29" s="70"/>
      <c r="H29" s="71"/>
      <c r="I29" s="72"/>
      <c r="J29" s="72"/>
      <c r="K29" s="72"/>
      <c r="L29" s="72"/>
      <c r="M29" s="72"/>
      <c r="N29" s="72"/>
      <c r="O29" s="72"/>
      <c r="P29" s="72"/>
      <c r="Q29" s="73"/>
      <c r="R29" s="74"/>
      <c r="S29" s="74"/>
      <c r="T29" s="74"/>
    </row>
    <row r="30" spans="2:20" s="75" customFormat="1" ht="30" x14ac:dyDescent="0.25">
      <c r="B30" s="56" t="s">
        <v>46</v>
      </c>
      <c r="C30" s="67" t="str">
        <f>VLOOKUP(B30,'[1]26MY_ODYSSEY_DATA'!B:AR,3,FALSE)</f>
        <v>Trailer Hitch Ball - 1-7/8" or 2"</v>
      </c>
      <c r="D30" s="68" t="str">
        <f t="shared" si="3"/>
        <v>08L92-SCV-300A or 08L92-SCV-100B</v>
      </c>
      <c r="E30" s="69"/>
      <c r="F30" s="69"/>
      <c r="G30" s="70"/>
      <c r="H30" s="71"/>
      <c r="I30" s="72"/>
      <c r="J30" s="72"/>
      <c r="K30" s="72"/>
      <c r="L30" s="72"/>
      <c r="M30" s="72"/>
      <c r="N30" s="72"/>
      <c r="O30" s="72"/>
      <c r="P30" s="72"/>
      <c r="Q30" s="73"/>
      <c r="R30" s="74"/>
      <c r="S30" s="74"/>
      <c r="T30" s="74"/>
    </row>
    <row r="31" spans="2:20" s="75" customFormat="1" ht="15" x14ac:dyDescent="0.25">
      <c r="B31" s="56" t="s">
        <v>47</v>
      </c>
      <c r="C31" s="67" t="str">
        <f>VLOOKUP(B31,'[1]26MY_ODYSSEY_DATA'!B:AR,3,FALSE)</f>
        <v>Trailer Hitch Harness</v>
      </c>
      <c r="D31" s="68" t="str">
        <f t="shared" si="3"/>
        <v>08L91-THR-300</v>
      </c>
      <c r="E31" s="69"/>
      <c r="F31" s="69"/>
      <c r="G31" s="70"/>
      <c r="H31" s="71"/>
      <c r="I31" s="72"/>
      <c r="J31" s="72"/>
      <c r="K31" s="72"/>
      <c r="L31" s="72"/>
      <c r="M31" s="72"/>
      <c r="N31" s="72"/>
      <c r="O31" s="72"/>
      <c r="P31" s="72"/>
      <c r="Q31" s="73"/>
      <c r="R31" s="74"/>
      <c r="S31" s="74"/>
      <c r="T31" s="74"/>
    </row>
    <row r="32" spans="2:20" s="75" customFormat="1" ht="15" x14ac:dyDescent="0.25">
      <c r="B32" s="56" t="s">
        <v>48</v>
      </c>
      <c r="C32" s="67" t="str">
        <f>VLOOKUP(B32,'[1]26MY_ODYSSEY_DATA'!B:AR,3,FALSE)</f>
        <v>Trailer Hitch Locking Pin</v>
      </c>
      <c r="D32" s="76" t="str">
        <f t="shared" si="3"/>
        <v>08L92-SJC-300A</v>
      </c>
      <c r="E32" s="77"/>
      <c r="F32" s="77"/>
      <c r="G32" s="78"/>
      <c r="H32" s="79"/>
      <c r="I32" s="80"/>
      <c r="J32" s="80"/>
      <c r="K32" s="80"/>
      <c r="L32" s="80"/>
      <c r="M32" s="80"/>
      <c r="N32" s="80"/>
      <c r="O32" s="80"/>
      <c r="P32" s="80"/>
      <c r="Q32" s="81"/>
      <c r="R32" s="74"/>
      <c r="S32" s="74"/>
      <c r="T32" s="74"/>
    </row>
    <row r="33" spans="2:20" s="75" customFormat="1" ht="7.15" customHeight="1" x14ac:dyDescent="0.25">
      <c r="B33" s="56"/>
      <c r="Q33" s="86"/>
      <c r="R33" s="74"/>
      <c r="S33" s="74"/>
      <c r="T33" s="74"/>
    </row>
    <row r="34" spans="2:20" s="75" customFormat="1" ht="45.75" customHeight="1" x14ac:dyDescent="0.25">
      <c r="B34" s="66" t="s">
        <v>49</v>
      </c>
      <c r="C34" s="57" t="str">
        <f>VLOOKUP(B34,'[1]26MY_ODYSSEY_DATA'!B:AR,3,FALSE)</f>
        <v xml:space="preserve">Towing Package </v>
      </c>
      <c r="D34" s="58" t="str">
        <f>B34</f>
        <v>25ODY-TOW-A2 or 
25ODY-TOW-B2</v>
      </c>
      <c r="E34" s="59">
        <f>VLOOKUP(B34,'[1]26MY_ODYSSEY_DATA'!B:AR,9,FALSE)</f>
        <v>999</v>
      </c>
      <c r="F34" s="59">
        <f>VLOOKUP(B34,'[1]26MY_ODYSSEY_DATA'!B:AR,10,FALSE)</f>
        <v>1653.3</v>
      </c>
      <c r="G34" s="60">
        <f>VLOOKUP(B34,'[1]26MY_ODYSSEY_DATA'!B:AR,7,FALSE)</f>
        <v>2.5</v>
      </c>
      <c r="H34" s="61">
        <f>VLOOKUP(B34,'[1]26MY_ODYSSEY_DATA'!B:AR,11,FALSE)</f>
        <v>2073.3000000000002</v>
      </c>
      <c r="I34" s="62">
        <f>VLOOKUP(B34,'[1]26MY_ODYSSEY_DATA'!B:AR,12,FALSE)</f>
        <v>0</v>
      </c>
      <c r="J34" s="62" t="str">
        <f>VLOOKUP(B34,'[1]26MY_ODYSSEY_DATA'!B:AR,13,FALSE)</f>
        <v>N/A</v>
      </c>
      <c r="K34" s="62" t="str">
        <f>VLOOKUP(B34,'[1]26MY_ODYSSEY_DATA'!B:AR,14,FALSE)</f>
        <v>N/A</v>
      </c>
      <c r="L34" s="62" t="str">
        <f>VLOOKUP(B34,'[1]26MY_ODYSSEY_DATA'!B:AR,15,FALSE)</f>
        <v>•</v>
      </c>
      <c r="M34" s="87" t="str">
        <f>VLOOKUP(B34,'[1]26MY_ODYSSEY_DATA'!B:AR,16,FALSE)</f>
        <v>•</v>
      </c>
      <c r="N34" s="62">
        <f>VLOOKUP($B34,'[1]26MY_ODYSSEY_DATA'!$B:$AR,17,FALSE)</f>
        <v>0</v>
      </c>
      <c r="O34" s="62">
        <f>VLOOKUP($B34,'[1]26MY_ODYSSEY_DATA'!$B:$AR,18,FALSE)</f>
        <v>0</v>
      </c>
      <c r="P34" s="62">
        <f>VLOOKUP($B34,'[1]26MY_ODYSSEY_DATA'!$B:$AR,19,FALSE)</f>
        <v>0</v>
      </c>
      <c r="Q34" s="63" t="str">
        <f>IF(VLOOKUP(B34,'[1]26MY_ODYSSEY_DATA'!B:AR,20,FALSE)="","",VLOOKUP(B34,'[1]26MY_ODYSSEY_DATA'!B:AR,20,FALSE))</f>
        <v>10% Discount Applied.
Black Edition: Requires Hands-Free Power Tailgate Sensor Adapter since Hands-Free comes standard.
Trailer Hitch Rating: Class II.
Trailer Hitch Receiver Size: 2-in x 2-in.
Towing Capacity: 1,587 kg / 3,500 lbs.</v>
      </c>
      <c r="R34" s="74"/>
      <c r="S34" s="74"/>
      <c r="T34" s="74"/>
    </row>
    <row r="35" spans="2:20" s="75" customFormat="1" ht="15" x14ac:dyDescent="0.25">
      <c r="B35" s="56" t="s">
        <v>45</v>
      </c>
      <c r="C35" s="67" t="str">
        <f>VLOOKUP(B35,'[1]26MY_ODYSSEY_DATA'!B:AR,3,FALSE)</f>
        <v>Trailer Hitch</v>
      </c>
      <c r="D35" s="76" t="str">
        <f t="shared" ref="D35:D39" si="4">B35</f>
        <v>08L92-THR-300A</v>
      </c>
      <c r="E35" s="69"/>
      <c r="F35" s="69"/>
      <c r="G35" s="70"/>
      <c r="H35" s="71"/>
      <c r="I35" s="72"/>
      <c r="J35" s="72"/>
      <c r="K35" s="72"/>
      <c r="L35" s="72"/>
      <c r="M35" s="88"/>
      <c r="N35" s="72"/>
      <c r="O35" s="72"/>
      <c r="P35" s="72"/>
      <c r="Q35" s="73"/>
      <c r="R35" s="74"/>
      <c r="S35" s="74"/>
      <c r="T35" s="74"/>
    </row>
    <row r="36" spans="2:20" s="75" customFormat="1" ht="15" x14ac:dyDescent="0.25">
      <c r="B36" s="56" t="s">
        <v>50</v>
      </c>
      <c r="C36" s="67" t="str">
        <f>VLOOKUP(B36,'[1]26MY_ODYSSEY_DATA'!B:AR,3,FALSE)</f>
        <v>Hands-Free Power Tailgate Sensor Adapter</v>
      </c>
      <c r="D36" s="76" t="str">
        <f>B36</f>
        <v>08L91-THR-300A</v>
      </c>
      <c r="E36" s="69"/>
      <c r="F36" s="69"/>
      <c r="G36" s="70"/>
      <c r="H36" s="71"/>
      <c r="I36" s="72"/>
      <c r="J36" s="72"/>
      <c r="K36" s="72"/>
      <c r="L36" s="72"/>
      <c r="M36" s="88"/>
      <c r="N36" s="72"/>
      <c r="O36" s="72"/>
      <c r="P36" s="72"/>
      <c r="Q36" s="73"/>
      <c r="R36" s="74"/>
      <c r="S36" s="74"/>
      <c r="T36" s="74"/>
    </row>
    <row r="37" spans="2:20" s="75" customFormat="1" ht="30" x14ac:dyDescent="0.25">
      <c r="B37" s="56" t="s">
        <v>46</v>
      </c>
      <c r="C37" s="67" t="str">
        <f>VLOOKUP(B37,'[1]26MY_ODYSSEY_DATA'!B:AR,3,FALSE)</f>
        <v>Trailer Hitch Ball - 1-7/8" or 2"</v>
      </c>
      <c r="D37" s="68" t="str">
        <f>B37</f>
        <v>08L92-SCV-300A or 08L92-SCV-100B</v>
      </c>
      <c r="E37" s="69"/>
      <c r="F37" s="69"/>
      <c r="G37" s="70"/>
      <c r="H37" s="71"/>
      <c r="I37" s="72"/>
      <c r="J37" s="72"/>
      <c r="K37" s="72"/>
      <c r="L37" s="72"/>
      <c r="M37" s="88"/>
      <c r="N37" s="72"/>
      <c r="O37" s="72"/>
      <c r="P37" s="72"/>
      <c r="Q37" s="73"/>
      <c r="R37" s="74"/>
      <c r="S37" s="74"/>
      <c r="T37" s="74"/>
    </row>
    <row r="38" spans="2:20" s="75" customFormat="1" ht="15" x14ac:dyDescent="0.25">
      <c r="B38" s="56" t="s">
        <v>47</v>
      </c>
      <c r="C38" s="67" t="str">
        <f>VLOOKUP(B38,'[1]26MY_ODYSSEY_DATA'!B:AR,3,FALSE)</f>
        <v>Trailer Hitch Harness</v>
      </c>
      <c r="D38" s="76" t="str">
        <f t="shared" si="4"/>
        <v>08L91-THR-300</v>
      </c>
      <c r="E38" s="69"/>
      <c r="F38" s="69"/>
      <c r="G38" s="70"/>
      <c r="H38" s="71"/>
      <c r="I38" s="72"/>
      <c r="J38" s="72"/>
      <c r="K38" s="72"/>
      <c r="L38" s="72"/>
      <c r="M38" s="88"/>
      <c r="N38" s="72"/>
      <c r="O38" s="72"/>
      <c r="P38" s="72"/>
      <c r="Q38" s="73"/>
      <c r="R38" s="74"/>
      <c r="S38" s="74"/>
      <c r="T38" s="74"/>
    </row>
    <row r="39" spans="2:20" s="75" customFormat="1" ht="15" x14ac:dyDescent="0.25">
      <c r="B39" s="56" t="s">
        <v>48</v>
      </c>
      <c r="C39" s="67" t="str">
        <f>VLOOKUP(B39,'[1]26MY_ODYSSEY_DATA'!B:AR,3,FALSE)</f>
        <v>Trailer Hitch Locking Pin</v>
      </c>
      <c r="D39" s="76" t="str">
        <f t="shared" si="4"/>
        <v>08L92-SJC-300A</v>
      </c>
      <c r="E39" s="77"/>
      <c r="F39" s="77"/>
      <c r="G39" s="78"/>
      <c r="H39" s="79"/>
      <c r="I39" s="80"/>
      <c r="J39" s="80"/>
      <c r="K39" s="80"/>
      <c r="L39" s="80"/>
      <c r="M39" s="89"/>
      <c r="N39" s="80"/>
      <c r="O39" s="80"/>
      <c r="P39" s="80"/>
      <c r="Q39" s="81"/>
      <c r="R39" s="74"/>
      <c r="S39" s="74"/>
      <c r="T39" s="74"/>
    </row>
    <row r="40" spans="2:20" s="92" customFormat="1" ht="15.6" customHeight="1" x14ac:dyDescent="0.25">
      <c r="B40" s="90"/>
      <c r="C40" s="49"/>
      <c r="D40" s="49"/>
      <c r="E40" s="49"/>
      <c r="F40" s="49"/>
      <c r="G40" s="50"/>
      <c r="H40" s="49"/>
      <c r="I40" s="49"/>
      <c r="J40" s="49"/>
      <c r="K40" s="49"/>
      <c r="L40" s="49"/>
      <c r="M40" s="49"/>
      <c r="N40" s="49"/>
      <c r="O40" s="49"/>
      <c r="P40" s="49"/>
      <c r="Q40" s="91"/>
    </row>
    <row r="41" spans="2:20" s="65" customFormat="1" ht="18.75" x14ac:dyDescent="0.3">
      <c r="B41" s="56"/>
      <c r="C41" s="47" t="s">
        <v>51</v>
      </c>
      <c r="D41" s="47"/>
      <c r="E41" s="93"/>
      <c r="F41" s="93"/>
      <c r="G41" s="93"/>
      <c r="H41" s="93"/>
      <c r="I41" s="93"/>
      <c r="J41" s="93"/>
      <c r="K41" s="93"/>
      <c r="L41" s="93"/>
      <c r="M41" s="93"/>
      <c r="N41" s="93"/>
      <c r="O41" s="93"/>
      <c r="P41" s="93"/>
      <c r="Q41" s="93"/>
    </row>
    <row r="42" spans="2:20" s="75" customFormat="1" ht="15" customHeight="1" x14ac:dyDescent="0.25">
      <c r="B42" s="56"/>
      <c r="C42" s="53" t="s">
        <v>27</v>
      </c>
      <c r="D42" s="53" t="s">
        <v>28</v>
      </c>
      <c r="E42" s="53" t="s">
        <v>29</v>
      </c>
      <c r="F42" s="53" t="s">
        <v>30</v>
      </c>
      <c r="G42" s="53" t="s">
        <v>31</v>
      </c>
      <c r="H42" s="54" t="s">
        <v>32</v>
      </c>
      <c r="I42" s="53" t="s">
        <v>33</v>
      </c>
      <c r="J42" s="53"/>
      <c r="K42" s="53"/>
      <c r="L42" s="53"/>
      <c r="M42" s="53"/>
      <c r="N42" s="53"/>
      <c r="O42" s="53"/>
      <c r="P42" s="53"/>
      <c r="Q42" s="53" t="s">
        <v>34</v>
      </c>
    </row>
    <row r="43" spans="2:20" s="75" customFormat="1" ht="29.1" customHeight="1" x14ac:dyDescent="0.25">
      <c r="B43" s="94"/>
      <c r="C43" s="53"/>
      <c r="D43" s="53"/>
      <c r="E43" s="53"/>
      <c r="F43" s="53"/>
      <c r="G43" s="53"/>
      <c r="H43" s="54"/>
      <c r="I43" s="55">
        <f>'[1]26MY_ODYSSEY_DATA'!M$6</f>
        <v>0</v>
      </c>
      <c r="J43" s="55" t="str">
        <f>'[1]26MY_ODYSSEY_DATA'!N$6</f>
        <v>Sport</v>
      </c>
      <c r="K43" s="55" t="str">
        <f>'[1]26MY_ODYSSEY_DATA'!O$6</f>
        <v>Sport-L</v>
      </c>
      <c r="L43" s="55" t="str">
        <f>'[1]26MY_ODYSSEY_DATA'!P$6</f>
        <v>Touring</v>
      </c>
      <c r="M43" s="55" t="str">
        <f>'[1]26MY_ODYSSEY_DATA'!Q$6</f>
        <v>Black Edition</v>
      </c>
      <c r="N43" s="55">
        <f>'[1]26MY_ODYSSEY_DATA'!R$6</f>
        <v>0</v>
      </c>
      <c r="O43" s="55">
        <f>'[1]26MY_ODYSSEY_DATA'!S$6</f>
        <v>0</v>
      </c>
      <c r="P43" s="55">
        <f>'[1]26MY_ODYSSEY_DATA'!T$6</f>
        <v>0</v>
      </c>
      <c r="Q43" s="53"/>
    </row>
    <row r="44" spans="2:20" s="92" customFormat="1" ht="15" customHeight="1" x14ac:dyDescent="0.25">
      <c r="B44" s="90" t="s">
        <v>52</v>
      </c>
      <c r="C44" s="95" t="str">
        <f>VLOOKUP(B44,'[1]26MY_ODYSSEY_DATA'!B:AR,3,FALSE)</f>
        <v>Wheel Locks - Black</v>
      </c>
      <c r="D44" s="96" t="str">
        <f>B44</f>
        <v>08W42-TG7-301A</v>
      </c>
      <c r="E44" s="97">
        <f>VLOOKUP(B44,'[1]26MY_ODYSSEY_DATA'!B:AR,9,FALSE)</f>
        <v>85</v>
      </c>
      <c r="F44" s="97">
        <f>VLOOKUP(B44,'[1]26MY_ODYSSEY_DATA'!B:AR,10,FALSE)</f>
        <v>140</v>
      </c>
      <c r="G44" s="98">
        <f>VLOOKUP(B44,'[1]26MY_ODYSSEY_DATA'!B:AR,7,FALSE)</f>
        <v>0.2</v>
      </c>
      <c r="H44" s="99">
        <f>VLOOKUP(B44,'[1]26MY_ODYSSEY_DATA'!B:AR,11,FALSE)</f>
        <v>173.6</v>
      </c>
      <c r="I44" s="100">
        <f>VLOOKUP(B44,'[1]26MY_ODYSSEY_DATA'!B:AR,12,FALSE)</f>
        <v>0</v>
      </c>
      <c r="J44" s="100" t="str">
        <f>VLOOKUP(B44,'[1]26MY_ODYSSEY_DATA'!B:AR,13,FALSE)</f>
        <v>•</v>
      </c>
      <c r="K44" s="100" t="str">
        <f>VLOOKUP(B44,'[1]26MY_ODYSSEY_DATA'!B:AR,14,FALSE)</f>
        <v>•</v>
      </c>
      <c r="L44" s="100" t="str">
        <f>VLOOKUP(B44,'[1]26MY_ODYSSEY_DATA'!B:AR,15,FALSE)</f>
        <v>•</v>
      </c>
      <c r="M44" s="100" t="str">
        <f>VLOOKUP(B44,'[1]26MY_ODYSSEY_DATA'!B:AR,16,FALSE)</f>
        <v>•</v>
      </c>
      <c r="N44" s="100">
        <f>VLOOKUP($B44,'[1]26MY_ODYSSEY_DATA'!$B:$AR,17,FALSE)</f>
        <v>0</v>
      </c>
      <c r="O44" s="100">
        <f>VLOOKUP($B44,'[1]26MY_ODYSSEY_DATA'!$B:$AR,18,FALSE)</f>
        <v>0</v>
      </c>
      <c r="P44" s="100">
        <f>VLOOKUP($B44,'[1]26MY_ODYSSEY_DATA'!$B:$AR,19,FALSE)</f>
        <v>0</v>
      </c>
      <c r="Q44" s="101" t="str">
        <f>IF(VLOOKUP(B44,'[1]26MY_ODYSSEY_DATA'!B:AR,20,FALSE)="","",VLOOKUP(B44,'[1]26MY_ODYSSEY_DATA'!B:AR,20,FALSE))</f>
        <v/>
      </c>
    </row>
    <row r="45" spans="2:20" s="75" customFormat="1" ht="16.5" x14ac:dyDescent="0.25">
      <c r="B45" s="94" t="s">
        <v>53</v>
      </c>
      <c r="C45" s="95" t="str">
        <f>VLOOKUP(B45,'[1]26MY_ODYSSEY_DATA'!B:AR,3,FALSE)</f>
        <v>Wheel Locks - Chrome</v>
      </c>
      <c r="D45" s="96" t="str">
        <f t="shared" ref="D45" si="5">B45</f>
        <v>08W42-TK4-301</v>
      </c>
      <c r="E45" s="97">
        <f>VLOOKUP(B45,'[1]26MY_ODYSSEY_DATA'!B:AR,9,FALSE)</f>
        <v>91</v>
      </c>
      <c r="F45" s="97">
        <f>VLOOKUP(B45,'[1]26MY_ODYSSEY_DATA'!B:AR,10,FALSE)</f>
        <v>152</v>
      </c>
      <c r="G45" s="98">
        <f>VLOOKUP(B45,'[1]26MY_ODYSSEY_DATA'!B:AR,7,FALSE)</f>
        <v>0.2</v>
      </c>
      <c r="H45" s="99">
        <f>VLOOKUP(B45,'[1]26MY_ODYSSEY_DATA'!B:AR,11,FALSE)</f>
        <v>185.6</v>
      </c>
      <c r="I45" s="100">
        <f>VLOOKUP(B45,'[1]26MY_ODYSSEY_DATA'!B:AR,12,FALSE)</f>
        <v>0</v>
      </c>
      <c r="J45" s="100" t="str">
        <f>VLOOKUP(B45,'[1]26MY_ODYSSEY_DATA'!B:AR,13,FALSE)</f>
        <v>•</v>
      </c>
      <c r="K45" s="100" t="str">
        <f>VLOOKUP(B45,'[1]26MY_ODYSSEY_DATA'!B:AR,14,FALSE)</f>
        <v>•</v>
      </c>
      <c r="L45" s="100" t="str">
        <f>VLOOKUP(B45,'[1]26MY_ODYSSEY_DATA'!B:AR,15,FALSE)</f>
        <v>•</v>
      </c>
      <c r="M45" s="100" t="str">
        <f>VLOOKUP(B45,'[1]26MY_ODYSSEY_DATA'!B:AR,16,FALSE)</f>
        <v>•</v>
      </c>
      <c r="N45" s="100">
        <f>VLOOKUP($B45,'[1]26MY_ODYSSEY_DATA'!$B:$AR,17,FALSE)</f>
        <v>0</v>
      </c>
      <c r="O45" s="100">
        <f>VLOOKUP($B45,'[1]26MY_ODYSSEY_DATA'!$B:$AR,18,FALSE)</f>
        <v>0</v>
      </c>
      <c r="P45" s="100">
        <f>VLOOKUP($B45,'[1]26MY_ODYSSEY_DATA'!$B:$AR,19,FALSE)</f>
        <v>0</v>
      </c>
      <c r="Q45" s="101" t="str">
        <f>IF(VLOOKUP(B45,'[1]26MY_ODYSSEY_DATA'!B:AR,20,FALSE)="","",VLOOKUP(B45,'[1]26MY_ODYSSEY_DATA'!B:AR,20,FALSE))</f>
        <v/>
      </c>
    </row>
    <row r="46" spans="2:20" s="92" customFormat="1" ht="10.5" customHeight="1" x14ac:dyDescent="0.25">
      <c r="B46" s="90"/>
      <c r="C46" s="102"/>
      <c r="D46" s="103"/>
      <c r="E46" s="104"/>
      <c r="F46" s="104"/>
      <c r="G46" s="105"/>
      <c r="H46" s="106"/>
      <c r="I46" s="107"/>
      <c r="J46" s="74"/>
      <c r="K46" s="107"/>
      <c r="L46" s="107"/>
      <c r="M46" s="107"/>
      <c r="N46" s="107"/>
      <c r="O46" s="107"/>
      <c r="P46" s="107"/>
      <c r="Q46" s="108"/>
    </row>
    <row r="47" spans="2:20" s="65" customFormat="1" ht="18.75" x14ac:dyDescent="0.3">
      <c r="B47" s="109"/>
      <c r="C47" s="47" t="s">
        <v>54</v>
      </c>
      <c r="D47" s="47"/>
      <c r="E47" s="93"/>
      <c r="F47" s="93"/>
      <c r="G47" s="93"/>
      <c r="H47" s="93"/>
      <c r="I47" s="93"/>
      <c r="J47" s="107"/>
      <c r="K47" s="93"/>
      <c r="L47" s="93"/>
      <c r="M47" s="93"/>
      <c r="N47" s="93"/>
      <c r="O47" s="93"/>
      <c r="P47" s="93"/>
      <c r="Q47" s="93"/>
      <c r="T47" s="90"/>
    </row>
    <row r="48" spans="2:20" s="75" customFormat="1" ht="15" customHeight="1" x14ac:dyDescent="0.25">
      <c r="B48" s="94"/>
      <c r="C48" s="53" t="s">
        <v>27</v>
      </c>
      <c r="D48" s="53" t="s">
        <v>28</v>
      </c>
      <c r="E48" s="53" t="s">
        <v>29</v>
      </c>
      <c r="F48" s="53" t="s">
        <v>30</v>
      </c>
      <c r="G48" s="53" t="s">
        <v>31</v>
      </c>
      <c r="H48" s="54" t="s">
        <v>32</v>
      </c>
      <c r="I48" s="53" t="s">
        <v>33</v>
      </c>
      <c r="J48" s="53"/>
      <c r="K48" s="53"/>
      <c r="L48" s="53"/>
      <c r="M48" s="53"/>
      <c r="N48" s="53"/>
      <c r="O48" s="53"/>
      <c r="P48" s="53"/>
      <c r="Q48" s="53" t="s">
        <v>34</v>
      </c>
      <c r="T48" s="90"/>
    </row>
    <row r="49" spans="2:20" s="75" customFormat="1" ht="30" x14ac:dyDescent="0.25">
      <c r="B49" s="94"/>
      <c r="C49" s="53"/>
      <c r="D49" s="53"/>
      <c r="E49" s="53"/>
      <c r="F49" s="53"/>
      <c r="G49" s="53"/>
      <c r="H49" s="54"/>
      <c r="I49" s="55">
        <f>'[1]26MY_ODYSSEY_DATA'!M$6</f>
        <v>0</v>
      </c>
      <c r="J49" s="55" t="str">
        <f>'[1]26MY_ODYSSEY_DATA'!N$6</f>
        <v>Sport</v>
      </c>
      <c r="K49" s="55" t="str">
        <f>'[1]26MY_ODYSSEY_DATA'!O$6</f>
        <v>Sport-L</v>
      </c>
      <c r="L49" s="55" t="str">
        <f>'[1]26MY_ODYSSEY_DATA'!P$6</f>
        <v>Touring</v>
      </c>
      <c r="M49" s="55" t="str">
        <f>'[1]26MY_ODYSSEY_DATA'!Q$6</f>
        <v>Black Edition</v>
      </c>
      <c r="N49" s="55">
        <f>'[1]26MY_ODYSSEY_DATA'!R$6</f>
        <v>0</v>
      </c>
      <c r="O49" s="55">
        <f>'[1]26MY_ODYSSEY_DATA'!S$6</f>
        <v>0</v>
      </c>
      <c r="P49" s="55">
        <f>'[1]26MY_ODYSSEY_DATA'!T$6</f>
        <v>0</v>
      </c>
      <c r="Q49" s="53"/>
      <c r="T49" s="94"/>
    </row>
    <row r="50" spans="2:20" s="92" customFormat="1" ht="15" customHeight="1" x14ac:dyDescent="0.25">
      <c r="B50" s="90" t="s">
        <v>55</v>
      </c>
      <c r="C50" s="95" t="str">
        <f>VLOOKUP(B50,'[1]26MY_ODYSSEY_DATA'!B:AR,3,FALSE)</f>
        <v>Black Emblems - H-Mark &amp; Odyssey</v>
      </c>
      <c r="D50" s="96" t="str">
        <f>B50</f>
        <v>08F20-THR-100</v>
      </c>
      <c r="E50" s="97">
        <f>VLOOKUP(B50,'[1]26MY_ODYSSEY_DATA'!B:AR,9,FALSE)</f>
        <v>69</v>
      </c>
      <c r="F50" s="97">
        <f>VLOOKUP(B50,'[1]26MY_ODYSSEY_DATA'!B:AR,10,FALSE)</f>
        <v>115</v>
      </c>
      <c r="G50" s="98">
        <f>VLOOKUP(B50,'[1]26MY_ODYSSEY_DATA'!B:AR,7,FALSE)</f>
        <v>0.9</v>
      </c>
      <c r="H50" s="99">
        <f>VLOOKUP(B50,'[1]26MY_ODYSSEY_DATA'!B:AR,11,FALSE)</f>
        <v>266.20000000000005</v>
      </c>
      <c r="I50" s="100">
        <f>VLOOKUP(B50,'[1]26MY_ODYSSEY_DATA'!B:AR,12,FALSE)</f>
        <v>0</v>
      </c>
      <c r="J50" s="100" t="str">
        <f>VLOOKUP(B50,'[1]26MY_ODYSSEY_DATA'!B:AR,13,FALSE)</f>
        <v>•</v>
      </c>
      <c r="K50" s="100" t="str">
        <f>VLOOKUP(B50,'[1]26MY_ODYSSEY_DATA'!B:AR,14,FALSE)</f>
        <v>•</v>
      </c>
      <c r="L50" s="100" t="str">
        <f>VLOOKUP(B50,'[1]26MY_ODYSSEY_DATA'!B:AR,15,FALSE)</f>
        <v>•</v>
      </c>
      <c r="M50" s="100" t="str">
        <f>VLOOKUP(B50,'[1]26MY_ODYSSEY_DATA'!B:AR,16,FALSE)</f>
        <v>•</v>
      </c>
      <c r="N50" s="100">
        <f>VLOOKUP($B50,'[1]26MY_ODYSSEY_DATA'!$B:$AR,17,FALSE)</f>
        <v>0</v>
      </c>
      <c r="O50" s="100">
        <f>VLOOKUP($B50,'[1]26MY_ODYSSEY_DATA'!$B:$AR,18,FALSE)</f>
        <v>0</v>
      </c>
      <c r="P50" s="100">
        <f>VLOOKUP($B50,'[1]26MY_ODYSSEY_DATA'!$B:$AR,19,FALSE)</f>
        <v>0</v>
      </c>
      <c r="Q50" s="101" t="str">
        <f>IF(VLOOKUP(B50,'[1]26MY_ODYSSEY_DATA'!B:AR,20,FALSE)="","",VLOOKUP(B50,'[1]26MY_ODYSSEY_DATA'!B:AR,20,FALSE))</f>
        <v/>
      </c>
      <c r="T50" s="94"/>
    </row>
    <row r="51" spans="2:20" s="92" customFormat="1" ht="15" customHeight="1" x14ac:dyDescent="0.25">
      <c r="B51" s="90" t="s">
        <v>56</v>
      </c>
      <c r="C51" s="95" t="str">
        <f>VLOOKUP(B51,'[1]26MY_ODYSSEY_DATA'!B:AR,3,FALSE)</f>
        <v>Black Emblem - Sport</v>
      </c>
      <c r="D51" s="96" t="str">
        <f>B51</f>
        <v>08F20-T7S-100C</v>
      </c>
      <c r="E51" s="97">
        <f>VLOOKUP(B51,'[1]26MY_ODYSSEY_DATA'!B:AR,9,FALSE)</f>
        <v>41</v>
      </c>
      <c r="F51" s="97">
        <f>VLOOKUP(B51,'[1]26MY_ODYSSEY_DATA'!B:AR,10,FALSE)</f>
        <v>68</v>
      </c>
      <c r="G51" s="98">
        <f>VLOOKUP(B51,'[1]26MY_ODYSSEY_DATA'!B:AR,7,FALSE)</f>
        <v>0.3</v>
      </c>
      <c r="H51" s="99">
        <f>VLOOKUP(B51,'[1]26MY_ODYSSEY_DATA'!B:AR,11,FALSE)</f>
        <v>118.4</v>
      </c>
      <c r="I51" s="100">
        <f>VLOOKUP(B51,'[1]26MY_ODYSSEY_DATA'!B:AR,12,FALSE)</f>
        <v>0</v>
      </c>
      <c r="J51" s="100" t="str">
        <f>VLOOKUP(B51,'[1]26MY_ODYSSEY_DATA'!B:AR,13,FALSE)</f>
        <v>•</v>
      </c>
      <c r="K51" s="100" t="str">
        <f>VLOOKUP(B51,'[1]26MY_ODYSSEY_DATA'!B:AR,14,FALSE)</f>
        <v>•</v>
      </c>
      <c r="L51" s="100" t="str">
        <f>VLOOKUP(B51,'[1]26MY_ODYSSEY_DATA'!B:AR,15,FALSE)</f>
        <v>N/A</v>
      </c>
      <c r="M51" s="100" t="str">
        <f>VLOOKUP(B51,'[1]26MY_ODYSSEY_DATA'!B:AR,16,FALSE)</f>
        <v>N/A</v>
      </c>
      <c r="N51" s="100">
        <f>VLOOKUP($B51,'[1]26MY_ODYSSEY_DATA'!$B:$AR,17,FALSE)</f>
        <v>0</v>
      </c>
      <c r="O51" s="100">
        <f>VLOOKUP($B51,'[1]26MY_ODYSSEY_DATA'!$B:$AR,18,FALSE)</f>
        <v>0</v>
      </c>
      <c r="P51" s="100">
        <f>VLOOKUP($B51,'[1]26MY_ODYSSEY_DATA'!$B:$AR,19,FALSE)</f>
        <v>0</v>
      </c>
      <c r="Q51" s="101" t="str">
        <f>IF(VLOOKUP(B51,'[1]26MY_ODYSSEY_DATA'!B:AR,20,FALSE)="","",VLOOKUP(B51,'[1]26MY_ODYSSEY_DATA'!B:AR,20,FALSE))</f>
        <v/>
      </c>
      <c r="T51" s="94"/>
    </row>
    <row r="52" spans="2:20" s="92" customFormat="1" ht="15" customHeight="1" x14ac:dyDescent="0.25">
      <c r="B52" s="90" t="s">
        <v>57</v>
      </c>
      <c r="C52" s="95" t="str">
        <f>VLOOKUP(B52,'[1]26MY_ODYSSEY_DATA'!B:AR,3,FALSE)</f>
        <v>Black Emblem - Black Edition</v>
      </c>
      <c r="D52" s="96" t="str">
        <f>B52</f>
        <v>08F20-TG7-100G</v>
      </c>
      <c r="E52" s="97">
        <f>VLOOKUP(B52,'[1]26MY_ODYSSEY_DATA'!B:AR,9,FALSE)</f>
        <v>70</v>
      </c>
      <c r="F52" s="97">
        <f>VLOOKUP(B52,'[1]26MY_ODYSSEY_DATA'!B:AR,10,FALSE)</f>
        <v>117</v>
      </c>
      <c r="G52" s="98">
        <f>VLOOKUP(B52,'[1]26MY_ODYSSEY_DATA'!B:AR,7,FALSE)</f>
        <v>0.3</v>
      </c>
      <c r="H52" s="99">
        <f>VLOOKUP(B52,'[1]26MY_ODYSSEY_DATA'!B:AR,11,FALSE)</f>
        <v>167.4</v>
      </c>
      <c r="I52" s="100">
        <f>VLOOKUP(B52,'[1]26MY_ODYSSEY_DATA'!B:AR,12,FALSE)</f>
        <v>0</v>
      </c>
      <c r="J52" s="100" t="str">
        <f>VLOOKUP(B52,'[1]26MY_ODYSSEY_DATA'!B:AR,13,FALSE)</f>
        <v>N/A</v>
      </c>
      <c r="K52" s="100" t="str">
        <f>VLOOKUP(B52,'[1]26MY_ODYSSEY_DATA'!B:AR,14,FALSE)</f>
        <v>N/A</v>
      </c>
      <c r="L52" s="100" t="str">
        <f>VLOOKUP(B52,'[1]26MY_ODYSSEY_DATA'!B:AR,15,FALSE)</f>
        <v>N/A</v>
      </c>
      <c r="M52" s="100" t="str">
        <f>VLOOKUP(B52,'[1]26MY_ODYSSEY_DATA'!B:AR,16,FALSE)</f>
        <v>•</v>
      </c>
      <c r="N52" s="100">
        <f>VLOOKUP($B52,'[1]26MY_ODYSSEY_DATA'!$B:$AR,17,FALSE)</f>
        <v>0</v>
      </c>
      <c r="O52" s="100">
        <f>VLOOKUP($B52,'[1]26MY_ODYSSEY_DATA'!$B:$AR,18,FALSE)</f>
        <v>0</v>
      </c>
      <c r="P52" s="100">
        <f>VLOOKUP($B52,'[1]26MY_ODYSSEY_DATA'!$B:$AR,19,FALSE)</f>
        <v>0</v>
      </c>
      <c r="Q52" s="101" t="str">
        <f>IF(VLOOKUP(B52,'[1]26MY_ODYSSEY_DATA'!B:AR,20,FALSE)="","",VLOOKUP(B52,'[1]26MY_ODYSSEY_DATA'!B:AR,20,FALSE))</f>
        <v/>
      </c>
      <c r="T52" s="94"/>
    </row>
    <row r="53" spans="2:20" s="92" customFormat="1" ht="15" customHeight="1" x14ac:dyDescent="0.25">
      <c r="B53" s="90" t="s">
        <v>58</v>
      </c>
      <c r="C53" s="95" t="str">
        <f>VLOOKUP(B53,'[1]26MY_ODYSSEY_DATA'!B:AR,3,FALSE)</f>
        <v>Fender Emblems</v>
      </c>
      <c r="D53" s="96" t="str">
        <f>B53</f>
        <v>08F59-THR-100A</v>
      </c>
      <c r="E53" s="97">
        <f>VLOOKUP(B53,'[1]26MY_ODYSSEY_DATA'!B:AR,9,FALSE)</f>
        <v>138</v>
      </c>
      <c r="F53" s="97">
        <f>VLOOKUP(B53,'[1]26MY_ODYSSEY_DATA'!B:AR,10,FALSE)</f>
        <v>197</v>
      </c>
      <c r="G53" s="98">
        <f>VLOOKUP(B53,'[1]26MY_ODYSSEY_DATA'!B:AR,7,FALSE)</f>
        <v>0.2</v>
      </c>
      <c r="H53" s="99">
        <f>VLOOKUP(B53,'[1]26MY_ODYSSEY_DATA'!B:AR,11,FALSE)</f>
        <v>230.6</v>
      </c>
      <c r="I53" s="100">
        <f>VLOOKUP(B53,'[1]26MY_ODYSSEY_DATA'!B:AR,12,FALSE)</f>
        <v>0</v>
      </c>
      <c r="J53" s="100" t="str">
        <f>VLOOKUP(B53,'[1]26MY_ODYSSEY_DATA'!B:AR,13,FALSE)</f>
        <v>•</v>
      </c>
      <c r="K53" s="100" t="str">
        <f>VLOOKUP(B53,'[1]26MY_ODYSSEY_DATA'!B:AR,14,FALSE)</f>
        <v>•</v>
      </c>
      <c r="L53" s="100" t="str">
        <f>VLOOKUP(B53,'[1]26MY_ODYSSEY_DATA'!B:AR,15,FALSE)</f>
        <v>•</v>
      </c>
      <c r="M53" s="100" t="str">
        <f>VLOOKUP(B53,'[1]26MY_ODYSSEY_DATA'!B:AR,16,FALSE)</f>
        <v>•</v>
      </c>
      <c r="N53" s="100">
        <f>VLOOKUP($B53,'[1]26MY_ODYSSEY_DATA'!$B:$AR,17,FALSE)</f>
        <v>0</v>
      </c>
      <c r="O53" s="100">
        <f>VLOOKUP($B53,'[1]26MY_ODYSSEY_DATA'!$B:$AR,18,FALSE)</f>
        <v>0</v>
      </c>
      <c r="P53" s="100">
        <f>VLOOKUP($B53,'[1]26MY_ODYSSEY_DATA'!$B:$AR,19,FALSE)</f>
        <v>0</v>
      </c>
      <c r="Q53" s="101" t="str">
        <f>IF(VLOOKUP(B53,'[1]26MY_ODYSSEY_DATA'!B:AR,20,FALSE)="","",VLOOKUP(B53,'[1]26MY_ODYSSEY_DATA'!B:AR,20,FALSE))</f>
        <v/>
      </c>
    </row>
    <row r="54" spans="2:20" s="92" customFormat="1" ht="15" customHeight="1" x14ac:dyDescent="0.25">
      <c r="B54" s="90" t="s">
        <v>59</v>
      </c>
      <c r="C54" s="95" t="str">
        <f>VLOOKUP(B54,'[1]26MY_ODYSSEY_DATA'!B:AR,3,FALSE)</f>
        <v>Lower Door Trim - Chrome</v>
      </c>
      <c r="D54" s="96" t="str">
        <f t="shared" ref="D54:D64" si="6">B54</f>
        <v>08F57-THR-101</v>
      </c>
      <c r="E54" s="97">
        <f>VLOOKUP(B54,'[1]26MY_ODYSSEY_DATA'!B:AR,9,FALSE)</f>
        <v>9.99</v>
      </c>
      <c r="F54" s="97">
        <f>VLOOKUP(B54,'[1]26MY_ODYSSEY_DATA'!B:AR,10,FALSE)</f>
        <v>16.989999999999998</v>
      </c>
      <c r="G54" s="98">
        <f>VLOOKUP(B54,'[1]26MY_ODYSSEY_DATA'!B:AR,7,FALSE)</f>
        <v>0.4</v>
      </c>
      <c r="H54" s="99">
        <f>VLOOKUP(B54,'[1]26MY_ODYSSEY_DATA'!B:AR,11,FALSE)</f>
        <v>84.19</v>
      </c>
      <c r="I54" s="100">
        <f>VLOOKUP(B54,'[1]26MY_ODYSSEY_DATA'!B:AR,12,FALSE)</f>
        <v>0</v>
      </c>
      <c r="J54" s="100" t="str">
        <f>VLOOKUP(B54,'[1]26MY_ODYSSEY_DATA'!B:AR,13,FALSE)</f>
        <v>•</v>
      </c>
      <c r="K54" s="100" t="str">
        <f>VLOOKUP(B54,'[1]26MY_ODYSSEY_DATA'!B:AR,14,FALSE)</f>
        <v>•</v>
      </c>
      <c r="L54" s="100" t="str">
        <f>VLOOKUP(B54,'[1]26MY_ODYSSEY_DATA'!B:AR,15,FALSE)</f>
        <v>•</v>
      </c>
      <c r="M54" s="100" t="str">
        <f>VLOOKUP(B54,'[1]26MY_ODYSSEY_DATA'!B:AR,16,FALSE)</f>
        <v>•</v>
      </c>
      <c r="N54" s="100">
        <f>VLOOKUP($B54,'[1]26MY_ODYSSEY_DATA'!$B:$AR,17,FALSE)</f>
        <v>0</v>
      </c>
      <c r="O54" s="100">
        <f>VLOOKUP($B54,'[1]26MY_ODYSSEY_DATA'!$B:$AR,18,FALSE)</f>
        <v>0</v>
      </c>
      <c r="P54" s="100">
        <f>VLOOKUP($B54,'[1]26MY_ODYSSEY_DATA'!$B:$AR,19,FALSE)</f>
        <v>0</v>
      </c>
      <c r="Q54" s="101" t="str">
        <f>IF(VLOOKUP(B54,'[1]26MY_ODYSSEY_DATA'!B:AR,20,FALSE)="","",VLOOKUP(B54,'[1]26MY_ODYSSEY_DATA'!B:AR,20,FALSE))</f>
        <v/>
      </c>
    </row>
    <row r="55" spans="2:20" s="92" customFormat="1" ht="15" customHeight="1" x14ac:dyDescent="0.25">
      <c r="B55" s="90" t="s">
        <v>60</v>
      </c>
      <c r="C55" s="95" t="str">
        <f>VLOOKUP(B55,'[1]26MY_ODYSSEY_DATA'!B:AR,3,FALSE)</f>
        <v>Bumper Protector - Chrome</v>
      </c>
      <c r="D55" s="96" t="str">
        <f t="shared" si="6"/>
        <v>08P01-THR-100</v>
      </c>
      <c r="E55" s="97">
        <f>VLOOKUP(B55,'[1]26MY_ODYSSEY_DATA'!B:AR,9,FALSE)</f>
        <v>22.99</v>
      </c>
      <c r="F55" s="97">
        <f>VLOOKUP(B55,'[1]26MY_ODYSSEY_DATA'!B:AR,10,FALSE)</f>
        <v>37.99</v>
      </c>
      <c r="G55" s="98">
        <f>VLOOKUP(B55,'[1]26MY_ODYSSEY_DATA'!B:AR,7,FALSE)</f>
        <v>0.8</v>
      </c>
      <c r="H55" s="99">
        <f>VLOOKUP(B55,'[1]26MY_ODYSSEY_DATA'!B:AR,11,FALSE)</f>
        <v>172.39000000000001</v>
      </c>
      <c r="I55" s="100">
        <f>VLOOKUP(B55,'[1]26MY_ODYSSEY_DATA'!B:AR,12,FALSE)</f>
        <v>0</v>
      </c>
      <c r="J55" s="100" t="str">
        <f>VLOOKUP(B55,'[1]26MY_ODYSSEY_DATA'!B:AR,13,FALSE)</f>
        <v>•</v>
      </c>
      <c r="K55" s="100" t="str">
        <f>VLOOKUP(B55,'[1]26MY_ODYSSEY_DATA'!B:AR,14,FALSE)</f>
        <v>•</v>
      </c>
      <c r="L55" s="100" t="str">
        <f>VLOOKUP(B55,'[1]26MY_ODYSSEY_DATA'!B:AR,15,FALSE)</f>
        <v>•</v>
      </c>
      <c r="M55" s="100" t="str">
        <f>VLOOKUP(B55,'[1]26MY_ODYSSEY_DATA'!B:AR,16,FALSE)</f>
        <v>•</v>
      </c>
      <c r="N55" s="100">
        <f>VLOOKUP($B55,'[1]26MY_ODYSSEY_DATA'!$B:$AR,17,FALSE)</f>
        <v>0</v>
      </c>
      <c r="O55" s="100">
        <f>VLOOKUP($B55,'[1]26MY_ODYSSEY_DATA'!$B:$AR,18,FALSE)</f>
        <v>0</v>
      </c>
      <c r="P55" s="100">
        <f>VLOOKUP($B55,'[1]26MY_ODYSSEY_DATA'!$B:$AR,19,FALSE)</f>
        <v>0</v>
      </c>
      <c r="Q55" s="101" t="str">
        <f>IF(VLOOKUP(B55,'[1]26MY_ODYSSEY_DATA'!B:AR,20,FALSE)="","",VLOOKUP(B55,'[1]26MY_ODYSSEY_DATA'!B:AR,20,FALSE))</f>
        <v/>
      </c>
    </row>
    <row r="56" spans="2:20" s="92" customFormat="1" ht="15" customHeight="1" x14ac:dyDescent="0.25">
      <c r="B56" s="94" t="s">
        <v>61</v>
      </c>
      <c r="C56" s="95" t="str">
        <f>VLOOKUP(B56,'[1]26MY_ODYSSEY_DATA'!B:AR,3,FALSE)</f>
        <v>Door Edge Film</v>
      </c>
      <c r="D56" s="96" t="str">
        <f t="shared" si="6"/>
        <v>08P20-THR-100</v>
      </c>
      <c r="E56" s="97">
        <f>VLOOKUP(B56,'[1]26MY_ODYSSEY_DATA'!B:AR,9,FALSE)</f>
        <v>5.99</v>
      </c>
      <c r="F56" s="97">
        <f>VLOOKUP(B56,'[1]26MY_ODYSSEY_DATA'!B:AR,10,FALSE)</f>
        <v>9.99</v>
      </c>
      <c r="G56" s="98">
        <f>VLOOKUP(B56,'[1]26MY_ODYSSEY_DATA'!B:AR,7,FALSE)</f>
        <v>0.2</v>
      </c>
      <c r="H56" s="99">
        <f>VLOOKUP(B56,'[1]26MY_ODYSSEY_DATA'!B:AR,11,FALSE)</f>
        <v>43.59</v>
      </c>
      <c r="I56" s="100">
        <f>VLOOKUP(B56,'[1]26MY_ODYSSEY_DATA'!B:AR,12,FALSE)</f>
        <v>0</v>
      </c>
      <c r="J56" s="100" t="str">
        <f>VLOOKUP(B56,'[1]26MY_ODYSSEY_DATA'!B:AR,13,FALSE)</f>
        <v>•</v>
      </c>
      <c r="K56" s="100" t="str">
        <f>VLOOKUP(B56,'[1]26MY_ODYSSEY_DATA'!B:AR,14,FALSE)</f>
        <v>•</v>
      </c>
      <c r="L56" s="100" t="str">
        <f>VLOOKUP(B56,'[1]26MY_ODYSSEY_DATA'!B:AR,15,FALSE)</f>
        <v>•</v>
      </c>
      <c r="M56" s="100" t="str">
        <f>VLOOKUP(B56,'[1]26MY_ODYSSEY_DATA'!B:AR,16,FALSE)</f>
        <v>•</v>
      </c>
      <c r="N56" s="100">
        <f>VLOOKUP($B56,'[1]26MY_ODYSSEY_DATA'!$B:$AR,17,FALSE)</f>
        <v>0</v>
      </c>
      <c r="O56" s="100">
        <f>VLOOKUP($B56,'[1]26MY_ODYSSEY_DATA'!$B:$AR,18,FALSE)</f>
        <v>0</v>
      </c>
      <c r="P56" s="100">
        <f>VLOOKUP($B56,'[1]26MY_ODYSSEY_DATA'!$B:$AR,19,FALSE)</f>
        <v>0</v>
      </c>
      <c r="Q56" s="101" t="str">
        <f>IF(VLOOKUP(B56,'[1]26MY_ODYSSEY_DATA'!B:AR,20,FALSE)="","",VLOOKUP(B56,'[1]26MY_ODYSSEY_DATA'!B:AR,20,FALSE))</f>
        <v>Cannot be installed with Door Edge Guards.</v>
      </c>
    </row>
    <row r="57" spans="2:20" s="92" customFormat="1" ht="15" customHeight="1" x14ac:dyDescent="0.25">
      <c r="B57" s="94" t="s">
        <v>62</v>
      </c>
      <c r="C57" s="95" t="str">
        <f>VLOOKUP(B57,'[1]26MY_ODYSSEY_DATA'!B:AR,3,FALSE)</f>
        <v>Door Visor</v>
      </c>
      <c r="D57" s="96" t="str">
        <f t="shared" si="6"/>
        <v>08R04-THR-102</v>
      </c>
      <c r="E57" s="97">
        <f>VLOOKUP(B57,'[1]26MY_ODYSSEY_DATA'!B:AR,9,FALSE)</f>
        <v>234</v>
      </c>
      <c r="F57" s="97">
        <f>VLOOKUP(B57,'[1]26MY_ODYSSEY_DATA'!B:AR,10,FALSE)</f>
        <v>390</v>
      </c>
      <c r="G57" s="98">
        <f>VLOOKUP(B57,'[1]26MY_ODYSSEY_DATA'!B:AR,7,FALSE)</f>
        <v>0.5</v>
      </c>
      <c r="H57" s="99">
        <f>VLOOKUP(B57,'[1]26MY_ODYSSEY_DATA'!B:AR,11,FALSE)</f>
        <v>474</v>
      </c>
      <c r="I57" s="100">
        <f>VLOOKUP(B57,'[1]26MY_ODYSSEY_DATA'!B:AR,12,FALSE)</f>
        <v>0</v>
      </c>
      <c r="J57" s="100" t="str">
        <f>VLOOKUP(B57,'[1]26MY_ODYSSEY_DATA'!B:AR,13,FALSE)</f>
        <v>•</v>
      </c>
      <c r="K57" s="100" t="str">
        <f>VLOOKUP(B57,'[1]26MY_ODYSSEY_DATA'!B:AR,14,FALSE)</f>
        <v>•</v>
      </c>
      <c r="L57" s="100" t="str">
        <f>VLOOKUP(B57,'[1]26MY_ODYSSEY_DATA'!B:AR,15,FALSE)</f>
        <v>•</v>
      </c>
      <c r="M57" s="100" t="str">
        <f>VLOOKUP(B57,'[1]26MY_ODYSSEY_DATA'!B:AR,16,FALSE)</f>
        <v>•</v>
      </c>
      <c r="N57" s="100">
        <f>VLOOKUP($B57,'[1]26MY_ODYSSEY_DATA'!$B:$AR,17,FALSE)</f>
        <v>0</v>
      </c>
      <c r="O57" s="100">
        <f>VLOOKUP($B57,'[1]26MY_ODYSSEY_DATA'!$B:$AR,18,FALSE)</f>
        <v>0</v>
      </c>
      <c r="P57" s="100">
        <f>VLOOKUP($B57,'[1]26MY_ODYSSEY_DATA'!$B:$AR,19,FALSE)</f>
        <v>0</v>
      </c>
      <c r="Q57" s="101" t="str">
        <f>IF(VLOOKUP(B57,'[1]26MY_ODYSSEY_DATA'!B:AR,20,FALSE)="","",VLOOKUP(B57,'[1]26MY_ODYSSEY_DATA'!B:AR,20,FALSE))</f>
        <v/>
      </c>
    </row>
    <row r="58" spans="2:20" s="92" customFormat="1" ht="15" customHeight="1" x14ac:dyDescent="0.25">
      <c r="B58" s="90" t="s">
        <v>63</v>
      </c>
      <c r="C58" s="95" t="str">
        <f>VLOOKUP(B58,'[1]26MY_ODYSSEY_DATA'!B:AR,3,FALSE)</f>
        <v>Hood Air Deflector</v>
      </c>
      <c r="D58" s="96" t="str">
        <f t="shared" si="6"/>
        <v>08P47-THR-301</v>
      </c>
      <c r="E58" s="97">
        <f>VLOOKUP(B58,'[1]26MY_ODYSSEY_DATA'!B:AR,9,FALSE)</f>
        <v>204</v>
      </c>
      <c r="F58" s="97">
        <f>VLOOKUP(B58,'[1]26MY_ODYSSEY_DATA'!B:AR,10,FALSE)</f>
        <v>340</v>
      </c>
      <c r="G58" s="98">
        <f>VLOOKUP(B58,'[1]26MY_ODYSSEY_DATA'!B:AR,7,FALSE)</f>
        <v>0.5</v>
      </c>
      <c r="H58" s="99">
        <f>VLOOKUP(B58,'[1]26MY_ODYSSEY_DATA'!B:AR,11,FALSE)</f>
        <v>424</v>
      </c>
      <c r="I58" s="100">
        <f>VLOOKUP(B58,'[1]26MY_ODYSSEY_DATA'!B:AR,12,FALSE)</f>
        <v>0</v>
      </c>
      <c r="J58" s="100" t="str">
        <f>VLOOKUP(B58,'[1]26MY_ODYSSEY_DATA'!B:AR,13,FALSE)</f>
        <v>•</v>
      </c>
      <c r="K58" s="100" t="str">
        <f>VLOOKUP(B58,'[1]26MY_ODYSSEY_DATA'!B:AR,14,FALSE)</f>
        <v>•</v>
      </c>
      <c r="L58" s="100" t="str">
        <f>VLOOKUP(B58,'[1]26MY_ODYSSEY_DATA'!B:AR,15,FALSE)</f>
        <v>•</v>
      </c>
      <c r="M58" s="100" t="str">
        <f>VLOOKUP(B58,'[1]26MY_ODYSSEY_DATA'!B:AR,16,FALSE)</f>
        <v>•</v>
      </c>
      <c r="N58" s="100">
        <f>VLOOKUP($B58,'[1]26MY_ODYSSEY_DATA'!$B:$AR,17,FALSE)</f>
        <v>0</v>
      </c>
      <c r="O58" s="100">
        <f>VLOOKUP($B58,'[1]26MY_ODYSSEY_DATA'!$B:$AR,18,FALSE)</f>
        <v>0</v>
      </c>
      <c r="P58" s="100">
        <f>VLOOKUP($B58,'[1]26MY_ODYSSEY_DATA'!$B:$AR,19,FALSE)</f>
        <v>0</v>
      </c>
      <c r="Q58" s="101" t="str">
        <f>IF(VLOOKUP(B58,'[1]26MY_ODYSSEY_DATA'!B:AR,20,FALSE)="","",VLOOKUP(B58,'[1]26MY_ODYSSEY_DATA'!B:AR,20,FALSE))</f>
        <v/>
      </c>
    </row>
    <row r="59" spans="2:20" s="92" customFormat="1" ht="15" customHeight="1" x14ac:dyDescent="0.25">
      <c r="B59" s="90" t="s">
        <v>64</v>
      </c>
      <c r="C59" s="95" t="str">
        <f>VLOOKUP(B59,'[1]26MY_ODYSSEY_DATA'!B:AR,3,FALSE)</f>
        <v>Moonroof Visor</v>
      </c>
      <c r="D59" s="96" t="str">
        <f t="shared" si="6"/>
        <v>08R01-THR-301</v>
      </c>
      <c r="E59" s="97">
        <f>VLOOKUP(B59,'[1]26MY_ODYSSEY_DATA'!B:AR,9,FALSE)</f>
        <v>171</v>
      </c>
      <c r="F59" s="97">
        <f>VLOOKUP(B59,'[1]26MY_ODYSSEY_DATA'!B:AR,10,FALSE)</f>
        <v>285</v>
      </c>
      <c r="G59" s="98">
        <f>VLOOKUP(B59,'[1]26MY_ODYSSEY_DATA'!B:AR,7,FALSE)</f>
        <v>0.3</v>
      </c>
      <c r="H59" s="99">
        <f>VLOOKUP(B59,'[1]26MY_ODYSSEY_DATA'!B:AR,11,FALSE)</f>
        <v>335.4</v>
      </c>
      <c r="I59" s="100">
        <f>VLOOKUP(B59,'[1]26MY_ODYSSEY_DATA'!B:AR,12,FALSE)</f>
        <v>0</v>
      </c>
      <c r="J59" s="100" t="str">
        <f>VLOOKUP(B59,'[1]26MY_ODYSSEY_DATA'!B:AR,13,FALSE)</f>
        <v>•</v>
      </c>
      <c r="K59" s="100" t="str">
        <f>VLOOKUP(B59,'[1]26MY_ODYSSEY_DATA'!B:AR,14,FALSE)</f>
        <v>•</v>
      </c>
      <c r="L59" s="100" t="str">
        <f>VLOOKUP(B59,'[1]26MY_ODYSSEY_DATA'!B:AR,15,FALSE)</f>
        <v>•</v>
      </c>
      <c r="M59" s="100" t="str">
        <f>VLOOKUP(B59,'[1]26MY_ODYSSEY_DATA'!B:AR,16,FALSE)</f>
        <v>•</v>
      </c>
      <c r="N59" s="100">
        <f>VLOOKUP($B59,'[1]26MY_ODYSSEY_DATA'!$B:$AR,17,FALSE)</f>
        <v>0</v>
      </c>
      <c r="O59" s="100">
        <f>VLOOKUP($B59,'[1]26MY_ODYSSEY_DATA'!$B:$AR,18,FALSE)</f>
        <v>0</v>
      </c>
      <c r="P59" s="100">
        <f>VLOOKUP($B59,'[1]26MY_ODYSSEY_DATA'!$B:$AR,19,FALSE)</f>
        <v>0</v>
      </c>
      <c r="Q59" s="101" t="str">
        <f>IF(VLOOKUP(B59,'[1]26MY_ODYSSEY_DATA'!B:AR,20,FALSE)="","",VLOOKUP(B59,'[1]26MY_ODYSSEY_DATA'!B:AR,20,FALSE))</f>
        <v/>
      </c>
    </row>
    <row r="60" spans="2:20" s="92" customFormat="1" ht="15" customHeight="1" x14ac:dyDescent="0.25">
      <c r="B60" s="90" t="s">
        <v>38</v>
      </c>
      <c r="C60" s="95" t="str">
        <f>VLOOKUP(B60,'[1]26MY_ODYSSEY_DATA'!B:AR,3,FALSE)</f>
        <v>Rear Splash Guards</v>
      </c>
      <c r="D60" s="96" t="str">
        <f>B60</f>
        <v>08P09-THR-300A</v>
      </c>
      <c r="E60" s="97">
        <f>VLOOKUP(B60,'[1]26MY_ODYSSEY_DATA'!B:AR,9,FALSE)</f>
        <v>82</v>
      </c>
      <c r="F60" s="97">
        <f>VLOOKUP(B60,'[1]26MY_ODYSSEY_DATA'!B:AR,10,FALSE)</f>
        <v>137</v>
      </c>
      <c r="G60" s="98">
        <f>VLOOKUP(B60,'[1]26MY_ODYSSEY_DATA'!B:AR,7,FALSE)</f>
        <v>0.4</v>
      </c>
      <c r="H60" s="99">
        <f>VLOOKUP(B60,'[1]26MY_ODYSSEY_DATA'!B:AR,11,FALSE)</f>
        <v>204.2</v>
      </c>
      <c r="I60" s="100">
        <f>VLOOKUP(B60,'[1]26MY_ODYSSEY_DATA'!B:AR,12,FALSE)</f>
        <v>0</v>
      </c>
      <c r="J60" s="100" t="str">
        <f>VLOOKUP(B60,'[1]26MY_ODYSSEY_DATA'!B:AR,13,FALSE)</f>
        <v>•</v>
      </c>
      <c r="K60" s="100" t="str">
        <f>VLOOKUP(B60,'[1]26MY_ODYSSEY_DATA'!B:AR,14,FALSE)</f>
        <v>•</v>
      </c>
      <c r="L60" s="100" t="str">
        <f>VLOOKUP(B60,'[1]26MY_ODYSSEY_DATA'!B:AR,15,FALSE)</f>
        <v>•</v>
      </c>
      <c r="M60" s="100" t="str">
        <f>VLOOKUP(B60,'[1]26MY_ODYSSEY_DATA'!B:AR,16,FALSE)</f>
        <v>•</v>
      </c>
      <c r="N60" s="100">
        <f>VLOOKUP($B60,'[1]26MY_ODYSSEY_DATA'!$B:$AR,17,FALSE)</f>
        <v>0</v>
      </c>
      <c r="O60" s="100">
        <f>VLOOKUP($B60,'[1]26MY_ODYSSEY_DATA'!$B:$AR,18,FALSE)</f>
        <v>0</v>
      </c>
      <c r="P60" s="100">
        <f>VLOOKUP($B60,'[1]26MY_ODYSSEY_DATA'!$B:$AR,19,FALSE)</f>
        <v>0</v>
      </c>
      <c r="Q60" s="101" t="str">
        <f>IF(VLOOKUP(B60,'[1]26MY_ODYSSEY_DATA'!B:AR,20,FALSE)="","",VLOOKUP(B60,'[1]26MY_ODYSSEY_DATA'!B:AR,20,FALSE))</f>
        <v/>
      </c>
    </row>
    <row r="61" spans="2:20" s="92" customFormat="1" ht="15" customHeight="1" x14ac:dyDescent="0.25">
      <c r="B61" s="90" t="s">
        <v>65</v>
      </c>
      <c r="C61" s="95" t="str">
        <f>VLOOKUP(B61,'[1]26MY_ODYSSEY_DATA'!B:AR,3,FALSE)</f>
        <v xml:space="preserve">Tent </v>
      </c>
      <c r="D61" s="96" t="str">
        <f t="shared" si="6"/>
        <v>08Z04-SCV-110B</v>
      </c>
      <c r="E61" s="97">
        <f>VLOOKUP(B61,'[1]26MY_ODYSSEY_DATA'!B:AR,9,FALSE)</f>
        <v>477</v>
      </c>
      <c r="F61" s="97">
        <f>VLOOKUP(B61,'[1]26MY_ODYSSEY_DATA'!B:AR,10,FALSE)</f>
        <v>681</v>
      </c>
      <c r="G61" s="98">
        <f>VLOOKUP(B61,'[1]26MY_ODYSSEY_DATA'!B:AR,7,FALSE)</f>
        <v>0</v>
      </c>
      <c r="H61" s="99">
        <f>VLOOKUP(B61,'[1]26MY_ODYSSEY_DATA'!B:AR,11,FALSE)</f>
        <v>681</v>
      </c>
      <c r="I61" s="100">
        <f>VLOOKUP(B61,'[1]26MY_ODYSSEY_DATA'!B:AR,12,FALSE)</f>
        <v>0</v>
      </c>
      <c r="J61" s="100" t="str">
        <f>VLOOKUP(B61,'[1]26MY_ODYSSEY_DATA'!B:AR,13,FALSE)</f>
        <v>•</v>
      </c>
      <c r="K61" s="100" t="str">
        <f>VLOOKUP(B61,'[1]26MY_ODYSSEY_DATA'!B:AR,14,FALSE)</f>
        <v>•</v>
      </c>
      <c r="L61" s="100" t="str">
        <f>VLOOKUP(B61,'[1]26MY_ODYSSEY_DATA'!B:AR,15,FALSE)</f>
        <v>•</v>
      </c>
      <c r="M61" s="100" t="str">
        <f>VLOOKUP(B61,'[1]26MY_ODYSSEY_DATA'!B:AR,16,FALSE)</f>
        <v>•</v>
      </c>
      <c r="N61" s="100">
        <f>VLOOKUP($B61,'[1]26MY_ODYSSEY_DATA'!$B:$AR,17,FALSE)</f>
        <v>0</v>
      </c>
      <c r="O61" s="100">
        <f>VLOOKUP($B61,'[1]26MY_ODYSSEY_DATA'!$B:$AR,18,FALSE)</f>
        <v>0</v>
      </c>
      <c r="P61" s="100">
        <f>VLOOKUP($B61,'[1]26MY_ODYSSEY_DATA'!$B:$AR,19,FALSE)</f>
        <v>0</v>
      </c>
      <c r="Q61" s="101" t="str">
        <f>IF(VLOOKUP(B61,'[1]26MY_ODYSSEY_DATA'!B:AR,20,FALSE)="","",VLOOKUP(B61,'[1]26MY_ODYSSEY_DATA'!B:AR,20,FALSE))</f>
        <v/>
      </c>
    </row>
    <row r="62" spans="2:20" s="92" customFormat="1" ht="15" customHeight="1" x14ac:dyDescent="0.25">
      <c r="B62" s="90" t="s">
        <v>66</v>
      </c>
      <c r="C62" s="95" t="str">
        <f>VLOOKUP(B62,'[1]26MY_ODYSSEY_DATA'!B:AR,3,FALSE)</f>
        <v xml:space="preserve">Roof Rails - Black </v>
      </c>
      <c r="D62" s="96" t="str">
        <f t="shared" si="6"/>
        <v>08L02-THR-102</v>
      </c>
      <c r="E62" s="97">
        <f>VLOOKUP(B62,'[1]26MY_ODYSSEY_DATA'!B:AR,9,FALSE)</f>
        <v>460</v>
      </c>
      <c r="F62" s="97">
        <f>VLOOKUP(B62,'[1]26MY_ODYSSEY_DATA'!B:AR,10,FALSE)</f>
        <v>767</v>
      </c>
      <c r="G62" s="98">
        <f>VLOOKUP(B62,'[1]26MY_ODYSSEY_DATA'!B:AR,7,FALSE)</f>
        <v>1</v>
      </c>
      <c r="H62" s="99">
        <f>VLOOKUP(B62,'[1]26MY_ODYSSEY_DATA'!B:AR,11,FALSE)</f>
        <v>935</v>
      </c>
      <c r="I62" s="100">
        <f>VLOOKUP(B62,'[1]26MY_ODYSSEY_DATA'!B:AR,12,FALSE)</f>
        <v>0</v>
      </c>
      <c r="J62" s="100" t="str">
        <f>VLOOKUP(B62,'[1]26MY_ODYSSEY_DATA'!B:AR,13,FALSE)</f>
        <v>•</v>
      </c>
      <c r="K62" s="100" t="str">
        <f>VLOOKUP(B62,'[1]26MY_ODYSSEY_DATA'!B:AR,14,FALSE)</f>
        <v>•</v>
      </c>
      <c r="L62" s="100" t="str">
        <f>VLOOKUP(B62,'[1]26MY_ODYSSEY_DATA'!B:AR,15,FALSE)</f>
        <v>•</v>
      </c>
      <c r="M62" s="100" t="str">
        <f>VLOOKUP(B62,'[1]26MY_ODYSSEY_DATA'!B:AR,16,FALSE)</f>
        <v>•</v>
      </c>
      <c r="N62" s="100">
        <f>VLOOKUP($B62,'[1]26MY_ODYSSEY_DATA'!$B:$AR,17,FALSE)</f>
        <v>0</v>
      </c>
      <c r="O62" s="100">
        <f>VLOOKUP($B62,'[1]26MY_ODYSSEY_DATA'!$B:$AR,18,FALSE)</f>
        <v>0</v>
      </c>
      <c r="P62" s="100">
        <f>VLOOKUP($B62,'[1]26MY_ODYSSEY_DATA'!$B:$AR,19,FALSE)</f>
        <v>0</v>
      </c>
      <c r="Q62" s="101" t="str">
        <f>IF(VLOOKUP(B62,'[1]26MY_ODYSSEY_DATA'!B:AR,20,FALSE)="","",VLOOKUP(B62,'[1]26MY_ODYSSEY_DATA'!B:AR,20,FALSE))</f>
        <v/>
      </c>
    </row>
    <row r="63" spans="2:20" s="92" customFormat="1" ht="15" customHeight="1" x14ac:dyDescent="0.25">
      <c r="B63" s="90" t="s">
        <v>67</v>
      </c>
      <c r="C63" s="95" t="str">
        <f>VLOOKUP(B63,'[1]26MY_ODYSSEY_DATA'!B:AR,3,FALSE)</f>
        <v>Roof Rails - Chrome</v>
      </c>
      <c r="D63" s="96" t="str">
        <f t="shared" si="6"/>
        <v>08L02-THR-102A</v>
      </c>
      <c r="E63" s="97">
        <f>VLOOKUP(B63,'[1]26MY_ODYSSEY_DATA'!B:AR,9,FALSE)</f>
        <v>655</v>
      </c>
      <c r="F63" s="97">
        <f>VLOOKUP(B63,'[1]26MY_ODYSSEY_DATA'!B:AR,10,FALSE)</f>
        <v>999</v>
      </c>
      <c r="G63" s="98">
        <f>VLOOKUP(B63,'[1]26MY_ODYSSEY_DATA'!B:AR,7,FALSE)</f>
        <v>1</v>
      </c>
      <c r="H63" s="99">
        <f>VLOOKUP(B63,'[1]26MY_ODYSSEY_DATA'!B:AR,11,FALSE)</f>
        <v>1167</v>
      </c>
      <c r="I63" s="100">
        <f>VLOOKUP(B63,'[1]26MY_ODYSSEY_DATA'!B:AR,12,FALSE)</f>
        <v>0</v>
      </c>
      <c r="J63" s="100" t="str">
        <f>VLOOKUP(B63,'[1]26MY_ODYSSEY_DATA'!B:AR,13,FALSE)</f>
        <v>•</v>
      </c>
      <c r="K63" s="100" t="str">
        <f>VLOOKUP(B63,'[1]26MY_ODYSSEY_DATA'!B:AR,14,FALSE)</f>
        <v>•</v>
      </c>
      <c r="L63" s="100" t="str">
        <f>VLOOKUP(B63,'[1]26MY_ODYSSEY_DATA'!B:AR,15,FALSE)</f>
        <v>•</v>
      </c>
      <c r="M63" s="100" t="str">
        <f>VLOOKUP(B63,'[1]26MY_ODYSSEY_DATA'!B:AR,16,FALSE)</f>
        <v>•</v>
      </c>
      <c r="N63" s="100">
        <f>VLOOKUP($B63,'[1]26MY_ODYSSEY_DATA'!$B:$AR,17,FALSE)</f>
        <v>0</v>
      </c>
      <c r="O63" s="100">
        <f>VLOOKUP($B63,'[1]26MY_ODYSSEY_DATA'!$B:$AR,18,FALSE)</f>
        <v>0</v>
      </c>
      <c r="P63" s="100">
        <f>VLOOKUP($B63,'[1]26MY_ODYSSEY_DATA'!$B:$AR,19,FALSE)</f>
        <v>0</v>
      </c>
      <c r="Q63" s="101" t="str">
        <f>IF(VLOOKUP(B63,'[1]26MY_ODYSSEY_DATA'!B:AR,20,FALSE)="","",VLOOKUP(B63,'[1]26MY_ODYSSEY_DATA'!B:AR,20,FALSE))</f>
        <v/>
      </c>
    </row>
    <row r="64" spans="2:20" s="92" customFormat="1" ht="15" customHeight="1" x14ac:dyDescent="0.25">
      <c r="B64" s="90" t="s">
        <v>68</v>
      </c>
      <c r="C64" s="95" t="str">
        <f>VLOOKUP(B64,'[1]26MY_ODYSSEY_DATA'!B:AR,3,FALSE)</f>
        <v xml:space="preserve">Crossbars </v>
      </c>
      <c r="D64" s="96" t="str">
        <f t="shared" si="6"/>
        <v>08L04-THR-100</v>
      </c>
      <c r="E64" s="97">
        <f>VLOOKUP(B64,'[1]26MY_ODYSSEY_DATA'!B:AR,9,FALSE)</f>
        <v>216</v>
      </c>
      <c r="F64" s="97">
        <f>VLOOKUP(B64,'[1]26MY_ODYSSEY_DATA'!B:AR,10,FALSE)</f>
        <v>360</v>
      </c>
      <c r="G64" s="98">
        <f>VLOOKUP(B64,'[1]26MY_ODYSSEY_DATA'!B:AR,7,FALSE)</f>
        <v>0.2</v>
      </c>
      <c r="H64" s="99">
        <f>VLOOKUP(B64,'[1]26MY_ODYSSEY_DATA'!B:AR,11,FALSE)</f>
        <v>393.6</v>
      </c>
      <c r="I64" s="100">
        <f>VLOOKUP(B64,'[1]26MY_ODYSSEY_DATA'!B:AR,12,FALSE)</f>
        <v>0</v>
      </c>
      <c r="J64" s="100" t="str">
        <f>VLOOKUP(B64,'[1]26MY_ODYSSEY_DATA'!B:AR,13,FALSE)</f>
        <v>•</v>
      </c>
      <c r="K64" s="100" t="str">
        <f>VLOOKUP(B64,'[1]26MY_ODYSSEY_DATA'!B:AR,14,FALSE)</f>
        <v>•</v>
      </c>
      <c r="L64" s="100" t="str">
        <f>VLOOKUP(B64,'[1]26MY_ODYSSEY_DATA'!B:AR,15,FALSE)</f>
        <v>•</v>
      </c>
      <c r="M64" s="100" t="str">
        <f>VLOOKUP(B64,'[1]26MY_ODYSSEY_DATA'!B:AR,16,FALSE)</f>
        <v>•</v>
      </c>
      <c r="N64" s="100">
        <f>VLOOKUP($B64,'[1]26MY_ODYSSEY_DATA'!$B:$AR,17,FALSE)</f>
        <v>0</v>
      </c>
      <c r="O64" s="100">
        <f>VLOOKUP($B64,'[1]26MY_ODYSSEY_DATA'!$B:$AR,18,FALSE)</f>
        <v>0</v>
      </c>
      <c r="P64" s="100">
        <f>VLOOKUP($B64,'[1]26MY_ODYSSEY_DATA'!$B:$AR,19,FALSE)</f>
        <v>0</v>
      </c>
      <c r="Q64" s="101" t="str">
        <f>IF(VLOOKUP(B64,'[1]26MY_ODYSSEY_DATA'!B:AR,20,FALSE)="","",VLOOKUP(B64,'[1]26MY_ODYSSEY_DATA'!B:AR,20,FALSE))</f>
        <v>Requires Roof Rails.</v>
      </c>
    </row>
    <row r="65" spans="1:17" s="92" customFormat="1" ht="15" customHeight="1" x14ac:dyDescent="0.25">
      <c r="B65" s="90" t="s">
        <v>69</v>
      </c>
      <c r="C65" s="110" t="str">
        <f>VLOOKUP(B65,'[1]26MY_ODYSSEY_DATA'!B:AR,3,FALSE)</f>
        <v xml:space="preserve">Roof Attachments </v>
      </c>
      <c r="D65" s="111"/>
      <c r="E65" s="111"/>
      <c r="F65" s="111"/>
      <c r="G65" s="111"/>
      <c r="H65" s="111"/>
      <c r="I65" s="111"/>
      <c r="J65" s="111"/>
      <c r="K65" s="111"/>
      <c r="L65" s="111"/>
      <c r="M65" s="111"/>
      <c r="N65" s="111"/>
      <c r="O65" s="111"/>
      <c r="P65" s="111"/>
      <c r="Q65" s="112"/>
    </row>
    <row r="66" spans="1:17" s="92" customFormat="1" ht="15" customHeight="1" x14ac:dyDescent="0.25">
      <c r="B66" s="90" t="s">
        <v>70</v>
      </c>
      <c r="C66" s="113" t="str">
        <f>VLOOKUP(B66,'[1]26MY_ODYSSEY_DATA'!B:AR,3,FALSE)</f>
        <v>Roof Basket</v>
      </c>
      <c r="D66" s="96" t="str">
        <f t="shared" ref="D66:D73" si="7">B66</f>
        <v>08L20-E09-101C</v>
      </c>
      <c r="E66" s="97">
        <f>VLOOKUP(B66,'[1]26MY_ODYSSEY_DATA'!B:AR,9,FALSE)</f>
        <v>571</v>
      </c>
      <c r="F66" s="97">
        <f>VLOOKUP(B66,'[1]26MY_ODYSSEY_DATA'!B:AR,10,FALSE)</f>
        <v>952</v>
      </c>
      <c r="G66" s="98">
        <f>VLOOKUP(B66,'[1]26MY_ODYSSEY_DATA'!B:AR,7,FALSE)</f>
        <v>0.4</v>
      </c>
      <c r="H66" s="99">
        <f>VLOOKUP(B66,'[1]26MY_ODYSSEY_DATA'!B:AR,11,FALSE)</f>
        <v>1019.2</v>
      </c>
      <c r="I66" s="100">
        <f>VLOOKUP(B66,'[1]26MY_ODYSSEY_DATA'!B:AR,12,FALSE)</f>
        <v>0</v>
      </c>
      <c r="J66" s="100" t="str">
        <f>VLOOKUP(B66,'[1]26MY_ODYSSEY_DATA'!B:AR,13,FALSE)</f>
        <v>•</v>
      </c>
      <c r="K66" s="100" t="str">
        <f>VLOOKUP(B66,'[1]26MY_ODYSSEY_DATA'!B:AR,14,FALSE)</f>
        <v>•</v>
      </c>
      <c r="L66" s="100" t="str">
        <f>VLOOKUP(B66,'[1]26MY_ODYSSEY_DATA'!B:AR,15,FALSE)</f>
        <v>•</v>
      </c>
      <c r="M66" s="100" t="str">
        <f>VLOOKUP(B66,'[1]26MY_ODYSSEY_DATA'!B:AR,16,FALSE)</f>
        <v>•</v>
      </c>
      <c r="N66" s="100">
        <f>VLOOKUP($B66,'[1]26MY_ODYSSEY_DATA'!$B:$AR,17,FALSE)</f>
        <v>0</v>
      </c>
      <c r="O66" s="100">
        <f>VLOOKUP($B66,'[1]26MY_ODYSSEY_DATA'!$B:$AR,18,FALSE)</f>
        <v>0</v>
      </c>
      <c r="P66" s="100">
        <f>VLOOKUP($B66,'[1]26MY_ODYSSEY_DATA'!$B:$AR,19,FALSE)</f>
        <v>0</v>
      </c>
      <c r="Q66" s="63" t="str">
        <f>IF(VLOOKUP(B66,'[1]26MY_ODYSSEY_DATA'!B:AR,20,FALSE)="","",VLOOKUP(B66,'[1]26MY_ODYSSEY_DATA'!B:AR,20,FALSE))</f>
        <v>Requires Roof Rails and Crossbars.</v>
      </c>
    </row>
    <row r="67" spans="1:17" s="92" customFormat="1" ht="15" customHeight="1" x14ac:dyDescent="0.25">
      <c r="B67" s="90" t="s">
        <v>71</v>
      </c>
      <c r="C67" s="113" t="str">
        <f>VLOOKUP(B67,'[1]26MY_ODYSSEY_DATA'!B:AR,3,FALSE)</f>
        <v>Roof Bicycle Attachment - Forkmount</v>
      </c>
      <c r="D67" s="96" t="str">
        <f t="shared" si="7"/>
        <v>08L07-E09-300A</v>
      </c>
      <c r="E67" s="97">
        <f>VLOOKUP(B67,'[1]26MY_ODYSSEY_DATA'!B:AR,9,FALSE)</f>
        <v>292</v>
      </c>
      <c r="F67" s="97">
        <f>VLOOKUP(B67,'[1]26MY_ODYSSEY_DATA'!B:AR,10,FALSE)</f>
        <v>487</v>
      </c>
      <c r="G67" s="98">
        <f>VLOOKUP(B67,'[1]26MY_ODYSSEY_DATA'!B:AR,7,FALSE)</f>
        <v>0.4</v>
      </c>
      <c r="H67" s="99">
        <f>VLOOKUP(B67,'[1]26MY_ODYSSEY_DATA'!B:AR,11,FALSE)</f>
        <v>554.20000000000005</v>
      </c>
      <c r="I67" s="100">
        <f>VLOOKUP(B67,'[1]26MY_ODYSSEY_DATA'!B:AR,12,FALSE)</f>
        <v>0</v>
      </c>
      <c r="J67" s="100" t="str">
        <f>VLOOKUP(B67,'[1]26MY_ODYSSEY_DATA'!B:AR,13,FALSE)</f>
        <v>•</v>
      </c>
      <c r="K67" s="100" t="str">
        <f>VLOOKUP(B67,'[1]26MY_ODYSSEY_DATA'!B:AR,14,FALSE)</f>
        <v>•</v>
      </c>
      <c r="L67" s="100" t="str">
        <f>VLOOKUP(B67,'[1]26MY_ODYSSEY_DATA'!B:AR,15,FALSE)</f>
        <v>•</v>
      </c>
      <c r="M67" s="100" t="str">
        <f>VLOOKUP(B67,'[1]26MY_ODYSSEY_DATA'!B:AR,16,FALSE)</f>
        <v>•</v>
      </c>
      <c r="N67" s="100">
        <f>VLOOKUP($B67,'[1]26MY_ODYSSEY_DATA'!$B:$AR,17,FALSE)</f>
        <v>0</v>
      </c>
      <c r="O67" s="100">
        <f>VLOOKUP($B67,'[1]26MY_ODYSSEY_DATA'!$B:$AR,18,FALSE)</f>
        <v>0</v>
      </c>
      <c r="P67" s="100">
        <f>VLOOKUP($B67,'[1]26MY_ODYSSEY_DATA'!$B:$AR,19,FALSE)</f>
        <v>0</v>
      </c>
      <c r="Q67" s="73"/>
    </row>
    <row r="68" spans="1:17" s="92" customFormat="1" ht="15" customHeight="1" x14ac:dyDescent="0.25">
      <c r="A68" s="90"/>
      <c r="B68" s="90" t="s">
        <v>72</v>
      </c>
      <c r="C68" s="113" t="str">
        <f>VLOOKUP(B68,'[1]26MY_ODYSSEY_DATA'!B:AR,3,FALSE)</f>
        <v>Roof Bicycle Attachment - Frame mount</v>
      </c>
      <c r="D68" s="96" t="str">
        <f t="shared" si="7"/>
        <v>08L07-E09-101</v>
      </c>
      <c r="E68" s="97">
        <f>VLOOKUP(B68,'[1]26MY_ODYSSEY_DATA'!B:AR,9,FALSE)</f>
        <v>383</v>
      </c>
      <c r="F68" s="97">
        <f>VLOOKUP(B68,'[1]26MY_ODYSSEY_DATA'!B:AR,10,FALSE)</f>
        <v>547</v>
      </c>
      <c r="G68" s="98">
        <f>VLOOKUP(B68,'[1]26MY_ODYSSEY_DATA'!B:AR,7,FALSE)</f>
        <v>0.6</v>
      </c>
      <c r="H68" s="99">
        <f>VLOOKUP(B68,'[1]26MY_ODYSSEY_DATA'!B:AR,11,FALSE)</f>
        <v>647.79999999999995</v>
      </c>
      <c r="I68" s="100">
        <f>VLOOKUP(B68,'[1]26MY_ODYSSEY_DATA'!B:AR,12,FALSE)</f>
        <v>0</v>
      </c>
      <c r="J68" s="100" t="str">
        <f>VLOOKUP(B68,'[1]26MY_ODYSSEY_DATA'!B:AR,13,FALSE)</f>
        <v>•</v>
      </c>
      <c r="K68" s="100" t="str">
        <f>VLOOKUP(B68,'[1]26MY_ODYSSEY_DATA'!B:AR,14,FALSE)</f>
        <v>•</v>
      </c>
      <c r="L68" s="100" t="str">
        <f>VLOOKUP(B68,'[1]26MY_ODYSSEY_DATA'!B:AR,15,FALSE)</f>
        <v>•</v>
      </c>
      <c r="M68" s="100" t="str">
        <f>VLOOKUP(B68,'[1]26MY_ODYSSEY_DATA'!B:AR,16,FALSE)</f>
        <v>•</v>
      </c>
      <c r="N68" s="100">
        <f>VLOOKUP($B68,'[1]26MY_ODYSSEY_DATA'!$B:$AR,17,FALSE)</f>
        <v>0</v>
      </c>
      <c r="O68" s="100">
        <f>VLOOKUP($B68,'[1]26MY_ODYSSEY_DATA'!$B:$AR,18,FALSE)</f>
        <v>0</v>
      </c>
      <c r="P68" s="100">
        <f>VLOOKUP($B68,'[1]26MY_ODYSSEY_DATA'!$B:$AR,19,FALSE)</f>
        <v>0</v>
      </c>
      <c r="Q68" s="73"/>
    </row>
    <row r="69" spans="1:17" s="92" customFormat="1" ht="15" customHeight="1" x14ac:dyDescent="0.25">
      <c r="B69" s="90" t="s">
        <v>73</v>
      </c>
      <c r="C69" s="113" t="str">
        <f>VLOOKUP(B69,'[1]26MY_ODYSSEY_DATA'!B:AR,3,FALSE)</f>
        <v>Roof Box - Mid-Size</v>
      </c>
      <c r="D69" s="96" t="str">
        <f t="shared" si="7"/>
        <v>08L20-E09-300A</v>
      </c>
      <c r="E69" s="97">
        <f>VLOOKUP(B69,'[1]26MY_ODYSSEY_DATA'!B:AR,9,FALSE)</f>
        <v>875</v>
      </c>
      <c r="F69" s="97">
        <f>VLOOKUP(B69,'[1]26MY_ODYSSEY_DATA'!B:AR,10,FALSE)</f>
        <v>1458</v>
      </c>
      <c r="G69" s="98">
        <f>VLOOKUP(B69,'[1]26MY_ODYSSEY_DATA'!B:AR,7,FALSE)</f>
        <v>0.2</v>
      </c>
      <c r="H69" s="99">
        <f>VLOOKUP(B69,'[1]26MY_ODYSSEY_DATA'!B:AR,11,FALSE)</f>
        <v>1491.6</v>
      </c>
      <c r="I69" s="100">
        <f>VLOOKUP(B69,'[1]26MY_ODYSSEY_DATA'!B:AR,12,FALSE)</f>
        <v>0</v>
      </c>
      <c r="J69" s="100" t="str">
        <f>VLOOKUP(B69,'[1]26MY_ODYSSEY_DATA'!B:AR,13,FALSE)</f>
        <v>•</v>
      </c>
      <c r="K69" s="100" t="str">
        <f>VLOOKUP(B69,'[1]26MY_ODYSSEY_DATA'!B:AR,14,FALSE)</f>
        <v>•</v>
      </c>
      <c r="L69" s="100" t="str">
        <f>VLOOKUP(B69,'[1]26MY_ODYSSEY_DATA'!B:AR,15,FALSE)</f>
        <v>•</v>
      </c>
      <c r="M69" s="100" t="str">
        <f>VLOOKUP(B69,'[1]26MY_ODYSSEY_DATA'!B:AR,16,FALSE)</f>
        <v>•</v>
      </c>
      <c r="N69" s="100">
        <f>VLOOKUP($B69,'[1]26MY_ODYSSEY_DATA'!$B:$AR,17,FALSE)</f>
        <v>0</v>
      </c>
      <c r="O69" s="100">
        <f>VLOOKUP($B69,'[1]26MY_ODYSSEY_DATA'!$B:$AR,18,FALSE)</f>
        <v>0</v>
      </c>
      <c r="P69" s="100">
        <f>VLOOKUP($B69,'[1]26MY_ODYSSEY_DATA'!$B:$AR,19,FALSE)</f>
        <v>0</v>
      </c>
      <c r="Q69" s="73"/>
    </row>
    <row r="70" spans="1:17" s="92" customFormat="1" ht="15" customHeight="1" x14ac:dyDescent="0.25">
      <c r="B70" s="90" t="s">
        <v>74</v>
      </c>
      <c r="C70" s="113" t="str">
        <f>VLOOKUP(B70,'[1]26MY_ODYSSEY_DATA'!B:AR,3,FALSE)</f>
        <v>Roof Box - Short</v>
      </c>
      <c r="D70" s="96" t="str">
        <f t="shared" si="7"/>
        <v>08L20-E09-300B</v>
      </c>
      <c r="E70" s="97">
        <f>VLOOKUP(B70,'[1]26MY_ODYSSEY_DATA'!B:AR,9,FALSE)</f>
        <v>799</v>
      </c>
      <c r="F70" s="97">
        <f>VLOOKUP(B70,'[1]26MY_ODYSSEY_DATA'!B:AR,10,FALSE)</f>
        <v>1332</v>
      </c>
      <c r="G70" s="98">
        <f>VLOOKUP(B70,'[1]26MY_ODYSSEY_DATA'!B:AR,7,FALSE)</f>
        <v>0.2</v>
      </c>
      <c r="H70" s="99">
        <f>VLOOKUP(B70,'[1]26MY_ODYSSEY_DATA'!B:AR,11,FALSE)</f>
        <v>1365.6</v>
      </c>
      <c r="I70" s="100">
        <f>VLOOKUP(B70,'[1]26MY_ODYSSEY_DATA'!B:AR,12,FALSE)</f>
        <v>0</v>
      </c>
      <c r="J70" s="100" t="str">
        <f>VLOOKUP(B70,'[1]26MY_ODYSSEY_DATA'!B:AR,13,FALSE)</f>
        <v>•</v>
      </c>
      <c r="K70" s="100" t="str">
        <f>VLOOKUP(B70,'[1]26MY_ODYSSEY_DATA'!B:AR,14,FALSE)</f>
        <v>•</v>
      </c>
      <c r="L70" s="100" t="str">
        <f>VLOOKUP(B70,'[1]26MY_ODYSSEY_DATA'!B:AR,15,FALSE)</f>
        <v>•</v>
      </c>
      <c r="M70" s="100" t="str">
        <f>VLOOKUP(B70,'[1]26MY_ODYSSEY_DATA'!B:AR,16,FALSE)</f>
        <v>•</v>
      </c>
      <c r="N70" s="100">
        <f>VLOOKUP($B70,'[1]26MY_ODYSSEY_DATA'!$B:$AR,17,FALSE)</f>
        <v>0</v>
      </c>
      <c r="O70" s="100">
        <f>VLOOKUP($B70,'[1]26MY_ODYSSEY_DATA'!$B:$AR,18,FALSE)</f>
        <v>0</v>
      </c>
      <c r="P70" s="100">
        <f>VLOOKUP($B70,'[1]26MY_ODYSSEY_DATA'!$B:$AR,19,FALSE)</f>
        <v>0</v>
      </c>
      <c r="Q70" s="73"/>
    </row>
    <row r="71" spans="1:17" s="92" customFormat="1" ht="16.5" x14ac:dyDescent="0.25">
      <c r="B71" s="90" t="s">
        <v>75</v>
      </c>
      <c r="C71" s="113" t="str">
        <f>VLOOKUP(B71,'[1]26MY_ODYSSEY_DATA'!B:AR,3,FALSE)</f>
        <v>Roof Kayak Attachment</v>
      </c>
      <c r="D71" s="96" t="str">
        <f t="shared" si="7"/>
        <v>08L09-E09-101</v>
      </c>
      <c r="E71" s="97">
        <f>VLOOKUP(B71,'[1]26MY_ODYSSEY_DATA'!B:AR,9,FALSE)</f>
        <v>430</v>
      </c>
      <c r="F71" s="97">
        <f>VLOOKUP(B71,'[1]26MY_ODYSSEY_DATA'!B:AR,10,FALSE)</f>
        <v>717</v>
      </c>
      <c r="G71" s="98">
        <f>VLOOKUP(B71,'[1]26MY_ODYSSEY_DATA'!B:AR,7,FALSE)</f>
        <v>0.2</v>
      </c>
      <c r="H71" s="99">
        <f>VLOOKUP(B71,'[1]26MY_ODYSSEY_DATA'!B:AR,11,FALSE)</f>
        <v>750.6</v>
      </c>
      <c r="I71" s="100">
        <f>VLOOKUP(B71,'[1]26MY_ODYSSEY_DATA'!B:AR,12,FALSE)</f>
        <v>0</v>
      </c>
      <c r="J71" s="100" t="str">
        <f>VLOOKUP(B71,'[1]26MY_ODYSSEY_DATA'!B:AR,13,FALSE)</f>
        <v>•</v>
      </c>
      <c r="K71" s="100" t="str">
        <f>VLOOKUP(B71,'[1]26MY_ODYSSEY_DATA'!B:AR,14,FALSE)</f>
        <v>•</v>
      </c>
      <c r="L71" s="100" t="str">
        <f>VLOOKUP(B71,'[1]26MY_ODYSSEY_DATA'!B:AR,15,FALSE)</f>
        <v>•</v>
      </c>
      <c r="M71" s="100" t="str">
        <f>VLOOKUP(B71,'[1]26MY_ODYSSEY_DATA'!B:AR,16,FALSE)</f>
        <v>•</v>
      </c>
      <c r="N71" s="100">
        <f>VLOOKUP($B71,'[1]26MY_ODYSSEY_DATA'!$B:$AR,17,FALSE)</f>
        <v>0</v>
      </c>
      <c r="O71" s="100">
        <f>VLOOKUP($B71,'[1]26MY_ODYSSEY_DATA'!$B:$AR,18,FALSE)</f>
        <v>0</v>
      </c>
      <c r="P71" s="100">
        <f>VLOOKUP($B71,'[1]26MY_ODYSSEY_DATA'!$B:$AR,19,FALSE)</f>
        <v>0</v>
      </c>
      <c r="Q71" s="73"/>
    </row>
    <row r="72" spans="1:17" s="92" customFormat="1" ht="15" customHeight="1" x14ac:dyDescent="0.25">
      <c r="B72" s="90" t="s">
        <v>76</v>
      </c>
      <c r="C72" s="113" t="str">
        <f>VLOOKUP(B72,'[1]26MY_ODYSSEY_DATA'!B:AR,3,FALSE)</f>
        <v>Roof Ski/Snowboard Attachment</v>
      </c>
      <c r="D72" s="96" t="str">
        <f t="shared" si="7"/>
        <v>08L03-E09-300C</v>
      </c>
      <c r="E72" s="97">
        <f>VLOOKUP(B72,'[1]26MY_ODYSSEY_DATA'!B:AR,9,FALSE)</f>
        <v>415</v>
      </c>
      <c r="F72" s="97">
        <f>VLOOKUP(B72,'[1]26MY_ODYSSEY_DATA'!B:AR,10,FALSE)</f>
        <v>692</v>
      </c>
      <c r="G72" s="98">
        <f>VLOOKUP(B72,'[1]26MY_ODYSSEY_DATA'!B:AR,7,FALSE)</f>
        <v>0.2</v>
      </c>
      <c r="H72" s="99">
        <f>VLOOKUP(B72,'[1]26MY_ODYSSEY_DATA'!B:AR,11,FALSE)</f>
        <v>725.6</v>
      </c>
      <c r="I72" s="100">
        <f>VLOOKUP(B72,'[1]26MY_ODYSSEY_DATA'!B:AR,12,FALSE)</f>
        <v>0</v>
      </c>
      <c r="J72" s="100" t="str">
        <f>VLOOKUP(B72,'[1]26MY_ODYSSEY_DATA'!B:AR,13,FALSE)</f>
        <v>•</v>
      </c>
      <c r="K72" s="100" t="str">
        <f>VLOOKUP(B72,'[1]26MY_ODYSSEY_DATA'!B:AR,14,FALSE)</f>
        <v>•</v>
      </c>
      <c r="L72" s="100" t="str">
        <f>VLOOKUP(B72,'[1]26MY_ODYSSEY_DATA'!B:AR,15,FALSE)</f>
        <v>•</v>
      </c>
      <c r="M72" s="100" t="str">
        <f>VLOOKUP(B72,'[1]26MY_ODYSSEY_DATA'!B:AR,16,FALSE)</f>
        <v>•</v>
      </c>
      <c r="N72" s="100">
        <f>VLOOKUP($B72,'[1]26MY_ODYSSEY_DATA'!$B:$AR,17,FALSE)</f>
        <v>0</v>
      </c>
      <c r="O72" s="100">
        <f>VLOOKUP($B72,'[1]26MY_ODYSSEY_DATA'!$B:$AR,18,FALSE)</f>
        <v>0</v>
      </c>
      <c r="P72" s="100">
        <f>VLOOKUP($B72,'[1]26MY_ODYSSEY_DATA'!$B:$AR,19,FALSE)</f>
        <v>0</v>
      </c>
      <c r="Q72" s="73"/>
    </row>
    <row r="73" spans="1:17" s="92" customFormat="1" ht="15" customHeight="1" x14ac:dyDescent="0.25">
      <c r="B73" s="90" t="s">
        <v>77</v>
      </c>
      <c r="C73" s="113" t="str">
        <f>VLOOKUP(B73,'[1]26MY_ODYSSEY_DATA'!B:AR,3,FALSE)</f>
        <v>Roof Surfboard Attachment</v>
      </c>
      <c r="D73" s="96" t="str">
        <f t="shared" si="7"/>
        <v>08L05-E09-100</v>
      </c>
      <c r="E73" s="97">
        <f>VLOOKUP(B73,'[1]26MY_ODYSSEY_DATA'!B:AR,9,FALSE)</f>
        <v>207</v>
      </c>
      <c r="F73" s="97">
        <f>VLOOKUP(B73,'[1]26MY_ODYSSEY_DATA'!B:AR,10,FALSE)</f>
        <v>345</v>
      </c>
      <c r="G73" s="98">
        <f>VLOOKUP(B73,'[1]26MY_ODYSSEY_DATA'!B:AR,7,FALSE)</f>
        <v>0.2</v>
      </c>
      <c r="H73" s="99">
        <f>VLOOKUP(B73,'[1]26MY_ODYSSEY_DATA'!B:AR,11,FALSE)</f>
        <v>378.6</v>
      </c>
      <c r="I73" s="100">
        <f>VLOOKUP(B73,'[1]26MY_ODYSSEY_DATA'!B:AR,12,FALSE)</f>
        <v>0</v>
      </c>
      <c r="J73" s="100" t="str">
        <f>VLOOKUP(B73,'[1]26MY_ODYSSEY_DATA'!B:AR,13,FALSE)</f>
        <v>•</v>
      </c>
      <c r="K73" s="100" t="str">
        <f>VLOOKUP(B73,'[1]26MY_ODYSSEY_DATA'!B:AR,14,FALSE)</f>
        <v>•</v>
      </c>
      <c r="L73" s="100" t="str">
        <f>VLOOKUP(B73,'[1]26MY_ODYSSEY_DATA'!B:AR,15,FALSE)</f>
        <v>•</v>
      </c>
      <c r="M73" s="100" t="str">
        <f>VLOOKUP(B73,'[1]26MY_ODYSSEY_DATA'!B:AR,16,FALSE)</f>
        <v>•</v>
      </c>
      <c r="N73" s="100">
        <f>VLOOKUP($B73,'[1]26MY_ODYSSEY_DATA'!$B:$AR,17,FALSE)</f>
        <v>0</v>
      </c>
      <c r="O73" s="100">
        <f>VLOOKUP($B73,'[1]26MY_ODYSSEY_DATA'!$B:$AR,18,FALSE)</f>
        <v>0</v>
      </c>
      <c r="P73" s="100">
        <f>VLOOKUP($B73,'[1]26MY_ODYSSEY_DATA'!$B:$AR,19,FALSE)</f>
        <v>0</v>
      </c>
      <c r="Q73" s="81"/>
    </row>
    <row r="74" spans="1:17" s="92" customFormat="1" ht="15" customHeight="1" x14ac:dyDescent="0.25">
      <c r="B74" s="90" t="s">
        <v>78</v>
      </c>
      <c r="C74" s="110" t="str">
        <f>VLOOKUP(B74,'[1]26MY_ODYSSEY_DATA'!B:AR,3,FALSE)</f>
        <v>Trailer Hitch parts</v>
      </c>
      <c r="D74" s="111"/>
      <c r="E74" s="111"/>
      <c r="F74" s="111"/>
      <c r="G74" s="111"/>
      <c r="H74" s="111"/>
      <c r="I74" s="111"/>
      <c r="J74" s="111"/>
      <c r="K74" s="111"/>
      <c r="L74" s="111"/>
      <c r="M74" s="111"/>
      <c r="N74" s="111"/>
      <c r="O74" s="111"/>
      <c r="P74" s="111"/>
      <c r="Q74" s="114"/>
    </row>
    <row r="75" spans="1:17" s="92" customFormat="1" ht="45" customHeight="1" x14ac:dyDescent="0.25">
      <c r="B75" s="90" t="s">
        <v>45</v>
      </c>
      <c r="C75" s="113" t="str">
        <f>VLOOKUP(B75,'[1]26MY_ODYSSEY_DATA'!B:AR,3,FALSE)</f>
        <v>Trailer Hitch</v>
      </c>
      <c r="D75" s="96" t="str">
        <f t="shared" ref="D75:D80" si="8">B75</f>
        <v>08L92-THR-300A</v>
      </c>
      <c r="E75" s="97">
        <f>VLOOKUP(B75,'[1]26MY_ODYSSEY_DATA'!B:AR,9,FALSE)</f>
        <v>576</v>
      </c>
      <c r="F75" s="97">
        <f>VLOOKUP(B75,'[1]26MY_ODYSSEY_DATA'!B:AR,10,FALSE)</f>
        <v>960</v>
      </c>
      <c r="G75" s="98">
        <f>VLOOKUP(B75,'[1]26MY_ODYSSEY_DATA'!B:AR,7,FALSE)</f>
        <v>1.5</v>
      </c>
      <c r="H75" s="99">
        <f>VLOOKUP(B75,'[1]26MY_ODYSSEY_DATA'!B:AR,11,FALSE)</f>
        <v>1212</v>
      </c>
      <c r="I75" s="100">
        <f>VLOOKUP(B75,'[1]26MY_ODYSSEY_DATA'!B:AR,12,FALSE)</f>
        <v>0</v>
      </c>
      <c r="J75" s="100" t="str">
        <f>VLOOKUP(B75,'[1]26MY_ODYSSEY_DATA'!B:AR,13,FALSE)</f>
        <v>•</v>
      </c>
      <c r="K75" s="100" t="str">
        <f>VLOOKUP(B75,'[1]26MY_ODYSSEY_DATA'!B:AR,14,FALSE)</f>
        <v>•</v>
      </c>
      <c r="L75" s="100" t="str">
        <f>VLOOKUP(B75,'[1]26MY_ODYSSEY_DATA'!B:AR,15,FALSE)</f>
        <v>•</v>
      </c>
      <c r="M75" s="100" t="str">
        <f>VLOOKUP(B75,'[1]26MY_ODYSSEY_DATA'!B:AR,16,FALSE)</f>
        <v>•</v>
      </c>
      <c r="N75" s="100">
        <f>VLOOKUP($B75,'[1]26MY_ODYSSEY_DATA'!$B:$AR,17,FALSE)</f>
        <v>0</v>
      </c>
      <c r="O75" s="100">
        <f>VLOOKUP($B75,'[1]26MY_ODYSSEY_DATA'!$B:$AR,18,FALSE)</f>
        <v>0</v>
      </c>
      <c r="P75" s="100">
        <f>VLOOKUP($B75,'[1]26MY_ODYSSEY_DATA'!$B:$AR,19,FALSE)</f>
        <v>0</v>
      </c>
      <c r="Q75" s="63" t="str">
        <f>IF(VLOOKUP(B75,'[1]26MY_ODYSSEY_DATA'!B:AR,20,FALSE)="","",VLOOKUP(B75,'[1]26MY_ODYSSEY_DATA'!B:AR,20,FALSE))</f>
        <v>Trailer Hitch Rating: Class II.
Trailer Hitch Receiver Size: 2-in x 2-in.
TOURING: Requires Hands-Free Power Tailgate Sensor Adaptor.</v>
      </c>
    </row>
    <row r="76" spans="1:17" s="92" customFormat="1" ht="15" customHeight="1" x14ac:dyDescent="0.25">
      <c r="B76" s="90" t="s">
        <v>79</v>
      </c>
      <c r="C76" s="113" t="str">
        <f>VLOOKUP(B76,'[1]26MY_ODYSSEY_DATA'!B:AR,3,FALSE)</f>
        <v>Trailer Hitch Ball - 1-7/8"</v>
      </c>
      <c r="D76" s="96" t="str">
        <f t="shared" si="8"/>
        <v>08L92-SCV-300A</v>
      </c>
      <c r="E76" s="97">
        <f>VLOOKUP(B76,'[1]26MY_ODYSSEY_DATA'!B:AR,9,FALSE)</f>
        <v>28</v>
      </c>
      <c r="F76" s="97">
        <f>VLOOKUP(B76,'[1]26MY_ODYSSEY_DATA'!B:AR,10,FALSE)</f>
        <v>47</v>
      </c>
      <c r="G76" s="98">
        <f>VLOOKUP(B76,'[1]26MY_ODYSSEY_DATA'!B:AR,7,FALSE)</f>
        <v>0</v>
      </c>
      <c r="H76" s="99">
        <f>VLOOKUP(B76,'[1]26MY_ODYSSEY_DATA'!B:AR,11,FALSE)</f>
        <v>47</v>
      </c>
      <c r="I76" s="100">
        <f>VLOOKUP(B76,'[1]26MY_ODYSSEY_DATA'!B:AR,12,FALSE)</f>
        <v>0</v>
      </c>
      <c r="J76" s="100" t="str">
        <f>VLOOKUP(B76,'[1]26MY_ODYSSEY_DATA'!B:AR,13,FALSE)</f>
        <v>•</v>
      </c>
      <c r="K76" s="100" t="str">
        <f>VLOOKUP(B76,'[1]26MY_ODYSSEY_DATA'!B:AR,14,FALSE)</f>
        <v>•</v>
      </c>
      <c r="L76" s="100" t="str">
        <f>VLOOKUP(B76,'[1]26MY_ODYSSEY_DATA'!B:AR,15,FALSE)</f>
        <v>•</v>
      </c>
      <c r="M76" s="100" t="str">
        <f>VLOOKUP(B76,'[1]26MY_ODYSSEY_DATA'!B:AR,16,FALSE)</f>
        <v>•</v>
      </c>
      <c r="N76" s="100">
        <f>VLOOKUP($B76,'[1]26MY_ODYSSEY_DATA'!$B:$AR,17,FALSE)</f>
        <v>0</v>
      </c>
      <c r="O76" s="100">
        <f>VLOOKUP($B76,'[1]26MY_ODYSSEY_DATA'!$B:$AR,18,FALSE)</f>
        <v>0</v>
      </c>
      <c r="P76" s="100">
        <f>VLOOKUP($B76,'[1]26MY_ODYSSEY_DATA'!$B:$AR,19,FALSE)</f>
        <v>0</v>
      </c>
      <c r="Q76" s="73"/>
    </row>
    <row r="77" spans="1:17" s="92" customFormat="1" ht="15" customHeight="1" x14ac:dyDescent="0.25">
      <c r="B77" s="90" t="s">
        <v>80</v>
      </c>
      <c r="C77" s="113" t="str">
        <f>VLOOKUP(B77,'[1]26MY_ODYSSEY_DATA'!B:AR,3,FALSE)</f>
        <v>Trailer Hitch Ball - 2"</v>
      </c>
      <c r="D77" s="96" t="str">
        <f t="shared" si="8"/>
        <v>08L92-SCV-100B</v>
      </c>
      <c r="E77" s="97">
        <f>VLOOKUP(B77,'[1]26MY_ODYSSEY_DATA'!B:AR,9,FALSE)</f>
        <v>28</v>
      </c>
      <c r="F77" s="97">
        <f>VLOOKUP(B77,'[1]26MY_ODYSSEY_DATA'!B:AR,10,FALSE)</f>
        <v>47</v>
      </c>
      <c r="G77" s="98">
        <f>VLOOKUP(B77,'[1]26MY_ODYSSEY_DATA'!B:AR,7,FALSE)</f>
        <v>0</v>
      </c>
      <c r="H77" s="99">
        <f>VLOOKUP(B77,'[1]26MY_ODYSSEY_DATA'!B:AR,11,FALSE)</f>
        <v>47</v>
      </c>
      <c r="I77" s="100">
        <f>VLOOKUP(B77,'[1]26MY_ODYSSEY_DATA'!B:AR,12,FALSE)</f>
        <v>0</v>
      </c>
      <c r="J77" s="100" t="str">
        <f>VLOOKUP(B77,'[1]26MY_ODYSSEY_DATA'!B:AR,13,FALSE)</f>
        <v>•</v>
      </c>
      <c r="K77" s="100" t="str">
        <f>VLOOKUP(B77,'[1]26MY_ODYSSEY_DATA'!B:AR,14,FALSE)</f>
        <v>•</v>
      </c>
      <c r="L77" s="100" t="str">
        <f>VLOOKUP(B77,'[1]26MY_ODYSSEY_DATA'!B:AR,15,FALSE)</f>
        <v>•</v>
      </c>
      <c r="M77" s="100" t="str">
        <f>VLOOKUP(B77,'[1]26MY_ODYSSEY_DATA'!B:AR,16,FALSE)</f>
        <v>•</v>
      </c>
      <c r="N77" s="100">
        <f>VLOOKUP($B77,'[1]26MY_ODYSSEY_DATA'!$B:$AR,17,FALSE)</f>
        <v>0</v>
      </c>
      <c r="O77" s="100">
        <f>VLOOKUP($B77,'[1]26MY_ODYSSEY_DATA'!$B:$AR,18,FALSE)</f>
        <v>0</v>
      </c>
      <c r="P77" s="100">
        <f>VLOOKUP($B77,'[1]26MY_ODYSSEY_DATA'!$B:$AR,19,FALSE)</f>
        <v>0</v>
      </c>
      <c r="Q77" s="73"/>
    </row>
    <row r="78" spans="1:17" s="92" customFormat="1" ht="15" customHeight="1" x14ac:dyDescent="0.25">
      <c r="B78" s="90" t="s">
        <v>47</v>
      </c>
      <c r="C78" s="113" t="str">
        <f>VLOOKUP(B78,'[1]26MY_ODYSSEY_DATA'!B:AR,3,FALSE)</f>
        <v>Trailer Hitch Harness</v>
      </c>
      <c r="D78" s="96" t="str">
        <f t="shared" si="8"/>
        <v>08L91-THR-300</v>
      </c>
      <c r="E78" s="97">
        <f>VLOOKUP(B78,'[1]26MY_ODYSSEY_DATA'!B:AR,9,FALSE)</f>
        <v>162</v>
      </c>
      <c r="F78" s="97">
        <f>VLOOKUP(B78,'[1]26MY_ODYSSEY_DATA'!B:AR,10,FALSE)</f>
        <v>270</v>
      </c>
      <c r="G78" s="98">
        <f>VLOOKUP(B78,'[1]26MY_ODYSSEY_DATA'!B:AR,7,FALSE)</f>
        <v>0.8</v>
      </c>
      <c r="H78" s="99">
        <f>VLOOKUP(B78,'[1]26MY_ODYSSEY_DATA'!B:AR,11,FALSE)</f>
        <v>404.4</v>
      </c>
      <c r="I78" s="100">
        <f>VLOOKUP(B78,'[1]26MY_ODYSSEY_DATA'!B:AR,12,FALSE)</f>
        <v>0</v>
      </c>
      <c r="J78" s="100" t="str">
        <f>VLOOKUP(B78,'[1]26MY_ODYSSEY_DATA'!B:AR,13,FALSE)</f>
        <v>•</v>
      </c>
      <c r="K78" s="100" t="str">
        <f>VLOOKUP(B78,'[1]26MY_ODYSSEY_DATA'!B:AR,14,FALSE)</f>
        <v>•</v>
      </c>
      <c r="L78" s="100" t="str">
        <f>VLOOKUP(B78,'[1]26MY_ODYSSEY_DATA'!B:AR,15,FALSE)</f>
        <v>•</v>
      </c>
      <c r="M78" s="100" t="str">
        <f>VLOOKUP(B78,'[1]26MY_ODYSSEY_DATA'!B:AR,16,FALSE)</f>
        <v>•</v>
      </c>
      <c r="N78" s="100">
        <f>VLOOKUP($B78,'[1]26MY_ODYSSEY_DATA'!$B:$AR,17,FALSE)</f>
        <v>0</v>
      </c>
      <c r="O78" s="100">
        <f>VLOOKUP($B78,'[1]26MY_ODYSSEY_DATA'!$B:$AR,18,FALSE)</f>
        <v>0</v>
      </c>
      <c r="P78" s="100">
        <f>VLOOKUP($B78,'[1]26MY_ODYSSEY_DATA'!$B:$AR,19,FALSE)</f>
        <v>0</v>
      </c>
      <c r="Q78" s="73"/>
    </row>
    <row r="79" spans="1:17" s="92" customFormat="1" ht="15" customHeight="1" x14ac:dyDescent="0.25">
      <c r="B79" s="90" t="s">
        <v>48</v>
      </c>
      <c r="C79" s="113" t="str">
        <f>VLOOKUP(B79,'[1]26MY_ODYSSEY_DATA'!B:AR,3,FALSE)</f>
        <v>Trailer Hitch Locking Pin</v>
      </c>
      <c r="D79" s="96" t="str">
        <f t="shared" si="8"/>
        <v>08L92-SJC-300A</v>
      </c>
      <c r="E79" s="97">
        <f>VLOOKUP(B79,'[1]26MY_ODYSSEY_DATA'!B:AR,9,FALSE)</f>
        <v>106</v>
      </c>
      <c r="F79" s="97">
        <f>VLOOKUP(B79,'[1]26MY_ODYSSEY_DATA'!B:AR,10,FALSE)</f>
        <v>163</v>
      </c>
      <c r="G79" s="98">
        <f>VLOOKUP(B79,'[1]26MY_ODYSSEY_DATA'!B:AR,7,FALSE)</f>
        <v>0</v>
      </c>
      <c r="H79" s="99">
        <f>VLOOKUP(B79,'[1]26MY_ODYSSEY_DATA'!B:AR,11,FALSE)</f>
        <v>163</v>
      </c>
      <c r="I79" s="100">
        <f>VLOOKUP(B79,'[1]26MY_ODYSSEY_DATA'!B:AR,12,FALSE)</f>
        <v>0</v>
      </c>
      <c r="J79" s="100" t="str">
        <f>VLOOKUP(B79,'[1]26MY_ODYSSEY_DATA'!B:AR,13,FALSE)</f>
        <v>•</v>
      </c>
      <c r="K79" s="100" t="str">
        <f>VLOOKUP(B79,'[1]26MY_ODYSSEY_DATA'!B:AR,14,FALSE)</f>
        <v>•</v>
      </c>
      <c r="L79" s="100" t="str">
        <f>VLOOKUP(B79,'[1]26MY_ODYSSEY_DATA'!B:AR,15,FALSE)</f>
        <v>•</v>
      </c>
      <c r="M79" s="100" t="str">
        <f>VLOOKUP(B79,'[1]26MY_ODYSSEY_DATA'!B:AR,16,FALSE)</f>
        <v>•</v>
      </c>
      <c r="N79" s="100">
        <f>VLOOKUP($B79,'[1]26MY_ODYSSEY_DATA'!$B:$AR,17,FALSE)</f>
        <v>0</v>
      </c>
      <c r="O79" s="100">
        <f>VLOOKUP($B79,'[1]26MY_ODYSSEY_DATA'!$B:$AR,18,FALSE)</f>
        <v>0</v>
      </c>
      <c r="P79" s="100">
        <f>VLOOKUP($B79,'[1]26MY_ODYSSEY_DATA'!$B:$AR,19,FALSE)</f>
        <v>0</v>
      </c>
      <c r="Q79" s="73"/>
    </row>
    <row r="80" spans="1:17" s="92" customFormat="1" ht="15.6" customHeight="1" x14ac:dyDescent="0.25">
      <c r="B80" s="90" t="s">
        <v>50</v>
      </c>
      <c r="C80" s="113" t="str">
        <f>VLOOKUP(B80,'[1]26MY_ODYSSEY_DATA'!B:AR,3,FALSE)</f>
        <v>Hands-Free Power Tailgate Sensor Adapter</v>
      </c>
      <c r="D80" s="96" t="str">
        <f t="shared" si="8"/>
        <v>08L91-THR-300A</v>
      </c>
      <c r="E80" s="97">
        <f>VLOOKUP(B80,'[1]26MY_ODYSSEY_DATA'!B:AR,9,FALSE)</f>
        <v>238</v>
      </c>
      <c r="F80" s="97">
        <f>VLOOKUP(B80,'[1]26MY_ODYSSEY_DATA'!B:AR,10,FALSE)</f>
        <v>397</v>
      </c>
      <c r="G80" s="98">
        <f>VLOOKUP(B80,'[1]26MY_ODYSSEY_DATA'!B:AR,7,FALSE)</f>
        <v>0.2</v>
      </c>
      <c r="H80" s="99">
        <f>VLOOKUP(B80,'[1]26MY_ODYSSEY_DATA'!B:AR,11,FALSE)</f>
        <v>430.6</v>
      </c>
      <c r="I80" s="100">
        <f>VLOOKUP(B80,'[1]26MY_ODYSSEY_DATA'!B:AR,12,FALSE)</f>
        <v>0</v>
      </c>
      <c r="J80" s="100" t="str">
        <f>VLOOKUP(B80,'[1]26MY_ODYSSEY_DATA'!B:AR,13,FALSE)</f>
        <v>•</v>
      </c>
      <c r="K80" s="100" t="str">
        <f>VLOOKUP(B80,'[1]26MY_ODYSSEY_DATA'!B:AR,14,FALSE)</f>
        <v>•</v>
      </c>
      <c r="L80" s="100" t="str">
        <f>VLOOKUP(B80,'[1]26MY_ODYSSEY_DATA'!B:AR,15,FALSE)</f>
        <v>•</v>
      </c>
      <c r="M80" s="100" t="str">
        <f>VLOOKUP(B80,'[1]26MY_ODYSSEY_DATA'!B:AR,16,FALSE)</f>
        <v>•</v>
      </c>
      <c r="N80" s="100">
        <f>VLOOKUP($B80,'[1]26MY_ODYSSEY_DATA'!$B:$AR,17,FALSE)</f>
        <v>0</v>
      </c>
      <c r="O80" s="100">
        <f>VLOOKUP($B80,'[1]26MY_ODYSSEY_DATA'!$B:$AR,18,FALSE)</f>
        <v>0</v>
      </c>
      <c r="P80" s="100">
        <f>VLOOKUP($B80,'[1]26MY_ODYSSEY_DATA'!$B:$AR,19,FALSE)</f>
        <v>0</v>
      </c>
      <c r="Q80" s="81"/>
    </row>
    <row r="81" spans="2:17" s="92" customFormat="1" ht="15" customHeight="1" x14ac:dyDescent="0.25">
      <c r="B81" s="90" t="s">
        <v>81</v>
      </c>
      <c r="C81" s="110" t="str">
        <f>VLOOKUP(B81,'[1]26MY_ODYSSEY_DATA'!B:AR,3,FALSE)</f>
        <v>Body Side Moulding</v>
      </c>
      <c r="D81" s="111"/>
      <c r="E81" s="111"/>
      <c r="F81" s="111"/>
      <c r="G81" s="111"/>
      <c r="H81" s="111"/>
      <c r="I81" s="111"/>
      <c r="J81" s="111"/>
      <c r="K81" s="111"/>
      <c r="L81" s="111"/>
      <c r="M81" s="111"/>
      <c r="N81" s="111"/>
      <c r="O81" s="111"/>
      <c r="P81" s="111"/>
      <c r="Q81" s="114"/>
    </row>
    <row r="82" spans="2:17" s="92" customFormat="1" ht="15" customHeight="1" x14ac:dyDescent="0.25">
      <c r="B82" s="90" t="s">
        <v>82</v>
      </c>
      <c r="C82" s="113" t="str">
        <f>VLOOKUP(B82,'[1]26MY_ODYSSEY_DATA'!B:AR,3,FALSE)</f>
        <v>Platinum White Pearl (NH-883P)</v>
      </c>
      <c r="D82" s="96" t="str">
        <f t="shared" ref="D82:D87" si="9">B82</f>
        <v>08P05-THR-191</v>
      </c>
      <c r="E82" s="97">
        <f>VLOOKUP(B82,'[1]26MY_ODYSSEY_DATA'!B:AR,9,FALSE)</f>
        <v>231</v>
      </c>
      <c r="F82" s="97">
        <f>VLOOKUP(B82,'[1]26MY_ODYSSEY_DATA'!B:AR,10,FALSE)</f>
        <v>385</v>
      </c>
      <c r="G82" s="98">
        <f>VLOOKUP(B82,'[1]26MY_ODYSSEY_DATA'!B:AR,7,FALSE)</f>
        <v>0.4</v>
      </c>
      <c r="H82" s="99">
        <f>VLOOKUP(B82,'[1]26MY_ODYSSEY_DATA'!B:AR,11,FALSE)</f>
        <v>452.2</v>
      </c>
      <c r="I82" s="100">
        <f>VLOOKUP(B82,'[1]26MY_ODYSSEY_DATA'!B:AR,12,FALSE)</f>
        <v>0</v>
      </c>
      <c r="J82" s="100" t="str">
        <f>VLOOKUP(B82,'[1]26MY_ODYSSEY_DATA'!B:AR,13,FALSE)</f>
        <v>•</v>
      </c>
      <c r="K82" s="100" t="str">
        <f>VLOOKUP(B82,'[1]26MY_ODYSSEY_DATA'!B:AR,14,FALSE)</f>
        <v>•</v>
      </c>
      <c r="L82" s="100" t="str">
        <f>VLOOKUP(B82,'[1]26MY_ODYSSEY_DATA'!B:AR,15,FALSE)</f>
        <v>•</v>
      </c>
      <c r="M82" s="100" t="str">
        <f>VLOOKUP(B82,'[1]26MY_ODYSSEY_DATA'!B:AR,16,FALSE)</f>
        <v>•</v>
      </c>
      <c r="N82" s="100">
        <f>VLOOKUP($B82,'[1]26MY_ODYSSEY_DATA'!$B:$AR,17,FALSE)</f>
        <v>0</v>
      </c>
      <c r="O82" s="100">
        <f>VLOOKUP($B82,'[1]26MY_ODYSSEY_DATA'!$B:$AR,18,FALSE)</f>
        <v>0</v>
      </c>
      <c r="P82" s="100">
        <f>VLOOKUP($B82,'[1]26MY_ODYSSEY_DATA'!$B:$AR,19,FALSE)</f>
        <v>0</v>
      </c>
      <c r="Q82" s="63" t="str">
        <f>IF(VLOOKUP(B82,'[1]26MY_ODYSSEY_DATA'!B:AR,20,FALSE)="","",VLOOKUP(B82,'[1]26MY_ODYSSEY_DATA'!B:AR,20,FALSE))</f>
        <v/>
      </c>
    </row>
    <row r="83" spans="2:17" s="92" customFormat="1" ht="15" customHeight="1" x14ac:dyDescent="0.25">
      <c r="B83" s="90" t="s">
        <v>83</v>
      </c>
      <c r="C83" s="113" t="str">
        <f>VLOOKUP(B83,'[1]26MY_ODYSSEY_DATA'!B:AR,3,FALSE)</f>
        <v>Crystal Black Pearl (NH-731P)</v>
      </c>
      <c r="D83" s="96" t="str">
        <f t="shared" si="9"/>
        <v>08P05-THR-121</v>
      </c>
      <c r="E83" s="97">
        <f>VLOOKUP(B83,'[1]26MY_ODYSSEY_DATA'!B:AR,9,FALSE)</f>
        <v>231</v>
      </c>
      <c r="F83" s="97">
        <f>VLOOKUP(B83,'[1]26MY_ODYSSEY_DATA'!B:AR,10,FALSE)</f>
        <v>385</v>
      </c>
      <c r="G83" s="98">
        <f>VLOOKUP(B83,'[1]26MY_ODYSSEY_DATA'!B:AR,7,FALSE)</f>
        <v>0.4</v>
      </c>
      <c r="H83" s="99">
        <f>VLOOKUP(B83,'[1]26MY_ODYSSEY_DATA'!B:AR,11,FALSE)</f>
        <v>452.2</v>
      </c>
      <c r="I83" s="100">
        <f>VLOOKUP(B83,'[1]26MY_ODYSSEY_DATA'!B:AR,12,FALSE)</f>
        <v>0</v>
      </c>
      <c r="J83" s="100" t="str">
        <f>VLOOKUP(B83,'[1]26MY_ODYSSEY_DATA'!B:AR,13,FALSE)</f>
        <v>•</v>
      </c>
      <c r="K83" s="100" t="str">
        <f>VLOOKUP(B83,'[1]26MY_ODYSSEY_DATA'!B:AR,14,FALSE)</f>
        <v>N/A</v>
      </c>
      <c r="L83" s="100" t="str">
        <f>VLOOKUP(B83,'[1]26MY_ODYSSEY_DATA'!B:AR,15,FALSE)</f>
        <v>N/A</v>
      </c>
      <c r="M83" s="100" t="str">
        <f>VLOOKUP(B83,'[1]26MY_ODYSSEY_DATA'!B:AR,16,FALSE)</f>
        <v>•</v>
      </c>
      <c r="N83" s="100">
        <f>VLOOKUP($B83,'[1]26MY_ODYSSEY_DATA'!$B:$AR,17,FALSE)</f>
        <v>0</v>
      </c>
      <c r="O83" s="100">
        <f>VLOOKUP($B83,'[1]26MY_ODYSSEY_DATA'!$B:$AR,18,FALSE)</f>
        <v>0</v>
      </c>
      <c r="P83" s="100">
        <f>VLOOKUP($B83,'[1]26MY_ODYSSEY_DATA'!$B:$AR,19,FALSE)</f>
        <v>0</v>
      </c>
      <c r="Q83" s="73"/>
    </row>
    <row r="84" spans="2:17" s="92" customFormat="1" ht="15" customHeight="1" x14ac:dyDescent="0.25">
      <c r="B84" s="90" t="s">
        <v>84</v>
      </c>
      <c r="C84" s="113" t="str">
        <f>VLOOKUP(B84,'[1]26MY_ODYSSEY_DATA'!B:AR,3,FALSE)</f>
        <v>Modern Steel Metallic (NH-797M)</v>
      </c>
      <c r="D84" s="96" t="str">
        <f t="shared" si="9"/>
        <v>08P05-THR-131</v>
      </c>
      <c r="E84" s="97">
        <f>VLOOKUP(B84,'[1]26MY_ODYSSEY_DATA'!B:AR,9,FALSE)</f>
        <v>231</v>
      </c>
      <c r="F84" s="97">
        <f>VLOOKUP(B84,'[1]26MY_ODYSSEY_DATA'!B:AR,10,FALSE)</f>
        <v>385</v>
      </c>
      <c r="G84" s="98">
        <f>VLOOKUP(B84,'[1]26MY_ODYSSEY_DATA'!B:AR,7,FALSE)</f>
        <v>0.4</v>
      </c>
      <c r="H84" s="99">
        <f>VLOOKUP(B84,'[1]26MY_ODYSSEY_DATA'!B:AR,11,FALSE)</f>
        <v>452.2</v>
      </c>
      <c r="I84" s="100">
        <f>VLOOKUP(B84,'[1]26MY_ODYSSEY_DATA'!B:AR,12,FALSE)</f>
        <v>0</v>
      </c>
      <c r="J84" s="100" t="str">
        <f>VLOOKUP(B84,'[1]26MY_ODYSSEY_DATA'!B:AR,13,FALSE)</f>
        <v>N/A</v>
      </c>
      <c r="K84" s="100" t="str">
        <f>VLOOKUP(B84,'[1]26MY_ODYSSEY_DATA'!B:AR,14,FALSE)</f>
        <v>•</v>
      </c>
      <c r="L84" s="100" t="str">
        <f>VLOOKUP(B84,'[1]26MY_ODYSSEY_DATA'!B:AR,15,FALSE)</f>
        <v>•</v>
      </c>
      <c r="M84" s="100" t="str">
        <f>VLOOKUP(B84,'[1]26MY_ODYSSEY_DATA'!B:AR,16,FALSE)</f>
        <v>N/A</v>
      </c>
      <c r="N84" s="100">
        <f>VLOOKUP($B84,'[1]26MY_ODYSSEY_DATA'!$B:$AR,17,FALSE)</f>
        <v>0</v>
      </c>
      <c r="O84" s="100">
        <f>VLOOKUP($B84,'[1]26MY_ODYSSEY_DATA'!$B:$AR,18,FALSE)</f>
        <v>0</v>
      </c>
      <c r="P84" s="100">
        <f>VLOOKUP($B84,'[1]26MY_ODYSSEY_DATA'!$B:$AR,19,FALSE)</f>
        <v>0</v>
      </c>
      <c r="Q84" s="73"/>
    </row>
    <row r="85" spans="2:17" s="92" customFormat="1" ht="15" customHeight="1" x14ac:dyDescent="0.25">
      <c r="B85" s="90" t="s">
        <v>85</v>
      </c>
      <c r="C85" s="113" t="str">
        <f>VLOOKUP(B85,'[1]26MY_ODYSSEY_DATA'!B:AR,3,FALSE)</f>
        <v>Sonic Gray Pearl (NH-877P)</v>
      </c>
      <c r="D85" s="96" t="str">
        <f t="shared" si="9"/>
        <v>08P05-THR-1B1</v>
      </c>
      <c r="E85" s="97">
        <f>VLOOKUP(B85,'[1]26MY_ODYSSEY_DATA'!B:AR,9,FALSE)</f>
        <v>231</v>
      </c>
      <c r="F85" s="97">
        <f>VLOOKUP(B85,'[1]26MY_ODYSSEY_DATA'!B:AR,10,FALSE)</f>
        <v>385</v>
      </c>
      <c r="G85" s="98">
        <f>VLOOKUP(B85,'[1]26MY_ODYSSEY_DATA'!B:AR,7,FALSE)</f>
        <v>0.4</v>
      </c>
      <c r="H85" s="99">
        <f>VLOOKUP(B85,'[1]26MY_ODYSSEY_DATA'!B:AR,11,FALSE)</f>
        <v>452.2</v>
      </c>
      <c r="I85" s="100">
        <f>VLOOKUP(B85,'[1]26MY_ODYSSEY_DATA'!B:AR,12,FALSE)</f>
        <v>0</v>
      </c>
      <c r="J85" s="100" t="str">
        <f>VLOOKUP(B85,'[1]26MY_ODYSSEY_DATA'!B:AR,13,FALSE)</f>
        <v>N/A</v>
      </c>
      <c r="K85" s="100" t="str">
        <f>VLOOKUP(B85,'[1]26MY_ODYSSEY_DATA'!B:AR,14,FALSE)</f>
        <v>N/A</v>
      </c>
      <c r="L85" s="100" t="str">
        <f>VLOOKUP(B85,'[1]26MY_ODYSSEY_DATA'!B:AR,15,FALSE)</f>
        <v>•</v>
      </c>
      <c r="M85" s="100" t="str">
        <f>VLOOKUP(B85,'[1]26MY_ODYSSEY_DATA'!B:AR,16,FALSE)</f>
        <v>•</v>
      </c>
      <c r="N85" s="100">
        <f>VLOOKUP($B85,'[1]26MY_ODYSSEY_DATA'!$B:$AR,17,FALSE)</f>
        <v>0</v>
      </c>
      <c r="O85" s="100">
        <f>VLOOKUP($B85,'[1]26MY_ODYSSEY_DATA'!$B:$AR,18,FALSE)</f>
        <v>0</v>
      </c>
      <c r="P85" s="100">
        <f>VLOOKUP($B85,'[1]26MY_ODYSSEY_DATA'!$B:$AR,19,FALSE)</f>
        <v>0</v>
      </c>
      <c r="Q85" s="73"/>
    </row>
    <row r="86" spans="2:17" s="92" customFormat="1" ht="15" customHeight="1" x14ac:dyDescent="0.25">
      <c r="B86" s="90" t="s">
        <v>86</v>
      </c>
      <c r="C86" s="113" t="str">
        <f>VLOOKUP(B86,'[1]26MY_ODYSSEY_DATA'!B:AR,3,FALSE)</f>
        <v>Radiant Red Metallic II (R-580M)</v>
      </c>
      <c r="D86" s="96" t="str">
        <f t="shared" si="9"/>
        <v>08P05-THR-1A1</v>
      </c>
      <c r="E86" s="97">
        <f>VLOOKUP(B86,'[1]26MY_ODYSSEY_DATA'!B:AR,9,FALSE)</f>
        <v>231</v>
      </c>
      <c r="F86" s="97">
        <f>VLOOKUP(B86,'[1]26MY_ODYSSEY_DATA'!B:AR,10,FALSE)</f>
        <v>385</v>
      </c>
      <c r="G86" s="98">
        <f>VLOOKUP(B86,'[1]26MY_ODYSSEY_DATA'!B:AR,7,FALSE)</f>
        <v>0.4</v>
      </c>
      <c r="H86" s="99">
        <f>VLOOKUP(B86,'[1]26MY_ODYSSEY_DATA'!B:AR,11,FALSE)</f>
        <v>452.2</v>
      </c>
      <c r="I86" s="100">
        <f>VLOOKUP(B86,'[1]26MY_ODYSSEY_DATA'!B:AR,12,FALSE)</f>
        <v>0</v>
      </c>
      <c r="J86" s="100" t="str">
        <f>VLOOKUP(B86,'[1]26MY_ODYSSEY_DATA'!B:AR,13,FALSE)</f>
        <v>N/A</v>
      </c>
      <c r="K86" s="100" t="str">
        <f>VLOOKUP(B86,'[1]26MY_ODYSSEY_DATA'!B:AR,14,FALSE)</f>
        <v>N/A</v>
      </c>
      <c r="L86" s="100" t="str">
        <f>VLOOKUP(B86,'[1]26MY_ODYSSEY_DATA'!B:AR,15,FALSE)</f>
        <v>N/A</v>
      </c>
      <c r="M86" s="100" t="str">
        <f>VLOOKUP(B86,'[1]26MY_ODYSSEY_DATA'!B:AR,16,FALSE)</f>
        <v>•</v>
      </c>
      <c r="N86" s="100">
        <f>VLOOKUP($B86,'[1]26MY_ODYSSEY_DATA'!$B:$AR,17,FALSE)</f>
        <v>0</v>
      </c>
      <c r="O86" s="100">
        <f>VLOOKUP($B86,'[1]26MY_ODYSSEY_DATA'!$B:$AR,18,FALSE)</f>
        <v>0</v>
      </c>
      <c r="P86" s="100">
        <f>VLOOKUP($B86,'[1]26MY_ODYSSEY_DATA'!$B:$AR,19,FALSE)</f>
        <v>0</v>
      </c>
      <c r="Q86" s="73"/>
    </row>
    <row r="87" spans="2:17" s="92" customFormat="1" ht="15" customHeight="1" x14ac:dyDescent="0.25">
      <c r="B87" s="90" t="s">
        <v>87</v>
      </c>
      <c r="C87" s="113" t="str">
        <f>VLOOKUP(B87,'[1]26MY_ODYSSEY_DATA'!B:AR,3,FALSE)</f>
        <v>Solar Reflection Silver (NH-932M)</v>
      </c>
      <c r="D87" s="96" t="str">
        <f t="shared" si="9"/>
        <v>08P05-THR-1C1</v>
      </c>
      <c r="E87" s="97">
        <f>VLOOKUP(B87,'[1]26MY_ODYSSEY_DATA'!B:AR,9,FALSE)</f>
        <v>231</v>
      </c>
      <c r="F87" s="97">
        <f>VLOOKUP(B87,'[1]26MY_ODYSSEY_DATA'!B:AR,10,FALSE)</f>
        <v>385</v>
      </c>
      <c r="G87" s="98">
        <f>VLOOKUP(B87,'[1]26MY_ODYSSEY_DATA'!B:AR,7,FALSE)</f>
        <v>0.4</v>
      </c>
      <c r="H87" s="99">
        <f>VLOOKUP(B87,'[1]26MY_ODYSSEY_DATA'!B:AR,11,FALSE)</f>
        <v>452.2</v>
      </c>
      <c r="I87" s="100">
        <f>VLOOKUP(B87,'[1]26MY_ODYSSEY_DATA'!B:AR,12,FALSE)</f>
        <v>0</v>
      </c>
      <c r="J87" s="100" t="str">
        <f>VLOOKUP(B87,'[1]26MY_ODYSSEY_DATA'!B:AR,13,FALSE)</f>
        <v>•</v>
      </c>
      <c r="K87" s="100" t="str">
        <f>VLOOKUP(B87,'[1]26MY_ODYSSEY_DATA'!B:AR,14,FALSE)</f>
        <v>•</v>
      </c>
      <c r="L87" s="100" t="str">
        <f>VLOOKUP(B87,'[1]26MY_ODYSSEY_DATA'!B:AR,15,FALSE)</f>
        <v>•</v>
      </c>
      <c r="M87" s="100" t="str">
        <f>VLOOKUP(B87,'[1]26MY_ODYSSEY_DATA'!B:AR,16,FALSE)</f>
        <v>N/A</v>
      </c>
      <c r="N87" s="100">
        <f>VLOOKUP($B87,'[1]26MY_ODYSSEY_DATA'!$B:$AR,17,FALSE)</f>
        <v>0</v>
      </c>
      <c r="O87" s="100">
        <f>VLOOKUP($B87,'[1]26MY_ODYSSEY_DATA'!$B:$AR,18,FALSE)</f>
        <v>0</v>
      </c>
      <c r="P87" s="100">
        <f>VLOOKUP($B87,'[1]26MY_ODYSSEY_DATA'!$B:$AR,19,FALSE)</f>
        <v>0</v>
      </c>
      <c r="Q87" s="81"/>
    </row>
    <row r="88" spans="2:17" s="92" customFormat="1" ht="15" customHeight="1" x14ac:dyDescent="0.25">
      <c r="B88" s="90" t="s">
        <v>88</v>
      </c>
      <c r="C88" s="110" t="str">
        <f>VLOOKUP(B88,'[1]26MY_ODYSSEY_DATA'!B:AR,3,FALSE)</f>
        <v>Door Edge Guards</v>
      </c>
      <c r="D88" s="111"/>
      <c r="E88" s="111"/>
      <c r="F88" s="111"/>
      <c r="G88" s="111"/>
      <c r="H88" s="111"/>
      <c r="I88" s="111"/>
      <c r="J88" s="111"/>
      <c r="K88" s="111"/>
      <c r="L88" s="111"/>
      <c r="M88" s="111"/>
      <c r="N88" s="111"/>
      <c r="O88" s="111"/>
      <c r="P88" s="111"/>
      <c r="Q88" s="114"/>
    </row>
    <row r="89" spans="2:17" s="92" customFormat="1" ht="15" customHeight="1" x14ac:dyDescent="0.25">
      <c r="B89" s="90" t="s">
        <v>89</v>
      </c>
      <c r="C89" s="113" t="str">
        <f>VLOOKUP(B89,'[1]26MY_ODYSSEY_DATA'!B:AR,3,FALSE)</f>
        <v>Platinum White Pearl (NH-883P)</v>
      </c>
      <c r="D89" s="96" t="str">
        <f t="shared" ref="D89:D94" si="10">B89</f>
        <v>08P20-THR-190A</v>
      </c>
      <c r="E89" s="97">
        <f>VLOOKUP(B89,'[1]26MY_ODYSSEY_DATA'!B:AR,9,FALSE)</f>
        <v>87</v>
      </c>
      <c r="F89" s="97">
        <f>VLOOKUP(B89,'[1]26MY_ODYSSEY_DATA'!B:AR,10,FALSE)</f>
        <v>145</v>
      </c>
      <c r="G89" s="98">
        <f>VLOOKUP(B89,'[1]26MY_ODYSSEY_DATA'!B:AR,7,FALSE)</f>
        <v>0.3</v>
      </c>
      <c r="H89" s="99">
        <f>VLOOKUP(B89,'[1]26MY_ODYSSEY_DATA'!B:AR,11,FALSE)</f>
        <v>195.4</v>
      </c>
      <c r="I89" s="100">
        <f>VLOOKUP(B89,'[1]26MY_ODYSSEY_DATA'!B:AR,12,FALSE)</f>
        <v>0</v>
      </c>
      <c r="J89" s="100" t="str">
        <f>VLOOKUP(B89,'[1]26MY_ODYSSEY_DATA'!B:AR,13,FALSE)</f>
        <v>•</v>
      </c>
      <c r="K89" s="100" t="str">
        <f>VLOOKUP(B89,'[1]26MY_ODYSSEY_DATA'!B:AR,14,FALSE)</f>
        <v>•</v>
      </c>
      <c r="L89" s="100" t="str">
        <f>VLOOKUP(B89,'[1]26MY_ODYSSEY_DATA'!B:AR,15,FALSE)</f>
        <v>•</v>
      </c>
      <c r="M89" s="100" t="str">
        <f>VLOOKUP(B89,'[1]26MY_ODYSSEY_DATA'!B:AR,16,FALSE)</f>
        <v>•</v>
      </c>
      <c r="N89" s="100">
        <f>VLOOKUP($B89,'[1]26MY_ODYSSEY_DATA'!$B:$AR,17,FALSE)</f>
        <v>0</v>
      </c>
      <c r="O89" s="100">
        <f>VLOOKUP($B89,'[1]26MY_ODYSSEY_DATA'!$B:$AR,18,FALSE)</f>
        <v>0</v>
      </c>
      <c r="P89" s="100">
        <f>VLOOKUP($B89,'[1]26MY_ODYSSEY_DATA'!$B:$AR,19,FALSE)</f>
        <v>0</v>
      </c>
      <c r="Q89" s="63" t="str">
        <f>IF(VLOOKUP(B89,'[1]26MY_ODYSSEY_DATA'!B:AR,20,FALSE)="","",VLOOKUP(B89,'[1]26MY_ODYSSEY_DATA'!B:AR,20,FALSE))</f>
        <v/>
      </c>
    </row>
    <row r="90" spans="2:17" s="92" customFormat="1" ht="15" customHeight="1" x14ac:dyDescent="0.25">
      <c r="B90" s="90" t="s">
        <v>90</v>
      </c>
      <c r="C90" s="113" t="str">
        <f>VLOOKUP(B90,'[1]26MY_ODYSSEY_DATA'!B:AR,3,FALSE)</f>
        <v>Crystal Black Pearl (NH-731P)</v>
      </c>
      <c r="D90" s="96" t="str">
        <f t="shared" si="10"/>
        <v>08P20-THR-120A</v>
      </c>
      <c r="E90" s="97">
        <f>VLOOKUP(B90,'[1]26MY_ODYSSEY_DATA'!B:AR,9,FALSE)</f>
        <v>87</v>
      </c>
      <c r="F90" s="97">
        <f>VLOOKUP(B90,'[1]26MY_ODYSSEY_DATA'!B:AR,10,FALSE)</f>
        <v>145</v>
      </c>
      <c r="G90" s="98">
        <f>VLOOKUP(B90,'[1]26MY_ODYSSEY_DATA'!B:AR,7,FALSE)</f>
        <v>0.3</v>
      </c>
      <c r="H90" s="99">
        <f>VLOOKUP(B90,'[1]26MY_ODYSSEY_DATA'!B:AR,11,FALSE)</f>
        <v>195.4</v>
      </c>
      <c r="I90" s="100">
        <f>VLOOKUP(B90,'[1]26MY_ODYSSEY_DATA'!B:AR,12,FALSE)</f>
        <v>0</v>
      </c>
      <c r="J90" s="100" t="str">
        <f>VLOOKUP(B90,'[1]26MY_ODYSSEY_DATA'!B:AR,13,FALSE)</f>
        <v>•</v>
      </c>
      <c r="K90" s="100" t="str">
        <f>VLOOKUP(B90,'[1]26MY_ODYSSEY_DATA'!B:AR,14,FALSE)</f>
        <v>N/A</v>
      </c>
      <c r="L90" s="100" t="str">
        <f>VLOOKUP(B90,'[1]26MY_ODYSSEY_DATA'!B:AR,15,FALSE)</f>
        <v>N/A</v>
      </c>
      <c r="M90" s="100" t="str">
        <f>VLOOKUP(B90,'[1]26MY_ODYSSEY_DATA'!B:AR,16,FALSE)</f>
        <v>•</v>
      </c>
      <c r="N90" s="100">
        <f>VLOOKUP($B90,'[1]26MY_ODYSSEY_DATA'!$B:$AR,17,FALSE)</f>
        <v>0</v>
      </c>
      <c r="O90" s="100">
        <f>VLOOKUP($B90,'[1]26MY_ODYSSEY_DATA'!$B:$AR,18,FALSE)</f>
        <v>0</v>
      </c>
      <c r="P90" s="100">
        <f>VLOOKUP($B90,'[1]26MY_ODYSSEY_DATA'!$B:$AR,19,FALSE)</f>
        <v>0</v>
      </c>
      <c r="Q90" s="73"/>
    </row>
    <row r="91" spans="2:17" s="92" customFormat="1" ht="15" customHeight="1" x14ac:dyDescent="0.25">
      <c r="B91" s="90" t="s">
        <v>91</v>
      </c>
      <c r="C91" s="113" t="str">
        <f>VLOOKUP(B91,'[1]26MY_ODYSSEY_DATA'!B:AR,3,FALSE)</f>
        <v>Modern Steel Metallic (NH-797M)</v>
      </c>
      <c r="D91" s="96" t="str">
        <f t="shared" si="10"/>
        <v>08P20-THR-130A</v>
      </c>
      <c r="E91" s="97">
        <f>VLOOKUP(B91,'[1]26MY_ODYSSEY_DATA'!B:AR,9,FALSE)</f>
        <v>87</v>
      </c>
      <c r="F91" s="97">
        <f>VLOOKUP(B91,'[1]26MY_ODYSSEY_DATA'!B:AR,10,FALSE)</f>
        <v>145</v>
      </c>
      <c r="G91" s="98">
        <f>VLOOKUP(B91,'[1]26MY_ODYSSEY_DATA'!B:AR,7,FALSE)</f>
        <v>0.3</v>
      </c>
      <c r="H91" s="99">
        <f>VLOOKUP(B91,'[1]26MY_ODYSSEY_DATA'!B:AR,11,FALSE)</f>
        <v>195.4</v>
      </c>
      <c r="I91" s="100">
        <f>VLOOKUP(B91,'[1]26MY_ODYSSEY_DATA'!B:AR,12,FALSE)</f>
        <v>0</v>
      </c>
      <c r="J91" s="100" t="str">
        <f>VLOOKUP(B91,'[1]26MY_ODYSSEY_DATA'!B:AR,13,FALSE)</f>
        <v>N/A</v>
      </c>
      <c r="K91" s="100" t="str">
        <f>VLOOKUP(B91,'[1]26MY_ODYSSEY_DATA'!B:AR,14,FALSE)</f>
        <v>•</v>
      </c>
      <c r="L91" s="100" t="str">
        <f>VLOOKUP(B91,'[1]26MY_ODYSSEY_DATA'!B:AR,15,FALSE)</f>
        <v>•</v>
      </c>
      <c r="M91" s="100" t="str">
        <f>VLOOKUP(B91,'[1]26MY_ODYSSEY_DATA'!B:AR,16,FALSE)</f>
        <v>N/A</v>
      </c>
      <c r="N91" s="100">
        <f>VLOOKUP($B91,'[1]26MY_ODYSSEY_DATA'!$B:$AR,17,FALSE)</f>
        <v>0</v>
      </c>
      <c r="O91" s="100">
        <f>VLOOKUP($B91,'[1]26MY_ODYSSEY_DATA'!$B:$AR,18,FALSE)</f>
        <v>0</v>
      </c>
      <c r="P91" s="100">
        <f>VLOOKUP($B91,'[1]26MY_ODYSSEY_DATA'!$B:$AR,19,FALSE)</f>
        <v>0</v>
      </c>
      <c r="Q91" s="73"/>
    </row>
    <row r="92" spans="2:17" s="92" customFormat="1" ht="15" customHeight="1" x14ac:dyDescent="0.25">
      <c r="B92" s="90" t="s">
        <v>92</v>
      </c>
      <c r="C92" s="113" t="str">
        <f>VLOOKUP(B92,'[1]26MY_ODYSSEY_DATA'!B:AR,3,FALSE)</f>
        <v>Sonic Gray Pearl (NH-877P)</v>
      </c>
      <c r="D92" s="96" t="str">
        <f t="shared" si="10"/>
        <v>08P20-THR-1B0A</v>
      </c>
      <c r="E92" s="97">
        <f>VLOOKUP(B92,'[1]26MY_ODYSSEY_DATA'!B:AR,9,FALSE)</f>
        <v>87</v>
      </c>
      <c r="F92" s="97">
        <f>VLOOKUP(B92,'[1]26MY_ODYSSEY_DATA'!B:AR,10,FALSE)</f>
        <v>145</v>
      </c>
      <c r="G92" s="98">
        <f>VLOOKUP(B92,'[1]26MY_ODYSSEY_DATA'!B:AR,7,FALSE)</f>
        <v>0.3</v>
      </c>
      <c r="H92" s="99">
        <f>VLOOKUP(B92,'[1]26MY_ODYSSEY_DATA'!B:AR,11,FALSE)</f>
        <v>195.4</v>
      </c>
      <c r="I92" s="100">
        <f>VLOOKUP(B92,'[1]26MY_ODYSSEY_DATA'!B:AR,12,FALSE)</f>
        <v>0</v>
      </c>
      <c r="J92" s="100" t="str">
        <f>VLOOKUP(B92,'[1]26MY_ODYSSEY_DATA'!B:AR,13,FALSE)</f>
        <v>N/A</v>
      </c>
      <c r="K92" s="100" t="str">
        <f>VLOOKUP(B92,'[1]26MY_ODYSSEY_DATA'!B:AR,14,FALSE)</f>
        <v>N/A</v>
      </c>
      <c r="L92" s="100" t="str">
        <f>VLOOKUP(B92,'[1]26MY_ODYSSEY_DATA'!B:AR,15,FALSE)</f>
        <v>•</v>
      </c>
      <c r="M92" s="100" t="str">
        <f>VLOOKUP(B92,'[1]26MY_ODYSSEY_DATA'!B:AR,16,FALSE)</f>
        <v>•</v>
      </c>
      <c r="N92" s="100">
        <f>VLOOKUP($B92,'[1]26MY_ODYSSEY_DATA'!$B:$AR,17,FALSE)</f>
        <v>0</v>
      </c>
      <c r="O92" s="100">
        <f>VLOOKUP($B92,'[1]26MY_ODYSSEY_DATA'!$B:$AR,18,FALSE)</f>
        <v>0</v>
      </c>
      <c r="P92" s="100">
        <f>VLOOKUP($B92,'[1]26MY_ODYSSEY_DATA'!$B:$AR,19,FALSE)</f>
        <v>0</v>
      </c>
      <c r="Q92" s="73"/>
    </row>
    <row r="93" spans="2:17" ht="15" x14ac:dyDescent="0.25">
      <c r="B93" s="20" t="s">
        <v>93</v>
      </c>
      <c r="C93" s="113" t="str">
        <f>VLOOKUP(B93,'[1]26MY_ODYSSEY_DATA'!B:AR,3,FALSE)</f>
        <v>Radiant Red Metallic II (R-580M)</v>
      </c>
      <c r="D93" s="96" t="str">
        <f t="shared" si="10"/>
        <v>08P20-THR-1A0A</v>
      </c>
      <c r="E93" s="97">
        <f>VLOOKUP(B93,'[1]26MY_ODYSSEY_DATA'!B:AR,9,FALSE)</f>
        <v>23.99</v>
      </c>
      <c r="F93" s="97">
        <f>VLOOKUP(B93,'[1]26MY_ODYSSEY_DATA'!B:AR,10,FALSE)</f>
        <v>39.99</v>
      </c>
      <c r="G93" s="98">
        <f>VLOOKUP(B93,'[1]26MY_ODYSSEY_DATA'!B:AR,7,FALSE)</f>
        <v>0.3</v>
      </c>
      <c r="H93" s="99">
        <f>VLOOKUP(B93,'[1]26MY_ODYSSEY_DATA'!B:AR,11,FALSE)</f>
        <v>90.39</v>
      </c>
      <c r="I93" s="100">
        <f>VLOOKUP(B93,'[1]26MY_ODYSSEY_DATA'!B:AR,12,FALSE)</f>
        <v>0</v>
      </c>
      <c r="J93" s="100" t="str">
        <f>VLOOKUP(B93,'[1]26MY_ODYSSEY_DATA'!B:AR,13,FALSE)</f>
        <v>N/A</v>
      </c>
      <c r="K93" s="100" t="str">
        <f>VLOOKUP(B93,'[1]26MY_ODYSSEY_DATA'!B:AR,14,FALSE)</f>
        <v>N/A</v>
      </c>
      <c r="L93" s="100" t="str">
        <f>VLOOKUP(B93,'[1]26MY_ODYSSEY_DATA'!B:AR,15,FALSE)</f>
        <v>N/A</v>
      </c>
      <c r="M93" s="100" t="str">
        <f>VLOOKUP(B93,'[1]26MY_ODYSSEY_DATA'!B:AR,16,FALSE)</f>
        <v>•</v>
      </c>
      <c r="N93" s="100">
        <f>VLOOKUP($B93,'[1]26MY_ODYSSEY_DATA'!$B:$AR,17,FALSE)</f>
        <v>0</v>
      </c>
      <c r="O93" s="100">
        <f>VLOOKUP($B93,'[1]26MY_ODYSSEY_DATA'!$B:$AR,18,FALSE)</f>
        <v>0</v>
      </c>
      <c r="P93" s="100">
        <f>VLOOKUP($B93,'[1]26MY_ODYSSEY_DATA'!$B:$AR,19,FALSE)</f>
        <v>0</v>
      </c>
      <c r="Q93" s="73"/>
    </row>
    <row r="94" spans="2:17" ht="15" x14ac:dyDescent="0.25">
      <c r="B94" s="20" t="s">
        <v>94</v>
      </c>
      <c r="C94" s="113" t="str">
        <f>VLOOKUP(B94,'[1]26MY_ODYSSEY_DATA'!B:AR,3,FALSE)</f>
        <v>Solar Reflection Silver (NH-932M)</v>
      </c>
      <c r="D94" s="96" t="str">
        <f t="shared" si="10"/>
        <v>08P20-THR-1C0A</v>
      </c>
      <c r="E94" s="97">
        <f>VLOOKUP(B94,'[1]26MY_ODYSSEY_DATA'!B:AR,9,FALSE)</f>
        <v>87</v>
      </c>
      <c r="F94" s="97">
        <f>VLOOKUP(B94,'[1]26MY_ODYSSEY_DATA'!B:AR,10,FALSE)</f>
        <v>145</v>
      </c>
      <c r="G94" s="98">
        <f>VLOOKUP(B94,'[1]26MY_ODYSSEY_DATA'!B:AR,7,FALSE)</f>
        <v>0.3</v>
      </c>
      <c r="H94" s="99">
        <f>VLOOKUP(B94,'[1]26MY_ODYSSEY_DATA'!B:AR,11,FALSE)</f>
        <v>195.4</v>
      </c>
      <c r="I94" s="100">
        <f>VLOOKUP(B94,'[1]26MY_ODYSSEY_DATA'!B:AR,12,FALSE)</f>
        <v>0</v>
      </c>
      <c r="J94" s="100" t="str">
        <f>VLOOKUP(B94,'[1]26MY_ODYSSEY_DATA'!B:AR,13,FALSE)</f>
        <v>•</v>
      </c>
      <c r="K94" s="100" t="str">
        <f>VLOOKUP(B94,'[1]26MY_ODYSSEY_DATA'!B:AR,14,FALSE)</f>
        <v>•</v>
      </c>
      <c r="L94" s="100" t="str">
        <f>VLOOKUP(B94,'[1]26MY_ODYSSEY_DATA'!B:AR,15,FALSE)</f>
        <v>•</v>
      </c>
      <c r="M94" s="100" t="str">
        <f>VLOOKUP(B94,'[1]26MY_ODYSSEY_DATA'!B:AR,16,FALSE)</f>
        <v>N/A</v>
      </c>
      <c r="N94" s="100">
        <f>VLOOKUP($B94,'[1]26MY_ODYSSEY_DATA'!$B:$AR,17,FALSE)</f>
        <v>0</v>
      </c>
      <c r="O94" s="100">
        <f>VLOOKUP($B94,'[1]26MY_ODYSSEY_DATA'!$B:$AR,18,FALSE)</f>
        <v>0</v>
      </c>
      <c r="P94" s="100">
        <f>VLOOKUP($B94,'[1]26MY_ODYSSEY_DATA'!$B:$AR,19,FALSE)</f>
        <v>0</v>
      </c>
      <c r="Q94" s="81"/>
    </row>
    <row r="95" spans="2:17" s="92" customFormat="1" ht="15" customHeight="1" x14ac:dyDescent="0.25">
      <c r="B95" s="90"/>
      <c r="C95" s="115"/>
      <c r="D95" s="115"/>
      <c r="E95" s="116"/>
      <c r="F95" s="116"/>
      <c r="G95" s="117"/>
      <c r="H95" s="116"/>
      <c r="I95" s="116"/>
      <c r="J95" s="116"/>
      <c r="K95" s="116"/>
      <c r="L95" s="116"/>
      <c r="M95" s="116"/>
      <c r="N95" s="116"/>
      <c r="O95" s="116"/>
      <c r="P95" s="116"/>
      <c r="Q95" s="118"/>
    </row>
    <row r="96" spans="2:17" s="65" customFormat="1" ht="18.75" x14ac:dyDescent="0.3">
      <c r="B96" s="90"/>
      <c r="C96" s="47" t="s">
        <v>95</v>
      </c>
      <c r="D96" s="47"/>
      <c r="E96" s="119"/>
      <c r="F96" s="119"/>
      <c r="G96" s="119"/>
      <c r="H96" s="119"/>
      <c r="I96" s="119"/>
      <c r="J96" s="119"/>
      <c r="K96" s="119"/>
      <c r="L96" s="119"/>
      <c r="M96" s="119"/>
      <c r="N96" s="119"/>
      <c r="O96" s="119"/>
      <c r="P96" s="119"/>
      <c r="Q96" s="119"/>
    </row>
    <row r="97" spans="2:17" s="75" customFormat="1" ht="15" customHeight="1" x14ac:dyDescent="0.25">
      <c r="B97" s="90"/>
      <c r="C97" s="53" t="s">
        <v>27</v>
      </c>
      <c r="D97" s="53" t="s">
        <v>28</v>
      </c>
      <c r="E97" s="53" t="s">
        <v>29</v>
      </c>
      <c r="F97" s="53" t="s">
        <v>30</v>
      </c>
      <c r="G97" s="53" t="s">
        <v>31</v>
      </c>
      <c r="H97" s="54" t="s">
        <v>32</v>
      </c>
      <c r="I97" s="53" t="s">
        <v>33</v>
      </c>
      <c r="J97" s="53"/>
      <c r="K97" s="53"/>
      <c r="L97" s="53"/>
      <c r="M97" s="53"/>
      <c r="N97" s="53"/>
      <c r="O97" s="53"/>
      <c r="P97" s="53"/>
      <c r="Q97" s="53" t="s">
        <v>34</v>
      </c>
    </row>
    <row r="98" spans="2:17" s="75" customFormat="1" ht="30" x14ac:dyDescent="0.25">
      <c r="B98" s="90"/>
      <c r="C98" s="53"/>
      <c r="D98" s="53"/>
      <c r="E98" s="53"/>
      <c r="F98" s="53"/>
      <c r="G98" s="53"/>
      <c r="H98" s="54"/>
      <c r="I98" s="55">
        <f>'[1]26MY_ODYSSEY_DATA'!M$6</f>
        <v>0</v>
      </c>
      <c r="J98" s="55" t="str">
        <f>'[1]26MY_ODYSSEY_DATA'!N$6</f>
        <v>Sport</v>
      </c>
      <c r="K98" s="55" t="str">
        <f>'[1]26MY_ODYSSEY_DATA'!O$6</f>
        <v>Sport-L</v>
      </c>
      <c r="L98" s="55" t="str">
        <f>'[1]26MY_ODYSSEY_DATA'!P$6</f>
        <v>Touring</v>
      </c>
      <c r="M98" s="55" t="str">
        <f>'[1]26MY_ODYSSEY_DATA'!Q$6</f>
        <v>Black Edition</v>
      </c>
      <c r="N98" s="55">
        <f>'[1]26MY_ODYSSEY_DATA'!R$6</f>
        <v>0</v>
      </c>
      <c r="O98" s="55">
        <f>'[1]26MY_ODYSSEY_DATA'!S$6</f>
        <v>0</v>
      </c>
      <c r="P98" s="55">
        <f>'[1]26MY_ODYSSEY_DATA'!T$6</f>
        <v>0</v>
      </c>
      <c r="Q98" s="53"/>
    </row>
    <row r="99" spans="2:17" s="92" customFormat="1" ht="15" customHeight="1" x14ac:dyDescent="0.25">
      <c r="B99" s="90" t="s">
        <v>36</v>
      </c>
      <c r="C99" s="95" t="str">
        <f>VLOOKUP(B99,'[1]26MY_ODYSSEY_DATA'!B:AR,3,FALSE)</f>
        <v>All-Season Floor Mats - White Logo</v>
      </c>
      <c r="D99" s="96" t="str">
        <f t="shared" ref="D99:D106" si="11">B99</f>
        <v>08P17-THR-110A</v>
      </c>
      <c r="E99" s="97">
        <f>VLOOKUP(B99,'[1]26MY_ODYSSEY_DATA'!B:AR,9,FALSE)</f>
        <v>195</v>
      </c>
      <c r="F99" s="97">
        <f>VLOOKUP(B99,'[1]26MY_ODYSSEY_DATA'!B:AR,10,FALSE)</f>
        <v>325</v>
      </c>
      <c r="G99" s="98">
        <f>VLOOKUP(B99,'[1]26MY_ODYSSEY_DATA'!B:AR,7,FALSE)</f>
        <v>0.1</v>
      </c>
      <c r="H99" s="99">
        <f>VLOOKUP(B99,'[1]26MY_ODYSSEY_DATA'!B:AR,11,FALSE)</f>
        <v>341.8</v>
      </c>
      <c r="I99" s="100">
        <f>VLOOKUP(B99,'[1]26MY_ODYSSEY_DATA'!B:AR,12,FALSE)</f>
        <v>0</v>
      </c>
      <c r="J99" s="100" t="str">
        <f>VLOOKUP(B99,'[1]26MY_ODYSSEY_DATA'!B:AR,13,FALSE)</f>
        <v>•</v>
      </c>
      <c r="K99" s="100" t="str">
        <f>VLOOKUP(B99,'[1]26MY_ODYSSEY_DATA'!B:AR,14,FALSE)</f>
        <v>•</v>
      </c>
      <c r="L99" s="100" t="str">
        <f>VLOOKUP(B99,'[1]26MY_ODYSSEY_DATA'!B:AR,15,FALSE)</f>
        <v>•</v>
      </c>
      <c r="M99" s="100" t="str">
        <f>VLOOKUP(B99,'[1]26MY_ODYSSEY_DATA'!B:AR,16,FALSE)</f>
        <v>•</v>
      </c>
      <c r="N99" s="100">
        <f>VLOOKUP($B99,'[1]26MY_ODYSSEY_DATA'!$B:$AR,17,FALSE)</f>
        <v>0</v>
      </c>
      <c r="O99" s="100">
        <f>VLOOKUP($B99,'[1]26MY_ODYSSEY_DATA'!$B:$AR,18,FALSE)</f>
        <v>0</v>
      </c>
      <c r="P99" s="100">
        <f>VLOOKUP($B99,'[1]26MY_ODYSSEY_DATA'!$B:$AR,19,FALSE)</f>
        <v>0</v>
      </c>
      <c r="Q99" s="101" t="str">
        <f>IF(VLOOKUP(B99,'[1]26MY_ODYSSEY_DATA'!B:AR,20,FALSE)="","",VLOOKUP(B99,'[1]26MY_ODYSSEY_DATA'!B:AR,20,FALSE))</f>
        <v>White Logo.</v>
      </c>
    </row>
    <row r="100" spans="2:17" s="92" customFormat="1" ht="15" customHeight="1" x14ac:dyDescent="0.25">
      <c r="B100" s="90" t="s">
        <v>37</v>
      </c>
      <c r="C100" s="95" t="str">
        <f>VLOOKUP(B100,'[1]26MY_ODYSSEY_DATA'!B:AR,3,FALSE)</f>
        <v>Cargo Tray - Deep</v>
      </c>
      <c r="D100" s="96" t="str">
        <f t="shared" si="11"/>
        <v>08U45-THR-100A</v>
      </c>
      <c r="E100" s="97">
        <f>VLOOKUP(B100,'[1]26MY_ODYSSEY_DATA'!B:AR,9,FALSE)</f>
        <v>140</v>
      </c>
      <c r="F100" s="97">
        <f>VLOOKUP(B100,'[1]26MY_ODYSSEY_DATA'!B:AR,10,FALSE)</f>
        <v>233</v>
      </c>
      <c r="G100" s="98">
        <f>VLOOKUP(B100,'[1]26MY_ODYSSEY_DATA'!B:AR,7,FALSE)</f>
        <v>0.1</v>
      </c>
      <c r="H100" s="99">
        <f>VLOOKUP(B100,'[1]26MY_ODYSSEY_DATA'!B:AR,11,FALSE)</f>
        <v>249.8</v>
      </c>
      <c r="I100" s="100">
        <f>VLOOKUP(B100,'[1]26MY_ODYSSEY_DATA'!B:AR,12,FALSE)</f>
        <v>0</v>
      </c>
      <c r="J100" s="100" t="str">
        <f>VLOOKUP(B100,'[1]26MY_ODYSSEY_DATA'!B:AR,13,FALSE)</f>
        <v>•</v>
      </c>
      <c r="K100" s="100" t="str">
        <f>VLOOKUP(B100,'[1]26MY_ODYSSEY_DATA'!B:AR,14,FALSE)</f>
        <v>•</v>
      </c>
      <c r="L100" s="100" t="str">
        <f>VLOOKUP(B100,'[1]26MY_ODYSSEY_DATA'!B:AR,15,FALSE)</f>
        <v>•</v>
      </c>
      <c r="M100" s="100" t="str">
        <f>VLOOKUP(B100,'[1]26MY_ODYSSEY_DATA'!B:AR,16,FALSE)</f>
        <v>•</v>
      </c>
      <c r="N100" s="100">
        <f>VLOOKUP($B100,'[1]26MY_ODYSSEY_DATA'!$B:$AR,17,FALSE)</f>
        <v>0</v>
      </c>
      <c r="O100" s="100">
        <f>VLOOKUP($B100,'[1]26MY_ODYSSEY_DATA'!$B:$AR,18,FALSE)</f>
        <v>0</v>
      </c>
      <c r="P100" s="100">
        <f>VLOOKUP($B100,'[1]26MY_ODYSSEY_DATA'!$B:$AR,19,FALSE)</f>
        <v>0</v>
      </c>
      <c r="Q100" s="101" t="str">
        <f>IF(VLOOKUP(B100,'[1]26MY_ODYSSEY_DATA'!B:AR,20,FALSE)="","",VLOOKUP(B100,'[1]26MY_ODYSSEY_DATA'!B:AR,20,FALSE))</f>
        <v/>
      </c>
    </row>
    <row r="101" spans="2:17" s="92" customFormat="1" ht="15" customHeight="1" x14ac:dyDescent="0.25">
      <c r="B101" s="90" t="s">
        <v>40</v>
      </c>
      <c r="C101" s="95" t="str">
        <f>VLOOKUP(B101,'[1]26MY_ODYSSEY_DATA'!B:AR,3,FALSE)</f>
        <v>Cargo Tray - Folding</v>
      </c>
      <c r="D101" s="96" t="str">
        <f t="shared" si="11"/>
        <v>08U45-THR-100B</v>
      </c>
      <c r="E101" s="97">
        <f>VLOOKUP(B101,'[1]26MY_ODYSSEY_DATA'!B:AR,9,FALSE)</f>
        <v>160</v>
      </c>
      <c r="F101" s="97">
        <f>VLOOKUP(B101,'[1]26MY_ODYSSEY_DATA'!B:AR,10,FALSE)</f>
        <v>267</v>
      </c>
      <c r="G101" s="98">
        <f>VLOOKUP(B101,'[1]26MY_ODYSSEY_DATA'!B:AR,7,FALSE)</f>
        <v>0.1</v>
      </c>
      <c r="H101" s="99">
        <f>VLOOKUP(B101,'[1]26MY_ODYSSEY_DATA'!B:AR,11,FALSE)</f>
        <v>283.8</v>
      </c>
      <c r="I101" s="100">
        <f>VLOOKUP(B101,'[1]26MY_ODYSSEY_DATA'!B:AR,12,FALSE)</f>
        <v>0</v>
      </c>
      <c r="J101" s="100" t="str">
        <f>VLOOKUP(B101,'[1]26MY_ODYSSEY_DATA'!B:AR,13,FALSE)</f>
        <v>•</v>
      </c>
      <c r="K101" s="100" t="str">
        <f>VLOOKUP(B101,'[1]26MY_ODYSSEY_DATA'!B:AR,14,FALSE)</f>
        <v>•</v>
      </c>
      <c r="L101" s="100" t="str">
        <f>VLOOKUP(B101,'[1]26MY_ODYSSEY_DATA'!B:AR,15,FALSE)</f>
        <v>•</v>
      </c>
      <c r="M101" s="100" t="str">
        <f>VLOOKUP(B101,'[1]26MY_ODYSSEY_DATA'!B:AR,16,FALSE)</f>
        <v>•</v>
      </c>
      <c r="N101" s="100">
        <f>VLOOKUP($B101,'[1]26MY_ODYSSEY_DATA'!$B:$AR,17,FALSE)</f>
        <v>0</v>
      </c>
      <c r="O101" s="100">
        <f>VLOOKUP($B101,'[1]26MY_ODYSSEY_DATA'!$B:$AR,18,FALSE)</f>
        <v>0</v>
      </c>
      <c r="P101" s="100">
        <f>VLOOKUP($B101,'[1]26MY_ODYSSEY_DATA'!$B:$AR,19,FALSE)</f>
        <v>0</v>
      </c>
      <c r="Q101" s="101" t="str">
        <f>IF(VLOOKUP(B101,'[1]26MY_ODYSSEY_DATA'!B:AR,20,FALSE)="","",VLOOKUP(B101,'[1]26MY_ODYSSEY_DATA'!B:AR,20,FALSE))</f>
        <v/>
      </c>
    </row>
    <row r="102" spans="2:17" s="92" customFormat="1" ht="15" customHeight="1" x14ac:dyDescent="0.25">
      <c r="B102" s="90" t="s">
        <v>96</v>
      </c>
      <c r="C102" s="95" t="str">
        <f>VLOOKUP(B102,'[1]26MY_ODYSSEY_DATA'!B:AR,3,FALSE)</f>
        <v>Cargo Bins</v>
      </c>
      <c r="D102" s="96" t="str">
        <f t="shared" si="11"/>
        <v>08U45-THR-300</v>
      </c>
      <c r="E102" s="97">
        <f>VLOOKUP(B102,'[1]26MY_ODYSSEY_DATA'!B:AR,9,FALSE)</f>
        <v>413</v>
      </c>
      <c r="F102" s="97">
        <f>VLOOKUP(B102,'[1]26MY_ODYSSEY_DATA'!B:AR,10,FALSE)</f>
        <v>688</v>
      </c>
      <c r="G102" s="98">
        <f>VLOOKUP(B102,'[1]26MY_ODYSSEY_DATA'!B:AR,7,FALSE)</f>
        <v>0.1</v>
      </c>
      <c r="H102" s="99">
        <f>VLOOKUP(B102,'[1]26MY_ODYSSEY_DATA'!B:AR,11,FALSE)</f>
        <v>704.8</v>
      </c>
      <c r="I102" s="100">
        <f>VLOOKUP(B102,'[1]26MY_ODYSSEY_DATA'!B:AR,12,FALSE)</f>
        <v>0</v>
      </c>
      <c r="J102" s="100" t="str">
        <f>VLOOKUP(B102,'[1]26MY_ODYSSEY_DATA'!B:AR,13,FALSE)</f>
        <v>•</v>
      </c>
      <c r="K102" s="100" t="str">
        <f>VLOOKUP(B102,'[1]26MY_ODYSSEY_DATA'!B:AR,14,FALSE)</f>
        <v>•</v>
      </c>
      <c r="L102" s="100" t="str">
        <f>VLOOKUP(B102,'[1]26MY_ODYSSEY_DATA'!B:AR,15,FALSE)</f>
        <v>•</v>
      </c>
      <c r="M102" s="100" t="str">
        <f>VLOOKUP(B102,'[1]26MY_ODYSSEY_DATA'!B:AR,16,FALSE)</f>
        <v>•</v>
      </c>
      <c r="N102" s="100">
        <f>VLOOKUP($B102,'[1]26MY_ODYSSEY_DATA'!$B:$AR,17,FALSE)</f>
        <v>0</v>
      </c>
      <c r="O102" s="100">
        <f>VLOOKUP($B102,'[1]26MY_ODYSSEY_DATA'!$B:$AR,18,FALSE)</f>
        <v>0</v>
      </c>
      <c r="P102" s="100">
        <f>VLOOKUP($B102,'[1]26MY_ODYSSEY_DATA'!$B:$AR,19,FALSE)</f>
        <v>0</v>
      </c>
      <c r="Q102" s="101" t="str">
        <f>IF(VLOOKUP(B102,'[1]26MY_ODYSSEY_DATA'!B:AR,20,FALSE)="","",VLOOKUP(B102,'[1]26MY_ODYSSEY_DATA'!B:AR,20,FALSE))</f>
        <v/>
      </c>
    </row>
    <row r="103" spans="2:17" s="92" customFormat="1" ht="15" customHeight="1" x14ac:dyDescent="0.25">
      <c r="B103" s="90" t="s">
        <v>97</v>
      </c>
      <c r="C103" s="95" t="str">
        <f>VLOOKUP(B103,'[1]26MY_ODYSSEY_DATA'!B:AR,3,FALSE)</f>
        <v>Cargo Liner</v>
      </c>
      <c r="D103" s="96" t="str">
        <f t="shared" si="11"/>
        <v>08P42-THR-100</v>
      </c>
      <c r="E103" s="97">
        <f>VLOOKUP(B103,'[1]26MY_ODYSSEY_DATA'!B:AR,9,FALSE)</f>
        <v>295</v>
      </c>
      <c r="F103" s="97">
        <f>VLOOKUP(B103,'[1]26MY_ODYSSEY_DATA'!B:AR,10,FALSE)</f>
        <v>421</v>
      </c>
      <c r="G103" s="98">
        <f>VLOOKUP(B103,'[1]26MY_ODYSSEY_DATA'!B:AR,7,FALSE)</f>
        <v>1.2</v>
      </c>
      <c r="H103" s="99">
        <f>VLOOKUP(B103,'[1]26MY_ODYSSEY_DATA'!B:AR,11,FALSE)</f>
        <v>622.6</v>
      </c>
      <c r="I103" s="100">
        <f>VLOOKUP(B103,'[1]26MY_ODYSSEY_DATA'!B:AR,12,FALSE)</f>
        <v>0</v>
      </c>
      <c r="J103" s="100" t="str">
        <f>VLOOKUP(B103,'[1]26MY_ODYSSEY_DATA'!B:AR,13,FALSE)</f>
        <v>•</v>
      </c>
      <c r="K103" s="100" t="str">
        <f>VLOOKUP(B103,'[1]26MY_ODYSSEY_DATA'!B:AR,14,FALSE)</f>
        <v>•</v>
      </c>
      <c r="L103" s="100" t="str">
        <f>VLOOKUP(B103,'[1]26MY_ODYSSEY_DATA'!B:AR,15,FALSE)</f>
        <v>•</v>
      </c>
      <c r="M103" s="100" t="str">
        <f>VLOOKUP(B103,'[1]26MY_ODYSSEY_DATA'!B:AR,16,FALSE)</f>
        <v>•</v>
      </c>
      <c r="N103" s="100">
        <f>VLOOKUP($B103,'[1]26MY_ODYSSEY_DATA'!$B:$AR,17,FALSE)</f>
        <v>0</v>
      </c>
      <c r="O103" s="100">
        <f>VLOOKUP($B103,'[1]26MY_ODYSSEY_DATA'!$B:$AR,18,FALSE)</f>
        <v>0</v>
      </c>
      <c r="P103" s="100">
        <f>VLOOKUP($B103,'[1]26MY_ODYSSEY_DATA'!$B:$AR,19,FALSE)</f>
        <v>0</v>
      </c>
      <c r="Q103" s="101" t="str">
        <f>IF(VLOOKUP(B103,'[1]26MY_ODYSSEY_DATA'!B:AR,20,FALSE)="","",VLOOKUP(B103,'[1]26MY_ODYSSEY_DATA'!B:AR,20,FALSE))</f>
        <v/>
      </c>
    </row>
    <row r="104" spans="2:17" s="92" customFormat="1" ht="15" customHeight="1" x14ac:dyDescent="0.25">
      <c r="B104" s="90" t="s">
        <v>98</v>
      </c>
      <c r="C104" s="95" t="str">
        <f>VLOOKUP(B104,'[1]26MY_ODYSSEY_DATA'!B:AR,3,FALSE)</f>
        <v>Cargo Net</v>
      </c>
      <c r="D104" s="96" t="str">
        <f t="shared" si="11"/>
        <v>08L96-THR-100</v>
      </c>
      <c r="E104" s="97">
        <f>VLOOKUP(B104,'[1]26MY_ODYSSEY_DATA'!B:AR,9,FALSE)</f>
        <v>42</v>
      </c>
      <c r="F104" s="97">
        <f>VLOOKUP(B104,'[1]26MY_ODYSSEY_DATA'!B:AR,10,FALSE)</f>
        <v>70</v>
      </c>
      <c r="G104" s="98">
        <f>VLOOKUP(B104,'[1]26MY_ODYSSEY_DATA'!B:AR,7,FALSE)</f>
        <v>0.1</v>
      </c>
      <c r="H104" s="99">
        <f>VLOOKUP(B104,'[1]26MY_ODYSSEY_DATA'!B:AR,11,FALSE)</f>
        <v>86.8</v>
      </c>
      <c r="I104" s="100">
        <f>VLOOKUP(B104,'[1]26MY_ODYSSEY_DATA'!B:AR,12,FALSE)</f>
        <v>0</v>
      </c>
      <c r="J104" s="100" t="str">
        <f>VLOOKUP(B104,'[1]26MY_ODYSSEY_DATA'!B:AR,13,FALSE)</f>
        <v>•</v>
      </c>
      <c r="K104" s="100" t="str">
        <f>VLOOKUP(B104,'[1]26MY_ODYSSEY_DATA'!B:AR,14,FALSE)</f>
        <v>•</v>
      </c>
      <c r="L104" s="100" t="str">
        <f>VLOOKUP(B104,'[1]26MY_ODYSSEY_DATA'!B:AR,15,FALSE)</f>
        <v>•</v>
      </c>
      <c r="M104" s="100" t="str">
        <f>VLOOKUP(B104,'[1]26MY_ODYSSEY_DATA'!B:AR,16,FALSE)</f>
        <v>•</v>
      </c>
      <c r="N104" s="100">
        <f>VLOOKUP($B104,'[1]26MY_ODYSSEY_DATA'!$B:$AR,17,FALSE)</f>
        <v>0</v>
      </c>
      <c r="O104" s="100">
        <f>VLOOKUP($B104,'[1]26MY_ODYSSEY_DATA'!$B:$AR,18,FALSE)</f>
        <v>0</v>
      </c>
      <c r="P104" s="100">
        <f>VLOOKUP($B104,'[1]26MY_ODYSSEY_DATA'!$B:$AR,19,FALSE)</f>
        <v>0</v>
      </c>
      <c r="Q104" s="101" t="str">
        <f>IF(VLOOKUP(B104,'[1]26MY_ODYSSEY_DATA'!B:AR,20,FALSE)="","",VLOOKUP(B104,'[1]26MY_ODYSSEY_DATA'!B:AR,20,FALSE))</f>
        <v/>
      </c>
    </row>
    <row r="105" spans="2:17" s="92" customFormat="1" ht="15" customHeight="1" x14ac:dyDescent="0.25">
      <c r="B105" s="90" t="s">
        <v>99</v>
      </c>
      <c r="C105" s="95" t="str">
        <f>VLOOKUP(B105,'[1]26MY_ODYSSEY_DATA'!B:AR,3,FALSE)</f>
        <v>Seat Cover, 2nd Row (8P)</v>
      </c>
      <c r="D105" s="96" t="str">
        <f t="shared" si="11"/>
        <v>08P32-THR-310D</v>
      </c>
      <c r="E105" s="97">
        <f>VLOOKUP(B105,'[1]26MY_ODYSSEY_DATA'!B:AR,9,FALSE)</f>
        <v>394</v>
      </c>
      <c r="F105" s="97">
        <f>VLOOKUP(B105,'[1]26MY_ODYSSEY_DATA'!B:AR,10,FALSE)</f>
        <v>563</v>
      </c>
      <c r="G105" s="98">
        <f>VLOOKUP(B105,'[1]26MY_ODYSSEY_DATA'!B:AR,7,FALSE)</f>
        <v>0.3</v>
      </c>
      <c r="H105" s="99">
        <f>VLOOKUP(B105,'[1]26MY_ODYSSEY_DATA'!B:AR,11,FALSE)</f>
        <v>613.4</v>
      </c>
      <c r="I105" s="100">
        <f>VLOOKUP(B105,'[1]26MY_ODYSSEY_DATA'!B:AR,12,FALSE)</f>
        <v>0</v>
      </c>
      <c r="J105" s="100" t="str">
        <f>VLOOKUP(B105,'[1]26MY_ODYSSEY_DATA'!B:AR,13,FALSE)</f>
        <v>•</v>
      </c>
      <c r="K105" s="100" t="str">
        <f>VLOOKUP(B105,'[1]26MY_ODYSSEY_DATA'!B:AR,14,FALSE)</f>
        <v>•</v>
      </c>
      <c r="L105" s="100" t="str">
        <f>VLOOKUP(B105,'[1]26MY_ODYSSEY_DATA'!B:AR,15,FALSE)</f>
        <v>•</v>
      </c>
      <c r="M105" s="100" t="str">
        <f>VLOOKUP(B105,'[1]26MY_ODYSSEY_DATA'!B:AR,16,FALSE)</f>
        <v>•</v>
      </c>
      <c r="N105" s="100">
        <f>VLOOKUP($B105,'[1]26MY_ODYSSEY_DATA'!$B:$AR,17,FALSE)</f>
        <v>0</v>
      </c>
      <c r="O105" s="100">
        <f>VLOOKUP($B105,'[1]26MY_ODYSSEY_DATA'!$B:$AR,18,FALSE)</f>
        <v>0</v>
      </c>
      <c r="P105" s="100">
        <f>VLOOKUP($B105,'[1]26MY_ODYSSEY_DATA'!$B:$AR,19,FALSE)</f>
        <v>0</v>
      </c>
      <c r="Q105" s="101" t="str">
        <f>IF(VLOOKUP(B105,'[1]26MY_ODYSSEY_DATA'!B:AR,20,FALSE)="","",VLOOKUP(B105,'[1]26MY_ODYSSEY_DATA'!B:AR,20,FALSE))</f>
        <v>8 Passenger Seating.</v>
      </c>
    </row>
    <row r="106" spans="2:17" s="92" customFormat="1" ht="15" customHeight="1" x14ac:dyDescent="0.25">
      <c r="B106" s="90" t="s">
        <v>100</v>
      </c>
      <c r="C106" s="95" t="str">
        <f>VLOOKUP(B106,'[1]26MY_ODYSSEY_DATA'!B:AR,3,FALSE)</f>
        <v>Seat Cover, 3rd Row</v>
      </c>
      <c r="D106" s="96" t="str">
        <f t="shared" si="11"/>
        <v>08P32-THR-310F</v>
      </c>
      <c r="E106" s="97">
        <f>VLOOKUP(B106,'[1]26MY_ODYSSEY_DATA'!B:AR,9,FALSE)</f>
        <v>304</v>
      </c>
      <c r="F106" s="97">
        <f>VLOOKUP(B106,'[1]26MY_ODYSSEY_DATA'!B:AR,10,FALSE)</f>
        <v>434</v>
      </c>
      <c r="G106" s="98">
        <f>VLOOKUP(B106,'[1]26MY_ODYSSEY_DATA'!B:AR,7,FALSE)</f>
        <v>0.2</v>
      </c>
      <c r="H106" s="99">
        <f>VLOOKUP(B106,'[1]26MY_ODYSSEY_DATA'!B:AR,11,FALSE)</f>
        <v>467.6</v>
      </c>
      <c r="I106" s="100">
        <f>VLOOKUP(B106,'[1]26MY_ODYSSEY_DATA'!B:AR,12,FALSE)</f>
        <v>0</v>
      </c>
      <c r="J106" s="100" t="str">
        <f>VLOOKUP(B106,'[1]26MY_ODYSSEY_DATA'!B:AR,13,FALSE)</f>
        <v>•</v>
      </c>
      <c r="K106" s="100" t="str">
        <f>VLOOKUP(B106,'[1]26MY_ODYSSEY_DATA'!B:AR,14,FALSE)</f>
        <v>•</v>
      </c>
      <c r="L106" s="100" t="str">
        <f>VLOOKUP(B106,'[1]26MY_ODYSSEY_DATA'!B:AR,15,FALSE)</f>
        <v>•</v>
      </c>
      <c r="M106" s="100" t="str">
        <f>VLOOKUP(B106,'[1]26MY_ODYSSEY_DATA'!B:AR,16,FALSE)</f>
        <v>•</v>
      </c>
      <c r="N106" s="100">
        <f>VLOOKUP($B106,'[1]26MY_ODYSSEY_DATA'!$B:$AR,17,FALSE)</f>
        <v>0</v>
      </c>
      <c r="O106" s="100">
        <f>VLOOKUP($B106,'[1]26MY_ODYSSEY_DATA'!$B:$AR,18,FALSE)</f>
        <v>0</v>
      </c>
      <c r="P106" s="100">
        <f>VLOOKUP($B106,'[1]26MY_ODYSSEY_DATA'!$B:$AR,19,FALSE)</f>
        <v>0</v>
      </c>
      <c r="Q106" s="101" t="str">
        <f>IF(VLOOKUP(B106,'[1]26MY_ODYSSEY_DATA'!B:AR,20,FALSE)="","",VLOOKUP(B106,'[1]26MY_ODYSSEY_DATA'!B:AR,20,FALSE))</f>
        <v/>
      </c>
    </row>
    <row r="107" spans="2:17" s="92" customFormat="1" ht="12" customHeight="1" x14ac:dyDescent="0.25">
      <c r="B107" s="90"/>
      <c r="C107" s="120"/>
      <c r="D107" s="121"/>
      <c r="E107" s="122"/>
      <c r="F107" s="122"/>
      <c r="G107" s="123"/>
      <c r="H107" s="124"/>
      <c r="I107" s="125"/>
      <c r="J107" s="125"/>
      <c r="K107" s="125"/>
      <c r="L107" s="125"/>
      <c r="M107" s="125"/>
      <c r="N107" s="125"/>
      <c r="O107" s="125"/>
      <c r="P107" s="125"/>
      <c r="Q107" s="126"/>
    </row>
    <row r="108" spans="2:17" s="65" customFormat="1" ht="18.75" x14ac:dyDescent="0.3">
      <c r="B108" s="109"/>
      <c r="C108" s="47" t="s">
        <v>101</v>
      </c>
      <c r="D108" s="47"/>
      <c r="E108" s="127"/>
      <c r="F108" s="128"/>
      <c r="G108" s="128"/>
      <c r="H108" s="128"/>
      <c r="I108" s="128"/>
      <c r="J108" s="128"/>
      <c r="K108" s="128"/>
      <c r="L108" s="128"/>
      <c r="M108" s="128"/>
      <c r="N108" s="128"/>
      <c r="O108" s="128"/>
      <c r="P108" s="128"/>
      <c r="Q108" s="128"/>
    </row>
    <row r="109" spans="2:17" s="75" customFormat="1" ht="15" customHeight="1" x14ac:dyDescent="0.25">
      <c r="B109" s="94"/>
      <c r="C109" s="53" t="s">
        <v>27</v>
      </c>
      <c r="D109" s="53" t="s">
        <v>28</v>
      </c>
      <c r="E109" s="53" t="s">
        <v>29</v>
      </c>
      <c r="F109" s="53" t="s">
        <v>30</v>
      </c>
      <c r="G109" s="53" t="s">
        <v>31</v>
      </c>
      <c r="H109" s="54" t="s">
        <v>32</v>
      </c>
      <c r="I109" s="53" t="s">
        <v>33</v>
      </c>
      <c r="J109" s="53"/>
      <c r="K109" s="53"/>
      <c r="L109" s="53"/>
      <c r="M109" s="53"/>
      <c r="N109" s="53"/>
      <c r="O109" s="53"/>
      <c r="P109" s="53"/>
      <c r="Q109" s="53" t="s">
        <v>34</v>
      </c>
    </row>
    <row r="110" spans="2:17" s="75" customFormat="1" ht="30" x14ac:dyDescent="0.25">
      <c r="B110" s="94"/>
      <c r="C110" s="53"/>
      <c r="D110" s="53"/>
      <c r="E110" s="53"/>
      <c r="F110" s="53"/>
      <c r="G110" s="53"/>
      <c r="H110" s="54"/>
      <c r="I110" s="55">
        <f>'[1]26MY_ODYSSEY_DATA'!M$6</f>
        <v>0</v>
      </c>
      <c r="J110" s="55" t="str">
        <f>'[1]26MY_ODYSSEY_DATA'!N$6</f>
        <v>Sport</v>
      </c>
      <c r="K110" s="55" t="str">
        <f>'[1]26MY_ODYSSEY_DATA'!O$6</f>
        <v>Sport-L</v>
      </c>
      <c r="L110" s="55" t="str">
        <f>'[1]26MY_ODYSSEY_DATA'!P$6</f>
        <v>Touring</v>
      </c>
      <c r="M110" s="55" t="str">
        <f>'[1]26MY_ODYSSEY_DATA'!Q$6</f>
        <v>Black Edition</v>
      </c>
      <c r="N110" s="55">
        <f>'[1]26MY_ODYSSEY_DATA'!R$6</f>
        <v>0</v>
      </c>
      <c r="O110" s="55">
        <f>'[1]26MY_ODYSSEY_DATA'!S$6</f>
        <v>0</v>
      </c>
      <c r="P110" s="55">
        <f>'[1]26MY_ODYSSEY_DATA'!T$6</f>
        <v>0</v>
      </c>
      <c r="Q110" s="53"/>
    </row>
    <row r="111" spans="2:17" s="92" customFormat="1" ht="15" customHeight="1" x14ac:dyDescent="0.25">
      <c r="B111" s="90" t="s">
        <v>102</v>
      </c>
      <c r="C111" s="95" t="str">
        <f>VLOOKUP(B111,'[1]26MY_ODYSSEY_DATA'!B:AR,3,FALSE)</f>
        <v>Illuminated Door Sill Trim - Front &amp; Rear</v>
      </c>
      <c r="D111" s="96" t="str">
        <f t="shared" ref="D111:D121" si="12">B111</f>
        <v>08E12-THR-100</v>
      </c>
      <c r="E111" s="97">
        <f>VLOOKUP(B111,'[1]26MY_ODYSSEY_DATA'!B:AR,9,FALSE)</f>
        <v>564</v>
      </c>
      <c r="F111" s="97">
        <f>VLOOKUP(B111,'[1]26MY_ODYSSEY_DATA'!B:AR,10,FALSE)</f>
        <v>868</v>
      </c>
      <c r="G111" s="98">
        <f>VLOOKUP(B111,'[1]26MY_ODYSSEY_DATA'!B:AR,7,FALSE)</f>
        <v>1.2</v>
      </c>
      <c r="H111" s="99">
        <f>VLOOKUP(B111,'[1]26MY_ODYSSEY_DATA'!B:AR,11,FALSE)</f>
        <v>1069.5999999999999</v>
      </c>
      <c r="I111" s="100">
        <f>VLOOKUP(B111,'[1]26MY_ODYSSEY_DATA'!B:AR,12,FALSE)</f>
        <v>0</v>
      </c>
      <c r="J111" s="100" t="str">
        <f>VLOOKUP(B111,'[1]26MY_ODYSSEY_DATA'!B:AR,13,FALSE)</f>
        <v>•</v>
      </c>
      <c r="K111" s="100" t="str">
        <f>VLOOKUP(B111,'[1]26MY_ODYSSEY_DATA'!B:AR,14,FALSE)</f>
        <v>•</v>
      </c>
      <c r="L111" s="100" t="str">
        <f>VLOOKUP(B111,'[1]26MY_ODYSSEY_DATA'!B:AR,15,FALSE)</f>
        <v>•</v>
      </c>
      <c r="M111" s="100" t="str">
        <f>VLOOKUP(B111,'[1]26MY_ODYSSEY_DATA'!B:AR,16,FALSE)</f>
        <v>•</v>
      </c>
      <c r="N111" s="100">
        <f>VLOOKUP($B111,'[1]26MY_ODYSSEY_DATA'!$B:$AR,17,FALSE)</f>
        <v>0</v>
      </c>
      <c r="O111" s="100">
        <f>VLOOKUP($B111,'[1]26MY_ODYSSEY_DATA'!$B:$AR,18,FALSE)</f>
        <v>0</v>
      </c>
      <c r="P111" s="100">
        <f>VLOOKUP($B111,'[1]26MY_ODYSSEY_DATA'!$B:$AR,19,FALSE)</f>
        <v>0</v>
      </c>
      <c r="Q111" s="101" t="str">
        <f>IF(VLOOKUP(B111,'[1]26MY_ODYSSEY_DATA'!B:AR,20,FALSE)="","",VLOOKUP(B111,'[1]26MY_ODYSSEY_DATA'!B:AR,20,FALSE))</f>
        <v>Front and Rear Doors Sills.</v>
      </c>
    </row>
    <row r="112" spans="2:17" s="92" customFormat="1" ht="15" customHeight="1" x14ac:dyDescent="0.25">
      <c r="B112" s="90" t="s">
        <v>103</v>
      </c>
      <c r="C112" s="95" t="str">
        <f>VLOOKUP(B112,'[1]26MY_ODYSSEY_DATA'!B:AR,3,FALSE)</f>
        <v>Illuminated Door Sill Trim - Front Only</v>
      </c>
      <c r="D112" s="96" t="str">
        <f t="shared" si="12"/>
        <v>08E12-THR-100A</v>
      </c>
      <c r="E112" s="97">
        <f>VLOOKUP(B112,'[1]26MY_ODYSSEY_DATA'!B:AR,9,FALSE)</f>
        <v>19.989999999999998</v>
      </c>
      <c r="F112" s="97">
        <f>VLOOKUP(B112,'[1]26MY_ODYSSEY_DATA'!B:AR,10,FALSE)</f>
        <v>32.99</v>
      </c>
      <c r="G112" s="98">
        <f>VLOOKUP(B112,'[1]26MY_ODYSSEY_DATA'!B:AR,7,FALSE)</f>
        <v>0.8</v>
      </c>
      <c r="H112" s="99">
        <f>VLOOKUP(B112,'[1]26MY_ODYSSEY_DATA'!B:AR,11,FALSE)</f>
        <v>167.39000000000001</v>
      </c>
      <c r="I112" s="100">
        <f>VLOOKUP(B112,'[1]26MY_ODYSSEY_DATA'!B:AR,12,FALSE)</f>
        <v>0</v>
      </c>
      <c r="J112" s="100" t="str">
        <f>VLOOKUP(B112,'[1]26MY_ODYSSEY_DATA'!B:AR,13,FALSE)</f>
        <v>•</v>
      </c>
      <c r="K112" s="100" t="str">
        <f>VLOOKUP(B112,'[1]26MY_ODYSSEY_DATA'!B:AR,14,FALSE)</f>
        <v>•</v>
      </c>
      <c r="L112" s="100" t="str">
        <f>VLOOKUP(B112,'[1]26MY_ODYSSEY_DATA'!B:AR,15,FALSE)</f>
        <v>•</v>
      </c>
      <c r="M112" s="100" t="str">
        <f>VLOOKUP(B112,'[1]26MY_ODYSSEY_DATA'!B:AR,16,FALSE)</f>
        <v>•</v>
      </c>
      <c r="N112" s="100">
        <f>VLOOKUP($B112,'[1]26MY_ODYSSEY_DATA'!$B:$AR,17,FALSE)</f>
        <v>0</v>
      </c>
      <c r="O112" s="100">
        <f>VLOOKUP($B112,'[1]26MY_ODYSSEY_DATA'!$B:$AR,18,FALSE)</f>
        <v>0</v>
      </c>
      <c r="P112" s="100">
        <f>VLOOKUP($B112,'[1]26MY_ODYSSEY_DATA'!$B:$AR,19,FALSE)</f>
        <v>0</v>
      </c>
      <c r="Q112" s="101" t="str">
        <f>IF(VLOOKUP(B112,'[1]26MY_ODYSSEY_DATA'!B:AR,20,FALSE)="","",VLOOKUP(B112,'[1]26MY_ODYSSEY_DATA'!B:AR,20,FALSE))</f>
        <v>Front Doors Sills only.</v>
      </c>
    </row>
    <row r="113" spans="2:20" s="92" customFormat="1" ht="15" customHeight="1" x14ac:dyDescent="0.25">
      <c r="B113" s="90" t="s">
        <v>104</v>
      </c>
      <c r="C113" s="95" t="str">
        <f>VLOOKUP(B113,'[1]26MY_ODYSSEY_DATA'!B:AR,3,FALSE)</f>
        <v>Illuminated Interior</v>
      </c>
      <c r="D113" s="96" t="str">
        <f t="shared" si="12"/>
        <v>08E10-THR-100</v>
      </c>
      <c r="E113" s="97">
        <f>VLOOKUP(B113,'[1]26MY_ODYSSEY_DATA'!B:AR,9,FALSE)</f>
        <v>98</v>
      </c>
      <c r="F113" s="97">
        <f>VLOOKUP(B113,'[1]26MY_ODYSSEY_DATA'!B:AR,10,FALSE)</f>
        <v>163</v>
      </c>
      <c r="G113" s="98">
        <f>VLOOKUP(B113,'[1]26MY_ODYSSEY_DATA'!B:AR,7,FALSE)</f>
        <v>0.8</v>
      </c>
      <c r="H113" s="99">
        <f>VLOOKUP(B113,'[1]26MY_ODYSSEY_DATA'!B:AR,11,FALSE)</f>
        <v>297.39999999999998</v>
      </c>
      <c r="I113" s="100">
        <f>VLOOKUP(B113,'[1]26MY_ODYSSEY_DATA'!B:AR,12,FALSE)</f>
        <v>0</v>
      </c>
      <c r="J113" s="100" t="str">
        <f>VLOOKUP(B113,'[1]26MY_ODYSSEY_DATA'!B:AR,13,FALSE)</f>
        <v>•</v>
      </c>
      <c r="K113" s="100" t="str">
        <f>VLOOKUP(B113,'[1]26MY_ODYSSEY_DATA'!B:AR,14,FALSE)</f>
        <v>•</v>
      </c>
      <c r="L113" s="100" t="str">
        <f>VLOOKUP(B113,'[1]26MY_ODYSSEY_DATA'!B:AR,15,FALSE)</f>
        <v>•</v>
      </c>
      <c r="M113" s="100" t="str">
        <f>VLOOKUP(B113,'[1]26MY_ODYSSEY_DATA'!B:AR,16,FALSE)</f>
        <v>•</v>
      </c>
      <c r="N113" s="100">
        <f>VLOOKUP($B113,'[1]26MY_ODYSSEY_DATA'!$B:$AR,17,FALSE)</f>
        <v>0</v>
      </c>
      <c r="O113" s="100">
        <f>VLOOKUP($B113,'[1]26MY_ODYSSEY_DATA'!$B:$AR,18,FALSE)</f>
        <v>0</v>
      </c>
      <c r="P113" s="100">
        <f>VLOOKUP($B113,'[1]26MY_ODYSSEY_DATA'!$B:$AR,19,FALSE)</f>
        <v>0</v>
      </c>
      <c r="Q113" s="101" t="str">
        <f>IF(VLOOKUP(B113,'[1]26MY_ODYSSEY_DATA'!B:AR,20,FALSE)="","",VLOOKUP(B113,'[1]26MY_ODYSSEY_DATA'!B:AR,20,FALSE))</f>
        <v/>
      </c>
    </row>
    <row r="114" spans="2:20" s="92" customFormat="1" ht="15" customHeight="1" x14ac:dyDescent="0.25">
      <c r="B114" s="90" t="s">
        <v>105</v>
      </c>
      <c r="C114" s="95" t="str">
        <f>VLOOKUP(B114,'[1]26MY_ODYSSEY_DATA'!B:AR,3,FALSE)</f>
        <v>Pattern Projector</v>
      </c>
      <c r="D114" s="96" t="str">
        <f t="shared" si="12"/>
        <v>08V27-THR-100</v>
      </c>
      <c r="E114" s="97">
        <f>VLOOKUP(B114,'[1]26MY_ODYSSEY_DATA'!B:AR,9,FALSE)</f>
        <v>9.99</v>
      </c>
      <c r="F114" s="97">
        <f>VLOOKUP(B114,'[1]26MY_ODYSSEY_DATA'!B:AR,10,FALSE)</f>
        <v>16.989999999999998</v>
      </c>
      <c r="G114" s="98">
        <f>VLOOKUP(B114,'[1]26MY_ODYSSEY_DATA'!B:AR,7,FALSE)</f>
        <v>1.2</v>
      </c>
      <c r="H114" s="99">
        <f>VLOOKUP(B114,'[1]26MY_ODYSSEY_DATA'!B:AR,11,FALSE)</f>
        <v>218.59</v>
      </c>
      <c r="I114" s="100">
        <f>VLOOKUP(B114,'[1]26MY_ODYSSEY_DATA'!B:AR,12,FALSE)</f>
        <v>0</v>
      </c>
      <c r="J114" s="100" t="str">
        <f>VLOOKUP(B114,'[1]26MY_ODYSSEY_DATA'!B:AR,13,FALSE)</f>
        <v>•</v>
      </c>
      <c r="K114" s="100" t="str">
        <f>VLOOKUP(B114,'[1]26MY_ODYSSEY_DATA'!B:AR,14,FALSE)</f>
        <v>•</v>
      </c>
      <c r="L114" s="100" t="str">
        <f>VLOOKUP(B114,'[1]26MY_ODYSSEY_DATA'!B:AR,15,FALSE)</f>
        <v>•</v>
      </c>
      <c r="M114" s="100" t="str">
        <f>VLOOKUP(B114,'[1]26MY_ODYSSEY_DATA'!B:AR,16,FALSE)</f>
        <v>•</v>
      </c>
      <c r="N114" s="100">
        <f>VLOOKUP($B114,'[1]26MY_ODYSSEY_DATA'!$B:$AR,17,FALSE)</f>
        <v>0</v>
      </c>
      <c r="O114" s="100">
        <f>VLOOKUP($B114,'[1]26MY_ODYSSEY_DATA'!$B:$AR,18,FALSE)</f>
        <v>0</v>
      </c>
      <c r="P114" s="100">
        <f>VLOOKUP($B114,'[1]26MY_ODYSSEY_DATA'!$B:$AR,19,FALSE)</f>
        <v>0</v>
      </c>
      <c r="Q114" s="101" t="str">
        <f>IF(VLOOKUP(B114,'[1]26MY_ODYSSEY_DATA'!B:AR,20,FALSE)="","",VLOOKUP(B114,'[1]26MY_ODYSSEY_DATA'!B:AR,20,FALSE))</f>
        <v/>
      </c>
    </row>
    <row r="115" spans="2:20" s="92" customFormat="1" ht="15" customHeight="1" x14ac:dyDescent="0.25">
      <c r="B115" s="90" t="s">
        <v>106</v>
      </c>
      <c r="C115" s="95" t="str">
        <f>VLOOKUP(B115,'[1]26MY_ODYSSEY_DATA'!B:AR,3,FALSE)</f>
        <v>Welcome Lights</v>
      </c>
      <c r="D115" s="96" t="str">
        <f t="shared" si="12"/>
        <v>08V27-THR-100A</v>
      </c>
      <c r="E115" s="97">
        <f>VLOOKUP(B115,'[1]26MY_ODYSSEY_DATA'!B:AR,9,FALSE)</f>
        <v>263</v>
      </c>
      <c r="F115" s="97">
        <f>VLOOKUP(B115,'[1]26MY_ODYSSEY_DATA'!B:AR,10,FALSE)</f>
        <v>376</v>
      </c>
      <c r="G115" s="98">
        <f>VLOOKUP(B115,'[1]26MY_ODYSSEY_DATA'!B:AR,7,FALSE)</f>
        <v>2.5</v>
      </c>
      <c r="H115" s="99">
        <f>VLOOKUP(B115,'[1]26MY_ODYSSEY_DATA'!B:AR,11,FALSE)</f>
        <v>796</v>
      </c>
      <c r="I115" s="100">
        <f>VLOOKUP(B115,'[1]26MY_ODYSSEY_DATA'!B:AR,12,FALSE)</f>
        <v>0</v>
      </c>
      <c r="J115" s="100" t="str">
        <f>VLOOKUP(B115,'[1]26MY_ODYSSEY_DATA'!B:AR,13,FALSE)</f>
        <v>•</v>
      </c>
      <c r="K115" s="100" t="str">
        <f>VLOOKUP(B115,'[1]26MY_ODYSSEY_DATA'!B:AR,14,FALSE)</f>
        <v>•</v>
      </c>
      <c r="L115" s="100" t="str">
        <f>VLOOKUP(B115,'[1]26MY_ODYSSEY_DATA'!B:AR,15,FALSE)</f>
        <v>•</v>
      </c>
      <c r="M115" s="100" t="str">
        <f>VLOOKUP(B115,'[1]26MY_ODYSSEY_DATA'!B:AR,16,FALSE)</f>
        <v>•</v>
      </c>
      <c r="N115" s="100">
        <f>VLOOKUP($B115,'[1]26MY_ODYSSEY_DATA'!$B:$AR,17,FALSE)</f>
        <v>0</v>
      </c>
      <c r="O115" s="100">
        <f>VLOOKUP($B115,'[1]26MY_ODYSSEY_DATA'!$B:$AR,18,FALSE)</f>
        <v>0</v>
      </c>
      <c r="P115" s="100">
        <f>VLOOKUP($B115,'[1]26MY_ODYSSEY_DATA'!$B:$AR,19,FALSE)</f>
        <v>0</v>
      </c>
      <c r="Q115" s="101" t="str">
        <f>IF(VLOOKUP(B115,'[1]26MY_ODYSSEY_DATA'!B:AR,20,FALSE)="","",VLOOKUP(B115,'[1]26MY_ODYSSEY_DATA'!B:AR,20,FALSE))</f>
        <v/>
      </c>
    </row>
    <row r="116" spans="2:20" s="92" customFormat="1" ht="15" customHeight="1" x14ac:dyDescent="0.25">
      <c r="B116" s="90" t="s">
        <v>107</v>
      </c>
      <c r="C116" s="95" t="str">
        <f>VLOOKUP(B116,'[1]26MY_ODYSSEY_DATA'!B:AR,3,FALSE)</f>
        <v>Hands-Free Power Tailgate Sensor</v>
      </c>
      <c r="D116" s="96" t="str">
        <f t="shared" si="12"/>
        <v>08U59-THR-101</v>
      </c>
      <c r="E116" s="97">
        <f>VLOOKUP(B116,'[1]26MY_ODYSSEY_DATA'!B:AR,9,FALSE)</f>
        <v>273</v>
      </c>
      <c r="F116" s="97">
        <f>VLOOKUP(B116,'[1]26MY_ODYSSEY_DATA'!B:AR,10,FALSE)</f>
        <v>390</v>
      </c>
      <c r="G116" s="98">
        <f>VLOOKUP(B116,'[1]26MY_ODYSSEY_DATA'!B:AR,7,FALSE)</f>
        <v>0.2</v>
      </c>
      <c r="H116" s="99">
        <f>VLOOKUP(B116,'[1]26MY_ODYSSEY_DATA'!B:AR,11,FALSE)</f>
        <v>423.6</v>
      </c>
      <c r="I116" s="100">
        <f>VLOOKUP(B116,'[1]26MY_ODYSSEY_DATA'!B:AR,12,FALSE)</f>
        <v>0</v>
      </c>
      <c r="J116" s="100" t="str">
        <f>VLOOKUP(B116,'[1]26MY_ODYSSEY_DATA'!B:AR,13,FALSE)</f>
        <v>•</v>
      </c>
      <c r="K116" s="100" t="str">
        <f>VLOOKUP(B116,'[1]26MY_ODYSSEY_DATA'!B:AR,14,FALSE)</f>
        <v>•</v>
      </c>
      <c r="L116" s="100" t="str">
        <f>VLOOKUP(B116,'[1]26MY_ODYSSEY_DATA'!B:AR,15,FALSE)</f>
        <v>S</v>
      </c>
      <c r="M116" s="100" t="str">
        <f>VLOOKUP(B116,'[1]26MY_ODYSSEY_DATA'!B:AR,16,FALSE)</f>
        <v>S</v>
      </c>
      <c r="N116" s="100">
        <f>VLOOKUP($B116,'[1]26MY_ODYSSEY_DATA'!$B:$AR,17,FALSE)</f>
        <v>0</v>
      </c>
      <c r="O116" s="100">
        <f>VLOOKUP($B116,'[1]26MY_ODYSSEY_DATA'!$B:$AR,18,FALSE)</f>
        <v>0</v>
      </c>
      <c r="P116" s="100">
        <f>VLOOKUP($B116,'[1]26MY_ODYSSEY_DATA'!$B:$AR,19,FALSE)</f>
        <v>0</v>
      </c>
      <c r="Q116" s="101" t="str">
        <f>IF(VLOOKUP(B116,'[1]26MY_ODYSSEY_DATA'!B:AR,20,FALSE)="","",VLOOKUP(B116,'[1]26MY_ODYSSEY_DATA'!B:AR,20,FALSE))</f>
        <v>Requires Sensor &amp; Attachment.</v>
      </c>
    </row>
    <row r="117" spans="2:20" s="92" customFormat="1" ht="15" customHeight="1" x14ac:dyDescent="0.25">
      <c r="B117" s="90" t="s">
        <v>108</v>
      </c>
      <c r="C117" s="95" t="str">
        <f>VLOOKUP(B117,'[1]26MY_ODYSSEY_DATA'!B:AR,3,FALSE)</f>
        <v>Hands-Free Power Tailgate Sensor - Attachment</v>
      </c>
      <c r="D117" s="96" t="str">
        <f t="shared" si="12"/>
        <v>08U59-THR-300A</v>
      </c>
      <c r="E117" s="97">
        <f>VLOOKUP(B117,'[1]26MY_ODYSSEY_DATA'!B:AR,9,FALSE)</f>
        <v>126</v>
      </c>
      <c r="F117" s="97">
        <f>VLOOKUP(B117,'[1]26MY_ODYSSEY_DATA'!B:AR,10,FALSE)</f>
        <v>210</v>
      </c>
      <c r="G117" s="98">
        <f>VLOOKUP(B117,'[1]26MY_ODYSSEY_DATA'!B:AR,7,FALSE)</f>
        <v>1.2</v>
      </c>
      <c r="H117" s="99">
        <f>VLOOKUP(B117,'[1]26MY_ODYSSEY_DATA'!B:AR,11,FALSE)</f>
        <v>411.6</v>
      </c>
      <c r="I117" s="100">
        <f>VLOOKUP(B117,'[1]26MY_ODYSSEY_DATA'!B:AR,12,FALSE)</f>
        <v>0</v>
      </c>
      <c r="J117" s="100" t="str">
        <f>VLOOKUP(B117,'[1]26MY_ODYSSEY_DATA'!B:AR,13,FALSE)</f>
        <v>•</v>
      </c>
      <c r="K117" s="100" t="str">
        <f>VLOOKUP(B117,'[1]26MY_ODYSSEY_DATA'!B:AR,14,FALSE)</f>
        <v>•</v>
      </c>
      <c r="L117" s="100" t="str">
        <f>VLOOKUP(B117,'[1]26MY_ODYSSEY_DATA'!B:AR,15,FALSE)</f>
        <v>S</v>
      </c>
      <c r="M117" s="100" t="str">
        <f>VLOOKUP(B117,'[1]26MY_ODYSSEY_DATA'!B:AR,16,FALSE)</f>
        <v>S</v>
      </c>
      <c r="N117" s="100">
        <f>VLOOKUP($B117,'[1]26MY_ODYSSEY_DATA'!$B:$AR,17,FALSE)</f>
        <v>0</v>
      </c>
      <c r="O117" s="100">
        <f>VLOOKUP($B117,'[1]26MY_ODYSSEY_DATA'!$B:$AR,18,FALSE)</f>
        <v>0</v>
      </c>
      <c r="P117" s="100">
        <f>VLOOKUP($B117,'[1]26MY_ODYSSEY_DATA'!$B:$AR,19,FALSE)</f>
        <v>0</v>
      </c>
      <c r="Q117" s="101" t="str">
        <f>IF(VLOOKUP(B117,'[1]26MY_ODYSSEY_DATA'!B:AR,20,FALSE)="","",VLOOKUP(B117,'[1]26MY_ODYSSEY_DATA'!B:AR,20,FALSE))</f>
        <v>Requires Sensor &amp; Attachment.</v>
      </c>
    </row>
    <row r="118" spans="2:20" s="92" customFormat="1" ht="15" customHeight="1" x14ac:dyDescent="0.25">
      <c r="B118" s="90" t="s">
        <v>50</v>
      </c>
      <c r="C118" s="95" t="str">
        <f>VLOOKUP(B118,'[1]26MY_ODYSSEY_DATA'!B:AR,3,FALSE)</f>
        <v>Hands-Free Power Tailgate Sensor Adapter</v>
      </c>
      <c r="D118" s="96" t="str">
        <f t="shared" si="12"/>
        <v>08L91-THR-300A</v>
      </c>
      <c r="E118" s="97">
        <f>VLOOKUP(B118,'[1]26MY_ODYSSEY_DATA'!B:AR,9,FALSE)</f>
        <v>238</v>
      </c>
      <c r="F118" s="97">
        <f>VLOOKUP(B118,'[1]26MY_ODYSSEY_DATA'!B:AR,10,FALSE)</f>
        <v>397</v>
      </c>
      <c r="G118" s="98">
        <f>VLOOKUP(B118,'[1]26MY_ODYSSEY_DATA'!B:AR,7,FALSE)</f>
        <v>0.2</v>
      </c>
      <c r="H118" s="99">
        <f>VLOOKUP(B118,'[1]26MY_ODYSSEY_DATA'!B:AR,11,FALSE)</f>
        <v>430.6</v>
      </c>
      <c r="I118" s="100">
        <f>VLOOKUP(B118,'[1]26MY_ODYSSEY_DATA'!B:AR,12,FALSE)</f>
        <v>0</v>
      </c>
      <c r="J118" s="100" t="str">
        <f>VLOOKUP(B118,'[1]26MY_ODYSSEY_DATA'!B:AR,13,FALSE)</f>
        <v>•</v>
      </c>
      <c r="K118" s="100" t="str">
        <f>VLOOKUP(B118,'[1]26MY_ODYSSEY_DATA'!B:AR,14,FALSE)</f>
        <v>•</v>
      </c>
      <c r="L118" s="100" t="str">
        <f>VLOOKUP(B118,'[1]26MY_ODYSSEY_DATA'!B:AR,15,FALSE)</f>
        <v>•</v>
      </c>
      <c r="M118" s="100" t="str">
        <f>VLOOKUP(B118,'[1]26MY_ODYSSEY_DATA'!B:AR,16,FALSE)</f>
        <v>•</v>
      </c>
      <c r="N118" s="100">
        <f>VLOOKUP($B118,'[1]26MY_ODYSSEY_DATA'!$B:$AR,17,FALSE)</f>
        <v>0</v>
      </c>
      <c r="O118" s="100">
        <f>VLOOKUP($B118,'[1]26MY_ODYSSEY_DATA'!$B:$AR,18,FALSE)</f>
        <v>0</v>
      </c>
      <c r="P118" s="100">
        <f>VLOOKUP($B118,'[1]26MY_ODYSSEY_DATA'!$B:$AR,19,FALSE)</f>
        <v>0</v>
      </c>
      <c r="Q118" s="101" t="str">
        <f>IF(VLOOKUP(B118,'[1]26MY_ODYSSEY_DATA'!B:AR,20,FALSE)="","",VLOOKUP(B118,'[1]26MY_ODYSSEY_DATA'!B:AR,20,FALSE))</f>
        <v/>
      </c>
    </row>
    <row r="119" spans="2:20" s="92" customFormat="1" ht="15" customHeight="1" x14ac:dyDescent="0.25">
      <c r="B119" s="90" t="s">
        <v>42</v>
      </c>
      <c r="C119" s="95" t="str">
        <f>VLOOKUP(B119,'[1]26MY_ODYSSEY_DATA'!B:AR,3,FALSE)</f>
        <v>Engine Block Heater</v>
      </c>
      <c r="D119" s="96" t="str">
        <f t="shared" si="12"/>
        <v>08T44-SJA-401A</v>
      </c>
      <c r="E119" s="97">
        <f>VLOOKUP(B119,'[1]26MY_ODYSSEY_DATA'!B:AR,9,FALSE)</f>
        <v>145</v>
      </c>
      <c r="F119" s="97">
        <f>VLOOKUP(B119,'[1]26MY_ODYSSEY_DATA'!B:AR,10,FALSE)</f>
        <v>242</v>
      </c>
      <c r="G119" s="98">
        <f>VLOOKUP(B119,'[1]26MY_ODYSSEY_DATA'!B:AR,7,FALSE)</f>
        <v>1.4</v>
      </c>
      <c r="H119" s="99">
        <f>VLOOKUP(B119,'[1]26MY_ODYSSEY_DATA'!B:AR,11,FALSE)</f>
        <v>477.2</v>
      </c>
      <c r="I119" s="100">
        <f>VLOOKUP(B119,'[1]26MY_ODYSSEY_DATA'!B:AR,12,FALSE)</f>
        <v>0</v>
      </c>
      <c r="J119" s="100" t="str">
        <f>VLOOKUP(B119,'[1]26MY_ODYSSEY_DATA'!B:AR,13,FALSE)</f>
        <v>•</v>
      </c>
      <c r="K119" s="100" t="str">
        <f>VLOOKUP(B119,'[1]26MY_ODYSSEY_DATA'!B:AR,14,FALSE)</f>
        <v>•</v>
      </c>
      <c r="L119" s="100" t="str">
        <f>VLOOKUP(B119,'[1]26MY_ODYSSEY_DATA'!B:AR,15,FALSE)</f>
        <v>•</v>
      </c>
      <c r="M119" s="100" t="str">
        <f>VLOOKUP(B119,'[1]26MY_ODYSSEY_DATA'!B:AR,16,FALSE)</f>
        <v>•</v>
      </c>
      <c r="N119" s="100">
        <f>VLOOKUP($B119,'[1]26MY_ODYSSEY_DATA'!$B:$AR,17,FALSE)</f>
        <v>0</v>
      </c>
      <c r="O119" s="100">
        <f>VLOOKUP($B119,'[1]26MY_ODYSSEY_DATA'!$B:$AR,18,FALSE)</f>
        <v>0</v>
      </c>
      <c r="P119" s="100">
        <f>VLOOKUP($B119,'[1]26MY_ODYSSEY_DATA'!$B:$AR,19,FALSE)</f>
        <v>0</v>
      </c>
      <c r="Q119" s="101" t="str">
        <f>IF(VLOOKUP(B119,'[1]26MY_ODYSSEY_DATA'!B:AR,20,FALSE)="","",VLOOKUP(B119,'[1]26MY_ODYSSEY_DATA'!B:AR,20,FALSE))</f>
        <v/>
      </c>
    </row>
    <row r="120" spans="2:20" s="92" customFormat="1" ht="15" customHeight="1" x14ac:dyDescent="0.25">
      <c r="B120" s="90" t="s">
        <v>43</v>
      </c>
      <c r="C120" s="95" t="str">
        <f>VLOOKUP(B120,'[1]26MY_ODYSSEY_DATA'!B:AR,3,FALSE)</f>
        <v>Optimate 12V Auto Battery Charger/Maintainer</v>
      </c>
      <c r="D120" s="96" t="str">
        <f t="shared" si="12"/>
        <v>31670-BMS-004H</v>
      </c>
      <c r="E120" s="97">
        <f>VLOOKUP(B120,'[1]26MY_ODYSSEY_DATA'!B:AR,9,FALSE)</f>
        <v>91</v>
      </c>
      <c r="F120" s="97">
        <f>VLOOKUP(B120,'[1]26MY_ODYSSEY_DATA'!B:AR,10,FALSE)</f>
        <v>152</v>
      </c>
      <c r="G120" s="98">
        <f>VLOOKUP(B120,'[1]26MY_ODYSSEY_DATA'!B:AR,7,FALSE)</f>
        <v>0</v>
      </c>
      <c r="H120" s="99">
        <f>VLOOKUP(B120,'[1]26MY_ODYSSEY_DATA'!B:AR,11,FALSE)</f>
        <v>152</v>
      </c>
      <c r="I120" s="100">
        <f>VLOOKUP(B120,'[1]26MY_ODYSSEY_DATA'!B:AR,12,FALSE)</f>
        <v>0</v>
      </c>
      <c r="J120" s="100" t="str">
        <f>VLOOKUP(B120,'[1]26MY_ODYSSEY_DATA'!B:AR,13,FALSE)</f>
        <v>•</v>
      </c>
      <c r="K120" s="100" t="str">
        <f>VLOOKUP(B120,'[1]26MY_ODYSSEY_DATA'!B:AR,14,FALSE)</f>
        <v>•</v>
      </c>
      <c r="L120" s="100" t="str">
        <f>VLOOKUP(B120,'[1]26MY_ODYSSEY_DATA'!B:AR,15,FALSE)</f>
        <v>•</v>
      </c>
      <c r="M120" s="100" t="str">
        <f>VLOOKUP(B120,'[1]26MY_ODYSSEY_DATA'!B:AR,16,FALSE)</f>
        <v>•</v>
      </c>
      <c r="N120" s="100">
        <f>VLOOKUP($B120,'[1]26MY_ODYSSEY_DATA'!$B:$AR,17,FALSE)</f>
        <v>0</v>
      </c>
      <c r="O120" s="100">
        <f>VLOOKUP($B120,'[1]26MY_ODYSSEY_DATA'!$B:$AR,18,FALSE)</f>
        <v>0</v>
      </c>
      <c r="P120" s="100">
        <f>VLOOKUP($B120,'[1]26MY_ODYSSEY_DATA'!$B:$AR,19,FALSE)</f>
        <v>0</v>
      </c>
      <c r="Q120" s="101" t="str">
        <f>IF(VLOOKUP(B120,'[1]26MY_ODYSSEY_DATA'!B:AR,20,FALSE)="","",VLOOKUP(B120,'[1]26MY_ODYSSEY_DATA'!B:AR,20,FALSE))</f>
        <v/>
      </c>
    </row>
    <row r="121" spans="2:20" s="92" customFormat="1" ht="15" customHeight="1" x14ac:dyDescent="0.25">
      <c r="B121" s="90" t="s">
        <v>109</v>
      </c>
      <c r="C121" s="95" t="str">
        <f>VLOOKUP(B121,'[1]26MY_ODYSSEY_DATA'!B:AR,3,FALSE)</f>
        <v>Battery Lead</v>
      </c>
      <c r="D121" s="96" t="str">
        <f t="shared" si="12"/>
        <v>31670-BMS-LEAD</v>
      </c>
      <c r="E121" s="97">
        <f>VLOOKUP(B121,'[1]26MY_ODYSSEY_DATA'!B:AR,9,FALSE)</f>
        <v>18.63</v>
      </c>
      <c r="F121" s="97">
        <f>VLOOKUP(B121,'[1]26MY_ODYSSEY_DATA'!B:AR,10,FALSE)</f>
        <v>26.91</v>
      </c>
      <c r="G121" s="98">
        <f>VLOOKUP(B121,'[1]26MY_ODYSSEY_DATA'!B:AR,7,FALSE)</f>
        <v>0</v>
      </c>
      <c r="H121" s="99">
        <f>VLOOKUP(B121,'[1]26MY_ODYSSEY_DATA'!B:AR,11,FALSE)</f>
        <v>26.91</v>
      </c>
      <c r="I121" s="100">
        <f>VLOOKUP(B121,'[1]26MY_ODYSSEY_DATA'!B:AR,12,FALSE)</f>
        <v>0</v>
      </c>
      <c r="J121" s="100" t="str">
        <f>VLOOKUP(B121,'[1]26MY_ODYSSEY_DATA'!B:AR,13,FALSE)</f>
        <v>•</v>
      </c>
      <c r="K121" s="100" t="str">
        <f>VLOOKUP(B121,'[1]26MY_ODYSSEY_DATA'!B:AR,14,FALSE)</f>
        <v>•</v>
      </c>
      <c r="L121" s="100" t="str">
        <f>VLOOKUP(B121,'[1]26MY_ODYSSEY_DATA'!B:AR,15,FALSE)</f>
        <v>•</v>
      </c>
      <c r="M121" s="100" t="str">
        <f>VLOOKUP(B121,'[1]26MY_ODYSSEY_DATA'!B:AR,16,FALSE)</f>
        <v>•</v>
      </c>
      <c r="N121" s="100">
        <f>VLOOKUP($B121,'[1]26MY_ODYSSEY_DATA'!$B:$AR,17,FALSE)</f>
        <v>0</v>
      </c>
      <c r="O121" s="100">
        <f>VLOOKUP($B121,'[1]26MY_ODYSSEY_DATA'!$B:$AR,18,FALSE)</f>
        <v>0</v>
      </c>
      <c r="P121" s="100">
        <f>VLOOKUP($B121,'[1]26MY_ODYSSEY_DATA'!$B:$AR,19,FALSE)</f>
        <v>0</v>
      </c>
      <c r="Q121" s="101" t="str">
        <f>IF(VLOOKUP(B121,'[1]26MY_ODYSSEY_DATA'!B:AR,20,FALSE)="","",VLOOKUP(B121,'[1]26MY_ODYSSEY_DATA'!B:AR,20,FALSE))</f>
        <v/>
      </c>
    </row>
    <row r="122" spans="2:20" s="92" customFormat="1" ht="15" customHeight="1" x14ac:dyDescent="0.25">
      <c r="B122" s="90"/>
      <c r="C122" s="129"/>
      <c r="D122" s="130"/>
      <c r="E122" s="49"/>
      <c r="F122" s="49"/>
      <c r="G122" s="131"/>
      <c r="H122" s="49"/>
      <c r="I122" s="49"/>
      <c r="J122" s="49"/>
      <c r="K122" s="49"/>
      <c r="L122" s="49"/>
      <c r="M122" s="49"/>
      <c r="N122" s="49"/>
      <c r="O122" s="49"/>
      <c r="P122" s="49"/>
      <c r="Q122" s="91"/>
    </row>
    <row r="123" spans="2:20" s="65" customFormat="1" ht="18.75" x14ac:dyDescent="0.3">
      <c r="B123" s="90"/>
      <c r="C123" s="47" t="s">
        <v>110</v>
      </c>
      <c r="D123" s="47"/>
      <c r="E123" s="93"/>
      <c r="F123" s="93"/>
      <c r="G123" s="93"/>
      <c r="H123" s="93"/>
      <c r="I123" s="93"/>
      <c r="J123" s="93"/>
      <c r="K123" s="93"/>
      <c r="L123" s="93"/>
      <c r="M123" s="93"/>
      <c r="N123" s="93"/>
      <c r="O123" s="93"/>
      <c r="P123" s="93"/>
      <c r="Q123" s="93"/>
      <c r="T123" s="92"/>
    </row>
    <row r="124" spans="2:20" s="75" customFormat="1" ht="15" customHeight="1" x14ac:dyDescent="0.25">
      <c r="B124" s="94"/>
      <c r="C124" s="53" t="s">
        <v>27</v>
      </c>
      <c r="D124" s="53" t="s">
        <v>28</v>
      </c>
      <c r="E124" s="53" t="s">
        <v>29</v>
      </c>
      <c r="F124" s="53" t="s">
        <v>30</v>
      </c>
      <c r="G124" s="53" t="s">
        <v>31</v>
      </c>
      <c r="H124" s="54" t="s">
        <v>32</v>
      </c>
      <c r="I124" s="53" t="s">
        <v>33</v>
      </c>
      <c r="J124" s="53"/>
      <c r="K124" s="53"/>
      <c r="L124" s="53"/>
      <c r="M124" s="53"/>
      <c r="N124" s="53"/>
      <c r="O124" s="53"/>
      <c r="P124" s="53"/>
      <c r="Q124" s="53" t="s">
        <v>34</v>
      </c>
      <c r="T124" s="65"/>
    </row>
    <row r="125" spans="2:20" s="75" customFormat="1" ht="30" x14ac:dyDescent="0.25">
      <c r="B125" s="94"/>
      <c r="C125" s="53"/>
      <c r="D125" s="53"/>
      <c r="E125" s="53"/>
      <c r="F125" s="53"/>
      <c r="G125" s="53"/>
      <c r="H125" s="54"/>
      <c r="I125" s="55">
        <f>'[1]26MY_ODYSSEY_DATA'!M$6</f>
        <v>0</v>
      </c>
      <c r="J125" s="55" t="str">
        <f>'[1]26MY_ODYSSEY_DATA'!N$6</f>
        <v>Sport</v>
      </c>
      <c r="K125" s="55" t="str">
        <f>'[1]26MY_ODYSSEY_DATA'!O$6</f>
        <v>Sport-L</v>
      </c>
      <c r="L125" s="55" t="str">
        <f>'[1]26MY_ODYSSEY_DATA'!P$6</f>
        <v>Touring</v>
      </c>
      <c r="M125" s="55" t="str">
        <f>'[1]26MY_ODYSSEY_DATA'!Q$6</f>
        <v>Black Edition</v>
      </c>
      <c r="N125" s="55">
        <f>'[1]26MY_ODYSSEY_DATA'!R$6</f>
        <v>0</v>
      </c>
      <c r="O125" s="55">
        <f>'[1]26MY_ODYSSEY_DATA'!S$6</f>
        <v>0</v>
      </c>
      <c r="P125" s="55">
        <f>'[1]26MY_ODYSSEY_DATA'!T$6</f>
        <v>0</v>
      </c>
      <c r="Q125" s="53"/>
    </row>
    <row r="126" spans="2:20" s="92" customFormat="1" ht="15" customHeight="1" x14ac:dyDescent="0.25">
      <c r="B126" s="90" t="s">
        <v>111</v>
      </c>
      <c r="C126" s="95" t="str">
        <f>VLOOKUP(B126,'[1]26MY_ODYSSEY_DATA'!B:AR,3,FALSE)</f>
        <v>Platinum White Pearl (NH-883P)</v>
      </c>
      <c r="D126" s="96" t="str">
        <f t="shared" ref="D126:D131" si="13">B126</f>
        <v>TUCH-NH883P-A1</v>
      </c>
      <c r="E126" s="59">
        <f>VLOOKUP(B126,'[1]26MY_ODYSSEY_DATA'!B:AR,9,FALSE)</f>
        <v>13</v>
      </c>
      <c r="F126" s="59">
        <f>VLOOKUP(B126,'[1]26MY_ODYSSEY_DATA'!B:AR,10,FALSE)</f>
        <v>21.5</v>
      </c>
      <c r="G126" s="60">
        <f>VLOOKUP(B126,'[1]26MY_ODYSSEY_DATA'!B:AR,7,FALSE)</f>
        <v>0</v>
      </c>
      <c r="H126" s="61">
        <f>VLOOKUP(B126,'[1]26MY_ODYSSEY_DATA'!B:AR,11,FALSE)</f>
        <v>21.5</v>
      </c>
      <c r="I126" s="100">
        <f>VLOOKUP(B126,'[1]26MY_ODYSSEY_DATA'!B:AR,12,FALSE)</f>
        <v>0</v>
      </c>
      <c r="J126" s="100" t="str">
        <f>VLOOKUP(B126,'[1]26MY_ODYSSEY_DATA'!B:AR,13,FALSE)</f>
        <v>•</v>
      </c>
      <c r="K126" s="100" t="str">
        <f>VLOOKUP(B126,'[1]26MY_ODYSSEY_DATA'!B:AR,14,FALSE)</f>
        <v>•</v>
      </c>
      <c r="L126" s="100" t="str">
        <f>VLOOKUP(B126,'[1]26MY_ODYSSEY_DATA'!B:AR,15,FALSE)</f>
        <v>•</v>
      </c>
      <c r="M126" s="100" t="str">
        <f>VLOOKUP(B126,'[1]26MY_ODYSSEY_DATA'!B:AR,16,FALSE)</f>
        <v>•</v>
      </c>
      <c r="N126" s="100">
        <f>VLOOKUP($B126,'[1]26MY_ODYSSEY_DATA'!$B:$AR,17,FALSE)</f>
        <v>0</v>
      </c>
      <c r="O126" s="100">
        <f>VLOOKUP($B126,'[1]26MY_ODYSSEY_DATA'!$B:$AR,18,FALSE)</f>
        <v>0</v>
      </c>
      <c r="P126" s="100">
        <f>VLOOKUP($B126,'[1]26MY_ODYSSEY_DATA'!$B:$AR,19,FALSE)</f>
        <v>0</v>
      </c>
      <c r="Q126" s="63" t="str">
        <f>IF(VLOOKUP(B126,'[1]26MY_ODYSSEY_DATA'!B:AR,20,FALSE)="","",VLOOKUP(B126,'[1]26MY_ODYSSEY_DATA'!B:AR,20,FALSE))</f>
        <v/>
      </c>
      <c r="T126" s="75"/>
    </row>
    <row r="127" spans="2:20" s="92" customFormat="1" ht="15" customHeight="1" x14ac:dyDescent="0.25">
      <c r="B127" s="90" t="s">
        <v>112</v>
      </c>
      <c r="C127" s="95" t="str">
        <f>VLOOKUP(B127,'[1]26MY_ODYSSEY_DATA'!B:AR,3,FALSE)</f>
        <v>Crystal Black Pearl (NH-731P)</v>
      </c>
      <c r="D127" s="96" t="str">
        <f t="shared" si="13"/>
        <v>TUCH-NH731P-A1</v>
      </c>
      <c r="E127" s="69"/>
      <c r="F127" s="69"/>
      <c r="G127" s="70"/>
      <c r="H127" s="71"/>
      <c r="I127" s="100">
        <f>VLOOKUP(B127,'[1]26MY_ODYSSEY_DATA'!B:AR,12,FALSE)</f>
        <v>0</v>
      </c>
      <c r="J127" s="100" t="str">
        <f>VLOOKUP(B127,'[1]26MY_ODYSSEY_DATA'!B:AR,13,FALSE)</f>
        <v>•</v>
      </c>
      <c r="K127" s="100" t="str">
        <f>VLOOKUP(B127,'[1]26MY_ODYSSEY_DATA'!B:AR,14,FALSE)</f>
        <v>•</v>
      </c>
      <c r="L127" s="100" t="str">
        <f>VLOOKUP(B127,'[1]26MY_ODYSSEY_DATA'!B:AR,15,FALSE)</f>
        <v>N/A</v>
      </c>
      <c r="M127" s="100" t="str">
        <f>VLOOKUP(B127,'[1]26MY_ODYSSEY_DATA'!B:AR,16,FALSE)</f>
        <v>•</v>
      </c>
      <c r="N127" s="100">
        <f>VLOOKUP($B127,'[1]26MY_ODYSSEY_DATA'!$B:$AR,17,FALSE)</f>
        <v>0</v>
      </c>
      <c r="O127" s="100">
        <f>VLOOKUP($B127,'[1]26MY_ODYSSEY_DATA'!$B:$AR,18,FALSE)</f>
        <v>0</v>
      </c>
      <c r="P127" s="100">
        <f>VLOOKUP($B127,'[1]26MY_ODYSSEY_DATA'!$B:$AR,19,FALSE)</f>
        <v>0</v>
      </c>
      <c r="Q127" s="73"/>
    </row>
    <row r="128" spans="2:20" s="92" customFormat="1" ht="15" customHeight="1" x14ac:dyDescent="0.25">
      <c r="B128" s="90" t="s">
        <v>113</v>
      </c>
      <c r="C128" s="95" t="str">
        <f>VLOOKUP(B128,'[1]26MY_ODYSSEY_DATA'!B:AR,3,FALSE)</f>
        <v>Modern Steel Metallic (NH-797M)</v>
      </c>
      <c r="D128" s="96" t="str">
        <f t="shared" si="13"/>
        <v>TUCH-NH797M-A1</v>
      </c>
      <c r="E128" s="69"/>
      <c r="F128" s="69"/>
      <c r="G128" s="70"/>
      <c r="H128" s="71"/>
      <c r="I128" s="100">
        <f>VLOOKUP(B128,'[1]26MY_ODYSSEY_DATA'!B:AR,12,FALSE)</f>
        <v>0</v>
      </c>
      <c r="J128" s="100" t="str">
        <f>VLOOKUP(B128,'[1]26MY_ODYSSEY_DATA'!B:AR,13,FALSE)</f>
        <v>N/A</v>
      </c>
      <c r="K128" s="100" t="str">
        <f>VLOOKUP(B128,'[1]26MY_ODYSSEY_DATA'!B:AR,14,FALSE)</f>
        <v>•</v>
      </c>
      <c r="L128" s="100" t="str">
        <f>VLOOKUP(B128,'[1]26MY_ODYSSEY_DATA'!B:AR,15,FALSE)</f>
        <v>•</v>
      </c>
      <c r="M128" s="100" t="str">
        <f>VLOOKUP(B128,'[1]26MY_ODYSSEY_DATA'!B:AR,16,FALSE)</f>
        <v>N/A</v>
      </c>
      <c r="N128" s="100">
        <f>VLOOKUP($B128,'[1]26MY_ODYSSEY_DATA'!$B:$AR,17,FALSE)</f>
        <v>0</v>
      </c>
      <c r="O128" s="100">
        <f>VLOOKUP($B128,'[1]26MY_ODYSSEY_DATA'!$B:$AR,18,FALSE)</f>
        <v>0</v>
      </c>
      <c r="P128" s="100">
        <f>VLOOKUP($B128,'[1]26MY_ODYSSEY_DATA'!$B:$AR,19,FALSE)</f>
        <v>0</v>
      </c>
      <c r="Q128" s="73"/>
    </row>
    <row r="129" spans="2:17" s="92" customFormat="1" ht="15" customHeight="1" x14ac:dyDescent="0.25">
      <c r="B129" s="90" t="s">
        <v>114</v>
      </c>
      <c r="C129" s="95" t="str">
        <f>VLOOKUP(B129,'[1]26MY_ODYSSEY_DATA'!B:AR,3,FALSE)</f>
        <v>Sonic Gray Pearl (NH-877P)</v>
      </c>
      <c r="D129" s="96" t="str">
        <f t="shared" si="13"/>
        <v>TUCH-NH877P-A1</v>
      </c>
      <c r="E129" s="69"/>
      <c r="F129" s="69"/>
      <c r="G129" s="70"/>
      <c r="H129" s="71"/>
      <c r="I129" s="100">
        <f>VLOOKUP(B129,'[1]26MY_ODYSSEY_DATA'!B:AR,12,FALSE)</f>
        <v>0</v>
      </c>
      <c r="J129" s="100" t="str">
        <f>VLOOKUP(B129,'[1]26MY_ODYSSEY_DATA'!B:AR,13,FALSE)</f>
        <v>N/A</v>
      </c>
      <c r="K129" s="100" t="str">
        <f>VLOOKUP(B129,'[1]26MY_ODYSSEY_DATA'!B:AR,14,FALSE)</f>
        <v>N/A</v>
      </c>
      <c r="L129" s="100" t="str">
        <f>VLOOKUP(B129,'[1]26MY_ODYSSEY_DATA'!B:AR,15,FALSE)</f>
        <v>•</v>
      </c>
      <c r="M129" s="100" t="str">
        <f>VLOOKUP(B129,'[1]26MY_ODYSSEY_DATA'!B:AR,16,FALSE)</f>
        <v>•</v>
      </c>
      <c r="N129" s="100">
        <f>VLOOKUP($B129,'[1]26MY_ODYSSEY_DATA'!$B:$AR,17,FALSE)</f>
        <v>0</v>
      </c>
      <c r="O129" s="100">
        <f>VLOOKUP($B129,'[1]26MY_ODYSSEY_DATA'!$B:$AR,18,FALSE)</f>
        <v>0</v>
      </c>
      <c r="P129" s="100">
        <f>VLOOKUP($B129,'[1]26MY_ODYSSEY_DATA'!$B:$AR,19,FALSE)</f>
        <v>0</v>
      </c>
      <c r="Q129" s="73"/>
    </row>
    <row r="130" spans="2:17" s="92" customFormat="1" ht="15" customHeight="1" x14ac:dyDescent="0.25">
      <c r="B130" s="90" t="s">
        <v>115</v>
      </c>
      <c r="C130" s="95" t="str">
        <f>VLOOKUP(B130,'[1]26MY_ODYSSEY_DATA'!B:AR,3,FALSE)</f>
        <v>Radiant Red Metallic II (R-580M)</v>
      </c>
      <c r="D130" s="96" t="str">
        <f t="shared" si="13"/>
        <v>TUCH-R580M-A1</v>
      </c>
      <c r="E130" s="69"/>
      <c r="F130" s="69"/>
      <c r="G130" s="70"/>
      <c r="H130" s="71"/>
      <c r="I130" s="100">
        <f>VLOOKUP(B130,'[1]26MY_ODYSSEY_DATA'!B:AR,12,FALSE)</f>
        <v>0</v>
      </c>
      <c r="J130" s="100" t="str">
        <f>VLOOKUP(B130,'[1]26MY_ODYSSEY_DATA'!B:AR,13,FALSE)</f>
        <v>N/A</v>
      </c>
      <c r="K130" s="100" t="str">
        <f>VLOOKUP(B130,'[1]26MY_ODYSSEY_DATA'!B:AR,14,FALSE)</f>
        <v>N/A</v>
      </c>
      <c r="L130" s="100" t="str">
        <f>VLOOKUP(B130,'[1]26MY_ODYSSEY_DATA'!B:AR,15,FALSE)</f>
        <v>N/A</v>
      </c>
      <c r="M130" s="100" t="str">
        <f>VLOOKUP(B130,'[1]26MY_ODYSSEY_DATA'!B:AR,16,FALSE)</f>
        <v>•</v>
      </c>
      <c r="N130" s="100">
        <f>VLOOKUP($B130,'[1]26MY_ODYSSEY_DATA'!$B:$AR,17,FALSE)</f>
        <v>0</v>
      </c>
      <c r="O130" s="100">
        <f>VLOOKUP($B130,'[1]26MY_ODYSSEY_DATA'!$B:$AR,18,FALSE)</f>
        <v>0</v>
      </c>
      <c r="P130" s="100">
        <f>VLOOKUP($B130,'[1]26MY_ODYSSEY_DATA'!$B:$AR,19,FALSE)</f>
        <v>0</v>
      </c>
      <c r="Q130" s="73"/>
    </row>
    <row r="131" spans="2:17" s="92" customFormat="1" ht="15" customHeight="1" x14ac:dyDescent="0.25">
      <c r="B131" s="90" t="s">
        <v>116</v>
      </c>
      <c r="C131" s="95" t="str">
        <f>VLOOKUP(B131,'[1]26MY_ODYSSEY_DATA'!B:AR,3,FALSE)</f>
        <v>Solar Reflection Silver (NH-932M)</v>
      </c>
      <c r="D131" s="96" t="str">
        <f t="shared" si="13"/>
        <v>TUCH-NH932M-A1</v>
      </c>
      <c r="E131" s="77"/>
      <c r="F131" s="77"/>
      <c r="G131" s="78"/>
      <c r="H131" s="79"/>
      <c r="I131" s="100">
        <f>VLOOKUP(B131,'[1]26MY_ODYSSEY_DATA'!B:AR,12,FALSE)</f>
        <v>0</v>
      </c>
      <c r="J131" s="100" t="str">
        <f>VLOOKUP(B131,'[1]26MY_ODYSSEY_DATA'!B:AR,13,FALSE)</f>
        <v>•</v>
      </c>
      <c r="K131" s="100" t="str">
        <f>VLOOKUP(B131,'[1]26MY_ODYSSEY_DATA'!B:AR,14,FALSE)</f>
        <v>•</v>
      </c>
      <c r="L131" s="100" t="str">
        <f>VLOOKUP(B131,'[1]26MY_ODYSSEY_DATA'!B:AR,15,FALSE)</f>
        <v>•</v>
      </c>
      <c r="M131" s="100" t="str">
        <f>VLOOKUP(B131,'[1]26MY_ODYSSEY_DATA'!B:AR,16,FALSE)</f>
        <v>N/A</v>
      </c>
      <c r="N131" s="100">
        <f>VLOOKUP($B131,'[1]26MY_ODYSSEY_DATA'!$B:$AR,17,FALSE)</f>
        <v>0</v>
      </c>
      <c r="O131" s="100">
        <f>VLOOKUP($B131,'[1]26MY_ODYSSEY_DATA'!$B:$AR,18,FALSE)</f>
        <v>0</v>
      </c>
      <c r="P131" s="100">
        <f>VLOOKUP($B131,'[1]26MY_ODYSSEY_DATA'!$B:$AR,19,FALSE)</f>
        <v>0</v>
      </c>
      <c r="Q131" s="81"/>
    </row>
    <row r="132" spans="2:17" s="75" customFormat="1" ht="7.15" customHeight="1" x14ac:dyDescent="0.25">
      <c r="B132" s="94"/>
      <c r="C132" s="110"/>
      <c r="D132" s="111"/>
      <c r="E132" s="111"/>
      <c r="F132" s="111"/>
      <c r="G132" s="111"/>
      <c r="H132" s="111"/>
      <c r="I132" s="111"/>
      <c r="J132" s="111"/>
      <c r="K132" s="111"/>
      <c r="L132" s="111"/>
      <c r="M132" s="111"/>
      <c r="N132" s="111"/>
      <c r="O132" s="111"/>
      <c r="P132" s="111"/>
      <c r="Q132" s="114"/>
    </row>
    <row r="133" spans="2:17" s="92" customFormat="1" ht="15" customHeight="1" x14ac:dyDescent="0.25">
      <c r="B133" s="90" t="s">
        <v>117</v>
      </c>
      <c r="C133" s="95" t="str">
        <f>VLOOKUP(B133,'[1]26MY_ODYSSEY_DATA'!B:AR,3,FALSE)</f>
        <v>Fine Sanding Needles</v>
      </c>
      <c r="D133" s="96" t="str">
        <f t="shared" ref="D133:D135" si="14">B133</f>
        <v>TUCH-NEEDLES</v>
      </c>
      <c r="E133" s="97">
        <f>VLOOKUP(B133,'[1]26MY_ODYSSEY_DATA'!B:AR,9,FALSE)</f>
        <v>9.5</v>
      </c>
      <c r="F133" s="97">
        <f>VLOOKUP(B133,'[1]26MY_ODYSSEY_DATA'!B:AR,10,FALSE)</f>
        <v>15.75</v>
      </c>
      <c r="G133" s="98">
        <f>VLOOKUP(B133,'[1]26MY_ODYSSEY_DATA'!B:AR,7,FALSE)</f>
        <v>0</v>
      </c>
      <c r="H133" s="99">
        <f>VLOOKUP(B133,'[1]26MY_ODYSSEY_DATA'!B:AR,11,FALSE)</f>
        <v>15.75</v>
      </c>
      <c r="I133" s="100">
        <f>VLOOKUP(B133,'[1]26MY_ODYSSEY_DATA'!B:AR,12,FALSE)</f>
        <v>0</v>
      </c>
      <c r="J133" s="100" t="str">
        <f>VLOOKUP(B133,'[1]26MY_ODYSSEY_DATA'!B:AR,13,FALSE)</f>
        <v>•</v>
      </c>
      <c r="K133" s="100" t="str">
        <f>VLOOKUP(B133,'[1]26MY_ODYSSEY_DATA'!B:AR,14,FALSE)</f>
        <v>•</v>
      </c>
      <c r="L133" s="100" t="str">
        <f>VLOOKUP(B133,'[1]26MY_ODYSSEY_DATA'!B:AR,15,FALSE)</f>
        <v>•</v>
      </c>
      <c r="M133" s="100" t="str">
        <f>VLOOKUP(B133,'[1]26MY_ODYSSEY_DATA'!B:AR,16,FALSE)</f>
        <v>•</v>
      </c>
      <c r="N133" s="100">
        <f>VLOOKUP($B133,'[1]26MY_ODYSSEY_DATA'!$B:$AR,17,FALSE)</f>
        <v>0</v>
      </c>
      <c r="O133" s="100">
        <f>VLOOKUP($B133,'[1]26MY_ODYSSEY_DATA'!$B:$AR,18,FALSE)</f>
        <v>0</v>
      </c>
      <c r="P133" s="100">
        <f>VLOOKUP($B133,'[1]26MY_ODYSSEY_DATA'!$B:$AR,19,FALSE)</f>
        <v>0</v>
      </c>
      <c r="Q133" s="101" t="str">
        <f>IF(VLOOKUP(B133,'[1]26MY_ODYSSEY_DATA'!B:AR,20,FALSE)="","",VLOOKUP(B133,'[1]26MY_ODYSSEY_DATA'!B:AR,20,FALSE))</f>
        <v>Quantity of 5.</v>
      </c>
    </row>
    <row r="134" spans="2:17" s="92" customFormat="1" ht="15" customHeight="1" x14ac:dyDescent="0.25">
      <c r="B134" s="90" t="s">
        <v>118</v>
      </c>
      <c r="C134" s="95" t="str">
        <f>VLOOKUP(B134,'[1]26MY_ODYSSEY_DATA'!B:AR,3,FALSE)</f>
        <v>Fine Sanding Sticks</v>
      </c>
      <c r="D134" s="96" t="str">
        <f t="shared" si="14"/>
        <v>TUCH-STICKS</v>
      </c>
      <c r="E134" s="97">
        <f>VLOOKUP(B134,'[1]26MY_ODYSSEY_DATA'!B:AR,9,FALSE)</f>
        <v>2.4500000000000002</v>
      </c>
      <c r="F134" s="97">
        <f>VLOOKUP(B134,'[1]26MY_ODYSSEY_DATA'!B:AR,10,FALSE)</f>
        <v>4</v>
      </c>
      <c r="G134" s="98">
        <f>VLOOKUP(B134,'[1]26MY_ODYSSEY_DATA'!B:AR,7,FALSE)</f>
        <v>0</v>
      </c>
      <c r="H134" s="99">
        <f>VLOOKUP(B134,'[1]26MY_ODYSSEY_DATA'!B:AR,11,FALSE)</f>
        <v>4</v>
      </c>
      <c r="I134" s="100">
        <f>VLOOKUP(B134,'[1]26MY_ODYSSEY_DATA'!B:AR,12,FALSE)</f>
        <v>0</v>
      </c>
      <c r="J134" s="100" t="str">
        <f>VLOOKUP(B134,'[1]26MY_ODYSSEY_DATA'!B:AR,13,FALSE)</f>
        <v>•</v>
      </c>
      <c r="K134" s="100" t="str">
        <f>VLOOKUP(B134,'[1]26MY_ODYSSEY_DATA'!B:AR,14,FALSE)</f>
        <v>•</v>
      </c>
      <c r="L134" s="100" t="str">
        <f>VLOOKUP(B134,'[1]26MY_ODYSSEY_DATA'!B:AR,15,FALSE)</f>
        <v>•</v>
      </c>
      <c r="M134" s="100" t="str">
        <f>VLOOKUP(B134,'[1]26MY_ODYSSEY_DATA'!B:AR,16,FALSE)</f>
        <v>•</v>
      </c>
      <c r="N134" s="100">
        <f>VLOOKUP($B134,'[1]26MY_ODYSSEY_DATA'!$B:$AR,17,FALSE)</f>
        <v>0</v>
      </c>
      <c r="O134" s="100">
        <f>VLOOKUP($B134,'[1]26MY_ODYSSEY_DATA'!$B:$AR,18,FALSE)</f>
        <v>0</v>
      </c>
      <c r="P134" s="100">
        <f>VLOOKUP($B134,'[1]26MY_ODYSSEY_DATA'!$B:$AR,19,FALSE)</f>
        <v>0</v>
      </c>
      <c r="Q134" s="101" t="str">
        <f>IF(VLOOKUP(B134,'[1]26MY_ODYSSEY_DATA'!B:AR,20,FALSE)="","",VLOOKUP(B134,'[1]26MY_ODYSSEY_DATA'!B:AR,20,FALSE))</f>
        <v>Quantity of 5.</v>
      </c>
    </row>
    <row r="135" spans="2:17" s="92" customFormat="1" ht="15" customHeight="1" x14ac:dyDescent="0.25">
      <c r="B135" s="90" t="s">
        <v>119</v>
      </c>
      <c r="C135" s="95" t="str">
        <f>VLOOKUP(B135,'[1]26MY_ODYSSEY_DATA'!B:AR,3,FALSE)</f>
        <v>Paint Pen Replacement Tips</v>
      </c>
      <c r="D135" s="96" t="str">
        <f t="shared" si="14"/>
        <v>TUCH-TIPS</v>
      </c>
      <c r="E135" s="97">
        <f>VLOOKUP(B135,'[1]26MY_ODYSSEY_DATA'!B:AR,9,FALSE)</f>
        <v>13.75</v>
      </c>
      <c r="F135" s="97">
        <f>VLOOKUP(B135,'[1]26MY_ODYSSEY_DATA'!B:AR,10,FALSE)</f>
        <v>23</v>
      </c>
      <c r="G135" s="98">
        <f>VLOOKUP(B135,'[1]26MY_ODYSSEY_DATA'!B:AR,7,FALSE)</f>
        <v>0</v>
      </c>
      <c r="H135" s="99">
        <f>VLOOKUP(B135,'[1]26MY_ODYSSEY_DATA'!B:AR,11,FALSE)</f>
        <v>23</v>
      </c>
      <c r="I135" s="100">
        <f>VLOOKUP(B135,'[1]26MY_ODYSSEY_DATA'!B:AR,12,FALSE)</f>
        <v>0</v>
      </c>
      <c r="J135" s="100" t="str">
        <f>VLOOKUP(B135,'[1]26MY_ODYSSEY_DATA'!B:AR,13,FALSE)</f>
        <v>•</v>
      </c>
      <c r="K135" s="100" t="str">
        <f>VLOOKUP(B135,'[1]26MY_ODYSSEY_DATA'!B:AR,14,FALSE)</f>
        <v>•</v>
      </c>
      <c r="L135" s="100" t="str">
        <f>VLOOKUP(B135,'[1]26MY_ODYSSEY_DATA'!B:AR,15,FALSE)</f>
        <v>•</v>
      </c>
      <c r="M135" s="100" t="str">
        <f>VLOOKUP(B135,'[1]26MY_ODYSSEY_DATA'!B:AR,16,FALSE)</f>
        <v>•</v>
      </c>
      <c r="N135" s="100">
        <f>VLOOKUP($B135,'[1]26MY_ODYSSEY_DATA'!$B:$AR,17,FALSE)</f>
        <v>0</v>
      </c>
      <c r="O135" s="100">
        <f>VLOOKUP($B135,'[1]26MY_ODYSSEY_DATA'!$B:$AR,18,FALSE)</f>
        <v>0</v>
      </c>
      <c r="P135" s="100">
        <f>VLOOKUP($B135,'[1]26MY_ODYSSEY_DATA'!$B:$AR,19,FALSE)</f>
        <v>0</v>
      </c>
      <c r="Q135" s="101" t="str">
        <f>IF(VLOOKUP(B135,'[1]26MY_ODYSSEY_DATA'!B:AR,20,FALSE)="","",VLOOKUP(B135,'[1]26MY_ODYSSEY_DATA'!B:AR,20,FALSE))</f>
        <v>Quantity of 25.</v>
      </c>
    </row>
    <row r="136" spans="2:17" s="92" customFormat="1" ht="15" customHeight="1" x14ac:dyDescent="0.25">
      <c r="B136" s="132"/>
      <c r="C136" s="102"/>
      <c r="D136" s="133"/>
      <c r="E136" s="134"/>
      <c r="F136" s="134"/>
      <c r="G136" s="135"/>
      <c r="H136" s="136"/>
      <c r="I136" s="135"/>
      <c r="J136" s="135"/>
      <c r="K136" s="135"/>
      <c r="L136" s="135"/>
      <c r="M136" s="135"/>
      <c r="N136" s="135"/>
      <c r="O136" s="135"/>
      <c r="P136" s="135"/>
      <c r="Q136" s="135"/>
    </row>
    <row r="137" spans="2:17" s="92" customFormat="1" ht="15" customHeight="1" x14ac:dyDescent="0.25">
      <c r="B137" s="132"/>
      <c r="C137" s="137" t="s">
        <v>120</v>
      </c>
      <c r="D137" s="138" t="s">
        <v>14</v>
      </c>
      <c r="E137" s="25"/>
      <c r="F137" s="25"/>
      <c r="G137" s="25"/>
      <c r="H137" s="25"/>
      <c r="I137" s="25"/>
      <c r="J137" s="25"/>
      <c r="K137" s="25"/>
      <c r="L137" s="25"/>
      <c r="M137" s="25"/>
      <c r="N137" s="25"/>
      <c r="O137" s="25"/>
      <c r="P137" s="25"/>
      <c r="Q137" s="25"/>
    </row>
    <row r="138" spans="2:17" ht="14.25" customHeight="1" x14ac:dyDescent="0.25">
      <c r="C138" s="140">
        <f>'[1]26MY_ODYSSEY_DATA'!$C$3</f>
        <v>45902</v>
      </c>
      <c r="D138" s="138" t="s">
        <v>121</v>
      </c>
      <c r="E138" s="44"/>
      <c r="F138" s="44"/>
      <c r="G138" s="44"/>
      <c r="H138" s="44"/>
      <c r="I138" s="44"/>
      <c r="J138" s="44"/>
      <c r="K138" s="44"/>
      <c r="L138" s="44"/>
      <c r="M138" s="44"/>
      <c r="N138" s="44"/>
      <c r="O138" s="44"/>
      <c r="P138" s="44"/>
      <c r="Q138" s="44"/>
    </row>
    <row r="139" spans="2:17" ht="14.25" customHeight="1" x14ac:dyDescent="0.25">
      <c r="C139" s="44"/>
      <c r="D139" s="44"/>
      <c r="E139" s="44"/>
      <c r="F139" s="44"/>
      <c r="G139" s="44"/>
      <c r="H139" s="44"/>
      <c r="I139" s="44"/>
      <c r="J139" s="44"/>
      <c r="K139" s="44"/>
      <c r="L139" s="44"/>
      <c r="M139" s="44"/>
      <c r="N139" s="44"/>
      <c r="O139" s="44"/>
      <c r="P139" s="44"/>
      <c r="Q139" s="44"/>
    </row>
    <row r="140" spans="2:17" ht="14.25" customHeight="1" x14ac:dyDescent="0.25">
      <c r="C140" s="44"/>
      <c r="D140" s="44"/>
      <c r="E140" s="44"/>
      <c r="F140" s="44"/>
      <c r="G140" s="44"/>
      <c r="H140" s="44"/>
      <c r="I140" s="44"/>
      <c r="J140" s="44"/>
      <c r="K140" s="44"/>
      <c r="L140" s="44"/>
      <c r="M140" s="44"/>
      <c r="N140" s="44"/>
      <c r="O140" s="44"/>
      <c r="P140" s="44"/>
      <c r="Q140" s="44"/>
    </row>
    <row r="141" spans="2:17" ht="14.25" customHeight="1" x14ac:dyDescent="0.25">
      <c r="C141" s="44"/>
      <c r="D141" s="44"/>
      <c r="E141" s="44"/>
      <c r="F141" s="44"/>
      <c r="G141" s="44"/>
      <c r="H141" s="44"/>
      <c r="I141" s="44"/>
      <c r="J141" s="44"/>
      <c r="K141" s="44"/>
      <c r="L141" s="44"/>
      <c r="M141" s="44"/>
      <c r="N141" s="44"/>
      <c r="O141" s="44"/>
      <c r="P141" s="44"/>
      <c r="Q141" s="44"/>
    </row>
    <row r="142" spans="2:17" ht="14.25" customHeight="1" x14ac:dyDescent="0.25">
      <c r="C142" s="44"/>
      <c r="D142" s="44"/>
      <c r="E142" s="44"/>
      <c r="F142" s="44"/>
      <c r="G142" s="44"/>
      <c r="H142" s="44"/>
      <c r="I142" s="44"/>
      <c r="J142" s="44"/>
      <c r="K142" s="44"/>
      <c r="L142" s="44"/>
      <c r="M142" s="44"/>
      <c r="N142" s="44"/>
      <c r="O142" s="44"/>
      <c r="P142" s="44"/>
      <c r="Q142" s="44"/>
    </row>
    <row r="143" spans="2:17" ht="14.25" customHeight="1" x14ac:dyDescent="0.25">
      <c r="C143" s="44"/>
      <c r="D143" s="44"/>
      <c r="E143" s="44"/>
      <c r="F143" s="44"/>
      <c r="G143" s="44"/>
      <c r="H143" s="44"/>
      <c r="I143" s="44"/>
      <c r="J143" s="44"/>
      <c r="K143" s="44"/>
      <c r="L143" s="44"/>
      <c r="M143" s="44"/>
      <c r="N143" s="44"/>
      <c r="O143" s="44"/>
      <c r="P143" s="44"/>
      <c r="Q143" s="44"/>
    </row>
    <row r="144" spans="2:17" ht="14.25" customHeight="1" x14ac:dyDescent="0.25">
      <c r="C144" s="44"/>
      <c r="D144" s="44"/>
      <c r="E144" s="44"/>
      <c r="F144" s="44"/>
      <c r="G144" s="44"/>
      <c r="H144" s="44"/>
      <c r="I144" s="44"/>
      <c r="J144" s="44"/>
      <c r="K144" s="44"/>
      <c r="L144" s="44"/>
      <c r="M144" s="44"/>
      <c r="N144" s="44"/>
      <c r="O144" s="44"/>
      <c r="P144" s="44"/>
      <c r="Q144" s="44"/>
    </row>
    <row r="145" spans="3:17" ht="14.25" customHeight="1" x14ac:dyDescent="0.25">
      <c r="C145" s="44"/>
      <c r="D145" s="44"/>
      <c r="E145" s="44"/>
      <c r="F145" s="44"/>
      <c r="G145" s="44"/>
      <c r="H145" s="44"/>
      <c r="I145" s="44"/>
      <c r="J145" s="44"/>
      <c r="K145" s="44"/>
      <c r="L145" s="44"/>
      <c r="M145" s="44"/>
      <c r="N145" s="44"/>
      <c r="O145" s="44"/>
      <c r="P145" s="44"/>
      <c r="Q145" s="44"/>
    </row>
    <row r="146" spans="3:17" ht="14.25" customHeight="1" x14ac:dyDescent="0.25">
      <c r="C146" s="44"/>
      <c r="D146" s="44"/>
      <c r="E146" s="44"/>
      <c r="F146" s="44"/>
      <c r="G146" s="44"/>
      <c r="H146" s="44"/>
      <c r="I146" s="44"/>
      <c r="J146" s="44"/>
      <c r="K146" s="44"/>
      <c r="L146" s="44"/>
      <c r="M146" s="44"/>
      <c r="N146" s="44"/>
      <c r="O146" s="44"/>
      <c r="P146" s="44"/>
      <c r="Q146" s="44"/>
    </row>
    <row r="147" spans="3:17" ht="14.25" customHeight="1" x14ac:dyDescent="0.25">
      <c r="C147" s="44"/>
      <c r="D147" s="44"/>
      <c r="E147" s="44"/>
      <c r="F147" s="44"/>
      <c r="G147" s="44"/>
      <c r="H147" s="44"/>
      <c r="I147" s="44"/>
      <c r="J147" s="44"/>
      <c r="K147" s="44"/>
      <c r="L147" s="44"/>
      <c r="M147" s="44"/>
      <c r="N147" s="44"/>
      <c r="O147" s="44"/>
      <c r="P147" s="44"/>
      <c r="Q147" s="44"/>
    </row>
    <row r="148" spans="3:17" ht="14.25" customHeight="1" x14ac:dyDescent="0.25">
      <c r="C148" s="44"/>
      <c r="D148" s="44"/>
      <c r="E148" s="44"/>
      <c r="F148" s="44"/>
      <c r="G148" s="44"/>
      <c r="H148" s="44"/>
      <c r="I148" s="44"/>
      <c r="J148" s="44"/>
      <c r="K148" s="44"/>
      <c r="L148" s="44"/>
      <c r="M148" s="44"/>
      <c r="N148" s="44"/>
      <c r="O148" s="44"/>
      <c r="P148" s="44"/>
      <c r="Q148" s="44"/>
    </row>
    <row r="149" spans="3:17" ht="14.25" customHeight="1" x14ac:dyDescent="0.25">
      <c r="C149" s="44"/>
      <c r="D149" s="44"/>
      <c r="E149" s="44"/>
      <c r="F149" s="44"/>
      <c r="G149" s="44"/>
      <c r="H149" s="44"/>
      <c r="I149" s="44"/>
      <c r="J149" s="44"/>
      <c r="K149" s="44"/>
      <c r="L149" s="44"/>
      <c r="M149" s="44"/>
      <c r="N149" s="44"/>
      <c r="O149" s="44"/>
      <c r="P149" s="44"/>
      <c r="Q149" s="44"/>
    </row>
    <row r="150" spans="3:17" ht="14.25" customHeight="1" x14ac:dyDescent="0.25">
      <c r="C150" s="44"/>
      <c r="D150" s="44"/>
      <c r="E150" s="44"/>
      <c r="F150" s="44"/>
      <c r="G150" s="44"/>
      <c r="H150" s="44"/>
      <c r="I150" s="44"/>
      <c r="J150" s="44"/>
      <c r="K150" s="44"/>
      <c r="L150" s="44"/>
      <c r="M150" s="44"/>
      <c r="N150" s="44"/>
      <c r="O150" s="44"/>
      <c r="P150" s="44"/>
      <c r="Q150" s="44"/>
    </row>
    <row r="151" spans="3:17" ht="14.25" customHeight="1" x14ac:dyDescent="0.25">
      <c r="C151" s="44"/>
      <c r="D151" s="44"/>
      <c r="E151" s="44"/>
      <c r="F151" s="44"/>
      <c r="G151" s="44"/>
      <c r="H151" s="44"/>
      <c r="I151" s="44"/>
      <c r="J151" s="44"/>
      <c r="K151" s="44"/>
      <c r="L151" s="44"/>
      <c r="M151" s="44"/>
      <c r="N151" s="44"/>
      <c r="O151" s="44"/>
      <c r="P151" s="44"/>
      <c r="Q151" s="44"/>
    </row>
    <row r="152" spans="3:17" ht="14.25" customHeight="1" x14ac:dyDescent="0.25">
      <c r="C152" s="44"/>
      <c r="D152" s="44"/>
      <c r="E152" s="44"/>
      <c r="F152" s="44"/>
      <c r="G152" s="44"/>
      <c r="H152" s="44"/>
      <c r="I152" s="44"/>
      <c r="J152" s="44"/>
      <c r="K152" s="44"/>
      <c r="L152" s="44"/>
      <c r="M152" s="44"/>
      <c r="N152" s="44"/>
      <c r="O152" s="44"/>
      <c r="P152" s="44"/>
      <c r="Q152" s="44"/>
    </row>
    <row r="153" spans="3:17" ht="14.25" customHeight="1" x14ac:dyDescent="0.25">
      <c r="C153" s="44"/>
      <c r="D153" s="44"/>
      <c r="E153" s="44"/>
      <c r="F153" s="44"/>
      <c r="G153" s="44"/>
      <c r="H153" s="44"/>
      <c r="I153" s="44"/>
      <c r="J153" s="44"/>
      <c r="K153" s="44"/>
      <c r="L153" s="44"/>
      <c r="M153" s="44"/>
      <c r="N153" s="44"/>
      <c r="O153" s="44"/>
      <c r="P153" s="44"/>
      <c r="Q153" s="44"/>
    </row>
    <row r="154" spans="3:17" ht="14.25" customHeight="1" x14ac:dyDescent="0.25">
      <c r="C154" s="44"/>
      <c r="D154" s="44"/>
      <c r="E154" s="44"/>
      <c r="F154" s="44"/>
      <c r="G154" s="44"/>
      <c r="H154" s="44"/>
      <c r="I154" s="44"/>
      <c r="J154" s="44"/>
      <c r="K154" s="44"/>
      <c r="L154" s="44"/>
      <c r="M154" s="44"/>
      <c r="N154" s="44"/>
      <c r="O154" s="44"/>
      <c r="P154" s="44"/>
      <c r="Q154" s="44"/>
    </row>
    <row r="155" spans="3:17" ht="14.25" customHeight="1" x14ac:dyDescent="0.25">
      <c r="C155" s="44"/>
      <c r="D155" s="44"/>
      <c r="E155" s="44"/>
      <c r="F155" s="44"/>
      <c r="G155" s="44"/>
      <c r="H155" s="44"/>
      <c r="I155" s="44"/>
      <c r="J155" s="44"/>
      <c r="K155" s="44"/>
      <c r="L155" s="44"/>
      <c r="M155" s="44"/>
      <c r="N155" s="44"/>
      <c r="O155" s="44"/>
      <c r="P155" s="44"/>
      <c r="Q155" s="44"/>
    </row>
    <row r="156" spans="3:17" ht="14.25" customHeight="1" x14ac:dyDescent="0.25">
      <c r="C156" s="44"/>
      <c r="D156" s="44"/>
      <c r="E156" s="44"/>
      <c r="F156" s="44"/>
      <c r="G156" s="44"/>
      <c r="H156" s="44"/>
      <c r="I156" s="44"/>
      <c r="J156" s="44"/>
      <c r="K156" s="44"/>
      <c r="L156" s="44"/>
      <c r="M156" s="44"/>
      <c r="N156" s="44"/>
      <c r="O156" s="44"/>
      <c r="P156" s="44"/>
      <c r="Q156" s="44"/>
    </row>
    <row r="157" spans="3:17" ht="14.25" customHeight="1" x14ac:dyDescent="0.25">
      <c r="C157" s="44"/>
      <c r="D157" s="44"/>
      <c r="E157" s="44"/>
      <c r="F157" s="44"/>
      <c r="G157" s="44"/>
      <c r="H157" s="44"/>
      <c r="I157" s="44"/>
      <c r="J157" s="44"/>
      <c r="K157" s="44"/>
      <c r="L157" s="44"/>
      <c r="M157" s="44"/>
      <c r="N157" s="44"/>
      <c r="O157" s="44"/>
      <c r="P157" s="44"/>
      <c r="Q157" s="44"/>
    </row>
    <row r="158" spans="3:17" x14ac:dyDescent="0.25">
      <c r="C158" s="44"/>
      <c r="D158" s="44"/>
      <c r="E158" s="44"/>
      <c r="F158" s="44"/>
      <c r="G158" s="44"/>
      <c r="H158" s="44"/>
      <c r="I158" s="44"/>
      <c r="J158" s="44"/>
      <c r="K158" s="44"/>
      <c r="L158" s="44"/>
      <c r="M158" s="44"/>
      <c r="N158" s="44"/>
      <c r="O158" s="44"/>
      <c r="P158" s="44"/>
      <c r="Q158" s="44"/>
    </row>
  </sheetData>
  <sheetProtection algorithmName="SHA-512" hashValue="QaxOn15ipXrc7PCk/4EFE7aczPPMfIqZRtHR9nPeJMYk2kx9il9H0TaznhqaFl3Ue7IiwBL2rpIjCjTW0VCSWg==" saltValue="HK0HVZky7W0hPJdj4X2ckw==" spinCount="100000" sheet="1" objects="1" scenarios="1"/>
  <mergeCells count="122">
    <mergeCell ref="E126:E131"/>
    <mergeCell ref="F126:F131"/>
    <mergeCell ref="G126:G131"/>
    <mergeCell ref="H126:H131"/>
    <mergeCell ref="Q126:Q131"/>
    <mergeCell ref="Q109:Q110"/>
    <mergeCell ref="C124:C125"/>
    <mergeCell ref="D124:D125"/>
    <mergeCell ref="E124:E125"/>
    <mergeCell ref="F124:F125"/>
    <mergeCell ref="G124:G125"/>
    <mergeCell ref="H124:H125"/>
    <mergeCell ref="I124:P124"/>
    <mergeCell ref="Q124:Q125"/>
    <mergeCell ref="H97:H98"/>
    <mergeCell ref="I97:P97"/>
    <mergeCell ref="Q97:Q98"/>
    <mergeCell ref="C109:C110"/>
    <mergeCell ref="D109:D110"/>
    <mergeCell ref="E109:E110"/>
    <mergeCell ref="F109:F110"/>
    <mergeCell ref="G109:G110"/>
    <mergeCell ref="H109:H110"/>
    <mergeCell ref="I109:P109"/>
    <mergeCell ref="Q48:Q49"/>
    <mergeCell ref="Q66:Q73"/>
    <mergeCell ref="Q75:Q80"/>
    <mergeCell ref="Q82:Q87"/>
    <mergeCell ref="Q89:Q94"/>
    <mergeCell ref="C97:C98"/>
    <mergeCell ref="D97:D98"/>
    <mergeCell ref="E97:E98"/>
    <mergeCell ref="F97:F98"/>
    <mergeCell ref="G97:G98"/>
    <mergeCell ref="H42:H43"/>
    <mergeCell ref="I42:P42"/>
    <mergeCell ref="Q42:Q43"/>
    <mergeCell ref="C48:C49"/>
    <mergeCell ref="D48:D49"/>
    <mergeCell ref="E48:E49"/>
    <mergeCell ref="F48:F49"/>
    <mergeCell ref="G48:G49"/>
    <mergeCell ref="H48:H49"/>
    <mergeCell ref="I48:P48"/>
    <mergeCell ref="M34:M39"/>
    <mergeCell ref="N34:N39"/>
    <mergeCell ref="O34:O39"/>
    <mergeCell ref="P34:P39"/>
    <mergeCell ref="Q34:Q39"/>
    <mergeCell ref="C42:C43"/>
    <mergeCell ref="D42:D43"/>
    <mergeCell ref="E42:E43"/>
    <mergeCell ref="F42:F43"/>
    <mergeCell ref="G42:G43"/>
    <mergeCell ref="P28:P32"/>
    <mergeCell ref="Q28:Q32"/>
    <mergeCell ref="E34:E39"/>
    <mergeCell ref="F34:F39"/>
    <mergeCell ref="G34:G39"/>
    <mergeCell ref="H34:H39"/>
    <mergeCell ref="I34:I39"/>
    <mergeCell ref="J34:J39"/>
    <mergeCell ref="K34:K39"/>
    <mergeCell ref="L34:L39"/>
    <mergeCell ref="J28:J32"/>
    <mergeCell ref="K28:K32"/>
    <mergeCell ref="L28:L32"/>
    <mergeCell ref="M28:M32"/>
    <mergeCell ref="N28:N32"/>
    <mergeCell ref="O28:O32"/>
    <mergeCell ref="M24:M26"/>
    <mergeCell ref="N24:N26"/>
    <mergeCell ref="O24:O26"/>
    <mergeCell ref="P24:P26"/>
    <mergeCell ref="Q24:Q26"/>
    <mergeCell ref="E28:E32"/>
    <mergeCell ref="F28:F32"/>
    <mergeCell ref="G28:G32"/>
    <mergeCell ref="H28:H32"/>
    <mergeCell ref="I28:I32"/>
    <mergeCell ref="P19:P22"/>
    <mergeCell ref="Q19:Q22"/>
    <mergeCell ref="E24:E26"/>
    <mergeCell ref="F24:F26"/>
    <mergeCell ref="G24:G26"/>
    <mergeCell ref="H24:H26"/>
    <mergeCell ref="I24:I26"/>
    <mergeCell ref="J24:J26"/>
    <mergeCell ref="K24:K26"/>
    <mergeCell ref="L24:L26"/>
    <mergeCell ref="J19:J22"/>
    <mergeCell ref="K19:K22"/>
    <mergeCell ref="L19:L22"/>
    <mergeCell ref="M19:M22"/>
    <mergeCell ref="N19:N22"/>
    <mergeCell ref="O19:O22"/>
    <mergeCell ref="M14:M17"/>
    <mergeCell ref="N14:N17"/>
    <mergeCell ref="O14:O17"/>
    <mergeCell ref="P14:P17"/>
    <mergeCell ref="Q14:Q17"/>
    <mergeCell ref="E19:E22"/>
    <mergeCell ref="F19:F22"/>
    <mergeCell ref="G19:G22"/>
    <mergeCell ref="H19:H22"/>
    <mergeCell ref="I19:I22"/>
    <mergeCell ref="I12:P12"/>
    <mergeCell ref="Q12:Q13"/>
    <mergeCell ref="E14:E17"/>
    <mergeCell ref="F14:F17"/>
    <mergeCell ref="G14:G17"/>
    <mergeCell ref="H14:H17"/>
    <mergeCell ref="I14:I17"/>
    <mergeCell ref="J14:J17"/>
    <mergeCell ref="K14:K17"/>
    <mergeCell ref="L14:L17"/>
    <mergeCell ref="C12:C13"/>
    <mergeCell ref="D12:D13"/>
    <mergeCell ref="E12:E13"/>
    <mergeCell ref="F12:F13"/>
    <mergeCell ref="G12:G13"/>
    <mergeCell ref="H12:H13"/>
  </mergeCells>
  <conditionalFormatting sqref="E1:F14 E132:F1048576 E23:F24 E18:F19 E27:F28 E33:F34 E40:F126">
    <cfRule type="containsText" dxfId="12" priority="1" operator="containsText" text=".99">
      <formula>NOT(ISERROR(SEARCH(".99",E1)))</formula>
    </cfRule>
  </conditionalFormatting>
  <printOptions horizontalCentered="1"/>
  <pageMargins left="0.23622047244094499" right="0.23622047244094499" top="0.39370078740157499" bottom="0.39370078740157499" header="0.31496062992126" footer="0.31496062992126"/>
  <pageSetup scale="47" fitToHeight="0" orientation="portrait" horizontalDpi="1200" verticalDpi="1200" r:id="rId1"/>
  <headerFooter>
    <oddFooter>&amp;CPage &amp;P of &amp;N</oddFooter>
  </headerFooter>
  <rowBreaks count="1" manualBreakCount="1">
    <brk id="80" min="2" max="14"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8F89E-2BBB-4EE8-8EB6-BB3CD82D44B3}">
  <sheetPr codeName="Sheet24">
    <tabColor rgb="FFC8102E"/>
    <pageSetUpPr fitToPage="1"/>
  </sheetPr>
  <dimension ref="A2:V33"/>
  <sheetViews>
    <sheetView showGridLines="0" view="pageBreakPreview" zoomScale="50" zoomScaleNormal="100" zoomScaleSheetLayoutView="50" workbookViewId="0">
      <selection activeCell="B32" sqref="B32"/>
    </sheetView>
  </sheetViews>
  <sheetFormatPr defaultColWidth="8.85546875" defaultRowHeight="12.75" x14ac:dyDescent="0.25"/>
  <cols>
    <col min="1" max="1" width="8.85546875" style="28"/>
    <col min="2" max="2" width="9.140625" style="200" customWidth="1"/>
    <col min="3" max="3" width="12.5703125" style="28" customWidth="1"/>
    <col min="4" max="5" width="8.5703125" style="28" customWidth="1"/>
    <col min="6" max="6" width="10.5703125" style="28" customWidth="1"/>
    <col min="7" max="7" width="9.42578125" style="28" customWidth="1"/>
    <col min="8" max="8" width="12.5703125" style="28" customWidth="1"/>
    <col min="9" max="10" width="8.5703125" style="28" customWidth="1"/>
    <col min="11" max="11" width="10.5703125" style="28" customWidth="1"/>
    <col min="12" max="12" width="9.42578125" style="28" customWidth="1"/>
    <col min="13" max="13" width="12.5703125" style="28" customWidth="1"/>
    <col min="14" max="15" width="8.5703125" style="28" customWidth="1"/>
    <col min="16" max="16" width="10.5703125" style="28" customWidth="1"/>
    <col min="17" max="17" width="9.42578125" style="28" customWidth="1"/>
    <col min="18" max="16384" width="8.85546875" style="28"/>
  </cols>
  <sheetData>
    <row r="2" spans="2:22" ht="18" customHeight="1" x14ac:dyDescent="0.25">
      <c r="B2" s="141"/>
      <c r="C2" s="44"/>
      <c r="D2" s="44"/>
      <c r="E2" s="44"/>
      <c r="F2" s="44"/>
      <c r="G2" s="44"/>
      <c r="H2" s="44"/>
      <c r="I2" s="44"/>
      <c r="J2" s="44"/>
      <c r="K2" s="44"/>
      <c r="L2" s="44"/>
      <c r="M2" s="44"/>
      <c r="N2" s="44"/>
      <c r="O2" s="44"/>
      <c r="R2" s="142"/>
    </row>
    <row r="3" spans="2:22" ht="25.15" customHeight="1" x14ac:dyDescent="0.25">
      <c r="B3" s="143" t="s">
        <v>122</v>
      </c>
      <c r="C3" s="143"/>
      <c r="D3" s="143"/>
      <c r="E3" s="143"/>
      <c r="F3" s="143"/>
      <c r="G3" s="143"/>
      <c r="H3" s="143"/>
      <c r="I3" s="143"/>
      <c r="J3" s="143"/>
      <c r="K3" s="143"/>
      <c r="L3" s="143"/>
      <c r="M3" s="143"/>
      <c r="N3" s="143"/>
      <c r="O3" s="143"/>
      <c r="P3" s="143"/>
      <c r="Q3" s="143"/>
      <c r="R3" s="142"/>
    </row>
    <row r="4" spans="2:22" ht="170.25" customHeight="1" x14ac:dyDescent="0.25">
      <c r="B4" s="144">
        <v>200</v>
      </c>
      <c r="C4" s="44"/>
      <c r="D4" s="44"/>
      <c r="E4" s="44"/>
      <c r="F4" s="44"/>
      <c r="G4" s="44"/>
      <c r="H4" s="44"/>
      <c r="I4" s="44"/>
      <c r="J4" s="44"/>
      <c r="K4" s="44"/>
      <c r="L4" s="44"/>
      <c r="M4" s="44"/>
      <c r="N4" s="44"/>
      <c r="O4" s="44"/>
      <c r="P4" s="44"/>
      <c r="Q4" s="44"/>
      <c r="R4" s="142"/>
    </row>
    <row r="5" spans="2:22" ht="33" customHeight="1" x14ac:dyDescent="0.25">
      <c r="B5" s="144"/>
      <c r="C5" s="44"/>
      <c r="D5" s="44"/>
      <c r="E5" s="44"/>
      <c r="F5" s="44"/>
      <c r="G5" s="44"/>
      <c r="H5" s="44"/>
      <c r="I5" s="44"/>
      <c r="J5" s="44"/>
      <c r="K5" s="44"/>
      <c r="L5" s="44"/>
      <c r="M5" s="44"/>
      <c r="N5" s="44"/>
      <c r="O5" s="44"/>
      <c r="P5" s="44"/>
      <c r="Q5" s="44"/>
      <c r="R5" s="142"/>
    </row>
    <row r="6" spans="2:22" ht="30" customHeight="1" x14ac:dyDescent="0.25">
      <c r="B6" s="145" t="s">
        <v>123</v>
      </c>
      <c r="C6" s="145"/>
      <c r="D6" s="145"/>
      <c r="E6" s="145"/>
      <c r="F6" s="145"/>
      <c r="G6" s="145"/>
      <c r="H6" s="145"/>
      <c r="I6" s="145"/>
      <c r="J6" s="145"/>
      <c r="K6" s="145"/>
      <c r="L6" s="145"/>
      <c r="M6" s="145"/>
      <c r="N6" s="145"/>
      <c r="O6" s="145"/>
      <c r="P6" s="145"/>
      <c r="Q6" s="145"/>
      <c r="R6" s="142"/>
    </row>
    <row r="7" spans="2:22" ht="12.75" customHeight="1" x14ac:dyDescent="0.25">
      <c r="B7" s="146">
        <v>20</v>
      </c>
      <c r="C7" s="44"/>
      <c r="D7" s="44"/>
      <c r="E7" s="44"/>
      <c r="F7" s="44"/>
      <c r="G7" s="44"/>
      <c r="H7" s="44"/>
      <c r="I7" s="44"/>
      <c r="J7" s="44"/>
      <c r="K7" s="44"/>
      <c r="L7" s="44"/>
      <c r="M7" s="44"/>
      <c r="N7" s="44"/>
      <c r="O7" s="44"/>
      <c r="P7" s="44"/>
      <c r="Q7" s="44"/>
      <c r="R7" s="142"/>
    </row>
    <row r="8" spans="2:22" ht="150" customHeight="1" x14ac:dyDescent="0.25">
      <c r="B8" s="144">
        <v>150</v>
      </c>
      <c r="C8" s="147"/>
      <c r="D8" s="147"/>
      <c r="E8" s="147"/>
      <c r="F8" s="147"/>
      <c r="G8" s="44"/>
      <c r="H8" s="147"/>
      <c r="I8" s="147"/>
      <c r="J8" s="147"/>
      <c r="K8" s="147"/>
      <c r="L8" s="44"/>
      <c r="M8" s="147"/>
      <c r="N8" s="147"/>
      <c r="O8" s="147"/>
      <c r="P8" s="147"/>
      <c r="Q8" s="44"/>
      <c r="R8" s="142"/>
      <c r="V8" s="148"/>
    </row>
    <row r="9" spans="2:22" ht="8.25" customHeight="1" x14ac:dyDescent="0.25">
      <c r="B9" s="144"/>
      <c r="C9" s="149"/>
      <c r="D9" s="149"/>
      <c r="E9" s="149"/>
      <c r="F9" s="149"/>
      <c r="G9" s="44"/>
      <c r="H9" s="149"/>
      <c r="I9" s="149"/>
      <c r="J9" s="149"/>
      <c r="K9" s="149"/>
      <c r="L9" s="44"/>
      <c r="M9" s="149"/>
      <c r="N9" s="149"/>
      <c r="O9" s="149"/>
      <c r="P9" s="149"/>
      <c r="Q9" s="44"/>
      <c r="R9" s="142"/>
      <c r="V9" s="148"/>
    </row>
    <row r="10" spans="2:22" ht="20.25" customHeight="1" x14ac:dyDescent="0.25">
      <c r="B10" s="144">
        <v>20</v>
      </c>
      <c r="C10" s="150" t="str">
        <f>'26MY_ODYSSEY_APP_EN'!$C$99</f>
        <v>All-Season Floor Mats - White Logo</v>
      </c>
      <c r="D10" s="151"/>
      <c r="E10" s="151"/>
      <c r="F10" s="152"/>
      <c r="G10" s="153"/>
      <c r="H10" s="150" t="str">
        <f>'26MY_ODYSSEY_APP_EN'!$C$100</f>
        <v>Cargo Tray - Deep</v>
      </c>
      <c r="I10" s="151"/>
      <c r="J10" s="151"/>
      <c r="K10" s="152"/>
      <c r="L10" s="153"/>
      <c r="M10" s="150" t="str">
        <f>'26MY_ODYSSEY_APP_EN'!$C$101</f>
        <v>Cargo Tray - Folding</v>
      </c>
      <c r="N10" s="151"/>
      <c r="O10" s="151"/>
      <c r="P10" s="152"/>
      <c r="Q10" s="44"/>
      <c r="R10" s="142"/>
    </row>
    <row r="11" spans="2:22" ht="15" customHeight="1" x14ac:dyDescent="0.25">
      <c r="B11" s="146">
        <v>20</v>
      </c>
      <c r="C11" s="154">
        <f>'26MY_ODYSSEY_APP_EN'!$H$99</f>
        <v>341.8</v>
      </c>
      <c r="D11" s="155">
        <f>-PMT($D$29/52,5*52,C11)</f>
        <v>1.5585734195363132</v>
      </c>
      <c r="E11" s="156" t="s">
        <v>124</v>
      </c>
      <c r="F11" s="157" t="str">
        <f>$C$29</f>
        <v>(6.99%)</v>
      </c>
      <c r="G11" s="44"/>
      <c r="H11" s="154">
        <f>'26MY_ODYSSEY_APP_EN'!$H$101</f>
        <v>283.8</v>
      </c>
      <c r="I11" s="155">
        <f>-PMT($D$29/52,5*52,H11)</f>
        <v>1.2940992874909469</v>
      </c>
      <c r="J11" s="156" t="s">
        <v>124</v>
      </c>
      <c r="K11" s="157" t="str">
        <f>$C$29</f>
        <v>(6.99%)</v>
      </c>
      <c r="L11" s="44"/>
      <c r="M11" s="154">
        <f>'26MY_ODYSSEY_APP_EN'!$H$111</f>
        <v>1069.5999999999999</v>
      </c>
      <c r="N11" s="155">
        <f>-PMT($D$29/52,5*52,M11)</f>
        <v>4.8772677868228218</v>
      </c>
      <c r="O11" s="156" t="s">
        <v>124</v>
      </c>
      <c r="P11" s="157" t="str">
        <f>$C$29</f>
        <v>(6.99%)</v>
      </c>
      <c r="Q11" s="44"/>
      <c r="R11" s="142"/>
    </row>
    <row r="12" spans="2:22" ht="15" customHeight="1" x14ac:dyDescent="0.25">
      <c r="B12" s="146"/>
      <c r="C12" s="154"/>
      <c r="D12" s="155"/>
      <c r="E12" s="156"/>
      <c r="F12" s="157"/>
      <c r="G12" s="44"/>
      <c r="H12" s="44"/>
      <c r="I12" s="44"/>
      <c r="J12" s="44"/>
      <c r="K12" s="44"/>
      <c r="L12" s="44"/>
      <c r="M12" s="44"/>
      <c r="N12" s="44"/>
      <c r="O12" s="44"/>
      <c r="P12" s="44"/>
      <c r="Q12" s="44"/>
      <c r="R12" s="142"/>
    </row>
    <row r="13" spans="2:22" ht="150" customHeight="1" x14ac:dyDescent="0.25">
      <c r="B13" s="144" t="s">
        <v>125</v>
      </c>
      <c r="C13" s="147"/>
      <c r="D13" s="147"/>
      <c r="E13" s="147"/>
      <c r="F13" s="147"/>
      <c r="G13" s="44"/>
      <c r="H13" s="147"/>
      <c r="I13" s="147"/>
      <c r="J13" s="147"/>
      <c r="K13" s="147"/>
      <c r="L13" s="44"/>
      <c r="M13" s="147"/>
      <c r="N13" s="147"/>
      <c r="O13" s="147"/>
      <c r="P13" s="147"/>
      <c r="Q13" s="44"/>
      <c r="R13" s="142"/>
    </row>
    <row r="14" spans="2:22" ht="9" customHeight="1" x14ac:dyDescent="0.25">
      <c r="B14" s="144"/>
      <c r="C14" s="149"/>
      <c r="D14" s="149"/>
      <c r="E14" s="149"/>
      <c r="F14" s="149"/>
      <c r="G14" s="44"/>
      <c r="H14" s="149"/>
      <c r="I14" s="149"/>
      <c r="J14" s="149"/>
      <c r="K14" s="149"/>
      <c r="L14" s="44"/>
      <c r="M14" s="149"/>
      <c r="N14" s="149"/>
      <c r="O14" s="149"/>
      <c r="P14" s="149"/>
      <c r="Q14" s="44"/>
      <c r="R14" s="142"/>
    </row>
    <row r="15" spans="2:22" ht="22.15" customHeight="1" x14ac:dyDescent="0.25">
      <c r="B15" s="144">
        <v>20</v>
      </c>
      <c r="C15" s="158" t="str">
        <f>TEXT('26MY_ODYSSEY_APP_EN'!$C$62,0)&amp;(TEXT($B$13,0)&amp;TEXT('26MY_ODYSSEY_APP_EN'!$C$64,0))</f>
        <v xml:space="preserve">Roof Rails - Black  &amp; Crossbars </v>
      </c>
      <c r="D15" s="159"/>
      <c r="E15" s="159"/>
      <c r="F15" s="160"/>
      <c r="G15" s="161"/>
      <c r="H15" s="158" t="str">
        <f>TEXT('26MY_ODYSSEY_APP_EN'!$C$75,0)&amp;(TEXT($B$13,0)&amp;TEXT('26MY_ODYSSEY_APP_EN'!$C$78,0))</f>
        <v>Trailer Hitch &amp; Trailer Hitch Harness</v>
      </c>
      <c r="I15" s="159"/>
      <c r="J15" s="159"/>
      <c r="K15" s="160"/>
      <c r="L15" s="161"/>
      <c r="M15" s="150" t="str">
        <f>'26MY_ODYSSEY_APP_EN'!$C$111</f>
        <v>Illuminated Door Sill Trim - Front &amp; Rear</v>
      </c>
      <c r="N15" s="151"/>
      <c r="O15" s="151"/>
      <c r="P15" s="152"/>
      <c r="Q15" s="44"/>
      <c r="R15" s="142"/>
    </row>
    <row r="16" spans="2:22" s="166" customFormat="1" ht="15.75" x14ac:dyDescent="0.25">
      <c r="B16" s="162">
        <v>50</v>
      </c>
      <c r="C16" s="154">
        <f>'26MY_ODYSSEY_APP_EN'!$H$62+'26MY_ODYSSEY_APP_EN'!$H$64</f>
        <v>1328.6</v>
      </c>
      <c r="D16" s="155">
        <f>-PMT($D$29/52,5*52,C16)</f>
        <v>6.058281583370233</v>
      </c>
      <c r="E16" s="156" t="s">
        <v>124</v>
      </c>
      <c r="F16" s="157" t="str">
        <f>$C$29</f>
        <v>(6.99%)</v>
      </c>
      <c r="G16" s="163"/>
      <c r="H16" s="154">
        <f>'26MY_ODYSSEY_APP_EN'!$H$75+'26MY_ODYSSEY_APP_EN'!$H$78</f>
        <v>1616.4</v>
      </c>
      <c r="I16" s="155">
        <f>-PMT($D$29/52,5*52,H16)</f>
        <v>7.3706204661746542</v>
      </c>
      <c r="J16" s="156" t="s">
        <v>124</v>
      </c>
      <c r="K16" s="157" t="str">
        <f>$C$29</f>
        <v>(6.99%)</v>
      </c>
      <c r="L16" s="163"/>
      <c r="M16" s="154">
        <f>'26MY_ODYSSEY_APP_EN'!$H$111</f>
        <v>1069.5999999999999</v>
      </c>
      <c r="N16" s="155">
        <f>-PMT($D$29/52,5*52,M16)</f>
        <v>4.8772677868228218</v>
      </c>
      <c r="O16" s="156" t="s">
        <v>124</v>
      </c>
      <c r="P16" s="157" t="str">
        <f>$C$29</f>
        <v>(6.99%)</v>
      </c>
      <c r="Q16" s="164"/>
      <c r="R16" s="165"/>
    </row>
    <row r="17" spans="1:20" s="166" customFormat="1" ht="15" customHeight="1" x14ac:dyDescent="0.25">
      <c r="B17" s="162"/>
      <c r="C17" s="154"/>
      <c r="D17" s="155"/>
      <c r="E17" s="156"/>
      <c r="F17" s="167"/>
      <c r="G17" s="163"/>
      <c r="H17" s="154"/>
      <c r="I17" s="155"/>
      <c r="J17" s="156"/>
      <c r="K17" s="167"/>
      <c r="L17" s="163"/>
      <c r="M17" s="154"/>
      <c r="N17" s="155"/>
      <c r="O17" s="156"/>
      <c r="P17" s="167"/>
      <c r="Q17" s="164"/>
      <c r="R17" s="165"/>
    </row>
    <row r="18" spans="1:20" ht="150" customHeight="1" x14ac:dyDescent="0.25">
      <c r="B18" s="144">
        <v>150</v>
      </c>
      <c r="C18" s="147"/>
      <c r="D18" s="147"/>
      <c r="E18" s="147"/>
      <c r="F18" s="147"/>
      <c r="G18" s="44"/>
      <c r="H18" s="147"/>
      <c r="I18" s="147"/>
      <c r="J18" s="147"/>
      <c r="K18" s="147"/>
      <c r="L18" s="44"/>
      <c r="M18" s="147"/>
      <c r="N18" s="147"/>
      <c r="O18" s="147"/>
      <c r="P18" s="147"/>
      <c r="Q18" s="44"/>
    </row>
    <row r="19" spans="1:20" ht="9.75" customHeight="1" x14ac:dyDescent="0.25">
      <c r="B19" s="144"/>
      <c r="C19" s="149"/>
      <c r="D19" s="149"/>
      <c r="E19" s="149"/>
      <c r="F19" s="149"/>
      <c r="G19" s="44"/>
      <c r="H19" s="149"/>
      <c r="I19" s="149"/>
      <c r="J19" s="149"/>
      <c r="K19" s="149"/>
      <c r="L19" s="44"/>
      <c r="M19" s="149"/>
      <c r="N19" s="149"/>
      <c r="O19" s="149"/>
      <c r="P19" s="149"/>
      <c r="Q19" s="44"/>
    </row>
    <row r="20" spans="1:20" ht="22.15" customHeight="1" x14ac:dyDescent="0.25">
      <c r="B20" s="144">
        <v>20</v>
      </c>
      <c r="C20" s="150" t="str">
        <f>'26MY_ODYSSEY_APP_EN'!$C$58</f>
        <v>Hood Air Deflector</v>
      </c>
      <c r="D20" s="151"/>
      <c r="E20" s="151"/>
      <c r="F20" s="152"/>
      <c r="G20" s="161"/>
      <c r="H20" s="168" t="str">
        <f>'26MY_ODYSSEY_APP_EN'!$C$57</f>
        <v>Door Visor</v>
      </c>
      <c r="I20" s="151"/>
      <c r="J20" s="151"/>
      <c r="K20" s="152"/>
      <c r="L20" s="161"/>
      <c r="M20" s="169" t="str">
        <f>'26MY_ODYSSEY_APP_EN'!$C$61</f>
        <v xml:space="preserve">Tent </v>
      </c>
      <c r="N20" s="170"/>
      <c r="O20" s="170"/>
      <c r="P20" s="171"/>
      <c r="Q20" s="44"/>
    </row>
    <row r="21" spans="1:20" ht="15.75" x14ac:dyDescent="0.25">
      <c r="B21" s="144">
        <v>50</v>
      </c>
      <c r="C21" s="154">
        <f>'26MY_ODYSSEY_APP_EN'!$H$58</f>
        <v>424</v>
      </c>
      <c r="D21" s="155">
        <f>-PMT($D$29/52,5*52,C21)</f>
        <v>1.9333971032281945</v>
      </c>
      <c r="E21" s="156" t="s">
        <v>124</v>
      </c>
      <c r="F21" s="172" t="str">
        <f>$C$29</f>
        <v>(6.99%)</v>
      </c>
      <c r="G21" s="163"/>
      <c r="H21" s="154">
        <f>'26MY_ODYSSEY_APP_EN'!$H$57</f>
        <v>474</v>
      </c>
      <c r="I21" s="155">
        <f>-PMT($D$29/52,5*52,H21)</f>
        <v>2.1613920446466137</v>
      </c>
      <c r="J21" s="156" t="s">
        <v>124</v>
      </c>
      <c r="K21" s="172" t="str">
        <f>$C$29</f>
        <v>(6.99%)</v>
      </c>
      <c r="L21" s="163"/>
      <c r="M21" s="154">
        <f>'26MY_ODYSSEY_APP_EN'!$H$61</f>
        <v>681</v>
      </c>
      <c r="N21" s="155">
        <f>-PMT($D$29/52,5*52,M21)</f>
        <v>3.1052911021188683</v>
      </c>
      <c r="O21" s="156" t="s">
        <v>124</v>
      </c>
      <c r="P21" s="172" t="str">
        <f>$C$29</f>
        <v>(6.99%)</v>
      </c>
      <c r="Q21" s="44"/>
    </row>
    <row r="22" spans="1:20" ht="15" customHeight="1" x14ac:dyDescent="0.25">
      <c r="B22" s="144"/>
      <c r="C22" s="154"/>
      <c r="D22" s="155"/>
      <c r="E22" s="156"/>
      <c r="F22" s="172"/>
      <c r="G22" s="163"/>
      <c r="H22" s="154"/>
      <c r="I22" s="155"/>
      <c r="J22" s="156"/>
      <c r="K22" s="172"/>
      <c r="L22" s="163"/>
      <c r="M22" s="154"/>
      <c r="N22" s="155"/>
      <c r="O22" s="156"/>
      <c r="P22" s="172"/>
      <c r="Q22" s="44"/>
    </row>
    <row r="23" spans="1:20" ht="15" customHeight="1" x14ac:dyDescent="0.25">
      <c r="B23" s="173"/>
      <c r="C23" s="174" t="s">
        <v>126</v>
      </c>
      <c r="D23" s="44"/>
      <c r="E23" s="44"/>
      <c r="F23" s="44"/>
      <c r="G23" s="44"/>
      <c r="H23" s="44"/>
      <c r="I23" s="44"/>
      <c r="J23" s="44"/>
      <c r="K23" s="44"/>
      <c r="L23" s="44"/>
      <c r="M23" s="44"/>
      <c r="N23" s="44"/>
      <c r="O23" s="44"/>
      <c r="P23" s="44"/>
      <c r="Q23" s="44"/>
    </row>
    <row r="24" spans="1:20" ht="15" customHeight="1" x14ac:dyDescent="0.25">
      <c r="B24" s="173"/>
      <c r="C24" s="174" t="s">
        <v>127</v>
      </c>
      <c r="D24" s="44"/>
      <c r="E24" s="44"/>
      <c r="F24" s="44"/>
      <c r="G24" s="175"/>
      <c r="H24" s="175"/>
      <c r="I24" s="175"/>
      <c r="J24" s="175"/>
      <c r="K24" s="175"/>
      <c r="L24" s="175"/>
      <c r="M24" s="175"/>
      <c r="N24" s="175"/>
      <c r="O24" s="175"/>
      <c r="P24" s="175"/>
      <c r="Q24" s="44"/>
    </row>
    <row r="25" spans="1:20" ht="15" customHeight="1" x14ac:dyDescent="0.25">
      <c r="B25" s="173">
        <v>20</v>
      </c>
      <c r="C25" s="174" t="s">
        <v>128</v>
      </c>
      <c r="D25" s="44"/>
      <c r="E25" s="44"/>
      <c r="F25" s="44"/>
      <c r="G25" s="175"/>
      <c r="H25" s="175"/>
      <c r="I25" s="175"/>
      <c r="J25" s="175"/>
      <c r="K25" s="175"/>
      <c r="L25" s="175"/>
      <c r="M25" s="175"/>
      <c r="N25" s="175"/>
      <c r="O25" s="175"/>
      <c r="P25" s="175"/>
      <c r="Q25" s="44"/>
    </row>
    <row r="26" spans="1:20" ht="60" customHeight="1" x14ac:dyDescent="0.25">
      <c r="B26" s="144">
        <v>60</v>
      </c>
      <c r="C26" s="176" t="s">
        <v>129</v>
      </c>
      <c r="D26" s="176"/>
      <c r="E26" s="176"/>
      <c r="F26" s="176"/>
      <c r="G26" s="176"/>
      <c r="H26" s="176"/>
      <c r="I26" s="176"/>
      <c r="J26" s="176"/>
      <c r="K26" s="176"/>
      <c r="L26" s="176"/>
      <c r="M26" s="176"/>
      <c r="N26" s="176"/>
      <c r="O26" s="176"/>
      <c r="P26" s="176"/>
      <c r="Q26" s="44"/>
    </row>
    <row r="27" spans="1:20" ht="20.25" customHeight="1" thickBot="1" x14ac:dyDescent="0.3">
      <c r="B27" s="177"/>
      <c r="C27" s="178" t="s">
        <v>130</v>
      </c>
      <c r="D27" s="179"/>
      <c r="E27" s="180"/>
      <c r="F27" s="179"/>
      <c r="G27" s="181"/>
      <c r="H27" s="181"/>
      <c r="I27" s="181"/>
      <c r="J27" s="181"/>
      <c r="K27" s="182"/>
      <c r="L27" s="182"/>
      <c r="M27" s="182"/>
      <c r="N27" s="183"/>
      <c r="O27" s="184"/>
      <c r="P27" s="184"/>
      <c r="Q27" s="185"/>
    </row>
    <row r="28" spans="1:20" ht="20.25" customHeight="1" x14ac:dyDescent="0.25">
      <c r="A28" s="186"/>
      <c r="B28" s="187">
        <v>20</v>
      </c>
      <c r="C28" s="188"/>
      <c r="D28" s="187"/>
      <c r="E28" s="189"/>
      <c r="F28" s="187"/>
      <c r="G28" s="190"/>
      <c r="H28" s="190"/>
      <c r="I28" s="190"/>
      <c r="J28" s="190"/>
      <c r="K28" s="188"/>
      <c r="L28" s="188"/>
      <c r="M28" s="188"/>
      <c r="N28" s="188"/>
      <c r="O28" s="188"/>
      <c r="P28" s="191"/>
      <c r="Q28" s="44"/>
    </row>
    <row r="29" spans="1:20" ht="18" customHeight="1" x14ac:dyDescent="0.25">
      <c r="A29" s="186"/>
      <c r="B29" s="187">
        <v>18</v>
      </c>
      <c r="C29" s="192" t="s">
        <v>131</v>
      </c>
      <c r="D29" s="189">
        <v>6.9900000000000004E-2</v>
      </c>
      <c r="E29" s="189"/>
      <c r="F29" s="187"/>
      <c r="G29" s="190"/>
      <c r="H29" s="190"/>
      <c r="I29" s="190"/>
      <c r="J29" s="190"/>
      <c r="K29" s="188"/>
      <c r="L29" s="188"/>
      <c r="M29" s="188"/>
      <c r="N29" s="188"/>
      <c r="O29" s="188"/>
      <c r="P29" s="191"/>
      <c r="Q29" s="44"/>
    </row>
    <row r="30" spans="1:20" s="44" customFormat="1" ht="15" customHeight="1" x14ac:dyDescent="0.25">
      <c r="A30" s="193"/>
      <c r="B30" s="194">
        <v>7.5</v>
      </c>
      <c r="C30" s="194">
        <v>12</v>
      </c>
      <c r="D30" s="194">
        <v>8</v>
      </c>
      <c r="E30" s="194">
        <v>8</v>
      </c>
      <c r="F30" s="194">
        <v>10</v>
      </c>
      <c r="G30" s="194">
        <v>8.5</v>
      </c>
      <c r="H30" s="194">
        <v>12</v>
      </c>
      <c r="I30" s="194">
        <v>8</v>
      </c>
      <c r="J30" s="194">
        <v>8</v>
      </c>
      <c r="K30" s="194">
        <v>10</v>
      </c>
      <c r="L30" s="194">
        <v>8.5</v>
      </c>
      <c r="M30" s="194">
        <v>12</v>
      </c>
      <c r="N30" s="194">
        <v>8</v>
      </c>
      <c r="O30" s="194">
        <v>8</v>
      </c>
      <c r="P30" s="144">
        <v>10</v>
      </c>
      <c r="Q30" s="144">
        <v>7.5</v>
      </c>
    </row>
    <row r="31" spans="1:20" s="44" customFormat="1" ht="22.15" customHeight="1" x14ac:dyDescent="0.25">
      <c r="A31" s="193"/>
      <c r="B31" s="195" t="s">
        <v>132</v>
      </c>
      <c r="C31" s="196">
        <f>'[1]26MY_ODYSSEY_DATA'!$C$3</f>
        <v>45902</v>
      </c>
      <c r="D31" s="175" t="str">
        <f>'SELECT PROVINCE'!$A$23</f>
        <v>All published prices, trim specifications, and availability are subject to change without prior notice.</v>
      </c>
      <c r="E31" s="197"/>
      <c r="F31" s="197"/>
      <c r="G31" s="197"/>
      <c r="H31" s="197"/>
      <c r="I31" s="197"/>
      <c r="J31" s="197"/>
      <c r="K31" s="197"/>
      <c r="L31" s="197"/>
      <c r="M31" s="197"/>
      <c r="N31" s="197"/>
      <c r="O31" s="173"/>
      <c r="P31" s="198" t="s">
        <v>25</v>
      </c>
      <c r="Q31" s="199" t="str">
        <f>'[1]26MY_ODYSSEY_DATA'!L5</f>
        <v>YT</v>
      </c>
    </row>
    <row r="32" spans="1:20" ht="15.75" x14ac:dyDescent="0.25">
      <c r="D32" s="201"/>
      <c r="P32" s="202"/>
      <c r="Q32" s="203"/>
      <c r="T32" s="204"/>
    </row>
    <row r="33" spans="2:2" x14ac:dyDescent="0.25">
      <c r="B33" s="205"/>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5" fitToHeight="0" orientation="portrait" r:id="rId1"/>
  <headerFooter scaleWithDoc="0"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20D8D-76D3-4BBD-904B-E66C56237876}">
  <sheetPr codeName="Sheet5">
    <tabColor theme="3" tint="-0.249977111117893"/>
    <pageSetUpPr fitToPage="1"/>
  </sheetPr>
  <dimension ref="B2:T158"/>
  <sheetViews>
    <sheetView tabSelected="1" view="pageBreakPreview" topLeftCell="A76" zoomScale="80" zoomScaleNormal="60" zoomScaleSheetLayoutView="80" workbookViewId="0">
      <selection activeCell="B32" sqref="B32"/>
    </sheetView>
  </sheetViews>
  <sheetFormatPr defaultColWidth="9.140625" defaultRowHeight="12.75" outlineLevelCol="1" x14ac:dyDescent="0.25"/>
  <cols>
    <col min="1" max="1" width="9.140625" style="28"/>
    <col min="2" max="2" width="15.5703125" style="139" hidden="1" customWidth="1"/>
    <col min="3" max="3" width="56.140625" style="28" customWidth="1"/>
    <col min="4" max="4" width="22" style="28" customWidth="1"/>
    <col min="5" max="5" width="10.85546875" style="28" customWidth="1" outlineLevel="1"/>
    <col min="6" max="6" width="14.5703125" style="28" customWidth="1"/>
    <col min="7" max="7" width="9.42578125" style="28" customWidth="1"/>
    <col min="8" max="8" width="15" style="28" customWidth="1"/>
    <col min="9" max="9" width="10.5703125" style="28" hidden="1" customWidth="1"/>
    <col min="10" max="11" width="10.5703125" style="28" customWidth="1"/>
    <col min="12" max="12" width="10.85546875" style="28" customWidth="1"/>
    <col min="13" max="13" width="10.5703125" style="28" customWidth="1"/>
    <col min="14" max="16" width="10.5703125" style="28" hidden="1" customWidth="1"/>
    <col min="17" max="17" width="62" style="28" customWidth="1"/>
    <col min="18" max="16384" width="9.140625" style="28"/>
  </cols>
  <sheetData>
    <row r="2" spans="2:20" ht="35.25" customHeight="1" x14ac:dyDescent="0.25">
      <c r="B2" s="20" t="s">
        <v>17</v>
      </c>
      <c r="C2" s="21" t="s">
        <v>133</v>
      </c>
      <c r="D2" s="21"/>
      <c r="E2" s="22"/>
      <c r="F2" s="23"/>
      <c r="G2" s="24"/>
      <c r="H2" s="25"/>
      <c r="I2" s="25"/>
      <c r="J2" s="25"/>
      <c r="K2" s="26"/>
      <c r="L2" s="27"/>
      <c r="M2" s="26"/>
      <c r="N2" s="26"/>
      <c r="O2" s="26"/>
      <c r="P2" s="26"/>
      <c r="Q2" s="26"/>
    </row>
    <row r="3" spans="2:20" ht="30" customHeight="1" x14ac:dyDescent="0.25">
      <c r="B3" s="20"/>
      <c r="C3" s="29" t="s">
        <v>134</v>
      </c>
      <c r="D3" s="30" t="str">
        <f>'[1]26MY_ODYSSEY_DATA'!C1</f>
        <v>Odyssey</v>
      </c>
      <c r="E3" s="31"/>
      <c r="F3" s="32"/>
      <c r="G3" s="24"/>
      <c r="H3" s="25"/>
      <c r="I3" s="25"/>
      <c r="J3" s="25"/>
      <c r="K3" s="33"/>
      <c r="M3" s="34"/>
      <c r="N3" s="34"/>
      <c r="O3" s="34"/>
      <c r="P3" s="26"/>
      <c r="Q3" s="26"/>
    </row>
    <row r="4" spans="2:20" ht="30" customHeight="1" x14ac:dyDescent="0.25">
      <c r="B4" s="20"/>
      <c r="C4" s="29" t="s">
        <v>135</v>
      </c>
      <c r="D4" s="30">
        <f>'[1]26MY_ODYSSEY_DATA'!C2</f>
        <v>2026</v>
      </c>
      <c r="E4" s="31"/>
      <c r="F4" s="32"/>
      <c r="G4" s="24"/>
      <c r="H4" s="25"/>
      <c r="I4" s="25"/>
      <c r="J4" s="25"/>
      <c r="K4" s="26"/>
      <c r="L4" s="35"/>
      <c r="M4" s="26"/>
      <c r="N4" s="26"/>
      <c r="O4" s="26"/>
      <c r="P4" s="26"/>
      <c r="Q4" s="26"/>
    </row>
    <row r="5" spans="2:20" x14ac:dyDescent="0.25">
      <c r="B5" s="20"/>
      <c r="C5" s="206" t="s">
        <v>136</v>
      </c>
      <c r="D5" s="207"/>
      <c r="E5" s="207"/>
      <c r="F5" s="207"/>
      <c r="G5" s="207"/>
      <c r="H5" s="207"/>
      <c r="I5" s="207"/>
      <c r="J5" s="207"/>
      <c r="K5" s="207"/>
      <c r="L5" s="207"/>
      <c r="M5" s="208"/>
      <c r="N5" s="209"/>
      <c r="O5" s="209"/>
      <c r="P5" s="37"/>
      <c r="Q5" s="38"/>
    </row>
    <row r="6" spans="2:20" x14ac:dyDescent="0.25">
      <c r="B6" s="20"/>
      <c r="C6" s="210" t="s">
        <v>137</v>
      </c>
      <c r="D6" s="211"/>
      <c r="E6" s="211"/>
      <c r="F6" s="211"/>
      <c r="G6" s="211"/>
      <c r="H6" s="211"/>
      <c r="I6" s="211"/>
      <c r="J6" s="211"/>
      <c r="K6" s="211"/>
      <c r="L6" s="211"/>
      <c r="M6" s="212"/>
      <c r="N6" s="213"/>
      <c r="O6" s="213"/>
      <c r="P6" s="37"/>
      <c r="Q6" s="38"/>
    </row>
    <row r="7" spans="2:20" x14ac:dyDescent="0.25">
      <c r="B7" s="20"/>
      <c r="C7" s="210" t="s">
        <v>138</v>
      </c>
      <c r="D7" s="211"/>
      <c r="E7" s="211"/>
      <c r="F7" s="211"/>
      <c r="G7" s="211"/>
      <c r="H7" s="211"/>
      <c r="I7" s="211"/>
      <c r="J7" s="211"/>
      <c r="K7" s="211"/>
      <c r="L7" s="211"/>
      <c r="M7" s="212"/>
      <c r="N7" s="213"/>
      <c r="O7" s="213"/>
      <c r="P7" s="37"/>
      <c r="Q7" s="38"/>
    </row>
    <row r="8" spans="2:20" x14ac:dyDescent="0.25">
      <c r="B8" s="20"/>
      <c r="C8" s="214" t="s">
        <v>139</v>
      </c>
      <c r="D8" s="215"/>
      <c r="E8" s="215"/>
      <c r="F8" s="215"/>
      <c r="G8" s="215"/>
      <c r="H8" s="215"/>
      <c r="I8" s="215"/>
      <c r="J8" s="215"/>
      <c r="K8" s="215"/>
      <c r="L8" s="215"/>
      <c r="M8" s="216"/>
      <c r="N8" s="217"/>
      <c r="O8" s="217"/>
      <c r="P8" s="37"/>
      <c r="Q8" s="38"/>
    </row>
    <row r="9" spans="2:20" x14ac:dyDescent="0.25">
      <c r="B9" s="20"/>
      <c r="C9" s="41"/>
      <c r="D9" s="41"/>
      <c r="E9" s="41"/>
      <c r="F9" s="41"/>
      <c r="G9" s="41"/>
      <c r="H9" s="41"/>
      <c r="I9" s="41"/>
      <c r="J9" s="41"/>
      <c r="K9" s="41"/>
      <c r="L9" s="41"/>
      <c r="M9" s="41"/>
      <c r="N9" s="41"/>
      <c r="O9" s="41"/>
      <c r="P9" s="42"/>
      <c r="Q9" s="43"/>
    </row>
    <row r="10" spans="2:20" ht="15" x14ac:dyDescent="0.2">
      <c r="B10" s="20"/>
      <c r="C10" s="44"/>
      <c r="D10" s="44"/>
      <c r="E10" s="44"/>
      <c r="F10" s="44"/>
      <c r="G10" s="44"/>
      <c r="H10" s="45" t="s">
        <v>25</v>
      </c>
      <c r="I10" s="44"/>
      <c r="J10" s="44"/>
      <c r="K10" s="44"/>
      <c r="L10" s="44"/>
      <c r="M10" s="44"/>
      <c r="N10" s="44"/>
      <c r="O10" s="44"/>
      <c r="P10" s="44"/>
      <c r="Q10" s="46"/>
    </row>
    <row r="11" spans="2:20" ht="18.75" x14ac:dyDescent="0.3">
      <c r="B11" s="20"/>
      <c r="C11" s="47" t="s">
        <v>140</v>
      </c>
      <c r="D11" s="48"/>
      <c r="E11" s="49"/>
      <c r="F11" s="49"/>
      <c r="G11" s="50"/>
      <c r="H11" s="51" t="str">
        <f>prov_cd</f>
        <v>YT</v>
      </c>
      <c r="I11" s="52"/>
      <c r="J11" s="44"/>
      <c r="K11" s="44"/>
      <c r="L11" s="44"/>
      <c r="M11" s="44"/>
      <c r="N11" s="44"/>
      <c r="O11" s="44"/>
      <c r="P11" s="44"/>
      <c r="Q11" s="44"/>
    </row>
    <row r="12" spans="2:20" ht="15" x14ac:dyDescent="0.25">
      <c r="B12" s="20"/>
      <c r="C12" s="53" t="s">
        <v>141</v>
      </c>
      <c r="D12" s="53" t="s">
        <v>142</v>
      </c>
      <c r="E12" s="53" t="s">
        <v>143</v>
      </c>
      <c r="F12" s="53" t="s">
        <v>144</v>
      </c>
      <c r="G12" s="53" t="s">
        <v>145</v>
      </c>
      <c r="H12" s="54" t="s">
        <v>146</v>
      </c>
      <c r="I12" s="53" t="s">
        <v>33</v>
      </c>
      <c r="J12" s="53"/>
      <c r="K12" s="53"/>
      <c r="L12" s="53"/>
      <c r="M12" s="53"/>
      <c r="N12" s="53"/>
      <c r="O12" s="53"/>
      <c r="P12" s="53"/>
      <c r="Q12" s="53" t="s">
        <v>147</v>
      </c>
    </row>
    <row r="13" spans="2:20" ht="29.1" customHeight="1" x14ac:dyDescent="0.25">
      <c r="B13" s="20"/>
      <c r="C13" s="53"/>
      <c r="D13" s="53"/>
      <c r="E13" s="53"/>
      <c r="F13" s="53"/>
      <c r="G13" s="53"/>
      <c r="H13" s="54"/>
      <c r="I13" s="55">
        <f>'[1]26MY_ODYSSEY_DATA'!M$6</f>
        <v>0</v>
      </c>
      <c r="J13" s="55" t="str">
        <f>'[1]26MY_ODYSSEY_DATA'!N$6</f>
        <v>Sport</v>
      </c>
      <c r="K13" s="55" t="str">
        <f>'[1]26MY_ODYSSEY_DATA'!O$6</f>
        <v>Sport-L</v>
      </c>
      <c r="L13" s="55" t="str">
        <f>'[1]26MY_ODYSSEY_DATA'!P$6</f>
        <v>Touring</v>
      </c>
      <c r="M13" s="55" t="str">
        <f>'[1]26MY_ODYSSEY_DATA'!Q$6</f>
        <v>Black Edition</v>
      </c>
      <c r="N13" s="55">
        <f>'[1]26MY_ODYSSEY_DATA'!R$6</f>
        <v>0</v>
      </c>
      <c r="O13" s="55">
        <f>'[1]26MY_ODYSSEY_DATA'!S$6</f>
        <v>0</v>
      </c>
      <c r="P13" s="55">
        <f>'[1]26MY_ODYSSEY_DATA'!T$6</f>
        <v>0</v>
      </c>
      <c r="Q13" s="53"/>
    </row>
    <row r="14" spans="2:20" s="75" customFormat="1" ht="15" x14ac:dyDescent="0.25">
      <c r="B14" s="56" t="s">
        <v>35</v>
      </c>
      <c r="C14" s="57" t="str">
        <f>VLOOKUP(B14,'[1]26MY_ODYSSEY_DATA'!B:AR,4,FALSE)</f>
        <v xml:space="preserve">Ensemble de protection 1 </v>
      </c>
      <c r="D14" s="85" t="str">
        <f>B14</f>
        <v>25ODY-PRO-PKG1</v>
      </c>
      <c r="E14" s="59">
        <f>VLOOKUP(B14,'[1]26MY_ODYSSEY_DATA'!B:AR,9,FALSE)</f>
        <v>375.3</v>
      </c>
      <c r="F14" s="59">
        <f>VLOOKUP(B14,'[1]26MY_ODYSSEY_DATA'!B:AR,10,FALSE)</f>
        <v>695</v>
      </c>
      <c r="G14" s="60">
        <f>VLOOKUP(B14,'[1]26MY_ODYSSEY_DATA'!B:AR,7,FALSE)</f>
        <v>0.60000000000000009</v>
      </c>
      <c r="H14" s="61">
        <f>VLOOKUP(B14,'[1]26MY_ODYSSEY_DATA'!B:AR,11,FALSE)</f>
        <v>795.8</v>
      </c>
      <c r="I14" s="62">
        <f>VLOOKUP(B14,'[1]26MY_ODYSSEY_DATA'!B:AR,12,FALSE)</f>
        <v>0</v>
      </c>
      <c r="J14" s="62" t="str">
        <f>VLOOKUP(B14,'[1]26MY_ODYSSEY_DATA'!B:AR,13,FALSE)</f>
        <v>•</v>
      </c>
      <c r="K14" s="62" t="str">
        <f>VLOOKUP(B14,'[1]26MY_ODYSSEY_DATA'!B:AR,14,FALSE)</f>
        <v>•</v>
      </c>
      <c r="L14" s="62" t="str">
        <f>VLOOKUP(B14,'[1]26MY_ODYSSEY_DATA'!B:AR,15,FALSE)</f>
        <v>•</v>
      </c>
      <c r="M14" s="62" t="str">
        <f>VLOOKUP(B14,'[1]26MY_ODYSSEY_DATA'!B:AR,16,FALSE)</f>
        <v>•</v>
      </c>
      <c r="N14" s="62">
        <f>VLOOKUP($B14,'[1]26MY_ODYSSEY_DATA'!$B:$AR,17,FALSE)</f>
        <v>0</v>
      </c>
      <c r="O14" s="62">
        <f>VLOOKUP($B14,'[1]26MY_ODYSSEY_DATA'!$B:$AR,18,FALSE)</f>
        <v>0</v>
      </c>
      <c r="P14" s="62">
        <f>VLOOKUP($B14,'[1]26MY_ODYSSEY_DATA'!$B:$AR,19,FALSE)</f>
        <v>0</v>
      </c>
      <c r="Q14" s="63" t="str">
        <f>IF(VLOOKUP(B14,'[1]26MY_ODYSSEY_DATA'!B:AR,21,FALSE)="","",VLOOKUP(B14,'[1]26MY_ODYSSEY_DATA'!B:AR,21,FALSE))</f>
        <v>Inscription 'ODYSSEY' blanche sur les tapis de sol.Plateau de chargement - Profond.</v>
      </c>
      <c r="R14" s="74"/>
      <c r="S14" s="74"/>
      <c r="T14" s="74"/>
    </row>
    <row r="15" spans="2:20" s="75" customFormat="1" ht="15" x14ac:dyDescent="0.25">
      <c r="B15" s="66" t="s">
        <v>36</v>
      </c>
      <c r="C15" s="67" t="str">
        <f>VLOOKUP(B15,'[1]26MY_ODYSSEY_DATA'!B:AR,4,FALSE)</f>
        <v>Protège-tapis toutes saisons - logo blanc</v>
      </c>
      <c r="D15" s="68" t="str">
        <f t="shared" ref="D15:D17" si="0">B15</f>
        <v>08P17-THR-110A</v>
      </c>
      <c r="E15" s="69"/>
      <c r="F15" s="69"/>
      <c r="G15" s="70"/>
      <c r="H15" s="71"/>
      <c r="I15" s="72"/>
      <c r="J15" s="72"/>
      <c r="K15" s="72"/>
      <c r="L15" s="72"/>
      <c r="M15" s="72"/>
      <c r="N15" s="72"/>
      <c r="O15" s="72"/>
      <c r="P15" s="72"/>
      <c r="Q15" s="73"/>
      <c r="R15" s="74"/>
      <c r="S15" s="74"/>
      <c r="T15" s="74"/>
    </row>
    <row r="16" spans="2:20" s="75" customFormat="1" ht="15" x14ac:dyDescent="0.25">
      <c r="B16" s="66" t="s">
        <v>37</v>
      </c>
      <c r="C16" s="67" t="str">
        <f>VLOOKUP(B16,'[1]26MY_ODYSSEY_DATA'!B:AR,4,FALSE)</f>
        <v>Plateau de compartiment à bagages - profond</v>
      </c>
      <c r="D16" s="68" t="str">
        <f t="shared" si="0"/>
        <v>08U45-THR-100A</v>
      </c>
      <c r="E16" s="69"/>
      <c r="F16" s="69"/>
      <c r="G16" s="70"/>
      <c r="H16" s="71"/>
      <c r="I16" s="72"/>
      <c r="J16" s="72"/>
      <c r="K16" s="72"/>
      <c r="L16" s="72"/>
      <c r="M16" s="72"/>
      <c r="N16" s="72"/>
      <c r="O16" s="72"/>
      <c r="P16" s="72"/>
      <c r="Q16" s="73"/>
      <c r="R16" s="74"/>
      <c r="S16" s="74"/>
      <c r="T16" s="74"/>
    </row>
    <row r="17" spans="2:20" s="75" customFormat="1" ht="14.1" customHeight="1" x14ac:dyDescent="0.25">
      <c r="B17" s="56" t="s">
        <v>38</v>
      </c>
      <c r="C17" s="67" t="str">
        <f>VLOOKUP(B17,'[1]26MY_ODYSSEY_DATA'!B:AR,4,FALSE)</f>
        <v xml:space="preserve">Garde-boue arrière </v>
      </c>
      <c r="D17" s="76" t="str">
        <f t="shared" si="0"/>
        <v>08P09-THR-300A</v>
      </c>
      <c r="E17" s="77"/>
      <c r="F17" s="77"/>
      <c r="G17" s="78"/>
      <c r="H17" s="79"/>
      <c r="I17" s="80"/>
      <c r="J17" s="80"/>
      <c r="K17" s="80"/>
      <c r="L17" s="80"/>
      <c r="M17" s="80"/>
      <c r="N17" s="80"/>
      <c r="O17" s="80"/>
      <c r="P17" s="80"/>
      <c r="Q17" s="81"/>
      <c r="R17" s="74"/>
      <c r="S17" s="74"/>
      <c r="T17" s="74"/>
    </row>
    <row r="18" spans="2:20" s="75" customFormat="1" ht="7.15" customHeight="1" x14ac:dyDescent="0.25">
      <c r="B18" s="56"/>
      <c r="C18" s="82"/>
      <c r="D18" s="83"/>
      <c r="E18" s="83"/>
      <c r="F18" s="83"/>
      <c r="G18" s="83"/>
      <c r="H18" s="83"/>
      <c r="I18" s="83"/>
      <c r="J18" s="83"/>
      <c r="K18" s="83"/>
      <c r="L18" s="83"/>
      <c r="M18" s="83"/>
      <c r="N18" s="83"/>
      <c r="O18" s="83"/>
      <c r="P18" s="83"/>
      <c r="Q18" s="84"/>
      <c r="R18" s="74"/>
      <c r="S18" s="74"/>
      <c r="T18" s="74"/>
    </row>
    <row r="19" spans="2:20" s="75" customFormat="1" ht="15" x14ac:dyDescent="0.25">
      <c r="B19" s="56" t="s">
        <v>39</v>
      </c>
      <c r="C19" s="57" t="str">
        <f>VLOOKUP(B19,'[1]26MY_ODYSSEY_DATA'!B:AR,4,FALSE)</f>
        <v>Ensemble de protection 2</v>
      </c>
      <c r="D19" s="85" t="str">
        <f>B19</f>
        <v>25ODY-PRO-PKG2</v>
      </c>
      <c r="E19" s="59">
        <f>VLOOKUP(B19,'[1]26MY_ODYSSEY_DATA'!B:AR,9,FALSE)</f>
        <v>393.3</v>
      </c>
      <c r="F19" s="59">
        <f>VLOOKUP(B19,'[1]26MY_ODYSSEY_DATA'!B:AR,10,FALSE)</f>
        <v>729</v>
      </c>
      <c r="G19" s="60">
        <f>VLOOKUP(B19,'[1]26MY_ODYSSEY_DATA'!B:AR,7,FALSE)</f>
        <v>0.60000000000000009</v>
      </c>
      <c r="H19" s="61">
        <f>VLOOKUP(B19,'[1]26MY_ODYSSEY_DATA'!B:AR,11,FALSE)</f>
        <v>829.8</v>
      </c>
      <c r="I19" s="62">
        <f>VLOOKUP(B19,'[1]26MY_ODYSSEY_DATA'!B:AR,12,FALSE)</f>
        <v>0</v>
      </c>
      <c r="J19" s="62" t="str">
        <f>VLOOKUP(B19,'[1]26MY_ODYSSEY_DATA'!B:AR,13,FALSE)</f>
        <v>•</v>
      </c>
      <c r="K19" s="62" t="str">
        <f>VLOOKUP(B19,'[1]26MY_ODYSSEY_DATA'!B:AR,14,FALSE)</f>
        <v>•</v>
      </c>
      <c r="L19" s="62" t="str">
        <f>VLOOKUP(B19,'[1]26MY_ODYSSEY_DATA'!B:AR,15,FALSE)</f>
        <v>•</v>
      </c>
      <c r="M19" s="62" t="str">
        <f>VLOOKUP(B19,'[1]26MY_ODYSSEY_DATA'!B:AR,16,FALSE)</f>
        <v>•</v>
      </c>
      <c r="N19" s="62">
        <f>VLOOKUP($B19,'[1]26MY_ODYSSEY_DATA'!$B:$AR,17,FALSE)</f>
        <v>0</v>
      </c>
      <c r="O19" s="62">
        <f>VLOOKUP($B19,'[1]26MY_ODYSSEY_DATA'!$B:$AR,18,FALSE)</f>
        <v>0</v>
      </c>
      <c r="P19" s="62">
        <f>VLOOKUP($B19,'[1]26MY_ODYSSEY_DATA'!$B:$AR,19,FALSE)</f>
        <v>0</v>
      </c>
      <c r="Q19" s="63" t="str">
        <f>IF(VLOOKUP(B19,'[1]26MY_ODYSSEY_DATA'!B:AR,21,FALSE)="","",VLOOKUP(B19,'[1]26MY_ODYSSEY_DATA'!B:AR,21,FALSE))</f>
        <v>Inscription 'ODYSSEY' blanche sur les tapis de sol.
Plateau de chargement - Pliable.</v>
      </c>
      <c r="R19" s="74"/>
      <c r="S19" s="74"/>
      <c r="T19" s="74"/>
    </row>
    <row r="20" spans="2:20" s="75" customFormat="1" ht="15" x14ac:dyDescent="0.25">
      <c r="B20" s="66" t="s">
        <v>36</v>
      </c>
      <c r="C20" s="67" t="str">
        <f>VLOOKUP(B20,'[1]26MY_ODYSSEY_DATA'!B:AR,4,FALSE)</f>
        <v>Protège-tapis toutes saisons - logo blanc</v>
      </c>
      <c r="D20" s="68" t="str">
        <f t="shared" ref="D20:D22" si="1">B20</f>
        <v>08P17-THR-110A</v>
      </c>
      <c r="E20" s="69"/>
      <c r="F20" s="69"/>
      <c r="G20" s="70"/>
      <c r="H20" s="71"/>
      <c r="I20" s="72"/>
      <c r="J20" s="72"/>
      <c r="K20" s="72"/>
      <c r="L20" s="72"/>
      <c r="M20" s="72"/>
      <c r="N20" s="72"/>
      <c r="O20" s="72"/>
      <c r="P20" s="72"/>
      <c r="Q20" s="73"/>
      <c r="R20" s="74"/>
      <c r="S20" s="74"/>
      <c r="T20" s="74"/>
    </row>
    <row r="21" spans="2:20" s="75" customFormat="1" ht="15" x14ac:dyDescent="0.25">
      <c r="B21" s="56" t="s">
        <v>40</v>
      </c>
      <c r="C21" s="67" t="str">
        <f>VLOOKUP(B21,'[1]26MY_ODYSSEY_DATA'!B:AR,4,FALSE)</f>
        <v>Plateaux de coffre pliants</v>
      </c>
      <c r="D21" s="76" t="str">
        <f t="shared" si="1"/>
        <v>08U45-THR-100B</v>
      </c>
      <c r="E21" s="69"/>
      <c r="F21" s="69"/>
      <c r="G21" s="70"/>
      <c r="H21" s="71"/>
      <c r="I21" s="72"/>
      <c r="J21" s="72"/>
      <c r="K21" s="72"/>
      <c r="L21" s="72"/>
      <c r="M21" s="72"/>
      <c r="N21" s="72"/>
      <c r="O21" s="72"/>
      <c r="P21" s="72"/>
      <c r="Q21" s="73"/>
      <c r="R21" s="74"/>
      <c r="S21" s="74"/>
      <c r="T21" s="74"/>
    </row>
    <row r="22" spans="2:20" s="75" customFormat="1" ht="15" x14ac:dyDescent="0.25">
      <c r="B22" s="56" t="s">
        <v>38</v>
      </c>
      <c r="C22" s="67" t="str">
        <f>VLOOKUP(B22,'[1]26MY_ODYSSEY_DATA'!B:AR,4,FALSE)</f>
        <v xml:space="preserve">Garde-boue arrière </v>
      </c>
      <c r="D22" s="76" t="str">
        <f t="shared" si="1"/>
        <v>08P09-THR-300A</v>
      </c>
      <c r="E22" s="77"/>
      <c r="F22" s="77"/>
      <c r="G22" s="78"/>
      <c r="H22" s="79"/>
      <c r="I22" s="80"/>
      <c r="J22" s="80"/>
      <c r="K22" s="80"/>
      <c r="L22" s="80"/>
      <c r="M22" s="80"/>
      <c r="N22" s="80"/>
      <c r="O22" s="80"/>
      <c r="P22" s="80"/>
      <c r="Q22" s="81"/>
      <c r="R22" s="74"/>
      <c r="S22" s="74"/>
      <c r="T22" s="74"/>
    </row>
    <row r="23" spans="2:20" s="75" customFormat="1" ht="7.15" customHeight="1" x14ac:dyDescent="0.25">
      <c r="B23" s="56"/>
      <c r="C23" s="82"/>
      <c r="D23" s="83"/>
      <c r="E23" s="83"/>
      <c r="F23" s="83"/>
      <c r="G23" s="83"/>
      <c r="H23" s="83"/>
      <c r="I23" s="83"/>
      <c r="J23" s="83"/>
      <c r="K23" s="83"/>
      <c r="L23" s="83"/>
      <c r="M23" s="83"/>
      <c r="N23" s="83"/>
      <c r="O23" s="83"/>
      <c r="P23" s="83"/>
      <c r="Q23" s="84"/>
      <c r="R23" s="74"/>
      <c r="S23" s="74"/>
      <c r="T23" s="74"/>
    </row>
    <row r="24" spans="2:20" s="75" customFormat="1" ht="15" x14ac:dyDescent="0.25">
      <c r="B24" s="56" t="s">
        <v>41</v>
      </c>
      <c r="C24" s="57" t="str">
        <f>VLOOKUP(B24,'[1]26MY_ODYSSEY_DATA'!B:AR,4,FALSE)</f>
        <v>Ensemble de temps froid</v>
      </c>
      <c r="D24" s="85" t="str">
        <f>B24</f>
        <v>21ODY-COLD-PKG</v>
      </c>
      <c r="E24" s="59">
        <f>VLOOKUP(B24,'[1]26MY_ODYSSEY_DATA'!B:AR,9,FALSE)</f>
        <v>224.2</v>
      </c>
      <c r="F24" s="59">
        <f>VLOOKUP(B24,'[1]26MY_ODYSSEY_DATA'!B:AR,10,FALSE)</f>
        <v>374.29999999999995</v>
      </c>
      <c r="G24" s="60">
        <f>VLOOKUP(B24,'[1]26MY_ODYSSEY_DATA'!B:AR,7,FALSE)</f>
        <v>1.4</v>
      </c>
      <c r="H24" s="61">
        <f>VLOOKUP(B24,'[1]26MY_ODYSSEY_DATA'!B:AR,11,FALSE)</f>
        <v>609.5</v>
      </c>
      <c r="I24" s="62">
        <f>VLOOKUP(B24,'[1]26MY_ODYSSEY_DATA'!B:AR,12,FALSE)</f>
        <v>0</v>
      </c>
      <c r="J24" s="62" t="str">
        <f>VLOOKUP(B24,'[1]26MY_ODYSSEY_DATA'!B:AR,13,FALSE)</f>
        <v>•</v>
      </c>
      <c r="K24" s="62" t="str">
        <f>VLOOKUP(B24,'[1]26MY_ODYSSEY_DATA'!B:AR,14,FALSE)</f>
        <v>•</v>
      </c>
      <c r="L24" s="62" t="str">
        <f>VLOOKUP(B24,'[1]26MY_ODYSSEY_DATA'!B:AR,15,FALSE)</f>
        <v>•</v>
      </c>
      <c r="M24" s="62" t="str">
        <f>VLOOKUP(B24,'[1]26MY_ODYSSEY_DATA'!B:AR,16,FALSE)</f>
        <v>•</v>
      </c>
      <c r="N24" s="62">
        <f>VLOOKUP($B24,'[1]26MY_ODYSSEY_DATA'!$B:$AR,17,FALSE)</f>
        <v>0</v>
      </c>
      <c r="O24" s="62">
        <f>VLOOKUP($B24,'[1]26MY_ODYSSEY_DATA'!$B:$AR,18,FALSE)</f>
        <v>0</v>
      </c>
      <c r="P24" s="62">
        <f>VLOOKUP($B24,'[1]26MY_ODYSSEY_DATA'!$B:$AR,19,FALSE)</f>
        <v>0</v>
      </c>
      <c r="Q24" s="63" t="str">
        <f>IF(VLOOKUP(B24,'[1]26MY_ODYSSEY_DATA'!B:AR,21,FALSE)="","",VLOOKUP(B24,'[1]26MY_ODYSSEY_DATA'!B:AR,21,FALSE))</f>
        <v>Rabais de 5% est appliqué.</v>
      </c>
      <c r="R24" s="74"/>
      <c r="S24" s="74"/>
      <c r="T24" s="74"/>
    </row>
    <row r="25" spans="2:20" s="75" customFormat="1" ht="15" x14ac:dyDescent="0.25">
      <c r="B25" s="56" t="s">
        <v>42</v>
      </c>
      <c r="C25" s="67" t="str">
        <f>VLOOKUP(B25,'[1]26MY_ODYSSEY_DATA'!B:AR,4,FALSE)</f>
        <v xml:space="preserve">Chauffe-moteur   </v>
      </c>
      <c r="D25" s="76" t="str">
        <f t="shared" ref="D25:D26" si="2">B25</f>
        <v>08T44-SJA-401A</v>
      </c>
      <c r="E25" s="69"/>
      <c r="F25" s="69"/>
      <c r="G25" s="70"/>
      <c r="H25" s="71"/>
      <c r="I25" s="72"/>
      <c r="J25" s="72"/>
      <c r="K25" s="72"/>
      <c r="L25" s="72"/>
      <c r="M25" s="72"/>
      <c r="N25" s="72"/>
      <c r="O25" s="72"/>
      <c r="P25" s="72"/>
      <c r="Q25" s="73"/>
      <c r="R25" s="74"/>
      <c r="S25" s="74"/>
      <c r="T25" s="74"/>
    </row>
    <row r="26" spans="2:20" s="75" customFormat="1" ht="15" x14ac:dyDescent="0.25">
      <c r="B26" s="56" t="s">
        <v>43</v>
      </c>
      <c r="C26" s="67" t="str">
        <f>VLOOKUP(B26,'[1]26MY_ODYSSEY_DATA'!B:AR,4,FALSE)</f>
        <v>Chargeur/mainteneur de charge de batterie automobile 12 V</v>
      </c>
      <c r="D26" s="76" t="str">
        <f t="shared" si="2"/>
        <v>31670-BMS-004H</v>
      </c>
      <c r="E26" s="77"/>
      <c r="F26" s="77"/>
      <c r="G26" s="78"/>
      <c r="H26" s="79"/>
      <c r="I26" s="80"/>
      <c r="J26" s="80"/>
      <c r="K26" s="80"/>
      <c r="L26" s="80"/>
      <c r="M26" s="80"/>
      <c r="N26" s="80"/>
      <c r="O26" s="80"/>
      <c r="P26" s="80"/>
      <c r="Q26" s="81"/>
      <c r="R26" s="74"/>
      <c r="S26" s="74"/>
      <c r="T26" s="74"/>
    </row>
    <row r="27" spans="2:20" s="75" customFormat="1" ht="7.15" customHeight="1" x14ac:dyDescent="0.25">
      <c r="B27" s="56"/>
      <c r="C27" s="82"/>
      <c r="D27" s="83"/>
      <c r="E27" s="83"/>
      <c r="F27" s="83"/>
      <c r="G27" s="83"/>
      <c r="H27" s="83"/>
      <c r="I27" s="83"/>
      <c r="J27" s="83"/>
      <c r="K27" s="83"/>
      <c r="L27" s="83"/>
      <c r="M27" s="83"/>
      <c r="N27" s="83"/>
      <c r="O27" s="83"/>
      <c r="P27" s="83"/>
      <c r="Q27" s="84"/>
      <c r="R27" s="74"/>
      <c r="S27" s="74"/>
      <c r="T27" s="74"/>
    </row>
    <row r="28" spans="2:20" s="75" customFormat="1" ht="30" x14ac:dyDescent="0.25">
      <c r="B28" s="56" t="s">
        <v>148</v>
      </c>
      <c r="C28" s="57" t="str">
        <f>VLOOKUP(B28,'[1]26MY_ODYSSEY_DATA'!B:AR,4,FALSE)</f>
        <v xml:space="preserve">Ensemble de remorquage </v>
      </c>
      <c r="D28" s="58" t="str">
        <f>B28</f>
        <v>25ODY-TOWA1 ou 
25ODY-TOWB1</v>
      </c>
      <c r="E28" s="59">
        <f>VLOOKUP(B28,'[1]26MY_ODYSSEY_DATA'!B:AR,9,FALSE)</f>
        <v>784.80000000000007</v>
      </c>
      <c r="F28" s="59">
        <f>VLOOKUP(B28,'[1]26MY_ODYSSEY_DATA'!B:AR,10,FALSE)</f>
        <v>1296</v>
      </c>
      <c r="G28" s="60">
        <f>VLOOKUP(B28,'[1]26MY_ODYSSEY_DATA'!B:AR,7,FALSE)</f>
        <v>2.2999999999999998</v>
      </c>
      <c r="H28" s="61">
        <f>VLOOKUP(B28,'[1]26MY_ODYSSEY_DATA'!B:AR,11,FALSE)</f>
        <v>1682.4</v>
      </c>
      <c r="I28" s="62">
        <f>VLOOKUP(B28,'[1]26MY_ODYSSEY_DATA'!B:AR,12,FALSE)</f>
        <v>0</v>
      </c>
      <c r="J28" s="62" t="str">
        <f>VLOOKUP(B28,'[1]26MY_ODYSSEY_DATA'!B:AR,13,FALSE)</f>
        <v>•</v>
      </c>
      <c r="K28" s="62" t="str">
        <f>VLOOKUP(B28,'[1]26MY_ODYSSEY_DATA'!B:AR,14,FALSE)</f>
        <v>•</v>
      </c>
      <c r="L28" s="62" t="str">
        <f>VLOOKUP(B28,'[1]26MY_ODYSSEY_DATA'!B:AR,15,FALSE)</f>
        <v>N/A</v>
      </c>
      <c r="M28" s="62" t="str">
        <f>VLOOKUP(B28,'[1]26MY_ODYSSEY_DATA'!B:AR,16,FALSE)</f>
        <v>N/A</v>
      </c>
      <c r="N28" s="62">
        <f>VLOOKUP($B28,'[1]26MY_ODYSSEY_DATA'!$B:$AR,17,FALSE)</f>
        <v>0</v>
      </c>
      <c r="O28" s="62">
        <f>VLOOKUP($B28,'[1]26MY_ODYSSEY_DATA'!$B:$AR,18,FALSE)</f>
        <v>0</v>
      </c>
      <c r="P28" s="62">
        <f>VLOOKUP($B28,'[1]26MY_ODYSSEY_DATA'!$B:$AR,19,FALSE)</f>
        <v>0</v>
      </c>
      <c r="Q28" s="63" t="str">
        <f>IF(VLOOKUP(B28,'[1]26MY_ODYSSEY_DATA'!B:AR,21,FALSE)="","",VLOOKUP(B28,'[1]26MY_ODYSSEY_DATA'!B:AR,21,FALSE))</f>
        <v>Rabais de 10 % est appliqué.
Attelage de remorque: Classe II.
Attelage de remorque dimensions du réceptacle: 2 po x 2 po.
Capacité de remorquage: 1,360 kg / 3,000 lbs.</v>
      </c>
      <c r="R28" s="74"/>
      <c r="S28" s="74"/>
      <c r="T28" s="74"/>
    </row>
    <row r="29" spans="2:20" s="75" customFormat="1" ht="15" x14ac:dyDescent="0.25">
      <c r="B29" s="56" t="s">
        <v>45</v>
      </c>
      <c r="C29" s="67" t="str">
        <f>VLOOKUP(B29,'[1]26MY_ODYSSEY_DATA'!B:AR,4,FALSE)</f>
        <v xml:space="preserve">Attelage de remorque   </v>
      </c>
      <c r="D29" s="76" t="str">
        <f>B29</f>
        <v>08L92-THR-300A</v>
      </c>
      <c r="E29" s="69"/>
      <c r="F29" s="69"/>
      <c r="G29" s="70"/>
      <c r="H29" s="71"/>
      <c r="I29" s="72"/>
      <c r="J29" s="72"/>
      <c r="K29" s="72"/>
      <c r="L29" s="72"/>
      <c r="M29" s="72"/>
      <c r="N29" s="72"/>
      <c r="O29" s="72"/>
      <c r="P29" s="72"/>
      <c r="Q29" s="73"/>
      <c r="R29" s="74"/>
      <c r="S29" s="74"/>
      <c r="T29" s="74"/>
    </row>
    <row r="30" spans="2:20" s="75" customFormat="1" ht="30" x14ac:dyDescent="0.25">
      <c r="B30" s="56" t="s">
        <v>149</v>
      </c>
      <c r="C30" s="67" t="str">
        <f>VLOOKUP(B30,'[1]26MY_ODYSSEY_DATA'!B:AR,4,FALSE)</f>
        <v>Rotule d'attelage de 1 7/8 po ou 2 po</v>
      </c>
      <c r="D30" s="68" t="str">
        <f>B30</f>
        <v>08L92-SCV-300A ou 08L92-SCV-100B</v>
      </c>
      <c r="E30" s="69"/>
      <c r="F30" s="69"/>
      <c r="G30" s="70"/>
      <c r="H30" s="71"/>
      <c r="I30" s="72"/>
      <c r="J30" s="72"/>
      <c r="K30" s="72"/>
      <c r="L30" s="72"/>
      <c r="M30" s="72"/>
      <c r="N30" s="72"/>
      <c r="O30" s="72"/>
      <c r="P30" s="72"/>
      <c r="Q30" s="73"/>
      <c r="R30" s="74"/>
      <c r="S30" s="74"/>
      <c r="T30" s="74"/>
    </row>
    <row r="31" spans="2:20" s="75" customFormat="1" ht="15" x14ac:dyDescent="0.25">
      <c r="B31" s="56" t="s">
        <v>47</v>
      </c>
      <c r="C31" s="67" t="str">
        <f>VLOOKUP(B31,'[1]26MY_ODYSSEY_DATA'!B:AR,4,FALSE)</f>
        <v>Harnais pour remorque</v>
      </c>
      <c r="D31" s="68" t="str">
        <f>B31</f>
        <v>08L91-THR-300</v>
      </c>
      <c r="E31" s="69"/>
      <c r="F31" s="69"/>
      <c r="G31" s="70"/>
      <c r="H31" s="71"/>
      <c r="I31" s="72"/>
      <c r="J31" s="72"/>
      <c r="K31" s="72"/>
      <c r="L31" s="72"/>
      <c r="M31" s="72"/>
      <c r="N31" s="72"/>
      <c r="O31" s="72"/>
      <c r="P31" s="72"/>
      <c r="Q31" s="73"/>
      <c r="R31" s="74"/>
      <c r="S31" s="74"/>
      <c r="T31" s="74"/>
    </row>
    <row r="32" spans="2:20" s="75" customFormat="1" ht="15" x14ac:dyDescent="0.25">
      <c r="B32" s="56" t="s">
        <v>48</v>
      </c>
      <c r="C32" s="67" t="str">
        <f>VLOOKUP(B32,'[1]26MY_ODYSSEY_DATA'!B:AR,4,FALSE)</f>
        <v>Goupille de verrouillage pour l'attelage de remorque</v>
      </c>
      <c r="D32" s="76" t="str">
        <f t="shared" ref="D32" si="3">B32</f>
        <v>08L92-SJC-300A</v>
      </c>
      <c r="E32" s="77"/>
      <c r="F32" s="77"/>
      <c r="G32" s="78"/>
      <c r="H32" s="79"/>
      <c r="I32" s="80"/>
      <c r="J32" s="80"/>
      <c r="K32" s="80"/>
      <c r="L32" s="80"/>
      <c r="M32" s="80"/>
      <c r="N32" s="80"/>
      <c r="O32" s="80"/>
      <c r="P32" s="80"/>
      <c r="Q32" s="81"/>
      <c r="R32" s="74"/>
      <c r="S32" s="74"/>
      <c r="T32" s="74"/>
    </row>
    <row r="33" spans="2:20" s="75" customFormat="1" ht="7.15" customHeight="1" x14ac:dyDescent="0.25">
      <c r="B33" s="56"/>
      <c r="C33" s="82"/>
      <c r="D33" s="83"/>
      <c r="Q33" s="86"/>
      <c r="R33" s="74"/>
      <c r="S33" s="74"/>
      <c r="T33" s="74"/>
    </row>
    <row r="34" spans="2:20" s="75" customFormat="1" ht="30" x14ac:dyDescent="0.25">
      <c r="B34" s="56" t="s">
        <v>150</v>
      </c>
      <c r="C34" s="57" t="str">
        <f>VLOOKUP(B34,'[1]26MY_ODYSSEY_DATA'!B:AR,4,FALSE)</f>
        <v xml:space="preserve">Ensemble de remorquage </v>
      </c>
      <c r="D34" s="58" t="str">
        <f>B34</f>
        <v>25ODY-TOW-A2 ou 
25ODY-TOW-B2</v>
      </c>
      <c r="E34" s="59">
        <f>VLOOKUP(B34,'[1]26MY_ODYSSEY_DATA'!B:AR,9,FALSE)</f>
        <v>999</v>
      </c>
      <c r="F34" s="59">
        <f>VLOOKUP(B34,'[1]26MY_ODYSSEY_DATA'!B:AR,10,FALSE)</f>
        <v>1653.3</v>
      </c>
      <c r="G34" s="60">
        <f>VLOOKUP(B34,'[1]26MY_ODYSSEY_DATA'!B:AR,7,FALSE)</f>
        <v>2.5</v>
      </c>
      <c r="H34" s="61">
        <f>VLOOKUP(B34,'[1]26MY_ODYSSEY_DATA'!B:AR,11,FALSE)</f>
        <v>2073.3000000000002</v>
      </c>
      <c r="I34" s="62">
        <f>VLOOKUP(B34,'[1]26MY_ODYSSEY_DATA'!B:AR,12,FALSE)</f>
        <v>0</v>
      </c>
      <c r="J34" s="62" t="str">
        <f>VLOOKUP(B34,'[1]26MY_ODYSSEY_DATA'!B:AR,13,FALSE)</f>
        <v>N/A</v>
      </c>
      <c r="K34" s="62" t="str">
        <f>VLOOKUP(B34,'[1]26MY_ODYSSEY_DATA'!B:AR,14,FALSE)</f>
        <v>N/A</v>
      </c>
      <c r="L34" s="62" t="str">
        <f>VLOOKUP(B34,'[1]26MY_ODYSSEY_DATA'!B:AR,15,FALSE)</f>
        <v>•</v>
      </c>
      <c r="M34" s="87" t="str">
        <f>VLOOKUP(B34,'[1]26MY_ODYSSEY_DATA'!B:AR,16,FALSE)</f>
        <v>•</v>
      </c>
      <c r="N34" s="62">
        <f>VLOOKUP($B34,'[1]26MY_ODYSSEY_DATA'!$B:$AR,17,FALSE)</f>
        <v>0</v>
      </c>
      <c r="O34" s="62">
        <f>VLOOKUP($B34,'[1]26MY_ODYSSEY_DATA'!$B:$AR,18,FALSE)</f>
        <v>0</v>
      </c>
      <c r="P34" s="62">
        <f>VLOOKUP($B34,'[1]26MY_ODYSSEY_DATA'!$B:$AR,19,FALSE)</f>
        <v>0</v>
      </c>
      <c r="Q34" s="63" t="str">
        <f>IF(VLOOKUP(B34,'[1]26MY_ODYSSEY_DATA'!B:AR,21,FALSE)="","",VLOOKUP(B34,'[1]26MY_ODYSSEY_DATA'!B:AR,21,FALSE))</f>
        <v>Rabais de 10 % est appliqué.
Black Edition :Nécessite adaptateur de capteur de hayon électrique mains libres puisque le système mains libres est de série.
Attelage de remorque: Classe II.
Attelage de remorque dimensions du réceptacle: 2 po x 2 po.
Capacité de remorquage: 1,360 kg / 3,000 lbs.</v>
      </c>
      <c r="R34" s="74"/>
      <c r="S34" s="74"/>
      <c r="T34" s="74"/>
    </row>
    <row r="35" spans="2:20" s="75" customFormat="1" ht="15" x14ac:dyDescent="0.25">
      <c r="B35" s="56" t="s">
        <v>45</v>
      </c>
      <c r="C35" s="67" t="str">
        <f>VLOOKUP(B35,'[1]26MY_ODYSSEY_DATA'!B:AR,4,FALSE)</f>
        <v xml:space="preserve">Attelage de remorque   </v>
      </c>
      <c r="D35" s="76" t="str">
        <f t="shared" ref="D35:D39" si="4">B35</f>
        <v>08L92-THR-300A</v>
      </c>
      <c r="E35" s="69"/>
      <c r="F35" s="69"/>
      <c r="G35" s="70"/>
      <c r="H35" s="71"/>
      <c r="I35" s="72"/>
      <c r="J35" s="72"/>
      <c r="K35" s="72"/>
      <c r="L35" s="72"/>
      <c r="M35" s="88"/>
      <c r="N35" s="72"/>
      <c r="O35" s="72"/>
      <c r="P35" s="72"/>
      <c r="Q35" s="73"/>
      <c r="R35" s="74"/>
      <c r="S35" s="74"/>
      <c r="T35" s="74"/>
    </row>
    <row r="36" spans="2:20" s="75" customFormat="1" ht="15" x14ac:dyDescent="0.25">
      <c r="B36" s="56" t="s">
        <v>50</v>
      </c>
      <c r="C36" s="67" t="str">
        <f>VLOOKUP(B36,'[1]26MY_ODYSSEY_DATA'!B:AR,4,FALSE)</f>
        <v>Adaptateur de capteur de hayon électrique mains libres</v>
      </c>
      <c r="D36" s="76" t="str">
        <f t="shared" si="4"/>
        <v>08L91-THR-300A</v>
      </c>
      <c r="E36" s="69"/>
      <c r="F36" s="69"/>
      <c r="G36" s="70"/>
      <c r="H36" s="71"/>
      <c r="I36" s="72"/>
      <c r="J36" s="72"/>
      <c r="K36" s="72"/>
      <c r="L36" s="72"/>
      <c r="M36" s="88"/>
      <c r="N36" s="72"/>
      <c r="O36" s="72"/>
      <c r="P36" s="72"/>
      <c r="Q36" s="73"/>
      <c r="R36" s="74"/>
      <c r="S36" s="74"/>
      <c r="T36" s="74"/>
    </row>
    <row r="37" spans="2:20" s="75" customFormat="1" ht="30" x14ac:dyDescent="0.25">
      <c r="B37" s="56" t="s">
        <v>149</v>
      </c>
      <c r="C37" s="218" t="str">
        <f>VLOOKUP(B37,'[1]26MY_ODYSSEY_DATA'!B:AR,4,FALSE)</f>
        <v>Rotule d'attelage de 1 7/8 po ou 2 po</v>
      </c>
      <c r="D37" s="68" t="str">
        <f t="shared" si="4"/>
        <v>08L92-SCV-300A ou 08L92-SCV-100B</v>
      </c>
      <c r="E37" s="69"/>
      <c r="F37" s="69"/>
      <c r="G37" s="70"/>
      <c r="H37" s="71"/>
      <c r="I37" s="72"/>
      <c r="J37" s="72"/>
      <c r="K37" s="72"/>
      <c r="L37" s="72"/>
      <c r="M37" s="88"/>
      <c r="N37" s="72"/>
      <c r="O37" s="72"/>
      <c r="P37" s="72"/>
      <c r="Q37" s="73"/>
      <c r="R37" s="74"/>
      <c r="S37" s="74"/>
      <c r="T37" s="74"/>
    </row>
    <row r="38" spans="2:20" s="75" customFormat="1" ht="15" x14ac:dyDescent="0.25">
      <c r="B38" s="56" t="s">
        <v>47</v>
      </c>
      <c r="C38" s="67" t="str">
        <f>VLOOKUP(B38,'[1]26MY_ODYSSEY_DATA'!B:AR,4,FALSE)</f>
        <v>Harnais pour remorque</v>
      </c>
      <c r="D38" s="68" t="str">
        <f t="shared" si="4"/>
        <v>08L91-THR-300</v>
      </c>
      <c r="E38" s="69"/>
      <c r="F38" s="69"/>
      <c r="G38" s="70"/>
      <c r="H38" s="71"/>
      <c r="I38" s="72"/>
      <c r="J38" s="72"/>
      <c r="K38" s="72"/>
      <c r="L38" s="72"/>
      <c r="M38" s="88"/>
      <c r="N38" s="72"/>
      <c r="O38" s="72"/>
      <c r="P38" s="72"/>
      <c r="Q38" s="73"/>
      <c r="R38" s="74"/>
      <c r="S38" s="74"/>
      <c r="T38" s="74"/>
    </row>
    <row r="39" spans="2:20" s="75" customFormat="1" ht="15" x14ac:dyDescent="0.25">
      <c r="B39" s="56" t="s">
        <v>48</v>
      </c>
      <c r="C39" s="67" t="str">
        <f>VLOOKUP(B39,'[1]26MY_ODYSSEY_DATA'!B:AR,4,FALSE)</f>
        <v>Goupille de verrouillage pour l'attelage de remorque</v>
      </c>
      <c r="D39" s="76" t="str">
        <f t="shared" si="4"/>
        <v>08L92-SJC-300A</v>
      </c>
      <c r="E39" s="77"/>
      <c r="F39" s="77"/>
      <c r="G39" s="78"/>
      <c r="H39" s="79"/>
      <c r="I39" s="80"/>
      <c r="J39" s="80"/>
      <c r="K39" s="80"/>
      <c r="L39" s="80"/>
      <c r="M39" s="89"/>
      <c r="N39" s="80"/>
      <c r="O39" s="80"/>
      <c r="P39" s="80"/>
      <c r="Q39" s="81"/>
      <c r="R39" s="74"/>
      <c r="S39" s="74"/>
      <c r="T39" s="74"/>
    </row>
    <row r="40" spans="2:20" s="92" customFormat="1" ht="15" customHeight="1" x14ac:dyDescent="0.25">
      <c r="B40" s="90"/>
      <c r="C40" s="49"/>
      <c r="D40" s="49"/>
      <c r="E40" s="49"/>
      <c r="F40" s="49"/>
      <c r="G40" s="50"/>
      <c r="H40" s="49"/>
      <c r="I40" s="49"/>
      <c r="J40" s="49"/>
      <c r="K40" s="49"/>
      <c r="L40" s="49"/>
      <c r="M40" s="49"/>
      <c r="N40" s="49"/>
      <c r="O40" s="49"/>
      <c r="P40" s="49"/>
      <c r="Q40" s="91"/>
    </row>
    <row r="41" spans="2:20" s="65" customFormat="1" ht="18.75" x14ac:dyDescent="0.3">
      <c r="B41" s="109"/>
      <c r="C41" s="47" t="s">
        <v>151</v>
      </c>
      <c r="D41" s="47"/>
      <c r="E41" s="93"/>
      <c r="F41" s="93"/>
      <c r="G41" s="93"/>
      <c r="H41" s="93"/>
      <c r="I41" s="93"/>
      <c r="J41" s="93"/>
      <c r="K41" s="93"/>
      <c r="L41" s="93"/>
      <c r="M41" s="93"/>
      <c r="N41" s="93"/>
      <c r="O41" s="93"/>
      <c r="P41" s="93"/>
      <c r="Q41" s="93"/>
    </row>
    <row r="42" spans="2:20" s="75" customFormat="1" ht="15" customHeight="1" x14ac:dyDescent="0.25">
      <c r="B42" s="94"/>
      <c r="C42" s="53" t="s">
        <v>141</v>
      </c>
      <c r="D42" s="53" t="s">
        <v>142</v>
      </c>
      <c r="E42" s="53" t="s">
        <v>143</v>
      </c>
      <c r="F42" s="53" t="s">
        <v>144</v>
      </c>
      <c r="G42" s="53" t="s">
        <v>145</v>
      </c>
      <c r="H42" s="54" t="s">
        <v>146</v>
      </c>
      <c r="I42" s="53" t="s">
        <v>33</v>
      </c>
      <c r="J42" s="53"/>
      <c r="K42" s="53"/>
      <c r="L42" s="53"/>
      <c r="M42" s="53"/>
      <c r="N42" s="53"/>
      <c r="O42" s="53"/>
      <c r="P42" s="53"/>
      <c r="Q42" s="53" t="s">
        <v>147</v>
      </c>
    </row>
    <row r="43" spans="2:20" s="75" customFormat="1" ht="29.1" customHeight="1" x14ac:dyDescent="0.25">
      <c r="B43" s="94"/>
      <c r="C43" s="53"/>
      <c r="D43" s="53"/>
      <c r="E43" s="53"/>
      <c r="F43" s="53"/>
      <c r="G43" s="53"/>
      <c r="H43" s="54"/>
      <c r="I43" s="55">
        <f>'[1]26MY_ODYSSEY_DATA'!M$6</f>
        <v>0</v>
      </c>
      <c r="J43" s="55" t="str">
        <f>'[1]26MY_ODYSSEY_DATA'!N$6</f>
        <v>Sport</v>
      </c>
      <c r="K43" s="55" t="str">
        <f>'[1]26MY_ODYSSEY_DATA'!O$6</f>
        <v>Sport-L</v>
      </c>
      <c r="L43" s="55" t="str">
        <f>'[1]26MY_ODYSSEY_DATA'!P$6</f>
        <v>Touring</v>
      </c>
      <c r="M43" s="55" t="str">
        <f>'[1]26MY_ODYSSEY_DATA'!Q$6</f>
        <v>Black Edition</v>
      </c>
      <c r="N43" s="55">
        <f>'[1]26MY_ODYSSEY_DATA'!R$6</f>
        <v>0</v>
      </c>
      <c r="O43" s="55">
        <f>'[1]26MY_ODYSSEY_DATA'!S$6</f>
        <v>0</v>
      </c>
      <c r="P43" s="55">
        <f>'[1]26MY_ODYSSEY_DATA'!T$6</f>
        <v>0</v>
      </c>
      <c r="Q43" s="53"/>
    </row>
    <row r="44" spans="2:20" s="92" customFormat="1" ht="15" customHeight="1" x14ac:dyDescent="0.25">
      <c r="B44" s="90" t="s">
        <v>52</v>
      </c>
      <c r="C44" s="219" t="str">
        <f>VLOOKUP(B44,'[1]26MY_ODYSSEY_DATA'!B:AR,4,FALSE)</f>
        <v>Écrous de roue antivol  - Noirs</v>
      </c>
      <c r="D44" s="96" t="str">
        <f>B44</f>
        <v>08W42-TG7-301A</v>
      </c>
      <c r="E44" s="97">
        <f>VLOOKUP(B44,'[1]26MY_ODYSSEY_DATA'!B:AR,9,FALSE)</f>
        <v>85</v>
      </c>
      <c r="F44" s="97">
        <f>VLOOKUP(B44,'[1]26MY_ODYSSEY_DATA'!B:AR,10,FALSE)</f>
        <v>140</v>
      </c>
      <c r="G44" s="98">
        <f>VLOOKUP(B44,'[1]26MY_ODYSSEY_DATA'!B:AR,7,FALSE)</f>
        <v>0.2</v>
      </c>
      <c r="H44" s="99">
        <f>VLOOKUP(B44,'[1]26MY_ODYSSEY_DATA'!B:AR,11,FALSE)</f>
        <v>173.6</v>
      </c>
      <c r="I44" s="100">
        <f>VLOOKUP(B44,'[1]26MY_ODYSSEY_DATA'!B:AR,12,FALSE)</f>
        <v>0</v>
      </c>
      <c r="J44" s="100" t="str">
        <f>VLOOKUP(B44,'[1]26MY_ODYSSEY_DATA'!B:AR,13,FALSE)</f>
        <v>•</v>
      </c>
      <c r="K44" s="100" t="str">
        <f>VLOOKUP(B44,'[1]26MY_ODYSSEY_DATA'!B:AR,14,FALSE)</f>
        <v>•</v>
      </c>
      <c r="L44" s="100" t="str">
        <f>VLOOKUP(B44,'[1]26MY_ODYSSEY_DATA'!B:AR,15,FALSE)</f>
        <v>•</v>
      </c>
      <c r="M44" s="100" t="str">
        <f>VLOOKUP(B44,'[1]26MY_ODYSSEY_DATA'!B:AR,16,FALSE)</f>
        <v>•</v>
      </c>
      <c r="N44" s="100">
        <f>VLOOKUP($B44,'[1]26MY_ODYSSEY_DATA'!$B:$AR,17,FALSE)</f>
        <v>0</v>
      </c>
      <c r="O44" s="100">
        <f>VLOOKUP($B44,'[1]26MY_ODYSSEY_DATA'!$B:$AR,18,FALSE)</f>
        <v>0</v>
      </c>
      <c r="P44" s="100">
        <f>VLOOKUP($B44,'[1]26MY_ODYSSEY_DATA'!$B:$AR,19,FALSE)</f>
        <v>0</v>
      </c>
      <c r="Q44" s="101" t="str">
        <f>IF(VLOOKUP(B44,'[1]26MY_ODYSSEY_DATA'!B:AR,21,FALSE)="","",VLOOKUP(B44,'[1]26MY_ODYSSEY_DATA'!B:AR,21,FALSE))</f>
        <v/>
      </c>
    </row>
    <row r="45" spans="2:20" s="75" customFormat="1" ht="16.5" x14ac:dyDescent="0.25">
      <c r="B45" s="94" t="s">
        <v>53</v>
      </c>
      <c r="C45" s="219" t="str">
        <f>VLOOKUP(B45,'[1]26MY_ODYSSEY_DATA'!B:AR,4,FALSE)</f>
        <v>Écrous de roue antivol  - Chromés</v>
      </c>
      <c r="D45" s="96" t="str">
        <f t="shared" ref="D45" si="5">B45</f>
        <v>08W42-TK4-301</v>
      </c>
      <c r="E45" s="97">
        <f>VLOOKUP(B45,'[1]26MY_ODYSSEY_DATA'!B:AR,9,FALSE)</f>
        <v>91</v>
      </c>
      <c r="F45" s="97">
        <f>VLOOKUP(B45,'[1]26MY_ODYSSEY_DATA'!B:AR,10,FALSE)</f>
        <v>152</v>
      </c>
      <c r="G45" s="98">
        <f>VLOOKUP(B45,'[1]26MY_ODYSSEY_DATA'!B:AR,7,FALSE)</f>
        <v>0.2</v>
      </c>
      <c r="H45" s="99">
        <f>VLOOKUP(B45,'[1]26MY_ODYSSEY_DATA'!B:AR,11,FALSE)</f>
        <v>185.6</v>
      </c>
      <c r="I45" s="100">
        <f>VLOOKUP(B45,'[1]26MY_ODYSSEY_DATA'!B:AR,12,FALSE)</f>
        <v>0</v>
      </c>
      <c r="J45" s="100" t="str">
        <f>VLOOKUP(B45,'[1]26MY_ODYSSEY_DATA'!B:AR,13,FALSE)</f>
        <v>•</v>
      </c>
      <c r="K45" s="100" t="str">
        <f>VLOOKUP(B45,'[1]26MY_ODYSSEY_DATA'!B:AR,14,FALSE)</f>
        <v>•</v>
      </c>
      <c r="L45" s="100" t="str">
        <f>VLOOKUP(B45,'[1]26MY_ODYSSEY_DATA'!B:AR,15,FALSE)</f>
        <v>•</v>
      </c>
      <c r="M45" s="100" t="str">
        <f>VLOOKUP(B45,'[1]26MY_ODYSSEY_DATA'!B:AR,16,FALSE)</f>
        <v>•</v>
      </c>
      <c r="N45" s="100">
        <f>VLOOKUP($B45,'[1]26MY_ODYSSEY_DATA'!$B:$AR,17,FALSE)</f>
        <v>0</v>
      </c>
      <c r="O45" s="100">
        <f>VLOOKUP($B45,'[1]26MY_ODYSSEY_DATA'!$B:$AR,18,FALSE)</f>
        <v>0</v>
      </c>
      <c r="P45" s="100">
        <f>VLOOKUP($B45,'[1]26MY_ODYSSEY_DATA'!$B:$AR,19,FALSE)</f>
        <v>0</v>
      </c>
      <c r="Q45" s="101" t="str">
        <f>IF(VLOOKUP(B45,'[1]26MY_ODYSSEY_DATA'!B:AR,21,FALSE)="","",VLOOKUP(B45,'[1]26MY_ODYSSEY_DATA'!B:AR,21,FALSE))</f>
        <v/>
      </c>
    </row>
    <row r="46" spans="2:20" s="92" customFormat="1" ht="10.5" customHeight="1" x14ac:dyDescent="0.25">
      <c r="B46" s="90"/>
      <c r="C46" s="102"/>
      <c r="D46" s="103"/>
      <c r="E46" s="104"/>
      <c r="F46" s="104"/>
      <c r="G46" s="105"/>
      <c r="H46" s="106"/>
      <c r="I46" s="107"/>
      <c r="J46" s="74"/>
      <c r="K46" s="107"/>
      <c r="L46" s="107"/>
      <c r="M46" s="107"/>
      <c r="N46" s="107"/>
      <c r="O46" s="107"/>
      <c r="P46" s="107"/>
      <c r="Q46" s="108"/>
    </row>
    <row r="47" spans="2:20" s="65" customFormat="1" ht="18.75" x14ac:dyDescent="0.3">
      <c r="B47" s="109"/>
      <c r="C47" s="47" t="s">
        <v>152</v>
      </c>
      <c r="D47" s="47"/>
      <c r="E47" s="93"/>
      <c r="F47" s="93"/>
      <c r="G47" s="93"/>
      <c r="H47" s="93"/>
      <c r="I47" s="93"/>
      <c r="J47" s="107"/>
      <c r="K47" s="93"/>
      <c r="L47" s="93"/>
      <c r="M47" s="93"/>
      <c r="N47" s="93"/>
      <c r="O47" s="93"/>
      <c r="P47" s="93"/>
      <c r="Q47" s="93"/>
    </row>
    <row r="48" spans="2:20" s="75" customFormat="1" ht="15" customHeight="1" x14ac:dyDescent="0.25">
      <c r="B48" s="94"/>
      <c r="C48" s="53" t="s">
        <v>141</v>
      </c>
      <c r="D48" s="53" t="s">
        <v>142</v>
      </c>
      <c r="E48" s="53" t="s">
        <v>143</v>
      </c>
      <c r="F48" s="53" t="s">
        <v>144</v>
      </c>
      <c r="G48" s="53" t="s">
        <v>145</v>
      </c>
      <c r="H48" s="54" t="s">
        <v>146</v>
      </c>
      <c r="I48" s="53" t="s">
        <v>33</v>
      </c>
      <c r="J48" s="53"/>
      <c r="K48" s="53"/>
      <c r="L48" s="53"/>
      <c r="M48" s="53"/>
      <c r="N48" s="53"/>
      <c r="O48" s="53"/>
      <c r="P48" s="53"/>
      <c r="Q48" s="53" t="s">
        <v>147</v>
      </c>
    </row>
    <row r="49" spans="2:17" s="75" customFormat="1" ht="30" x14ac:dyDescent="0.25">
      <c r="B49" s="94"/>
      <c r="C49" s="53"/>
      <c r="D49" s="53"/>
      <c r="E49" s="53"/>
      <c r="F49" s="53"/>
      <c r="G49" s="53"/>
      <c r="H49" s="54"/>
      <c r="I49" s="55">
        <f>'[1]26MY_ODYSSEY_DATA'!M$6</f>
        <v>0</v>
      </c>
      <c r="J49" s="55" t="str">
        <f>'[1]26MY_ODYSSEY_DATA'!N$6</f>
        <v>Sport</v>
      </c>
      <c r="K49" s="55" t="str">
        <f>'[1]26MY_ODYSSEY_DATA'!O$6</f>
        <v>Sport-L</v>
      </c>
      <c r="L49" s="55" t="str">
        <f>'[1]26MY_ODYSSEY_DATA'!P$6</f>
        <v>Touring</v>
      </c>
      <c r="M49" s="55" t="str">
        <f>'[1]26MY_ODYSSEY_DATA'!Q$6</f>
        <v>Black Edition</v>
      </c>
      <c r="N49" s="55">
        <f>'[1]26MY_ODYSSEY_DATA'!R$6</f>
        <v>0</v>
      </c>
      <c r="O49" s="55">
        <f>'[1]26MY_ODYSSEY_DATA'!S$6</f>
        <v>0</v>
      </c>
      <c r="P49" s="55">
        <f>'[1]26MY_ODYSSEY_DATA'!T$6</f>
        <v>0</v>
      </c>
      <c r="Q49" s="53"/>
    </row>
    <row r="50" spans="2:17" s="92" customFormat="1" ht="15" customHeight="1" x14ac:dyDescent="0.25">
      <c r="B50" s="90" t="s">
        <v>55</v>
      </c>
      <c r="C50" s="219" t="str">
        <f>VLOOKUP(B50,'[1]26MY_ODYSSEY_DATA'!B:AR,4,FALSE)</f>
        <v>Emblèmes noir - Logo « H » et Oydssey</v>
      </c>
      <c r="D50" s="96" t="str">
        <f>B50</f>
        <v>08F20-THR-100</v>
      </c>
      <c r="E50" s="97">
        <f>VLOOKUP(B50,'[1]26MY_ODYSSEY_DATA'!B:AR,9,FALSE)</f>
        <v>69</v>
      </c>
      <c r="F50" s="97">
        <f>VLOOKUP(B50,'[1]26MY_ODYSSEY_DATA'!B:AR,10,FALSE)</f>
        <v>115</v>
      </c>
      <c r="G50" s="98">
        <f>VLOOKUP(B50,'[1]26MY_ODYSSEY_DATA'!B:AR,7,FALSE)</f>
        <v>0.9</v>
      </c>
      <c r="H50" s="99">
        <f>VLOOKUP(B50,'[1]26MY_ODYSSEY_DATA'!B:AR,11,FALSE)</f>
        <v>266.20000000000005</v>
      </c>
      <c r="I50" s="100">
        <f>VLOOKUP(B50,'[1]26MY_ODYSSEY_DATA'!B:AR,12,FALSE)</f>
        <v>0</v>
      </c>
      <c r="J50" s="100" t="str">
        <f>VLOOKUP(B50,'[1]26MY_ODYSSEY_DATA'!B:AR,13,FALSE)</f>
        <v>•</v>
      </c>
      <c r="K50" s="100" t="str">
        <f>VLOOKUP(B50,'[1]26MY_ODYSSEY_DATA'!B:AR,14,FALSE)</f>
        <v>•</v>
      </c>
      <c r="L50" s="100" t="str">
        <f>VLOOKUP(B50,'[1]26MY_ODYSSEY_DATA'!B:AR,15,FALSE)</f>
        <v>•</v>
      </c>
      <c r="M50" s="100" t="str">
        <f>VLOOKUP(B50,'[1]26MY_ODYSSEY_DATA'!B:AR,16,FALSE)</f>
        <v>•</v>
      </c>
      <c r="N50" s="100">
        <f>VLOOKUP($B50,'[1]26MY_ODYSSEY_DATA'!$B:$AR,17,FALSE)</f>
        <v>0</v>
      </c>
      <c r="O50" s="100">
        <f>VLOOKUP($B50,'[1]26MY_ODYSSEY_DATA'!$B:$AR,18,FALSE)</f>
        <v>0</v>
      </c>
      <c r="P50" s="100">
        <f>VLOOKUP($B50,'[1]26MY_ODYSSEY_DATA'!$B:$AR,19,FALSE)</f>
        <v>0</v>
      </c>
      <c r="Q50" s="101" t="str">
        <f>IF(VLOOKUP(B50,'[1]26MY_ODYSSEY_DATA'!B:AR,21,FALSE)="","",VLOOKUP(B50,'[1]26MY_ODYSSEY_DATA'!B:AR,21,FALSE))</f>
        <v/>
      </c>
    </row>
    <row r="51" spans="2:17" s="92" customFormat="1" ht="15" customHeight="1" x14ac:dyDescent="0.25">
      <c r="B51" s="90" t="s">
        <v>56</v>
      </c>
      <c r="C51" s="219" t="str">
        <f>VLOOKUP(B51,'[1]26MY_ODYSSEY_DATA'!B:AR,4,FALSE)</f>
        <v>Emblème noir - SPORT</v>
      </c>
      <c r="D51" s="96" t="str">
        <f>B51</f>
        <v>08F20-T7S-100C</v>
      </c>
      <c r="E51" s="97">
        <f>VLOOKUP(B51,'[1]26MY_ODYSSEY_DATA'!B:AR,9,FALSE)</f>
        <v>41</v>
      </c>
      <c r="F51" s="97">
        <f>VLOOKUP(B51,'[1]26MY_ODYSSEY_DATA'!B:AR,10,FALSE)</f>
        <v>68</v>
      </c>
      <c r="G51" s="98">
        <f>VLOOKUP(B51,'[1]26MY_ODYSSEY_DATA'!B:AR,7,FALSE)</f>
        <v>0.3</v>
      </c>
      <c r="H51" s="99">
        <f>VLOOKUP(B51,'[1]26MY_ODYSSEY_DATA'!B:AR,11,FALSE)</f>
        <v>118.4</v>
      </c>
      <c r="I51" s="100">
        <f>VLOOKUP(B51,'[1]26MY_ODYSSEY_DATA'!B:AR,12,FALSE)</f>
        <v>0</v>
      </c>
      <c r="J51" s="100" t="str">
        <f>VLOOKUP(B51,'[1]26MY_ODYSSEY_DATA'!B:AR,13,FALSE)</f>
        <v>•</v>
      </c>
      <c r="K51" s="100" t="str">
        <f>VLOOKUP(B51,'[1]26MY_ODYSSEY_DATA'!B:AR,14,FALSE)</f>
        <v>•</v>
      </c>
      <c r="L51" s="100" t="str">
        <f>VLOOKUP(B51,'[1]26MY_ODYSSEY_DATA'!B:AR,15,FALSE)</f>
        <v>N/A</v>
      </c>
      <c r="M51" s="100" t="str">
        <f>VLOOKUP(B51,'[1]26MY_ODYSSEY_DATA'!B:AR,16,FALSE)</f>
        <v>N/A</v>
      </c>
      <c r="N51" s="100">
        <f>VLOOKUP($B51,'[1]26MY_ODYSSEY_DATA'!$B:$AR,17,FALSE)</f>
        <v>0</v>
      </c>
      <c r="O51" s="100">
        <f>VLOOKUP($B51,'[1]26MY_ODYSSEY_DATA'!$B:$AR,18,FALSE)</f>
        <v>0</v>
      </c>
      <c r="P51" s="100">
        <f>VLOOKUP($B51,'[1]26MY_ODYSSEY_DATA'!$B:$AR,19,FALSE)</f>
        <v>0</v>
      </c>
      <c r="Q51" s="101" t="str">
        <f>IF(VLOOKUP(B51,'[1]26MY_ODYSSEY_DATA'!B:AR,21,FALSE)="","",VLOOKUP(B51,'[1]26MY_ODYSSEY_DATA'!B:AR,21,FALSE))</f>
        <v/>
      </c>
    </row>
    <row r="52" spans="2:17" s="92" customFormat="1" ht="15" customHeight="1" x14ac:dyDescent="0.25">
      <c r="B52" s="90" t="s">
        <v>57</v>
      </c>
      <c r="C52" s="219" t="str">
        <f>VLOOKUP(B52,'[1]26MY_ODYSSEY_DATA'!B:AR,4,FALSE)</f>
        <v>Emblème noir  - Black Edition</v>
      </c>
      <c r="D52" s="96" t="str">
        <f>B52</f>
        <v>08F20-TG7-100G</v>
      </c>
      <c r="E52" s="97">
        <f>VLOOKUP(B52,'[1]26MY_ODYSSEY_DATA'!B:AR,9,FALSE)</f>
        <v>70</v>
      </c>
      <c r="F52" s="97">
        <f>VLOOKUP(B52,'[1]26MY_ODYSSEY_DATA'!B:AR,10,FALSE)</f>
        <v>117</v>
      </c>
      <c r="G52" s="98">
        <f>VLOOKUP(B52,'[1]26MY_ODYSSEY_DATA'!B:AR,7,FALSE)</f>
        <v>0.3</v>
      </c>
      <c r="H52" s="99">
        <f>VLOOKUP(B52,'[1]26MY_ODYSSEY_DATA'!B:AR,11,FALSE)</f>
        <v>167.4</v>
      </c>
      <c r="I52" s="100">
        <f>VLOOKUP(B52,'[1]26MY_ODYSSEY_DATA'!B:AR,12,FALSE)</f>
        <v>0</v>
      </c>
      <c r="J52" s="100" t="str">
        <f>VLOOKUP(B52,'[1]26MY_ODYSSEY_DATA'!B:AR,13,FALSE)</f>
        <v>N/A</v>
      </c>
      <c r="K52" s="100" t="str">
        <f>VLOOKUP(B52,'[1]26MY_ODYSSEY_DATA'!B:AR,14,FALSE)</f>
        <v>N/A</v>
      </c>
      <c r="L52" s="100" t="str">
        <f>VLOOKUP(B52,'[1]26MY_ODYSSEY_DATA'!B:AR,15,FALSE)</f>
        <v>N/A</v>
      </c>
      <c r="M52" s="100" t="str">
        <f>VLOOKUP(B52,'[1]26MY_ODYSSEY_DATA'!B:AR,16,FALSE)</f>
        <v>•</v>
      </c>
      <c r="N52" s="100">
        <f>VLOOKUP($B52,'[1]26MY_ODYSSEY_DATA'!$B:$AR,17,FALSE)</f>
        <v>0</v>
      </c>
      <c r="O52" s="100">
        <f>VLOOKUP($B52,'[1]26MY_ODYSSEY_DATA'!$B:$AR,18,FALSE)</f>
        <v>0</v>
      </c>
      <c r="P52" s="100">
        <f>VLOOKUP($B52,'[1]26MY_ODYSSEY_DATA'!$B:$AR,19,FALSE)</f>
        <v>0</v>
      </c>
      <c r="Q52" s="101" t="str">
        <f>IF(VLOOKUP(B52,'[1]26MY_ODYSSEY_DATA'!B:AR,21,FALSE)="","",VLOOKUP(B52,'[1]26MY_ODYSSEY_DATA'!B:AR,21,FALSE))</f>
        <v/>
      </c>
    </row>
    <row r="53" spans="2:17" s="92" customFormat="1" ht="15" customHeight="1" x14ac:dyDescent="0.25">
      <c r="B53" s="90" t="s">
        <v>58</v>
      </c>
      <c r="C53" s="219" t="str">
        <f>VLOOKUP(B53,'[1]26MY_ODYSSEY_DATA'!B:AR,4,FALSE)</f>
        <v>Écussons d’ailes</v>
      </c>
      <c r="D53" s="96" t="str">
        <f t="shared" ref="D53:D55" si="6">B53</f>
        <v>08F59-THR-100A</v>
      </c>
      <c r="E53" s="97">
        <f>VLOOKUP(B53,'[1]26MY_ODYSSEY_DATA'!B:AR,9,FALSE)</f>
        <v>138</v>
      </c>
      <c r="F53" s="97">
        <f>VLOOKUP(B53,'[1]26MY_ODYSSEY_DATA'!B:AR,10,FALSE)</f>
        <v>197</v>
      </c>
      <c r="G53" s="98">
        <f>VLOOKUP(B53,'[1]26MY_ODYSSEY_DATA'!B:AR,7,FALSE)</f>
        <v>0.2</v>
      </c>
      <c r="H53" s="99">
        <f>VLOOKUP(B53,'[1]26MY_ODYSSEY_DATA'!B:AR,11,FALSE)</f>
        <v>230.6</v>
      </c>
      <c r="I53" s="100">
        <f>VLOOKUP(B53,'[1]26MY_ODYSSEY_DATA'!B:AR,12,FALSE)</f>
        <v>0</v>
      </c>
      <c r="J53" s="100" t="str">
        <f>VLOOKUP(B53,'[1]26MY_ODYSSEY_DATA'!B:AR,13,FALSE)</f>
        <v>•</v>
      </c>
      <c r="K53" s="100" t="str">
        <f>VLOOKUP(B53,'[1]26MY_ODYSSEY_DATA'!B:AR,14,FALSE)</f>
        <v>•</v>
      </c>
      <c r="L53" s="100" t="str">
        <f>VLOOKUP(B53,'[1]26MY_ODYSSEY_DATA'!B:AR,15,FALSE)</f>
        <v>•</v>
      </c>
      <c r="M53" s="100" t="str">
        <f>VLOOKUP(B53,'[1]26MY_ODYSSEY_DATA'!B:AR,16,FALSE)</f>
        <v>•</v>
      </c>
      <c r="N53" s="100">
        <f>VLOOKUP($B53,'[1]26MY_ODYSSEY_DATA'!$B:$AR,17,FALSE)</f>
        <v>0</v>
      </c>
      <c r="O53" s="100">
        <f>VLOOKUP($B53,'[1]26MY_ODYSSEY_DATA'!$B:$AR,18,FALSE)</f>
        <v>0</v>
      </c>
      <c r="P53" s="100">
        <f>VLOOKUP($B53,'[1]26MY_ODYSSEY_DATA'!$B:$AR,19,FALSE)</f>
        <v>0</v>
      </c>
      <c r="Q53" s="101" t="str">
        <f>IF(VLOOKUP(B53,'[1]26MY_ODYSSEY_DATA'!B:AR,21,FALSE)="","",VLOOKUP(B53,'[1]26MY_ODYSSEY_DATA'!B:AR,21,FALSE))</f>
        <v/>
      </c>
    </row>
    <row r="54" spans="2:17" s="92" customFormat="1" ht="16.5" x14ac:dyDescent="0.25">
      <c r="B54" s="90" t="s">
        <v>59</v>
      </c>
      <c r="C54" s="219" t="str">
        <f>VLOOKUP(B54,'[1]26MY_ODYSSEY_DATA'!B:AR,4,FALSE)</f>
        <v>Garnitures de portière - chromées</v>
      </c>
      <c r="D54" s="96" t="str">
        <f t="shared" si="6"/>
        <v>08F57-THR-101</v>
      </c>
      <c r="E54" s="97">
        <f>VLOOKUP(B54,'[1]26MY_ODYSSEY_DATA'!B:AR,9,FALSE)</f>
        <v>9.99</v>
      </c>
      <c r="F54" s="97">
        <f>VLOOKUP(B54,'[1]26MY_ODYSSEY_DATA'!B:AR,10,FALSE)</f>
        <v>16.989999999999998</v>
      </c>
      <c r="G54" s="98">
        <f>VLOOKUP(B54,'[1]26MY_ODYSSEY_DATA'!B:AR,7,FALSE)</f>
        <v>0.4</v>
      </c>
      <c r="H54" s="99">
        <f>VLOOKUP(B54,'[1]26MY_ODYSSEY_DATA'!B:AR,11,FALSE)</f>
        <v>84.19</v>
      </c>
      <c r="I54" s="100">
        <f>VLOOKUP(B54,'[1]26MY_ODYSSEY_DATA'!B:AR,12,FALSE)</f>
        <v>0</v>
      </c>
      <c r="J54" s="100" t="str">
        <f>VLOOKUP(B54,'[1]26MY_ODYSSEY_DATA'!B:AR,13,FALSE)</f>
        <v>•</v>
      </c>
      <c r="K54" s="100" t="str">
        <f>VLOOKUP(B54,'[1]26MY_ODYSSEY_DATA'!B:AR,14,FALSE)</f>
        <v>•</v>
      </c>
      <c r="L54" s="100" t="str">
        <f>VLOOKUP(B54,'[1]26MY_ODYSSEY_DATA'!B:AR,15,FALSE)</f>
        <v>•</v>
      </c>
      <c r="M54" s="100" t="str">
        <f>VLOOKUP(B54,'[1]26MY_ODYSSEY_DATA'!B:AR,16,FALSE)</f>
        <v>•</v>
      </c>
      <c r="N54" s="100">
        <f>VLOOKUP($B54,'[1]26MY_ODYSSEY_DATA'!$B:$AR,17,FALSE)</f>
        <v>0</v>
      </c>
      <c r="O54" s="100">
        <f>VLOOKUP($B54,'[1]26MY_ODYSSEY_DATA'!$B:$AR,18,FALSE)</f>
        <v>0</v>
      </c>
      <c r="P54" s="100">
        <f>VLOOKUP($B54,'[1]26MY_ODYSSEY_DATA'!$B:$AR,19,FALSE)</f>
        <v>0</v>
      </c>
      <c r="Q54" s="101" t="str">
        <f>IF(VLOOKUP(B54,'[1]26MY_ODYSSEY_DATA'!B:AR,21,FALSE)="","",VLOOKUP(B54,'[1]26MY_ODYSSEY_DATA'!B:AR,21,FALSE))</f>
        <v/>
      </c>
    </row>
    <row r="55" spans="2:17" s="92" customFormat="1" ht="15" customHeight="1" x14ac:dyDescent="0.25">
      <c r="B55" s="90" t="s">
        <v>60</v>
      </c>
      <c r="C55" s="219" t="str">
        <f>VLOOKUP(B55,'[1]26MY_ODYSSEY_DATA'!B:AR,4,FALSE)</f>
        <v xml:space="preserve">Protecteur de pare-chocs arrière  </v>
      </c>
      <c r="D55" s="96" t="str">
        <f t="shared" si="6"/>
        <v>08P01-THR-100</v>
      </c>
      <c r="E55" s="97">
        <f>VLOOKUP(B55,'[1]26MY_ODYSSEY_DATA'!B:AR,9,FALSE)</f>
        <v>22.99</v>
      </c>
      <c r="F55" s="97">
        <f>VLOOKUP(B55,'[1]26MY_ODYSSEY_DATA'!B:AR,10,FALSE)</f>
        <v>37.99</v>
      </c>
      <c r="G55" s="98">
        <f>VLOOKUP(B55,'[1]26MY_ODYSSEY_DATA'!B:AR,7,FALSE)</f>
        <v>0.8</v>
      </c>
      <c r="H55" s="99">
        <f>VLOOKUP(B55,'[1]26MY_ODYSSEY_DATA'!B:AR,11,FALSE)</f>
        <v>172.39000000000001</v>
      </c>
      <c r="I55" s="100">
        <f>VLOOKUP(B55,'[1]26MY_ODYSSEY_DATA'!B:AR,12,FALSE)</f>
        <v>0</v>
      </c>
      <c r="J55" s="100" t="str">
        <f>VLOOKUP(B55,'[1]26MY_ODYSSEY_DATA'!B:AR,13,FALSE)</f>
        <v>•</v>
      </c>
      <c r="K55" s="100" t="str">
        <f>VLOOKUP(B55,'[1]26MY_ODYSSEY_DATA'!B:AR,14,FALSE)</f>
        <v>•</v>
      </c>
      <c r="L55" s="100" t="str">
        <f>VLOOKUP(B55,'[1]26MY_ODYSSEY_DATA'!B:AR,15,FALSE)</f>
        <v>•</v>
      </c>
      <c r="M55" s="100" t="str">
        <f>VLOOKUP(B55,'[1]26MY_ODYSSEY_DATA'!B:AR,16,FALSE)</f>
        <v>•</v>
      </c>
      <c r="N55" s="100">
        <f>VLOOKUP($B55,'[1]26MY_ODYSSEY_DATA'!$B:$AR,17,FALSE)</f>
        <v>0</v>
      </c>
      <c r="O55" s="100">
        <f>VLOOKUP($B55,'[1]26MY_ODYSSEY_DATA'!$B:$AR,18,FALSE)</f>
        <v>0</v>
      </c>
      <c r="P55" s="100">
        <f>VLOOKUP($B55,'[1]26MY_ODYSSEY_DATA'!$B:$AR,19,FALSE)</f>
        <v>0</v>
      </c>
      <c r="Q55" s="101" t="str">
        <f>IF(VLOOKUP(B55,'[1]26MY_ODYSSEY_DATA'!B:AR,21,FALSE)="","",VLOOKUP(B55,'[1]26MY_ODYSSEY_DATA'!B:AR,21,FALSE))</f>
        <v/>
      </c>
    </row>
    <row r="56" spans="2:17" s="92" customFormat="1" ht="15" customHeight="1" x14ac:dyDescent="0.25">
      <c r="B56" s="94" t="s">
        <v>61</v>
      </c>
      <c r="C56" s="219" t="str">
        <f>VLOOKUP(B56,'[1]26MY_ODYSSEY_DATA'!B:AR,4,FALSE)</f>
        <v>Pellicule pour rebord de portière</v>
      </c>
      <c r="D56" s="96" t="str">
        <f>B56</f>
        <v>08P20-THR-100</v>
      </c>
      <c r="E56" s="97">
        <f>VLOOKUP(B56,'[1]26MY_ODYSSEY_DATA'!B:AR,9,FALSE)</f>
        <v>5.99</v>
      </c>
      <c r="F56" s="97">
        <f>VLOOKUP(B56,'[1]26MY_ODYSSEY_DATA'!B:AR,10,FALSE)</f>
        <v>9.99</v>
      </c>
      <c r="G56" s="98">
        <f>VLOOKUP(B56,'[1]26MY_ODYSSEY_DATA'!B:AR,7,FALSE)</f>
        <v>0.2</v>
      </c>
      <c r="H56" s="99">
        <f>VLOOKUP(B56,'[1]26MY_ODYSSEY_DATA'!B:AR,11,FALSE)</f>
        <v>43.59</v>
      </c>
      <c r="I56" s="100">
        <f>VLOOKUP(B56,'[1]26MY_ODYSSEY_DATA'!B:AR,12,FALSE)</f>
        <v>0</v>
      </c>
      <c r="J56" s="100" t="str">
        <f>VLOOKUP(B56,'[1]26MY_ODYSSEY_DATA'!B:AR,13,FALSE)</f>
        <v>•</v>
      </c>
      <c r="K56" s="100" t="str">
        <f>VLOOKUP(B56,'[1]26MY_ODYSSEY_DATA'!B:AR,14,FALSE)</f>
        <v>•</v>
      </c>
      <c r="L56" s="100" t="str">
        <f>VLOOKUP(B56,'[1]26MY_ODYSSEY_DATA'!B:AR,15,FALSE)</f>
        <v>•</v>
      </c>
      <c r="M56" s="100" t="str">
        <f>VLOOKUP(B56,'[1]26MY_ODYSSEY_DATA'!B:AR,16,FALSE)</f>
        <v>•</v>
      </c>
      <c r="N56" s="100">
        <f>VLOOKUP($B56,'[1]26MY_ODYSSEY_DATA'!$B:$AR,17,FALSE)</f>
        <v>0</v>
      </c>
      <c r="O56" s="100">
        <f>VLOOKUP($B56,'[1]26MY_ODYSSEY_DATA'!$B:$AR,18,FALSE)</f>
        <v>0</v>
      </c>
      <c r="P56" s="100">
        <f>VLOOKUP($B56,'[1]26MY_ODYSSEY_DATA'!$B:$AR,19,FALSE)</f>
        <v>0</v>
      </c>
      <c r="Q56" s="101" t="str">
        <f>IF(VLOOKUP(B56,'[1]26MY_ODYSSEY_DATA'!B:AR,21,FALSE)="","",VLOOKUP(B56,'[1]26MY_ODYSSEY_DATA'!B:AR,21,FALSE))</f>
        <v>Ne peut être installé simultanément avec pellicule pour rebord de portière</v>
      </c>
    </row>
    <row r="57" spans="2:17" s="92" customFormat="1" ht="15" customHeight="1" x14ac:dyDescent="0.25">
      <c r="B57" s="94" t="s">
        <v>62</v>
      </c>
      <c r="C57" s="219" t="str">
        <f>VLOOKUP(B57,'[1]26MY_ODYSSEY_DATA'!B:AR,4,FALSE)</f>
        <v>Pare-soleil de portière</v>
      </c>
      <c r="D57" s="96" t="str">
        <f t="shared" ref="D57:D64" si="7">B57</f>
        <v>08R04-THR-102</v>
      </c>
      <c r="E57" s="97">
        <f>VLOOKUP(B57,'[1]26MY_ODYSSEY_DATA'!B:AR,9,FALSE)</f>
        <v>234</v>
      </c>
      <c r="F57" s="97">
        <f>VLOOKUP(B57,'[1]26MY_ODYSSEY_DATA'!B:AR,10,FALSE)</f>
        <v>390</v>
      </c>
      <c r="G57" s="98">
        <f>VLOOKUP(B57,'[1]26MY_ODYSSEY_DATA'!B:AR,7,FALSE)</f>
        <v>0.5</v>
      </c>
      <c r="H57" s="99">
        <f>VLOOKUP(B57,'[1]26MY_ODYSSEY_DATA'!B:AR,11,FALSE)</f>
        <v>474</v>
      </c>
      <c r="I57" s="100">
        <f>VLOOKUP(B57,'[1]26MY_ODYSSEY_DATA'!B:AR,12,FALSE)</f>
        <v>0</v>
      </c>
      <c r="J57" s="100" t="str">
        <f>VLOOKUP(B57,'[1]26MY_ODYSSEY_DATA'!B:AR,13,FALSE)</f>
        <v>•</v>
      </c>
      <c r="K57" s="100" t="str">
        <f>VLOOKUP(B57,'[1]26MY_ODYSSEY_DATA'!B:AR,14,FALSE)</f>
        <v>•</v>
      </c>
      <c r="L57" s="100" t="str">
        <f>VLOOKUP(B57,'[1]26MY_ODYSSEY_DATA'!B:AR,15,FALSE)</f>
        <v>•</v>
      </c>
      <c r="M57" s="100" t="str">
        <f>VLOOKUP(B57,'[1]26MY_ODYSSEY_DATA'!B:AR,16,FALSE)</f>
        <v>•</v>
      </c>
      <c r="N57" s="100">
        <f>VLOOKUP($B57,'[1]26MY_ODYSSEY_DATA'!$B:$AR,17,FALSE)</f>
        <v>0</v>
      </c>
      <c r="O57" s="100">
        <f>VLOOKUP($B57,'[1]26MY_ODYSSEY_DATA'!$B:$AR,18,FALSE)</f>
        <v>0</v>
      </c>
      <c r="P57" s="100">
        <f>VLOOKUP($B57,'[1]26MY_ODYSSEY_DATA'!$B:$AR,19,FALSE)</f>
        <v>0</v>
      </c>
      <c r="Q57" s="101" t="str">
        <f>IF(VLOOKUP(B57,'[1]26MY_ODYSSEY_DATA'!B:AR,21,FALSE)="","",VLOOKUP(B57,'[1]26MY_ODYSSEY_DATA'!B:AR,21,FALSE))</f>
        <v/>
      </c>
    </row>
    <row r="58" spans="2:17" s="92" customFormat="1" ht="15" customHeight="1" x14ac:dyDescent="0.25">
      <c r="B58" s="90" t="s">
        <v>63</v>
      </c>
      <c r="C58" s="219" t="str">
        <f>VLOOKUP(B58,'[1]26MY_ODYSSEY_DATA'!B:AR,4,FALSE)</f>
        <v>Déflecteur d’air du capot</v>
      </c>
      <c r="D58" s="96" t="str">
        <f t="shared" si="7"/>
        <v>08P47-THR-301</v>
      </c>
      <c r="E58" s="97">
        <f>VLOOKUP(B58,'[1]26MY_ODYSSEY_DATA'!B:AR,9,FALSE)</f>
        <v>204</v>
      </c>
      <c r="F58" s="97">
        <f>VLOOKUP(B58,'[1]26MY_ODYSSEY_DATA'!B:AR,10,FALSE)</f>
        <v>340</v>
      </c>
      <c r="G58" s="98">
        <f>VLOOKUP(B58,'[1]26MY_ODYSSEY_DATA'!B:AR,7,FALSE)</f>
        <v>0.5</v>
      </c>
      <c r="H58" s="99">
        <f>VLOOKUP(B58,'[1]26MY_ODYSSEY_DATA'!B:AR,11,FALSE)</f>
        <v>424</v>
      </c>
      <c r="I58" s="100">
        <f>VLOOKUP(B58,'[1]26MY_ODYSSEY_DATA'!B:AR,12,FALSE)</f>
        <v>0</v>
      </c>
      <c r="J58" s="100" t="str">
        <f>VLOOKUP(B58,'[1]26MY_ODYSSEY_DATA'!B:AR,13,FALSE)</f>
        <v>•</v>
      </c>
      <c r="K58" s="100" t="str">
        <f>VLOOKUP(B58,'[1]26MY_ODYSSEY_DATA'!B:AR,14,FALSE)</f>
        <v>•</v>
      </c>
      <c r="L58" s="100" t="str">
        <f>VLOOKUP(B58,'[1]26MY_ODYSSEY_DATA'!B:AR,15,FALSE)</f>
        <v>•</v>
      </c>
      <c r="M58" s="100" t="str">
        <f>VLOOKUP(B58,'[1]26MY_ODYSSEY_DATA'!B:AR,16,FALSE)</f>
        <v>•</v>
      </c>
      <c r="N58" s="100">
        <f>VLOOKUP($B58,'[1]26MY_ODYSSEY_DATA'!$B:$AR,17,FALSE)</f>
        <v>0</v>
      </c>
      <c r="O58" s="100">
        <f>VLOOKUP($B58,'[1]26MY_ODYSSEY_DATA'!$B:$AR,18,FALSE)</f>
        <v>0</v>
      </c>
      <c r="P58" s="100">
        <f>VLOOKUP($B58,'[1]26MY_ODYSSEY_DATA'!$B:$AR,19,FALSE)</f>
        <v>0</v>
      </c>
      <c r="Q58" s="101" t="str">
        <f>IF(VLOOKUP(B58,'[1]26MY_ODYSSEY_DATA'!B:AR,21,FALSE)="","",VLOOKUP(B58,'[1]26MY_ODYSSEY_DATA'!B:AR,21,FALSE))</f>
        <v/>
      </c>
    </row>
    <row r="59" spans="2:17" s="92" customFormat="1" ht="15" customHeight="1" x14ac:dyDescent="0.25">
      <c r="B59" s="90" t="s">
        <v>64</v>
      </c>
      <c r="C59" s="219" t="str">
        <f>VLOOKUP(B59,'[1]26MY_ODYSSEY_DATA'!B:AR,4,FALSE)</f>
        <v>Pare-soleil de toit ouvrant</v>
      </c>
      <c r="D59" s="96" t="str">
        <f t="shared" si="7"/>
        <v>08R01-THR-301</v>
      </c>
      <c r="E59" s="97">
        <f>VLOOKUP(B59,'[1]26MY_ODYSSEY_DATA'!B:AR,9,FALSE)</f>
        <v>171</v>
      </c>
      <c r="F59" s="97">
        <f>VLOOKUP(B59,'[1]26MY_ODYSSEY_DATA'!B:AR,10,FALSE)</f>
        <v>285</v>
      </c>
      <c r="G59" s="98">
        <f>VLOOKUP(B59,'[1]26MY_ODYSSEY_DATA'!B:AR,7,FALSE)</f>
        <v>0.3</v>
      </c>
      <c r="H59" s="99">
        <f>VLOOKUP(B59,'[1]26MY_ODYSSEY_DATA'!B:AR,11,FALSE)</f>
        <v>335.4</v>
      </c>
      <c r="I59" s="100">
        <f>VLOOKUP(B59,'[1]26MY_ODYSSEY_DATA'!B:AR,12,FALSE)</f>
        <v>0</v>
      </c>
      <c r="J59" s="100" t="str">
        <f>VLOOKUP(B59,'[1]26MY_ODYSSEY_DATA'!B:AR,13,FALSE)</f>
        <v>•</v>
      </c>
      <c r="K59" s="100" t="str">
        <f>VLOOKUP(B59,'[1]26MY_ODYSSEY_DATA'!B:AR,14,FALSE)</f>
        <v>•</v>
      </c>
      <c r="L59" s="100" t="str">
        <f>VLOOKUP(B59,'[1]26MY_ODYSSEY_DATA'!B:AR,15,FALSE)</f>
        <v>•</v>
      </c>
      <c r="M59" s="100" t="str">
        <f>VLOOKUP(B59,'[1]26MY_ODYSSEY_DATA'!B:AR,16,FALSE)</f>
        <v>•</v>
      </c>
      <c r="N59" s="100">
        <f>VLOOKUP($B59,'[1]26MY_ODYSSEY_DATA'!$B:$AR,17,FALSE)</f>
        <v>0</v>
      </c>
      <c r="O59" s="100">
        <f>VLOOKUP($B59,'[1]26MY_ODYSSEY_DATA'!$B:$AR,18,FALSE)</f>
        <v>0</v>
      </c>
      <c r="P59" s="100">
        <f>VLOOKUP($B59,'[1]26MY_ODYSSEY_DATA'!$B:$AR,19,FALSE)</f>
        <v>0</v>
      </c>
      <c r="Q59" s="101" t="str">
        <f>IF(VLOOKUP(B59,'[1]26MY_ODYSSEY_DATA'!B:AR,21,FALSE)="","",VLOOKUP(B59,'[1]26MY_ODYSSEY_DATA'!B:AR,21,FALSE))</f>
        <v/>
      </c>
    </row>
    <row r="60" spans="2:17" s="92" customFormat="1" ht="15" customHeight="1" x14ac:dyDescent="0.25">
      <c r="B60" s="90" t="s">
        <v>38</v>
      </c>
      <c r="C60" s="219" t="str">
        <f>VLOOKUP(B60,'[1]26MY_ODYSSEY_DATA'!B:AR,4,FALSE)</f>
        <v xml:space="preserve">Garde-boue arrière </v>
      </c>
      <c r="D60" s="96" t="str">
        <f t="shared" si="7"/>
        <v>08P09-THR-300A</v>
      </c>
      <c r="E60" s="97">
        <f>VLOOKUP(B60,'[1]26MY_ODYSSEY_DATA'!B:AR,9,FALSE)</f>
        <v>82</v>
      </c>
      <c r="F60" s="97">
        <f>VLOOKUP(B60,'[1]26MY_ODYSSEY_DATA'!B:AR,10,FALSE)</f>
        <v>137</v>
      </c>
      <c r="G60" s="98">
        <f>VLOOKUP(B60,'[1]26MY_ODYSSEY_DATA'!B:AR,7,FALSE)</f>
        <v>0.4</v>
      </c>
      <c r="H60" s="99">
        <f>VLOOKUP(B60,'[1]26MY_ODYSSEY_DATA'!B:AR,11,FALSE)</f>
        <v>204.2</v>
      </c>
      <c r="I60" s="100">
        <f>VLOOKUP(B60,'[1]26MY_ODYSSEY_DATA'!B:AR,12,FALSE)</f>
        <v>0</v>
      </c>
      <c r="J60" s="100" t="str">
        <f>VLOOKUP(B60,'[1]26MY_ODYSSEY_DATA'!B:AR,13,FALSE)</f>
        <v>•</v>
      </c>
      <c r="K60" s="100" t="str">
        <f>VLOOKUP(B60,'[1]26MY_ODYSSEY_DATA'!B:AR,14,FALSE)</f>
        <v>•</v>
      </c>
      <c r="L60" s="100" t="str">
        <f>VLOOKUP(B60,'[1]26MY_ODYSSEY_DATA'!B:AR,15,FALSE)</f>
        <v>•</v>
      </c>
      <c r="M60" s="100" t="str">
        <f>VLOOKUP(B60,'[1]26MY_ODYSSEY_DATA'!B:AR,16,FALSE)</f>
        <v>•</v>
      </c>
      <c r="N60" s="100">
        <f>VLOOKUP($B60,'[1]26MY_ODYSSEY_DATA'!$B:$AR,17,FALSE)</f>
        <v>0</v>
      </c>
      <c r="O60" s="100">
        <f>VLOOKUP($B60,'[1]26MY_ODYSSEY_DATA'!$B:$AR,18,FALSE)</f>
        <v>0</v>
      </c>
      <c r="P60" s="100">
        <f>VLOOKUP($B60,'[1]26MY_ODYSSEY_DATA'!$B:$AR,19,FALSE)</f>
        <v>0</v>
      </c>
      <c r="Q60" s="101" t="str">
        <f>IF(VLOOKUP(B60,'[1]26MY_ODYSSEY_DATA'!B:AR,21,FALSE)="","",VLOOKUP(B60,'[1]26MY_ODYSSEY_DATA'!B:AR,21,FALSE))</f>
        <v/>
      </c>
    </row>
    <row r="61" spans="2:17" s="92" customFormat="1" ht="16.5" x14ac:dyDescent="0.25">
      <c r="B61" s="90" t="s">
        <v>65</v>
      </c>
      <c r="C61" s="219" t="str">
        <f>VLOOKUP(B61,'[1]26MY_ODYSSEY_DATA'!B:AR,4,FALSE)</f>
        <v>Tente</v>
      </c>
      <c r="D61" s="96" t="str">
        <f t="shared" si="7"/>
        <v>08Z04-SCV-110B</v>
      </c>
      <c r="E61" s="97">
        <f>VLOOKUP(B61,'[1]26MY_ODYSSEY_DATA'!B:AR,9,FALSE)</f>
        <v>477</v>
      </c>
      <c r="F61" s="97">
        <f>VLOOKUP(B61,'[1]26MY_ODYSSEY_DATA'!B:AR,10,FALSE)</f>
        <v>681</v>
      </c>
      <c r="G61" s="98">
        <f>VLOOKUP(B61,'[1]26MY_ODYSSEY_DATA'!B:AR,7,FALSE)</f>
        <v>0</v>
      </c>
      <c r="H61" s="99">
        <f>VLOOKUP(B61,'[1]26MY_ODYSSEY_DATA'!B:AR,11,FALSE)</f>
        <v>681</v>
      </c>
      <c r="I61" s="100">
        <f>VLOOKUP(B61,'[1]26MY_ODYSSEY_DATA'!B:AR,12,FALSE)</f>
        <v>0</v>
      </c>
      <c r="J61" s="100" t="str">
        <f>VLOOKUP(B61,'[1]26MY_ODYSSEY_DATA'!B:AR,13,FALSE)</f>
        <v>•</v>
      </c>
      <c r="K61" s="100" t="str">
        <f>VLOOKUP(B61,'[1]26MY_ODYSSEY_DATA'!B:AR,14,FALSE)</f>
        <v>•</v>
      </c>
      <c r="L61" s="100" t="str">
        <f>VLOOKUP(B61,'[1]26MY_ODYSSEY_DATA'!B:AR,15,FALSE)</f>
        <v>•</v>
      </c>
      <c r="M61" s="100" t="str">
        <f>VLOOKUP(B61,'[1]26MY_ODYSSEY_DATA'!B:AR,16,FALSE)</f>
        <v>•</v>
      </c>
      <c r="N61" s="100">
        <f>VLOOKUP($B61,'[1]26MY_ODYSSEY_DATA'!$B:$AR,17,FALSE)</f>
        <v>0</v>
      </c>
      <c r="O61" s="100">
        <f>VLOOKUP($B61,'[1]26MY_ODYSSEY_DATA'!$B:$AR,18,FALSE)</f>
        <v>0</v>
      </c>
      <c r="P61" s="100">
        <f>VLOOKUP($B61,'[1]26MY_ODYSSEY_DATA'!$B:$AR,19,FALSE)</f>
        <v>0</v>
      </c>
      <c r="Q61" s="101" t="str">
        <f>IF(VLOOKUP(B61,'[1]26MY_ODYSSEY_DATA'!B:AR,21,FALSE)="","",VLOOKUP(B61,'[1]26MY_ODYSSEY_DATA'!B:AR,21,FALSE))</f>
        <v/>
      </c>
    </row>
    <row r="62" spans="2:17" s="92" customFormat="1" ht="16.5" x14ac:dyDescent="0.25">
      <c r="B62" s="90" t="s">
        <v>66</v>
      </c>
      <c r="C62" s="219" t="str">
        <f>VLOOKUP(B62,'[1]26MY_ODYSSEY_DATA'!B:AR,4,FALSE)</f>
        <v xml:space="preserve">Rails de toit - Noir </v>
      </c>
      <c r="D62" s="96" t="str">
        <f t="shared" si="7"/>
        <v>08L02-THR-102</v>
      </c>
      <c r="E62" s="97">
        <f>VLOOKUP(B62,'[1]26MY_ODYSSEY_DATA'!B:AR,9,FALSE)</f>
        <v>460</v>
      </c>
      <c r="F62" s="97">
        <f>VLOOKUP(B62,'[1]26MY_ODYSSEY_DATA'!B:AR,10,FALSE)</f>
        <v>767</v>
      </c>
      <c r="G62" s="98">
        <f>VLOOKUP(B62,'[1]26MY_ODYSSEY_DATA'!B:AR,7,FALSE)</f>
        <v>1</v>
      </c>
      <c r="H62" s="99">
        <f>VLOOKUP(B62,'[1]26MY_ODYSSEY_DATA'!B:AR,11,FALSE)</f>
        <v>935</v>
      </c>
      <c r="I62" s="100">
        <f>VLOOKUP(B62,'[1]26MY_ODYSSEY_DATA'!B:AR,12,FALSE)</f>
        <v>0</v>
      </c>
      <c r="J62" s="100" t="str">
        <f>VLOOKUP(B62,'[1]26MY_ODYSSEY_DATA'!B:AR,13,FALSE)</f>
        <v>•</v>
      </c>
      <c r="K62" s="100" t="str">
        <f>VLOOKUP(B62,'[1]26MY_ODYSSEY_DATA'!B:AR,14,FALSE)</f>
        <v>•</v>
      </c>
      <c r="L62" s="100" t="str">
        <f>VLOOKUP(B62,'[1]26MY_ODYSSEY_DATA'!B:AR,15,FALSE)</f>
        <v>•</v>
      </c>
      <c r="M62" s="100" t="str">
        <f>VLOOKUP(B62,'[1]26MY_ODYSSEY_DATA'!B:AR,16,FALSE)</f>
        <v>•</v>
      </c>
      <c r="N62" s="100">
        <f>VLOOKUP($B62,'[1]26MY_ODYSSEY_DATA'!$B:$AR,17,FALSE)</f>
        <v>0</v>
      </c>
      <c r="O62" s="100">
        <f>VLOOKUP($B62,'[1]26MY_ODYSSEY_DATA'!$B:$AR,18,FALSE)</f>
        <v>0</v>
      </c>
      <c r="P62" s="100">
        <f>VLOOKUP($B62,'[1]26MY_ODYSSEY_DATA'!$B:$AR,19,FALSE)</f>
        <v>0</v>
      </c>
      <c r="Q62" s="101" t="str">
        <f>IF(VLOOKUP(B62,'[1]26MY_ODYSSEY_DATA'!B:AR,21,FALSE)="","",VLOOKUP(B62,'[1]26MY_ODYSSEY_DATA'!B:AR,21,FALSE))</f>
        <v/>
      </c>
    </row>
    <row r="63" spans="2:17" s="92" customFormat="1" ht="15" customHeight="1" x14ac:dyDescent="0.25">
      <c r="B63" s="90" t="s">
        <v>67</v>
      </c>
      <c r="C63" s="219" t="str">
        <f>VLOOKUP(B63,'[1]26MY_ODYSSEY_DATA'!B:AR,4,FALSE)</f>
        <v xml:space="preserve">Rails de toit - Chromées </v>
      </c>
      <c r="D63" s="96" t="str">
        <f t="shared" si="7"/>
        <v>08L02-THR-102A</v>
      </c>
      <c r="E63" s="97">
        <f>VLOOKUP(B63,'[1]26MY_ODYSSEY_DATA'!B:AR,9,FALSE)</f>
        <v>655</v>
      </c>
      <c r="F63" s="97">
        <f>VLOOKUP(B63,'[1]26MY_ODYSSEY_DATA'!B:AR,10,FALSE)</f>
        <v>999</v>
      </c>
      <c r="G63" s="98">
        <f>VLOOKUP(B63,'[1]26MY_ODYSSEY_DATA'!B:AR,7,FALSE)</f>
        <v>1</v>
      </c>
      <c r="H63" s="99">
        <f>VLOOKUP(B63,'[1]26MY_ODYSSEY_DATA'!B:AR,11,FALSE)</f>
        <v>1167</v>
      </c>
      <c r="I63" s="100">
        <f>VLOOKUP(B63,'[1]26MY_ODYSSEY_DATA'!B:AR,12,FALSE)</f>
        <v>0</v>
      </c>
      <c r="J63" s="100" t="str">
        <f>VLOOKUP(B63,'[1]26MY_ODYSSEY_DATA'!B:AR,13,FALSE)</f>
        <v>•</v>
      </c>
      <c r="K63" s="100" t="str">
        <f>VLOOKUP(B63,'[1]26MY_ODYSSEY_DATA'!B:AR,14,FALSE)</f>
        <v>•</v>
      </c>
      <c r="L63" s="100" t="str">
        <f>VLOOKUP(B63,'[1]26MY_ODYSSEY_DATA'!B:AR,15,FALSE)</f>
        <v>•</v>
      </c>
      <c r="M63" s="100" t="str">
        <f>VLOOKUP(B63,'[1]26MY_ODYSSEY_DATA'!B:AR,16,FALSE)</f>
        <v>•</v>
      </c>
      <c r="N63" s="100">
        <f>VLOOKUP($B63,'[1]26MY_ODYSSEY_DATA'!$B:$AR,17,FALSE)</f>
        <v>0</v>
      </c>
      <c r="O63" s="100">
        <f>VLOOKUP($B63,'[1]26MY_ODYSSEY_DATA'!$B:$AR,18,FALSE)</f>
        <v>0</v>
      </c>
      <c r="P63" s="100">
        <f>VLOOKUP($B63,'[1]26MY_ODYSSEY_DATA'!$B:$AR,19,FALSE)</f>
        <v>0</v>
      </c>
      <c r="Q63" s="101" t="str">
        <f>IF(VLOOKUP(B63,'[1]26MY_ODYSSEY_DATA'!B:AR,21,FALSE)="","",VLOOKUP(B63,'[1]26MY_ODYSSEY_DATA'!B:AR,21,FALSE))</f>
        <v/>
      </c>
    </row>
    <row r="64" spans="2:17" s="92" customFormat="1" ht="15" customHeight="1" x14ac:dyDescent="0.25">
      <c r="B64" s="90" t="s">
        <v>68</v>
      </c>
      <c r="C64" s="219" t="str">
        <f>VLOOKUP(B64,'[1]26MY_ODYSSEY_DATA'!B:AR,4,FALSE)</f>
        <v xml:space="preserve">Barres transversales </v>
      </c>
      <c r="D64" s="96" t="str">
        <f t="shared" si="7"/>
        <v>08L04-THR-100</v>
      </c>
      <c r="E64" s="97">
        <f>VLOOKUP(B64,'[1]26MY_ODYSSEY_DATA'!B:AR,9,FALSE)</f>
        <v>216</v>
      </c>
      <c r="F64" s="97">
        <f>VLOOKUP(B64,'[1]26MY_ODYSSEY_DATA'!B:AR,10,FALSE)</f>
        <v>360</v>
      </c>
      <c r="G64" s="98">
        <f>VLOOKUP(B64,'[1]26MY_ODYSSEY_DATA'!B:AR,7,FALSE)</f>
        <v>0.2</v>
      </c>
      <c r="H64" s="99">
        <f>VLOOKUP(B64,'[1]26MY_ODYSSEY_DATA'!B:AR,11,FALSE)</f>
        <v>393.6</v>
      </c>
      <c r="I64" s="100">
        <f>VLOOKUP(B64,'[1]26MY_ODYSSEY_DATA'!B:AR,12,FALSE)</f>
        <v>0</v>
      </c>
      <c r="J64" s="100" t="str">
        <f>VLOOKUP(B64,'[1]26MY_ODYSSEY_DATA'!B:AR,13,FALSE)</f>
        <v>•</v>
      </c>
      <c r="K64" s="100" t="str">
        <f>VLOOKUP(B64,'[1]26MY_ODYSSEY_DATA'!B:AR,14,FALSE)</f>
        <v>•</v>
      </c>
      <c r="L64" s="100" t="str">
        <f>VLOOKUP(B64,'[1]26MY_ODYSSEY_DATA'!B:AR,15,FALSE)</f>
        <v>•</v>
      </c>
      <c r="M64" s="100" t="str">
        <f>VLOOKUP(B64,'[1]26MY_ODYSSEY_DATA'!B:AR,16,FALSE)</f>
        <v>•</v>
      </c>
      <c r="N64" s="100">
        <f>VLOOKUP($B64,'[1]26MY_ODYSSEY_DATA'!$B:$AR,17,FALSE)</f>
        <v>0</v>
      </c>
      <c r="O64" s="100">
        <f>VLOOKUP($B64,'[1]26MY_ODYSSEY_DATA'!$B:$AR,18,FALSE)</f>
        <v>0</v>
      </c>
      <c r="P64" s="100">
        <f>VLOOKUP($B64,'[1]26MY_ODYSSEY_DATA'!$B:$AR,19,FALSE)</f>
        <v>0</v>
      </c>
      <c r="Q64" s="101" t="str">
        <f>IF(VLOOKUP(B64,'[1]26MY_ODYSSEY_DATA'!B:AR,21,FALSE)="","",VLOOKUP(B64,'[1]26MY_ODYSSEY_DATA'!B:AR,21,FALSE))</f>
        <v>Nécessite des rails de toit.</v>
      </c>
    </row>
    <row r="65" spans="2:17" s="92" customFormat="1" ht="15" customHeight="1" x14ac:dyDescent="0.25">
      <c r="B65" s="90" t="s">
        <v>69</v>
      </c>
      <c r="C65" s="110" t="str">
        <f>VLOOKUP(B65,'[1]26MY_ODYSSEY_DATA'!B:AR,4,FALSE)</f>
        <v>Accessoires de toit</v>
      </c>
      <c r="D65" s="111"/>
      <c r="E65" s="111"/>
      <c r="F65" s="111"/>
      <c r="G65" s="111"/>
      <c r="H65" s="111"/>
      <c r="I65" s="111"/>
      <c r="J65" s="111"/>
      <c r="K65" s="111"/>
      <c r="L65" s="111"/>
      <c r="M65" s="111"/>
      <c r="N65" s="111"/>
      <c r="O65" s="111"/>
      <c r="P65" s="111"/>
      <c r="Q65" s="112"/>
    </row>
    <row r="66" spans="2:17" s="92" customFormat="1" ht="15" customHeight="1" x14ac:dyDescent="0.25">
      <c r="B66" s="90" t="s">
        <v>70</v>
      </c>
      <c r="C66" s="67" t="str">
        <f>VLOOKUP(B66,'[1]26MY_ODYSSEY_DATA'!B:AR,4,FALSE)</f>
        <v>Panier de toit</v>
      </c>
      <c r="D66" s="96" t="str">
        <f t="shared" ref="D66:D73" si="8">B66</f>
        <v>08L20-E09-101C</v>
      </c>
      <c r="E66" s="97">
        <f>VLOOKUP(B66,'[1]26MY_ODYSSEY_DATA'!B:AR,9,FALSE)</f>
        <v>571</v>
      </c>
      <c r="F66" s="97">
        <f>VLOOKUP(B66,'[1]26MY_ODYSSEY_DATA'!B:AR,10,FALSE)</f>
        <v>952</v>
      </c>
      <c r="G66" s="98">
        <f>VLOOKUP(B66,'[1]26MY_ODYSSEY_DATA'!B:AR,7,FALSE)</f>
        <v>0.4</v>
      </c>
      <c r="H66" s="99">
        <f>VLOOKUP(B66,'[1]26MY_ODYSSEY_DATA'!B:AR,11,FALSE)</f>
        <v>1019.2</v>
      </c>
      <c r="I66" s="100">
        <f>VLOOKUP(B66,'[1]26MY_ODYSSEY_DATA'!B:AR,12,FALSE)</f>
        <v>0</v>
      </c>
      <c r="J66" s="100" t="str">
        <f>VLOOKUP(B66,'[1]26MY_ODYSSEY_DATA'!B:AR,13,FALSE)</f>
        <v>•</v>
      </c>
      <c r="K66" s="100" t="str">
        <f>VLOOKUP(B66,'[1]26MY_ODYSSEY_DATA'!B:AR,14,FALSE)</f>
        <v>•</v>
      </c>
      <c r="L66" s="100" t="str">
        <f>VLOOKUP(B66,'[1]26MY_ODYSSEY_DATA'!B:AR,15,FALSE)</f>
        <v>•</v>
      </c>
      <c r="M66" s="100" t="str">
        <f>VLOOKUP(B66,'[1]26MY_ODYSSEY_DATA'!B:AR,16,FALSE)</f>
        <v>•</v>
      </c>
      <c r="N66" s="100">
        <f>VLOOKUP($B66,'[1]26MY_ODYSSEY_DATA'!$B:$AR,17,FALSE)</f>
        <v>0</v>
      </c>
      <c r="O66" s="100">
        <f>VLOOKUP($B66,'[1]26MY_ODYSSEY_DATA'!$B:$AR,18,FALSE)</f>
        <v>0</v>
      </c>
      <c r="P66" s="100">
        <f>VLOOKUP($B66,'[1]26MY_ODYSSEY_DATA'!$B:$AR,19,FALSE)</f>
        <v>0</v>
      </c>
      <c r="Q66" s="63" t="str">
        <f>IF(VLOOKUP(B66,'[1]26MY_ODYSSEY_DATA'!B:AR,21,FALSE)="","",VLOOKUP(B66,'[1]26MY_ODYSSEY_DATA'!B:AR,21,FALSE))</f>
        <v>Nécessite des rails de toit et des barres transversales.</v>
      </c>
    </row>
    <row r="67" spans="2:17" s="92" customFormat="1" ht="15" customHeight="1" x14ac:dyDescent="0.25">
      <c r="B67" s="90" t="s">
        <v>71</v>
      </c>
      <c r="C67" s="67" t="str">
        <f>VLOOKUP(B67,'[1]26MY_ODYSSEY_DATA'!B:AR,4,FALSE)</f>
        <v>Galerie de toit, Porte-vélo - monture de fourche</v>
      </c>
      <c r="D67" s="96" t="str">
        <f t="shared" si="8"/>
        <v>08L07-E09-300A</v>
      </c>
      <c r="E67" s="97">
        <f>VLOOKUP(B67,'[1]26MY_ODYSSEY_DATA'!B:AR,9,FALSE)</f>
        <v>292</v>
      </c>
      <c r="F67" s="97">
        <f>VLOOKUP(B67,'[1]26MY_ODYSSEY_DATA'!B:AR,10,FALSE)</f>
        <v>487</v>
      </c>
      <c r="G67" s="98">
        <f>VLOOKUP(B67,'[1]26MY_ODYSSEY_DATA'!B:AR,7,FALSE)</f>
        <v>0.4</v>
      </c>
      <c r="H67" s="99">
        <f>VLOOKUP(B67,'[1]26MY_ODYSSEY_DATA'!B:AR,11,FALSE)</f>
        <v>554.20000000000005</v>
      </c>
      <c r="I67" s="100">
        <f>VLOOKUP(B67,'[1]26MY_ODYSSEY_DATA'!B:AR,12,FALSE)</f>
        <v>0</v>
      </c>
      <c r="J67" s="100" t="str">
        <f>VLOOKUP(B67,'[1]26MY_ODYSSEY_DATA'!B:AR,13,FALSE)</f>
        <v>•</v>
      </c>
      <c r="K67" s="100" t="str">
        <f>VLOOKUP(B67,'[1]26MY_ODYSSEY_DATA'!B:AR,14,FALSE)</f>
        <v>•</v>
      </c>
      <c r="L67" s="100" t="str">
        <f>VLOOKUP(B67,'[1]26MY_ODYSSEY_DATA'!B:AR,15,FALSE)</f>
        <v>•</v>
      </c>
      <c r="M67" s="100" t="str">
        <f>VLOOKUP(B67,'[1]26MY_ODYSSEY_DATA'!B:AR,16,FALSE)</f>
        <v>•</v>
      </c>
      <c r="N67" s="100">
        <f>VLOOKUP($B67,'[1]26MY_ODYSSEY_DATA'!$B:$AR,17,FALSE)</f>
        <v>0</v>
      </c>
      <c r="O67" s="100">
        <f>VLOOKUP($B67,'[1]26MY_ODYSSEY_DATA'!$B:$AR,18,FALSE)</f>
        <v>0</v>
      </c>
      <c r="P67" s="100">
        <f>VLOOKUP($B67,'[1]26MY_ODYSSEY_DATA'!$B:$AR,19,FALSE)</f>
        <v>0</v>
      </c>
      <c r="Q67" s="73"/>
    </row>
    <row r="68" spans="2:17" s="92" customFormat="1" ht="15" customHeight="1" x14ac:dyDescent="0.25">
      <c r="B68" s="90" t="s">
        <v>72</v>
      </c>
      <c r="C68" s="67" t="str">
        <f>VLOOKUP(B68,'[1]26MY_ODYSSEY_DATA'!B:AR,4,FALSE)</f>
        <v>Support à vélo vertical pour porte-bagages de toit</v>
      </c>
      <c r="D68" s="96" t="str">
        <f t="shared" si="8"/>
        <v>08L07-E09-101</v>
      </c>
      <c r="E68" s="97">
        <f>VLOOKUP(B68,'[1]26MY_ODYSSEY_DATA'!B:AR,9,FALSE)</f>
        <v>383</v>
      </c>
      <c r="F68" s="97">
        <f>VLOOKUP(B68,'[1]26MY_ODYSSEY_DATA'!B:AR,10,FALSE)</f>
        <v>547</v>
      </c>
      <c r="G68" s="98">
        <f>VLOOKUP(B68,'[1]26MY_ODYSSEY_DATA'!B:AR,7,FALSE)</f>
        <v>0.6</v>
      </c>
      <c r="H68" s="99">
        <f>VLOOKUP(B68,'[1]26MY_ODYSSEY_DATA'!B:AR,11,FALSE)</f>
        <v>647.79999999999995</v>
      </c>
      <c r="I68" s="100">
        <f>VLOOKUP(B68,'[1]26MY_ODYSSEY_DATA'!B:AR,12,FALSE)</f>
        <v>0</v>
      </c>
      <c r="J68" s="100" t="str">
        <f>VLOOKUP(B68,'[1]26MY_ODYSSEY_DATA'!B:AR,13,FALSE)</f>
        <v>•</v>
      </c>
      <c r="K68" s="100" t="str">
        <f>VLOOKUP(B68,'[1]26MY_ODYSSEY_DATA'!B:AR,14,FALSE)</f>
        <v>•</v>
      </c>
      <c r="L68" s="100" t="str">
        <f>VLOOKUP(B68,'[1]26MY_ODYSSEY_DATA'!B:AR,15,FALSE)</f>
        <v>•</v>
      </c>
      <c r="M68" s="100" t="str">
        <f>VLOOKUP(B68,'[1]26MY_ODYSSEY_DATA'!B:AR,16,FALSE)</f>
        <v>•</v>
      </c>
      <c r="N68" s="100">
        <f>VLOOKUP($B68,'[1]26MY_ODYSSEY_DATA'!$B:$AR,17,FALSE)</f>
        <v>0</v>
      </c>
      <c r="O68" s="100">
        <f>VLOOKUP($B68,'[1]26MY_ODYSSEY_DATA'!$B:$AR,18,FALSE)</f>
        <v>0</v>
      </c>
      <c r="P68" s="100">
        <f>VLOOKUP($B68,'[1]26MY_ODYSSEY_DATA'!$B:$AR,19,FALSE)</f>
        <v>0</v>
      </c>
      <c r="Q68" s="73"/>
    </row>
    <row r="69" spans="2:17" s="92" customFormat="1" ht="15" customHeight="1" x14ac:dyDescent="0.25">
      <c r="B69" s="90" t="s">
        <v>73</v>
      </c>
      <c r="C69" s="67" t="str">
        <f>VLOOKUP(B69,'[1]26MY_ODYSSEY_DATA'!B:AR,4,FALSE)</f>
        <v>Boîte de toit - moyenne</v>
      </c>
      <c r="D69" s="96" t="str">
        <f t="shared" si="8"/>
        <v>08L20-E09-300A</v>
      </c>
      <c r="E69" s="97">
        <f>VLOOKUP(B69,'[1]26MY_ODYSSEY_DATA'!B:AR,9,FALSE)</f>
        <v>875</v>
      </c>
      <c r="F69" s="97">
        <f>VLOOKUP(B69,'[1]26MY_ODYSSEY_DATA'!B:AR,10,FALSE)</f>
        <v>1458</v>
      </c>
      <c r="G69" s="98">
        <f>VLOOKUP(B69,'[1]26MY_ODYSSEY_DATA'!B:AR,7,FALSE)</f>
        <v>0.2</v>
      </c>
      <c r="H69" s="99">
        <f>VLOOKUP(B69,'[1]26MY_ODYSSEY_DATA'!B:AR,11,FALSE)</f>
        <v>1491.6</v>
      </c>
      <c r="I69" s="100">
        <f>VLOOKUP(B69,'[1]26MY_ODYSSEY_DATA'!B:AR,12,FALSE)</f>
        <v>0</v>
      </c>
      <c r="J69" s="100" t="str">
        <f>VLOOKUP(B69,'[1]26MY_ODYSSEY_DATA'!B:AR,13,FALSE)</f>
        <v>•</v>
      </c>
      <c r="K69" s="100" t="str">
        <f>VLOOKUP(B69,'[1]26MY_ODYSSEY_DATA'!B:AR,14,FALSE)</f>
        <v>•</v>
      </c>
      <c r="L69" s="100" t="str">
        <f>VLOOKUP(B69,'[1]26MY_ODYSSEY_DATA'!B:AR,15,FALSE)</f>
        <v>•</v>
      </c>
      <c r="M69" s="100" t="str">
        <f>VLOOKUP(B69,'[1]26MY_ODYSSEY_DATA'!B:AR,16,FALSE)</f>
        <v>•</v>
      </c>
      <c r="N69" s="100">
        <f>VLOOKUP($B69,'[1]26MY_ODYSSEY_DATA'!$B:$AR,17,FALSE)</f>
        <v>0</v>
      </c>
      <c r="O69" s="100">
        <f>VLOOKUP($B69,'[1]26MY_ODYSSEY_DATA'!$B:$AR,18,FALSE)</f>
        <v>0</v>
      </c>
      <c r="P69" s="100">
        <f>VLOOKUP($B69,'[1]26MY_ODYSSEY_DATA'!$B:$AR,19,FALSE)</f>
        <v>0</v>
      </c>
      <c r="Q69" s="73"/>
    </row>
    <row r="70" spans="2:17" s="92" customFormat="1" ht="15" customHeight="1" x14ac:dyDescent="0.25">
      <c r="B70" s="90" t="s">
        <v>74</v>
      </c>
      <c r="C70" s="67" t="str">
        <f>VLOOKUP(B70,'[1]26MY_ODYSSEY_DATA'!B:AR,4,FALSE)</f>
        <v>Boîte de toit - courte</v>
      </c>
      <c r="D70" s="96" t="str">
        <f t="shared" si="8"/>
        <v>08L20-E09-300B</v>
      </c>
      <c r="E70" s="97">
        <f>VLOOKUP(B70,'[1]26MY_ODYSSEY_DATA'!B:AR,9,FALSE)</f>
        <v>799</v>
      </c>
      <c r="F70" s="97">
        <f>VLOOKUP(B70,'[1]26MY_ODYSSEY_DATA'!B:AR,10,FALSE)</f>
        <v>1332</v>
      </c>
      <c r="G70" s="98">
        <f>VLOOKUP(B70,'[1]26MY_ODYSSEY_DATA'!B:AR,7,FALSE)</f>
        <v>0.2</v>
      </c>
      <c r="H70" s="99">
        <f>VLOOKUP(B70,'[1]26MY_ODYSSEY_DATA'!B:AR,11,FALSE)</f>
        <v>1365.6</v>
      </c>
      <c r="I70" s="100">
        <f>VLOOKUP(B70,'[1]26MY_ODYSSEY_DATA'!B:AR,12,FALSE)</f>
        <v>0</v>
      </c>
      <c r="J70" s="100" t="str">
        <f>VLOOKUP(B70,'[1]26MY_ODYSSEY_DATA'!B:AR,13,FALSE)</f>
        <v>•</v>
      </c>
      <c r="K70" s="100" t="str">
        <f>VLOOKUP(B70,'[1]26MY_ODYSSEY_DATA'!B:AR,14,FALSE)</f>
        <v>•</v>
      </c>
      <c r="L70" s="100" t="str">
        <f>VLOOKUP(B70,'[1]26MY_ODYSSEY_DATA'!B:AR,15,FALSE)</f>
        <v>•</v>
      </c>
      <c r="M70" s="100" t="str">
        <f>VLOOKUP(B70,'[1]26MY_ODYSSEY_DATA'!B:AR,16,FALSE)</f>
        <v>•</v>
      </c>
      <c r="N70" s="100">
        <f>VLOOKUP($B70,'[1]26MY_ODYSSEY_DATA'!$B:$AR,17,FALSE)</f>
        <v>0</v>
      </c>
      <c r="O70" s="100">
        <f>VLOOKUP($B70,'[1]26MY_ODYSSEY_DATA'!$B:$AR,18,FALSE)</f>
        <v>0</v>
      </c>
      <c r="P70" s="100">
        <f>VLOOKUP($B70,'[1]26MY_ODYSSEY_DATA'!$B:$AR,19,FALSE)</f>
        <v>0</v>
      </c>
      <c r="Q70" s="73"/>
    </row>
    <row r="71" spans="2:17" s="92" customFormat="1" ht="16.5" x14ac:dyDescent="0.25">
      <c r="B71" s="90" t="s">
        <v>75</v>
      </c>
      <c r="C71" s="67" t="str">
        <f>VLOOKUP(B71,'[1]26MY_ODYSSEY_DATA'!B:AR,4,FALSE)</f>
        <v>Galerie de toit, fixation pour kayak</v>
      </c>
      <c r="D71" s="96" t="str">
        <f t="shared" si="8"/>
        <v>08L09-E09-101</v>
      </c>
      <c r="E71" s="97">
        <f>VLOOKUP(B71,'[1]26MY_ODYSSEY_DATA'!B:AR,9,FALSE)</f>
        <v>430</v>
      </c>
      <c r="F71" s="97">
        <f>VLOOKUP(B71,'[1]26MY_ODYSSEY_DATA'!B:AR,10,FALSE)</f>
        <v>717</v>
      </c>
      <c r="G71" s="98">
        <f>VLOOKUP(B71,'[1]26MY_ODYSSEY_DATA'!B:AR,7,FALSE)</f>
        <v>0.2</v>
      </c>
      <c r="H71" s="99">
        <f>VLOOKUP(B71,'[1]26MY_ODYSSEY_DATA'!B:AR,11,FALSE)</f>
        <v>750.6</v>
      </c>
      <c r="I71" s="100">
        <f>VLOOKUP(B71,'[1]26MY_ODYSSEY_DATA'!B:AR,12,FALSE)</f>
        <v>0</v>
      </c>
      <c r="J71" s="100" t="str">
        <f>VLOOKUP(B71,'[1]26MY_ODYSSEY_DATA'!B:AR,13,FALSE)</f>
        <v>•</v>
      </c>
      <c r="K71" s="100" t="str">
        <f>VLOOKUP(B71,'[1]26MY_ODYSSEY_DATA'!B:AR,14,FALSE)</f>
        <v>•</v>
      </c>
      <c r="L71" s="100" t="str">
        <f>VLOOKUP(B71,'[1]26MY_ODYSSEY_DATA'!B:AR,15,FALSE)</f>
        <v>•</v>
      </c>
      <c r="M71" s="100" t="str">
        <f>VLOOKUP(B71,'[1]26MY_ODYSSEY_DATA'!B:AR,16,FALSE)</f>
        <v>•</v>
      </c>
      <c r="N71" s="100">
        <f>VLOOKUP($B71,'[1]26MY_ODYSSEY_DATA'!$B:$AR,17,FALSE)</f>
        <v>0</v>
      </c>
      <c r="O71" s="100">
        <f>VLOOKUP($B71,'[1]26MY_ODYSSEY_DATA'!$B:$AR,18,FALSE)</f>
        <v>0</v>
      </c>
      <c r="P71" s="100">
        <f>VLOOKUP($B71,'[1]26MY_ODYSSEY_DATA'!$B:$AR,19,FALSE)</f>
        <v>0</v>
      </c>
      <c r="Q71" s="73"/>
    </row>
    <row r="72" spans="2:17" s="92" customFormat="1" ht="16.5" x14ac:dyDescent="0.25">
      <c r="B72" s="90" t="s">
        <v>76</v>
      </c>
      <c r="C72" s="67" t="str">
        <f>VLOOKUP(B72,'[1]26MY_ODYSSEY_DATA'!B:AR,4,FALSE)</f>
        <v>Galerie de toit, Fixation pour skis/planche à neige</v>
      </c>
      <c r="D72" s="96" t="str">
        <f t="shared" si="8"/>
        <v>08L03-E09-300C</v>
      </c>
      <c r="E72" s="97">
        <f>VLOOKUP(B72,'[1]26MY_ODYSSEY_DATA'!B:AR,9,FALSE)</f>
        <v>415</v>
      </c>
      <c r="F72" s="97">
        <f>VLOOKUP(B72,'[1]26MY_ODYSSEY_DATA'!B:AR,10,FALSE)</f>
        <v>692</v>
      </c>
      <c r="G72" s="98">
        <f>VLOOKUP(B72,'[1]26MY_ODYSSEY_DATA'!B:AR,7,FALSE)</f>
        <v>0.2</v>
      </c>
      <c r="H72" s="99">
        <f>VLOOKUP(B72,'[1]26MY_ODYSSEY_DATA'!B:AR,11,FALSE)</f>
        <v>725.6</v>
      </c>
      <c r="I72" s="100">
        <f>VLOOKUP(B72,'[1]26MY_ODYSSEY_DATA'!B:AR,12,FALSE)</f>
        <v>0</v>
      </c>
      <c r="J72" s="100" t="str">
        <f>VLOOKUP(B72,'[1]26MY_ODYSSEY_DATA'!B:AR,13,FALSE)</f>
        <v>•</v>
      </c>
      <c r="K72" s="100" t="str">
        <f>VLOOKUP(B72,'[1]26MY_ODYSSEY_DATA'!B:AR,14,FALSE)</f>
        <v>•</v>
      </c>
      <c r="L72" s="100" t="str">
        <f>VLOOKUP(B72,'[1]26MY_ODYSSEY_DATA'!B:AR,15,FALSE)</f>
        <v>•</v>
      </c>
      <c r="M72" s="100" t="str">
        <f>VLOOKUP(B72,'[1]26MY_ODYSSEY_DATA'!B:AR,16,FALSE)</f>
        <v>•</v>
      </c>
      <c r="N72" s="100">
        <f>VLOOKUP($B72,'[1]26MY_ODYSSEY_DATA'!$B:$AR,17,FALSE)</f>
        <v>0</v>
      </c>
      <c r="O72" s="100">
        <f>VLOOKUP($B72,'[1]26MY_ODYSSEY_DATA'!$B:$AR,18,FALSE)</f>
        <v>0</v>
      </c>
      <c r="P72" s="100">
        <f>VLOOKUP($B72,'[1]26MY_ODYSSEY_DATA'!$B:$AR,19,FALSE)</f>
        <v>0</v>
      </c>
      <c r="Q72" s="73"/>
    </row>
    <row r="73" spans="2:17" s="92" customFormat="1" ht="15" customHeight="1" x14ac:dyDescent="0.25">
      <c r="B73" s="90" t="s">
        <v>77</v>
      </c>
      <c r="C73" s="67" t="str">
        <f>VLOOKUP(B73,'[1]26MY_ODYSSEY_DATA'!B:AR,4,FALSE)</f>
        <v>Galerie de toit, Fixation pour planche de surf</v>
      </c>
      <c r="D73" s="96" t="str">
        <f t="shared" si="8"/>
        <v>08L05-E09-100</v>
      </c>
      <c r="E73" s="97">
        <f>VLOOKUP(B73,'[1]26MY_ODYSSEY_DATA'!B:AR,9,FALSE)</f>
        <v>207</v>
      </c>
      <c r="F73" s="97">
        <f>VLOOKUP(B73,'[1]26MY_ODYSSEY_DATA'!B:AR,10,FALSE)</f>
        <v>345</v>
      </c>
      <c r="G73" s="98">
        <f>VLOOKUP(B73,'[1]26MY_ODYSSEY_DATA'!B:AR,7,FALSE)</f>
        <v>0.2</v>
      </c>
      <c r="H73" s="99">
        <f>VLOOKUP(B73,'[1]26MY_ODYSSEY_DATA'!B:AR,11,FALSE)</f>
        <v>378.6</v>
      </c>
      <c r="I73" s="100">
        <f>VLOOKUP(B73,'[1]26MY_ODYSSEY_DATA'!B:AR,12,FALSE)</f>
        <v>0</v>
      </c>
      <c r="J73" s="100" t="str">
        <f>VLOOKUP(B73,'[1]26MY_ODYSSEY_DATA'!B:AR,13,FALSE)</f>
        <v>•</v>
      </c>
      <c r="K73" s="100" t="str">
        <f>VLOOKUP(B73,'[1]26MY_ODYSSEY_DATA'!B:AR,14,FALSE)</f>
        <v>•</v>
      </c>
      <c r="L73" s="100" t="str">
        <f>VLOOKUP(B73,'[1]26MY_ODYSSEY_DATA'!B:AR,15,FALSE)</f>
        <v>•</v>
      </c>
      <c r="M73" s="100" t="str">
        <f>VLOOKUP(B73,'[1]26MY_ODYSSEY_DATA'!B:AR,16,FALSE)</f>
        <v>•</v>
      </c>
      <c r="N73" s="100">
        <f>VLOOKUP($B73,'[1]26MY_ODYSSEY_DATA'!$B:$AR,17,FALSE)</f>
        <v>0</v>
      </c>
      <c r="O73" s="100">
        <f>VLOOKUP($B73,'[1]26MY_ODYSSEY_DATA'!$B:$AR,18,FALSE)</f>
        <v>0</v>
      </c>
      <c r="P73" s="100">
        <f>VLOOKUP($B73,'[1]26MY_ODYSSEY_DATA'!$B:$AR,19,FALSE)</f>
        <v>0</v>
      </c>
      <c r="Q73" s="81"/>
    </row>
    <row r="74" spans="2:17" s="92" customFormat="1" ht="15" customHeight="1" x14ac:dyDescent="0.25">
      <c r="B74" s="90" t="s">
        <v>78</v>
      </c>
      <c r="C74" s="110" t="str">
        <f>VLOOKUP(B74,'[1]26MY_ODYSSEY_DATA'!B:AR,4,FALSE)</f>
        <v>Pièces d’attelage de remorque</v>
      </c>
      <c r="D74" s="111"/>
      <c r="E74" s="111"/>
      <c r="F74" s="111"/>
      <c r="G74" s="111"/>
      <c r="H74" s="111"/>
      <c r="I74" s="111"/>
      <c r="J74" s="111"/>
      <c r="K74" s="111"/>
      <c r="L74" s="111"/>
      <c r="M74" s="111"/>
      <c r="N74" s="111"/>
      <c r="O74" s="111"/>
      <c r="P74" s="111"/>
      <c r="Q74" s="112"/>
    </row>
    <row r="75" spans="2:17" s="92" customFormat="1" ht="16.5" x14ac:dyDescent="0.25">
      <c r="B75" s="90" t="s">
        <v>45</v>
      </c>
      <c r="C75" s="67" t="str">
        <f>VLOOKUP(B75,'[1]26MY_ODYSSEY_DATA'!B:AR,4,FALSE)</f>
        <v xml:space="preserve">Attelage de remorque   </v>
      </c>
      <c r="D75" s="96" t="str">
        <f>B75</f>
        <v>08L92-THR-300A</v>
      </c>
      <c r="E75" s="97">
        <f>VLOOKUP(B75,'[1]26MY_ODYSSEY_DATA'!B:AR,9,FALSE)</f>
        <v>576</v>
      </c>
      <c r="F75" s="97">
        <f>VLOOKUP(B75,'[1]26MY_ODYSSEY_DATA'!B:AR,10,FALSE)</f>
        <v>960</v>
      </c>
      <c r="G75" s="98">
        <f>VLOOKUP(B75,'[1]26MY_ODYSSEY_DATA'!B:AR,7,FALSE)</f>
        <v>1.5</v>
      </c>
      <c r="H75" s="99">
        <f>VLOOKUP(B75,'[1]26MY_ODYSSEY_DATA'!B:AR,11,FALSE)</f>
        <v>1212</v>
      </c>
      <c r="I75" s="100">
        <f>VLOOKUP(B75,'[1]26MY_ODYSSEY_DATA'!B:AR,12,FALSE)</f>
        <v>0</v>
      </c>
      <c r="J75" s="100" t="str">
        <f>VLOOKUP(B75,'[1]26MY_ODYSSEY_DATA'!B:AR,13,FALSE)</f>
        <v>•</v>
      </c>
      <c r="K75" s="100" t="str">
        <f>VLOOKUP(B75,'[1]26MY_ODYSSEY_DATA'!B:AR,14,FALSE)</f>
        <v>•</v>
      </c>
      <c r="L75" s="100" t="str">
        <f>VLOOKUP(B75,'[1]26MY_ODYSSEY_DATA'!B:AR,15,FALSE)</f>
        <v>•</v>
      </c>
      <c r="M75" s="100" t="str">
        <f>VLOOKUP(B75,'[1]26MY_ODYSSEY_DATA'!B:AR,16,FALSE)</f>
        <v>•</v>
      </c>
      <c r="N75" s="100">
        <f>VLOOKUP($B75,'[1]26MY_ODYSSEY_DATA'!$B:$AR,17,FALSE)</f>
        <v>0</v>
      </c>
      <c r="O75" s="100">
        <f>VLOOKUP($B75,'[1]26MY_ODYSSEY_DATA'!$B:$AR,18,FALSE)</f>
        <v>0</v>
      </c>
      <c r="P75" s="100">
        <f>VLOOKUP($B75,'[1]26MY_ODYSSEY_DATA'!$B:$AR,19,FALSE)</f>
        <v>0</v>
      </c>
      <c r="Q75" s="63" t="str">
        <f>IF(VLOOKUP(B75,'[1]26MY_ODYSSEY_DATA'!B:AR,21,FALSE)="","",VLOOKUP(B75,'[1]26MY_ODYSSEY_DATA'!B:AR,21,FALSE))</f>
        <v>Attelage de remorque: Classe II.
Attelage de remorque dimensions du réceptacle: 2 po x 2 po.
TOURING:
Nécessite adaptateur de capteur de hayon électrique mains libres.</v>
      </c>
    </row>
    <row r="76" spans="2:17" s="92" customFormat="1" ht="15" customHeight="1" x14ac:dyDescent="0.25">
      <c r="B76" s="90" t="s">
        <v>79</v>
      </c>
      <c r="C76" s="67" t="str">
        <f>VLOOKUP(B76,'[1]26MY_ODYSSEY_DATA'!B:AR,4,FALSE)</f>
        <v>Rotule d'attelage de 1 7/8 po</v>
      </c>
      <c r="D76" s="96" t="str">
        <f t="shared" ref="D76:D80" si="9">B76</f>
        <v>08L92-SCV-300A</v>
      </c>
      <c r="E76" s="97">
        <f>VLOOKUP(B76,'[1]26MY_ODYSSEY_DATA'!B:AR,9,FALSE)</f>
        <v>28</v>
      </c>
      <c r="F76" s="97">
        <f>VLOOKUP(B76,'[1]26MY_ODYSSEY_DATA'!B:AR,10,FALSE)</f>
        <v>47</v>
      </c>
      <c r="G76" s="98">
        <f>VLOOKUP(B76,'[1]26MY_ODYSSEY_DATA'!B:AR,7,FALSE)</f>
        <v>0</v>
      </c>
      <c r="H76" s="99">
        <f>VLOOKUP(B76,'[1]26MY_ODYSSEY_DATA'!B:AR,11,FALSE)</f>
        <v>47</v>
      </c>
      <c r="I76" s="100">
        <f>VLOOKUP(B76,'[1]26MY_ODYSSEY_DATA'!B:AR,12,FALSE)</f>
        <v>0</v>
      </c>
      <c r="J76" s="100" t="str">
        <f>VLOOKUP(B76,'[1]26MY_ODYSSEY_DATA'!B:AR,13,FALSE)</f>
        <v>•</v>
      </c>
      <c r="K76" s="100" t="str">
        <f>VLOOKUP(B76,'[1]26MY_ODYSSEY_DATA'!B:AR,14,FALSE)</f>
        <v>•</v>
      </c>
      <c r="L76" s="100" t="str">
        <f>VLOOKUP(B76,'[1]26MY_ODYSSEY_DATA'!B:AR,15,FALSE)</f>
        <v>•</v>
      </c>
      <c r="M76" s="100" t="str">
        <f>VLOOKUP(B76,'[1]26MY_ODYSSEY_DATA'!B:AR,16,FALSE)</f>
        <v>•</v>
      </c>
      <c r="N76" s="100">
        <f>VLOOKUP($B76,'[1]26MY_ODYSSEY_DATA'!$B:$AR,17,FALSE)</f>
        <v>0</v>
      </c>
      <c r="O76" s="100">
        <f>VLOOKUP($B76,'[1]26MY_ODYSSEY_DATA'!$B:$AR,18,FALSE)</f>
        <v>0</v>
      </c>
      <c r="P76" s="100">
        <f>VLOOKUP($B76,'[1]26MY_ODYSSEY_DATA'!$B:$AR,19,FALSE)</f>
        <v>0</v>
      </c>
      <c r="Q76" s="73"/>
    </row>
    <row r="77" spans="2:17" s="92" customFormat="1" ht="15" customHeight="1" x14ac:dyDescent="0.25">
      <c r="B77" s="90" t="s">
        <v>80</v>
      </c>
      <c r="C77" s="67" t="str">
        <f>VLOOKUP(B77,'[1]26MY_ODYSSEY_DATA'!B:AR,4,FALSE)</f>
        <v>Rotule d'attelage de 2 po</v>
      </c>
      <c r="D77" s="96" t="str">
        <f t="shared" si="9"/>
        <v>08L92-SCV-100B</v>
      </c>
      <c r="E77" s="97">
        <f>VLOOKUP(B77,'[1]26MY_ODYSSEY_DATA'!B:AR,9,FALSE)</f>
        <v>28</v>
      </c>
      <c r="F77" s="97">
        <f>VLOOKUP(B77,'[1]26MY_ODYSSEY_DATA'!B:AR,10,FALSE)</f>
        <v>47</v>
      </c>
      <c r="G77" s="98">
        <f>VLOOKUP(B77,'[1]26MY_ODYSSEY_DATA'!B:AR,7,FALSE)</f>
        <v>0</v>
      </c>
      <c r="H77" s="99">
        <f>VLOOKUP(B77,'[1]26MY_ODYSSEY_DATA'!B:AR,11,FALSE)</f>
        <v>47</v>
      </c>
      <c r="I77" s="100">
        <f>VLOOKUP(B77,'[1]26MY_ODYSSEY_DATA'!B:AR,12,FALSE)</f>
        <v>0</v>
      </c>
      <c r="J77" s="100" t="str">
        <f>VLOOKUP(B77,'[1]26MY_ODYSSEY_DATA'!B:AR,13,FALSE)</f>
        <v>•</v>
      </c>
      <c r="K77" s="100" t="str">
        <f>VLOOKUP(B77,'[1]26MY_ODYSSEY_DATA'!B:AR,14,FALSE)</f>
        <v>•</v>
      </c>
      <c r="L77" s="100" t="str">
        <f>VLOOKUP(B77,'[1]26MY_ODYSSEY_DATA'!B:AR,15,FALSE)</f>
        <v>•</v>
      </c>
      <c r="M77" s="100" t="str">
        <f>VLOOKUP(B77,'[1]26MY_ODYSSEY_DATA'!B:AR,16,FALSE)</f>
        <v>•</v>
      </c>
      <c r="N77" s="100">
        <f>VLOOKUP($B77,'[1]26MY_ODYSSEY_DATA'!$B:$AR,17,FALSE)</f>
        <v>0</v>
      </c>
      <c r="O77" s="100">
        <f>VLOOKUP($B77,'[1]26MY_ODYSSEY_DATA'!$B:$AR,18,FALSE)</f>
        <v>0</v>
      </c>
      <c r="P77" s="100">
        <f>VLOOKUP($B77,'[1]26MY_ODYSSEY_DATA'!$B:$AR,19,FALSE)</f>
        <v>0</v>
      </c>
      <c r="Q77" s="73"/>
    </row>
    <row r="78" spans="2:17" s="92" customFormat="1" ht="15" customHeight="1" x14ac:dyDescent="0.25">
      <c r="B78" s="90" t="s">
        <v>47</v>
      </c>
      <c r="C78" s="67" t="str">
        <f>VLOOKUP(B78,'[1]26MY_ODYSSEY_DATA'!B:AR,4,FALSE)</f>
        <v>Harnais pour remorque</v>
      </c>
      <c r="D78" s="96" t="str">
        <f t="shared" si="9"/>
        <v>08L91-THR-300</v>
      </c>
      <c r="E78" s="97">
        <f>VLOOKUP(B78,'[1]26MY_ODYSSEY_DATA'!B:AR,9,FALSE)</f>
        <v>162</v>
      </c>
      <c r="F78" s="97">
        <f>VLOOKUP(B78,'[1]26MY_ODYSSEY_DATA'!B:AR,10,FALSE)</f>
        <v>270</v>
      </c>
      <c r="G78" s="98">
        <f>VLOOKUP(B78,'[1]26MY_ODYSSEY_DATA'!B:AR,7,FALSE)</f>
        <v>0.8</v>
      </c>
      <c r="H78" s="99">
        <f>VLOOKUP(B78,'[1]26MY_ODYSSEY_DATA'!B:AR,11,FALSE)</f>
        <v>404.4</v>
      </c>
      <c r="I78" s="100">
        <f>VLOOKUP(B78,'[1]26MY_ODYSSEY_DATA'!B:AR,12,FALSE)</f>
        <v>0</v>
      </c>
      <c r="J78" s="100" t="str">
        <f>VLOOKUP(B78,'[1]26MY_ODYSSEY_DATA'!B:AR,13,FALSE)</f>
        <v>•</v>
      </c>
      <c r="K78" s="100" t="str">
        <f>VLOOKUP(B78,'[1]26MY_ODYSSEY_DATA'!B:AR,14,FALSE)</f>
        <v>•</v>
      </c>
      <c r="L78" s="100" t="str">
        <f>VLOOKUP(B78,'[1]26MY_ODYSSEY_DATA'!B:AR,15,FALSE)</f>
        <v>•</v>
      </c>
      <c r="M78" s="100" t="str">
        <f>VLOOKUP(B78,'[1]26MY_ODYSSEY_DATA'!B:AR,16,FALSE)</f>
        <v>•</v>
      </c>
      <c r="N78" s="100">
        <f>VLOOKUP($B78,'[1]26MY_ODYSSEY_DATA'!$B:$AR,17,FALSE)</f>
        <v>0</v>
      </c>
      <c r="O78" s="100">
        <f>VLOOKUP($B78,'[1]26MY_ODYSSEY_DATA'!$B:$AR,18,FALSE)</f>
        <v>0</v>
      </c>
      <c r="P78" s="100">
        <f>VLOOKUP($B78,'[1]26MY_ODYSSEY_DATA'!$B:$AR,19,FALSE)</f>
        <v>0</v>
      </c>
      <c r="Q78" s="73"/>
    </row>
    <row r="79" spans="2:17" s="92" customFormat="1" ht="15" customHeight="1" x14ac:dyDescent="0.25">
      <c r="B79" s="90" t="s">
        <v>48</v>
      </c>
      <c r="C79" s="67" t="str">
        <f>VLOOKUP(B79,'[1]26MY_ODYSSEY_DATA'!B:AR,4,FALSE)</f>
        <v>Goupille de verrouillage pour l'attelage de remorque</v>
      </c>
      <c r="D79" s="96" t="str">
        <f t="shared" si="9"/>
        <v>08L92-SJC-300A</v>
      </c>
      <c r="E79" s="97">
        <f>VLOOKUP(B79,'[1]26MY_ODYSSEY_DATA'!B:AR,9,FALSE)</f>
        <v>106</v>
      </c>
      <c r="F79" s="97">
        <f>VLOOKUP(B79,'[1]26MY_ODYSSEY_DATA'!B:AR,10,FALSE)</f>
        <v>163</v>
      </c>
      <c r="G79" s="98">
        <f>VLOOKUP(B79,'[1]26MY_ODYSSEY_DATA'!B:AR,7,FALSE)</f>
        <v>0</v>
      </c>
      <c r="H79" s="99">
        <f>VLOOKUP(B79,'[1]26MY_ODYSSEY_DATA'!B:AR,11,FALSE)</f>
        <v>163</v>
      </c>
      <c r="I79" s="100">
        <f>VLOOKUP(B79,'[1]26MY_ODYSSEY_DATA'!B:AR,12,FALSE)</f>
        <v>0</v>
      </c>
      <c r="J79" s="100" t="str">
        <f>VLOOKUP(B79,'[1]26MY_ODYSSEY_DATA'!B:AR,13,FALSE)</f>
        <v>•</v>
      </c>
      <c r="K79" s="100" t="str">
        <f>VLOOKUP(B79,'[1]26MY_ODYSSEY_DATA'!B:AR,14,FALSE)</f>
        <v>•</v>
      </c>
      <c r="L79" s="100" t="str">
        <f>VLOOKUP(B79,'[1]26MY_ODYSSEY_DATA'!B:AR,15,FALSE)</f>
        <v>•</v>
      </c>
      <c r="M79" s="100" t="str">
        <f>VLOOKUP(B79,'[1]26MY_ODYSSEY_DATA'!B:AR,16,FALSE)</f>
        <v>•</v>
      </c>
      <c r="N79" s="100">
        <f>VLOOKUP($B79,'[1]26MY_ODYSSEY_DATA'!$B:$AR,17,FALSE)</f>
        <v>0</v>
      </c>
      <c r="O79" s="100">
        <f>VLOOKUP($B79,'[1]26MY_ODYSSEY_DATA'!$B:$AR,18,FALSE)</f>
        <v>0</v>
      </c>
      <c r="P79" s="100">
        <f>VLOOKUP($B79,'[1]26MY_ODYSSEY_DATA'!$B:$AR,19,FALSE)</f>
        <v>0</v>
      </c>
      <c r="Q79" s="73"/>
    </row>
    <row r="80" spans="2:17" s="92" customFormat="1" ht="15" customHeight="1" x14ac:dyDescent="0.25">
      <c r="B80" s="90" t="s">
        <v>50</v>
      </c>
      <c r="C80" s="67" t="str">
        <f>VLOOKUP(B80,'[1]26MY_ODYSSEY_DATA'!B:AR,4,FALSE)</f>
        <v>Adaptateur de capteur de hayon électrique mains libres</v>
      </c>
      <c r="D80" s="96" t="str">
        <f t="shared" si="9"/>
        <v>08L91-THR-300A</v>
      </c>
      <c r="E80" s="97">
        <f>VLOOKUP(B80,'[1]26MY_ODYSSEY_DATA'!B:AR,9,FALSE)</f>
        <v>238</v>
      </c>
      <c r="F80" s="97">
        <f>VLOOKUP(B80,'[1]26MY_ODYSSEY_DATA'!B:AR,10,FALSE)</f>
        <v>397</v>
      </c>
      <c r="G80" s="98">
        <f>VLOOKUP(B80,'[1]26MY_ODYSSEY_DATA'!B:AR,7,FALSE)</f>
        <v>0.2</v>
      </c>
      <c r="H80" s="99">
        <f>VLOOKUP(B80,'[1]26MY_ODYSSEY_DATA'!B:AR,11,FALSE)</f>
        <v>430.6</v>
      </c>
      <c r="I80" s="100">
        <f>VLOOKUP(B80,'[1]26MY_ODYSSEY_DATA'!B:AR,12,FALSE)</f>
        <v>0</v>
      </c>
      <c r="J80" s="100" t="str">
        <f>VLOOKUP(B80,'[1]26MY_ODYSSEY_DATA'!B:AR,13,FALSE)</f>
        <v>•</v>
      </c>
      <c r="K80" s="100" t="str">
        <f>VLOOKUP(B80,'[1]26MY_ODYSSEY_DATA'!B:AR,14,FALSE)</f>
        <v>•</v>
      </c>
      <c r="L80" s="100" t="str">
        <f>VLOOKUP(B80,'[1]26MY_ODYSSEY_DATA'!B:AR,15,FALSE)</f>
        <v>•</v>
      </c>
      <c r="M80" s="100" t="str">
        <f>VLOOKUP(B80,'[1]26MY_ODYSSEY_DATA'!B:AR,16,FALSE)</f>
        <v>•</v>
      </c>
      <c r="N80" s="100">
        <f>VLOOKUP($B80,'[1]26MY_ODYSSEY_DATA'!$B:$AR,17,FALSE)</f>
        <v>0</v>
      </c>
      <c r="O80" s="100">
        <f>VLOOKUP($B80,'[1]26MY_ODYSSEY_DATA'!$B:$AR,18,FALSE)</f>
        <v>0</v>
      </c>
      <c r="P80" s="100">
        <f>VLOOKUP($B80,'[1]26MY_ODYSSEY_DATA'!$B:$AR,19,FALSE)</f>
        <v>0</v>
      </c>
      <c r="Q80" s="81"/>
    </row>
    <row r="81" spans="2:17" s="92" customFormat="1" ht="15" customHeight="1" x14ac:dyDescent="0.25">
      <c r="B81" s="90" t="s">
        <v>81</v>
      </c>
      <c r="C81" s="110" t="str">
        <f>VLOOKUP(B81,'[1]26MY_ODYSSEY_DATA'!B:AR,4,FALSE)</f>
        <v>Moulure latérale</v>
      </c>
      <c r="D81" s="111"/>
      <c r="E81" s="111"/>
      <c r="F81" s="111"/>
      <c r="G81" s="111"/>
      <c r="H81" s="111"/>
      <c r="I81" s="111"/>
      <c r="J81" s="111"/>
      <c r="K81" s="111"/>
      <c r="L81" s="111"/>
      <c r="M81" s="111"/>
      <c r="N81" s="111"/>
      <c r="O81" s="111"/>
      <c r="P81" s="111"/>
      <c r="Q81" s="112"/>
    </row>
    <row r="82" spans="2:17" s="92" customFormat="1" ht="15" customHeight="1" x14ac:dyDescent="0.25">
      <c r="B82" s="90" t="s">
        <v>82</v>
      </c>
      <c r="C82" s="67" t="str">
        <f>VLOOKUP(B82,'[1]26MY_ODYSSEY_DATA'!B:AR,4,FALSE)</f>
        <v>Blanc platine nacré (NH-883P)</v>
      </c>
      <c r="D82" s="96" t="str">
        <f>B82</f>
        <v>08P05-THR-191</v>
      </c>
      <c r="E82" s="97">
        <f>VLOOKUP(B82,'[1]26MY_ODYSSEY_DATA'!B:AR,9,FALSE)</f>
        <v>231</v>
      </c>
      <c r="F82" s="97">
        <f>VLOOKUP(B82,'[1]26MY_ODYSSEY_DATA'!B:AR,10,FALSE)</f>
        <v>385</v>
      </c>
      <c r="G82" s="98">
        <f>VLOOKUP(B82,'[1]26MY_ODYSSEY_DATA'!B:AR,7,FALSE)</f>
        <v>0.4</v>
      </c>
      <c r="H82" s="99">
        <f>VLOOKUP(B82,'[1]26MY_ODYSSEY_DATA'!B:AR,11,FALSE)</f>
        <v>452.2</v>
      </c>
      <c r="I82" s="100">
        <f>VLOOKUP(B82,'[1]26MY_ODYSSEY_DATA'!B:AR,12,FALSE)</f>
        <v>0</v>
      </c>
      <c r="J82" s="100" t="str">
        <f>VLOOKUP(B82,'[1]26MY_ODYSSEY_DATA'!B:AR,13,FALSE)</f>
        <v>•</v>
      </c>
      <c r="K82" s="100" t="str">
        <f>VLOOKUP(B82,'[1]26MY_ODYSSEY_DATA'!B:AR,14,FALSE)</f>
        <v>•</v>
      </c>
      <c r="L82" s="100" t="str">
        <f>VLOOKUP(B82,'[1]26MY_ODYSSEY_DATA'!B:AR,15,FALSE)</f>
        <v>•</v>
      </c>
      <c r="M82" s="100" t="str">
        <f>VLOOKUP(B82,'[1]26MY_ODYSSEY_DATA'!B:AR,16,FALSE)</f>
        <v>•</v>
      </c>
      <c r="N82" s="100">
        <f>VLOOKUP($B82,'[1]26MY_ODYSSEY_DATA'!$B:$AR,17,FALSE)</f>
        <v>0</v>
      </c>
      <c r="O82" s="100">
        <f>VLOOKUP($B82,'[1]26MY_ODYSSEY_DATA'!$B:$AR,18,FALSE)</f>
        <v>0</v>
      </c>
      <c r="P82" s="100">
        <f>VLOOKUP($B82,'[1]26MY_ODYSSEY_DATA'!$B:$AR,19,FALSE)</f>
        <v>0</v>
      </c>
      <c r="Q82" s="63" t="str">
        <f>IF(VLOOKUP(B82,'[1]26MY_ODYSSEY_DATA'!B:AR,21,FALSE)="","",VLOOKUP(B82,'[1]26MY_ODYSSEY_DATA'!B:AR,21,FALSE))</f>
        <v/>
      </c>
    </row>
    <row r="83" spans="2:17" s="92" customFormat="1" ht="15" customHeight="1" x14ac:dyDescent="0.25">
      <c r="B83" s="90" t="s">
        <v>83</v>
      </c>
      <c r="C83" s="67" t="str">
        <f>VLOOKUP(B83,'[1]26MY_ODYSSEY_DATA'!B:AR,4,FALSE)</f>
        <v>Noir cristal nacré (NH-731P)</v>
      </c>
      <c r="D83" s="96" t="str">
        <f t="shared" ref="D83:D87" si="10">B83</f>
        <v>08P05-THR-121</v>
      </c>
      <c r="E83" s="97">
        <f>VLOOKUP(B83,'[1]26MY_ODYSSEY_DATA'!B:AR,9,FALSE)</f>
        <v>231</v>
      </c>
      <c r="F83" s="97">
        <f>VLOOKUP(B83,'[1]26MY_ODYSSEY_DATA'!B:AR,10,FALSE)</f>
        <v>385</v>
      </c>
      <c r="G83" s="98">
        <f>VLOOKUP(B83,'[1]26MY_ODYSSEY_DATA'!B:AR,7,FALSE)</f>
        <v>0.4</v>
      </c>
      <c r="H83" s="99">
        <f>VLOOKUP(B83,'[1]26MY_ODYSSEY_DATA'!B:AR,11,FALSE)</f>
        <v>452.2</v>
      </c>
      <c r="I83" s="100">
        <f>VLOOKUP(B83,'[1]26MY_ODYSSEY_DATA'!B:AR,12,FALSE)</f>
        <v>0</v>
      </c>
      <c r="J83" s="100" t="str">
        <f>VLOOKUP(B83,'[1]26MY_ODYSSEY_DATA'!B:AR,13,FALSE)</f>
        <v>•</v>
      </c>
      <c r="K83" s="100" t="str">
        <f>VLOOKUP(B83,'[1]26MY_ODYSSEY_DATA'!B:AR,14,FALSE)</f>
        <v>N/A</v>
      </c>
      <c r="L83" s="100" t="str">
        <f>VLOOKUP(B83,'[1]26MY_ODYSSEY_DATA'!B:AR,15,FALSE)</f>
        <v>N/A</v>
      </c>
      <c r="M83" s="100" t="str">
        <f>VLOOKUP(B83,'[1]26MY_ODYSSEY_DATA'!B:AR,16,FALSE)</f>
        <v>•</v>
      </c>
      <c r="N83" s="100">
        <f>VLOOKUP($B83,'[1]26MY_ODYSSEY_DATA'!$B:$AR,17,FALSE)</f>
        <v>0</v>
      </c>
      <c r="O83" s="100">
        <f>VLOOKUP($B83,'[1]26MY_ODYSSEY_DATA'!$B:$AR,18,FALSE)</f>
        <v>0</v>
      </c>
      <c r="P83" s="100">
        <f>VLOOKUP($B83,'[1]26MY_ODYSSEY_DATA'!$B:$AR,19,FALSE)</f>
        <v>0</v>
      </c>
      <c r="Q83" s="73"/>
    </row>
    <row r="84" spans="2:17" s="92" customFormat="1" ht="15" customHeight="1" x14ac:dyDescent="0.25">
      <c r="B84" s="90" t="s">
        <v>84</v>
      </c>
      <c r="C84" s="67" t="str">
        <f>VLOOKUP(B84,'[1]26MY_ODYSSEY_DATA'!B:AR,4,FALSE)</f>
        <v>Acier moderne métallisé (NH-797M)</v>
      </c>
      <c r="D84" s="96" t="str">
        <f t="shared" si="10"/>
        <v>08P05-THR-131</v>
      </c>
      <c r="E84" s="97">
        <f>VLOOKUP(B84,'[1]26MY_ODYSSEY_DATA'!B:AR,9,FALSE)</f>
        <v>231</v>
      </c>
      <c r="F84" s="97">
        <f>VLOOKUP(B84,'[1]26MY_ODYSSEY_DATA'!B:AR,10,FALSE)</f>
        <v>385</v>
      </c>
      <c r="G84" s="98">
        <f>VLOOKUP(B84,'[1]26MY_ODYSSEY_DATA'!B:AR,7,FALSE)</f>
        <v>0.4</v>
      </c>
      <c r="H84" s="99">
        <f>VLOOKUP(B84,'[1]26MY_ODYSSEY_DATA'!B:AR,11,FALSE)</f>
        <v>452.2</v>
      </c>
      <c r="I84" s="100">
        <f>VLOOKUP(B84,'[1]26MY_ODYSSEY_DATA'!B:AR,12,FALSE)</f>
        <v>0</v>
      </c>
      <c r="J84" s="100" t="str">
        <f>VLOOKUP(B84,'[1]26MY_ODYSSEY_DATA'!B:AR,13,FALSE)</f>
        <v>N/A</v>
      </c>
      <c r="K84" s="100" t="str">
        <f>VLOOKUP(B84,'[1]26MY_ODYSSEY_DATA'!B:AR,14,FALSE)</f>
        <v>•</v>
      </c>
      <c r="L84" s="100" t="str">
        <f>VLOOKUP(B84,'[1]26MY_ODYSSEY_DATA'!B:AR,15,FALSE)</f>
        <v>•</v>
      </c>
      <c r="M84" s="100" t="str">
        <f>VLOOKUP(B84,'[1]26MY_ODYSSEY_DATA'!B:AR,16,FALSE)</f>
        <v>N/A</v>
      </c>
      <c r="N84" s="100">
        <f>VLOOKUP($B84,'[1]26MY_ODYSSEY_DATA'!$B:$AR,17,FALSE)</f>
        <v>0</v>
      </c>
      <c r="O84" s="100">
        <f>VLOOKUP($B84,'[1]26MY_ODYSSEY_DATA'!$B:$AR,18,FALSE)</f>
        <v>0</v>
      </c>
      <c r="P84" s="100">
        <f>VLOOKUP($B84,'[1]26MY_ODYSSEY_DATA'!$B:$AR,19,FALSE)</f>
        <v>0</v>
      </c>
      <c r="Q84" s="73"/>
    </row>
    <row r="85" spans="2:17" s="92" customFormat="1" ht="15" customHeight="1" x14ac:dyDescent="0.25">
      <c r="B85" s="90" t="s">
        <v>85</v>
      </c>
      <c r="C85" s="67" t="str">
        <f>VLOOKUP(B85,'[1]26MY_ODYSSEY_DATA'!B:AR,4,FALSE)</f>
        <v>Gris sonique nacré (NH-877P)</v>
      </c>
      <c r="D85" s="96" t="str">
        <f t="shared" si="10"/>
        <v>08P05-THR-1B1</v>
      </c>
      <c r="E85" s="97">
        <f>VLOOKUP(B85,'[1]26MY_ODYSSEY_DATA'!B:AR,9,FALSE)</f>
        <v>231</v>
      </c>
      <c r="F85" s="97">
        <f>VLOOKUP(B85,'[1]26MY_ODYSSEY_DATA'!B:AR,10,FALSE)</f>
        <v>385</v>
      </c>
      <c r="G85" s="98">
        <f>VLOOKUP(B85,'[1]26MY_ODYSSEY_DATA'!B:AR,7,FALSE)</f>
        <v>0.4</v>
      </c>
      <c r="H85" s="99">
        <f>VLOOKUP(B85,'[1]26MY_ODYSSEY_DATA'!B:AR,11,FALSE)</f>
        <v>452.2</v>
      </c>
      <c r="I85" s="100">
        <f>VLOOKUP(B85,'[1]26MY_ODYSSEY_DATA'!B:AR,12,FALSE)</f>
        <v>0</v>
      </c>
      <c r="J85" s="100" t="str">
        <f>VLOOKUP(B85,'[1]26MY_ODYSSEY_DATA'!B:AR,13,FALSE)</f>
        <v>N/A</v>
      </c>
      <c r="K85" s="100" t="str">
        <f>VLOOKUP(B85,'[1]26MY_ODYSSEY_DATA'!B:AR,14,FALSE)</f>
        <v>N/A</v>
      </c>
      <c r="L85" s="100" t="str">
        <f>VLOOKUP(B85,'[1]26MY_ODYSSEY_DATA'!B:AR,15,FALSE)</f>
        <v>•</v>
      </c>
      <c r="M85" s="100" t="str">
        <f>VLOOKUP(B85,'[1]26MY_ODYSSEY_DATA'!B:AR,16,FALSE)</f>
        <v>•</v>
      </c>
      <c r="N85" s="100">
        <f>VLOOKUP($B85,'[1]26MY_ODYSSEY_DATA'!$B:$AR,17,FALSE)</f>
        <v>0</v>
      </c>
      <c r="O85" s="100">
        <f>VLOOKUP($B85,'[1]26MY_ODYSSEY_DATA'!$B:$AR,18,FALSE)</f>
        <v>0</v>
      </c>
      <c r="P85" s="100">
        <f>VLOOKUP($B85,'[1]26MY_ODYSSEY_DATA'!$B:$AR,19,FALSE)</f>
        <v>0</v>
      </c>
      <c r="Q85" s="73"/>
    </row>
    <row r="86" spans="2:17" s="92" customFormat="1" ht="15" customHeight="1" x14ac:dyDescent="0.25">
      <c r="B86" s="90" t="s">
        <v>86</v>
      </c>
      <c r="C86" s="67" t="str">
        <f>VLOOKUP(B86,'[1]26MY_ODYSSEY_DATA'!B:AR,4,FALSE)</f>
        <v>Radiant rouge métallisé II (R-580M)</v>
      </c>
      <c r="D86" s="96" t="str">
        <f t="shared" si="10"/>
        <v>08P05-THR-1A1</v>
      </c>
      <c r="E86" s="97">
        <f>VLOOKUP(B86,'[1]26MY_ODYSSEY_DATA'!B:AR,9,FALSE)</f>
        <v>231</v>
      </c>
      <c r="F86" s="97">
        <f>VLOOKUP(B86,'[1]26MY_ODYSSEY_DATA'!B:AR,10,FALSE)</f>
        <v>385</v>
      </c>
      <c r="G86" s="98">
        <f>VLOOKUP(B86,'[1]26MY_ODYSSEY_DATA'!B:AR,7,FALSE)</f>
        <v>0.4</v>
      </c>
      <c r="H86" s="99">
        <f>VLOOKUP(B86,'[1]26MY_ODYSSEY_DATA'!B:AR,11,FALSE)</f>
        <v>452.2</v>
      </c>
      <c r="I86" s="100">
        <f>VLOOKUP(B86,'[1]26MY_ODYSSEY_DATA'!B:AR,12,FALSE)</f>
        <v>0</v>
      </c>
      <c r="J86" s="100" t="str">
        <f>VLOOKUP(B86,'[1]26MY_ODYSSEY_DATA'!B:AR,13,FALSE)</f>
        <v>N/A</v>
      </c>
      <c r="K86" s="100" t="str">
        <f>VLOOKUP(B86,'[1]26MY_ODYSSEY_DATA'!B:AR,14,FALSE)</f>
        <v>N/A</v>
      </c>
      <c r="L86" s="100" t="str">
        <f>VLOOKUP(B86,'[1]26MY_ODYSSEY_DATA'!B:AR,15,FALSE)</f>
        <v>N/A</v>
      </c>
      <c r="M86" s="100" t="str">
        <f>VLOOKUP(B86,'[1]26MY_ODYSSEY_DATA'!B:AR,16,FALSE)</f>
        <v>•</v>
      </c>
      <c r="N86" s="100">
        <f>VLOOKUP($B86,'[1]26MY_ODYSSEY_DATA'!$B:$AR,17,FALSE)</f>
        <v>0</v>
      </c>
      <c r="O86" s="100">
        <f>VLOOKUP($B86,'[1]26MY_ODYSSEY_DATA'!$B:$AR,18,FALSE)</f>
        <v>0</v>
      </c>
      <c r="P86" s="100">
        <f>VLOOKUP($B86,'[1]26MY_ODYSSEY_DATA'!$B:$AR,19,FALSE)</f>
        <v>0</v>
      </c>
      <c r="Q86" s="73"/>
    </row>
    <row r="87" spans="2:17" s="92" customFormat="1" ht="15" customHeight="1" x14ac:dyDescent="0.25">
      <c r="B87" s="90" t="s">
        <v>87</v>
      </c>
      <c r="C87" s="67" t="str">
        <f>VLOOKUP(B87,'[1]26MY_ODYSSEY_DATA'!B:AR,4,FALSE)</f>
        <v>Refl et solaire argent métallisé (NH-932M)</v>
      </c>
      <c r="D87" s="96" t="str">
        <f t="shared" si="10"/>
        <v>08P05-THR-1C1</v>
      </c>
      <c r="E87" s="97">
        <f>VLOOKUP(B87,'[1]26MY_ODYSSEY_DATA'!B:AR,9,FALSE)</f>
        <v>231</v>
      </c>
      <c r="F87" s="97">
        <f>VLOOKUP(B87,'[1]26MY_ODYSSEY_DATA'!B:AR,10,FALSE)</f>
        <v>385</v>
      </c>
      <c r="G87" s="98">
        <f>VLOOKUP(B87,'[1]26MY_ODYSSEY_DATA'!B:AR,7,FALSE)</f>
        <v>0.4</v>
      </c>
      <c r="H87" s="99">
        <f>VLOOKUP(B87,'[1]26MY_ODYSSEY_DATA'!B:AR,11,FALSE)</f>
        <v>452.2</v>
      </c>
      <c r="I87" s="100">
        <f>VLOOKUP(B87,'[1]26MY_ODYSSEY_DATA'!B:AR,12,FALSE)</f>
        <v>0</v>
      </c>
      <c r="J87" s="100" t="str">
        <f>VLOOKUP(B87,'[1]26MY_ODYSSEY_DATA'!B:AR,13,FALSE)</f>
        <v>•</v>
      </c>
      <c r="K87" s="100" t="str">
        <f>VLOOKUP(B87,'[1]26MY_ODYSSEY_DATA'!B:AR,14,FALSE)</f>
        <v>•</v>
      </c>
      <c r="L87" s="100" t="str">
        <f>VLOOKUP(B87,'[1]26MY_ODYSSEY_DATA'!B:AR,15,FALSE)</f>
        <v>•</v>
      </c>
      <c r="M87" s="100" t="str">
        <f>VLOOKUP(B87,'[1]26MY_ODYSSEY_DATA'!B:AR,16,FALSE)</f>
        <v>N/A</v>
      </c>
      <c r="N87" s="100">
        <f>VLOOKUP($B87,'[1]26MY_ODYSSEY_DATA'!$B:$AR,17,FALSE)</f>
        <v>0</v>
      </c>
      <c r="O87" s="100">
        <f>VLOOKUP($B87,'[1]26MY_ODYSSEY_DATA'!$B:$AR,18,FALSE)</f>
        <v>0</v>
      </c>
      <c r="P87" s="100">
        <f>VLOOKUP($B87,'[1]26MY_ODYSSEY_DATA'!$B:$AR,19,FALSE)</f>
        <v>0</v>
      </c>
      <c r="Q87" s="81"/>
    </row>
    <row r="88" spans="2:17" s="92" customFormat="1" ht="15" customHeight="1" x14ac:dyDescent="0.25">
      <c r="B88" s="90" t="s">
        <v>88</v>
      </c>
      <c r="C88" s="110" t="str">
        <f>VLOOKUP(B88,'[1]26MY_ODYSSEY_DATA'!B:AR,4,FALSE)</f>
        <v>Protecteurs de bordure de porte</v>
      </c>
      <c r="D88" s="111"/>
      <c r="E88" s="111"/>
      <c r="F88" s="111"/>
      <c r="G88" s="111"/>
      <c r="H88" s="111"/>
      <c r="I88" s="111"/>
      <c r="J88" s="111"/>
      <c r="K88" s="111"/>
      <c r="L88" s="111"/>
      <c r="M88" s="111"/>
      <c r="N88" s="111"/>
      <c r="O88" s="111"/>
      <c r="P88" s="111"/>
      <c r="Q88" s="112"/>
    </row>
    <row r="89" spans="2:17" s="92" customFormat="1" ht="15" customHeight="1" x14ac:dyDescent="0.25">
      <c r="B89" s="90" t="s">
        <v>89</v>
      </c>
      <c r="C89" s="67" t="str">
        <f>VLOOKUP(B89,'[1]26MY_ODYSSEY_DATA'!B:AR,4,FALSE)</f>
        <v>Blanc platine nacré (NH-883P)</v>
      </c>
      <c r="D89" s="96" t="str">
        <f>B89</f>
        <v>08P20-THR-190A</v>
      </c>
      <c r="E89" s="97">
        <f>VLOOKUP(B89,'[1]26MY_ODYSSEY_DATA'!B:AR,9,FALSE)</f>
        <v>87</v>
      </c>
      <c r="F89" s="97">
        <f>VLOOKUP(B89,'[1]26MY_ODYSSEY_DATA'!B:AR,10,FALSE)</f>
        <v>145</v>
      </c>
      <c r="G89" s="98">
        <f>VLOOKUP(B89,'[1]26MY_ODYSSEY_DATA'!B:AR,7,FALSE)</f>
        <v>0.3</v>
      </c>
      <c r="H89" s="99">
        <f>VLOOKUP(B89,'[1]26MY_ODYSSEY_DATA'!B:AR,11,FALSE)</f>
        <v>195.4</v>
      </c>
      <c r="I89" s="100">
        <f>VLOOKUP(B89,'[1]26MY_ODYSSEY_DATA'!B:AR,12,FALSE)</f>
        <v>0</v>
      </c>
      <c r="J89" s="100" t="str">
        <f>VLOOKUP(B89,'[1]26MY_ODYSSEY_DATA'!B:AR,13,FALSE)</f>
        <v>•</v>
      </c>
      <c r="K89" s="100" t="str">
        <f>VLOOKUP(B89,'[1]26MY_ODYSSEY_DATA'!B:AR,14,FALSE)</f>
        <v>•</v>
      </c>
      <c r="L89" s="100" t="str">
        <f>VLOOKUP(B89,'[1]26MY_ODYSSEY_DATA'!B:AR,15,FALSE)</f>
        <v>•</v>
      </c>
      <c r="M89" s="100" t="str">
        <f>VLOOKUP(B89,'[1]26MY_ODYSSEY_DATA'!B:AR,16,FALSE)</f>
        <v>•</v>
      </c>
      <c r="N89" s="100">
        <f>VLOOKUP($B89,'[1]26MY_ODYSSEY_DATA'!$B:$AR,17,FALSE)</f>
        <v>0</v>
      </c>
      <c r="O89" s="100">
        <f>VLOOKUP($B89,'[1]26MY_ODYSSEY_DATA'!$B:$AR,18,FALSE)</f>
        <v>0</v>
      </c>
      <c r="P89" s="100">
        <f>VLOOKUP($B89,'[1]26MY_ODYSSEY_DATA'!$B:$AR,19,FALSE)</f>
        <v>0</v>
      </c>
      <c r="Q89" s="63" t="str">
        <f>IF(VLOOKUP(B89,'[1]26MY_ODYSSEY_DATA'!B:AR,21,FALSE)="","",VLOOKUP(B89,'[1]26MY_ODYSSEY_DATA'!B:AR,21,FALSE))</f>
        <v/>
      </c>
    </row>
    <row r="90" spans="2:17" s="92" customFormat="1" ht="15" customHeight="1" x14ac:dyDescent="0.25">
      <c r="B90" s="90" t="s">
        <v>90</v>
      </c>
      <c r="C90" s="67" t="str">
        <f>VLOOKUP(B90,'[1]26MY_ODYSSEY_DATA'!B:AR,4,FALSE)</f>
        <v>Noir cristal nacré (NH-731P)</v>
      </c>
      <c r="D90" s="96" t="str">
        <f t="shared" ref="D90:D95" si="11">B90</f>
        <v>08P20-THR-120A</v>
      </c>
      <c r="E90" s="97">
        <f>VLOOKUP(B90,'[1]26MY_ODYSSEY_DATA'!B:AR,9,FALSE)</f>
        <v>87</v>
      </c>
      <c r="F90" s="97">
        <f>VLOOKUP(B90,'[1]26MY_ODYSSEY_DATA'!B:AR,10,FALSE)</f>
        <v>145</v>
      </c>
      <c r="G90" s="98">
        <f>VLOOKUP(B90,'[1]26MY_ODYSSEY_DATA'!B:AR,7,FALSE)</f>
        <v>0.3</v>
      </c>
      <c r="H90" s="99">
        <f>VLOOKUP(B90,'[1]26MY_ODYSSEY_DATA'!B:AR,11,FALSE)</f>
        <v>195.4</v>
      </c>
      <c r="I90" s="100">
        <f>VLOOKUP(B90,'[1]26MY_ODYSSEY_DATA'!B:AR,12,FALSE)</f>
        <v>0</v>
      </c>
      <c r="J90" s="100" t="str">
        <f>VLOOKUP(B90,'[1]26MY_ODYSSEY_DATA'!B:AR,13,FALSE)</f>
        <v>•</v>
      </c>
      <c r="K90" s="100" t="str">
        <f>VLOOKUP(B90,'[1]26MY_ODYSSEY_DATA'!B:AR,14,FALSE)</f>
        <v>N/A</v>
      </c>
      <c r="L90" s="100" t="str">
        <f>VLOOKUP(B90,'[1]26MY_ODYSSEY_DATA'!B:AR,15,FALSE)</f>
        <v>N/A</v>
      </c>
      <c r="M90" s="100" t="str">
        <f>VLOOKUP(B90,'[1]26MY_ODYSSEY_DATA'!B:AR,16,FALSE)</f>
        <v>•</v>
      </c>
      <c r="N90" s="100">
        <f>VLOOKUP($B90,'[1]26MY_ODYSSEY_DATA'!$B:$AR,17,FALSE)</f>
        <v>0</v>
      </c>
      <c r="O90" s="100">
        <f>VLOOKUP($B90,'[1]26MY_ODYSSEY_DATA'!$B:$AR,18,FALSE)</f>
        <v>0</v>
      </c>
      <c r="P90" s="100">
        <f>VLOOKUP($B90,'[1]26MY_ODYSSEY_DATA'!$B:$AR,19,FALSE)</f>
        <v>0</v>
      </c>
      <c r="Q90" s="73"/>
    </row>
    <row r="91" spans="2:17" s="92" customFormat="1" ht="15" customHeight="1" x14ac:dyDescent="0.25">
      <c r="B91" s="90" t="s">
        <v>91</v>
      </c>
      <c r="C91" s="67" t="str">
        <f>VLOOKUP(B91,'[1]26MY_ODYSSEY_DATA'!B:AR,4,FALSE)</f>
        <v>Acier moderne métallisé (NH-797M)</v>
      </c>
      <c r="D91" s="96" t="str">
        <f t="shared" si="11"/>
        <v>08P20-THR-130A</v>
      </c>
      <c r="E91" s="97">
        <f>VLOOKUP(B91,'[1]26MY_ODYSSEY_DATA'!B:AR,9,FALSE)</f>
        <v>87</v>
      </c>
      <c r="F91" s="97">
        <f>VLOOKUP(B91,'[1]26MY_ODYSSEY_DATA'!B:AR,10,FALSE)</f>
        <v>145</v>
      </c>
      <c r="G91" s="98">
        <f>VLOOKUP(B91,'[1]26MY_ODYSSEY_DATA'!B:AR,7,FALSE)</f>
        <v>0.3</v>
      </c>
      <c r="H91" s="99">
        <f>VLOOKUP(B91,'[1]26MY_ODYSSEY_DATA'!B:AR,11,FALSE)</f>
        <v>195.4</v>
      </c>
      <c r="I91" s="100">
        <f>VLOOKUP(B91,'[1]26MY_ODYSSEY_DATA'!B:AR,12,FALSE)</f>
        <v>0</v>
      </c>
      <c r="J91" s="100" t="str">
        <f>VLOOKUP(B91,'[1]26MY_ODYSSEY_DATA'!B:AR,13,FALSE)</f>
        <v>N/A</v>
      </c>
      <c r="K91" s="100" t="str">
        <f>VLOOKUP(B91,'[1]26MY_ODYSSEY_DATA'!B:AR,14,FALSE)</f>
        <v>•</v>
      </c>
      <c r="L91" s="100" t="str">
        <f>VLOOKUP(B91,'[1]26MY_ODYSSEY_DATA'!B:AR,15,FALSE)</f>
        <v>•</v>
      </c>
      <c r="M91" s="100" t="str">
        <f>VLOOKUP(B91,'[1]26MY_ODYSSEY_DATA'!B:AR,16,FALSE)</f>
        <v>N/A</v>
      </c>
      <c r="N91" s="100">
        <f>VLOOKUP($B91,'[1]26MY_ODYSSEY_DATA'!$B:$AR,17,FALSE)</f>
        <v>0</v>
      </c>
      <c r="O91" s="100">
        <f>VLOOKUP($B91,'[1]26MY_ODYSSEY_DATA'!$B:$AR,18,FALSE)</f>
        <v>0</v>
      </c>
      <c r="P91" s="100">
        <f>VLOOKUP($B91,'[1]26MY_ODYSSEY_DATA'!$B:$AR,19,FALSE)</f>
        <v>0</v>
      </c>
      <c r="Q91" s="73"/>
    </row>
    <row r="92" spans="2:17" s="92" customFormat="1" ht="15" customHeight="1" x14ac:dyDescent="0.25">
      <c r="B92" s="90" t="s">
        <v>92</v>
      </c>
      <c r="C92" s="67" t="str">
        <f>VLOOKUP(B92,'[1]26MY_ODYSSEY_DATA'!B:AR,4,FALSE)</f>
        <v>Gris sonique nacré (NH-877P)</v>
      </c>
      <c r="D92" s="96" t="str">
        <f t="shared" si="11"/>
        <v>08P20-THR-1B0A</v>
      </c>
      <c r="E92" s="97">
        <f>VLOOKUP(B92,'[1]26MY_ODYSSEY_DATA'!B:AR,9,FALSE)</f>
        <v>87</v>
      </c>
      <c r="F92" s="97">
        <f>VLOOKUP(B92,'[1]26MY_ODYSSEY_DATA'!B:AR,10,FALSE)</f>
        <v>145</v>
      </c>
      <c r="G92" s="98">
        <f>VLOOKUP(B92,'[1]26MY_ODYSSEY_DATA'!B:AR,7,FALSE)</f>
        <v>0.3</v>
      </c>
      <c r="H92" s="99">
        <f>VLOOKUP(B92,'[1]26MY_ODYSSEY_DATA'!B:AR,11,FALSE)</f>
        <v>195.4</v>
      </c>
      <c r="I92" s="100">
        <f>VLOOKUP(B92,'[1]26MY_ODYSSEY_DATA'!B:AR,12,FALSE)</f>
        <v>0</v>
      </c>
      <c r="J92" s="100" t="str">
        <f>VLOOKUP(B92,'[1]26MY_ODYSSEY_DATA'!B:AR,13,FALSE)</f>
        <v>N/A</v>
      </c>
      <c r="K92" s="100" t="str">
        <f>VLOOKUP(B92,'[1]26MY_ODYSSEY_DATA'!B:AR,14,FALSE)</f>
        <v>N/A</v>
      </c>
      <c r="L92" s="100" t="str">
        <f>VLOOKUP(B92,'[1]26MY_ODYSSEY_DATA'!B:AR,15,FALSE)</f>
        <v>•</v>
      </c>
      <c r="M92" s="100" t="str">
        <f>VLOOKUP(B92,'[1]26MY_ODYSSEY_DATA'!B:AR,16,FALSE)</f>
        <v>•</v>
      </c>
      <c r="N92" s="100">
        <f>VLOOKUP($B92,'[1]26MY_ODYSSEY_DATA'!$B:$AR,17,FALSE)</f>
        <v>0</v>
      </c>
      <c r="O92" s="100">
        <f>VLOOKUP($B92,'[1]26MY_ODYSSEY_DATA'!$B:$AR,18,FALSE)</f>
        <v>0</v>
      </c>
      <c r="P92" s="100">
        <f>VLOOKUP($B92,'[1]26MY_ODYSSEY_DATA'!$B:$AR,19,FALSE)</f>
        <v>0</v>
      </c>
      <c r="Q92" s="73"/>
    </row>
    <row r="93" spans="2:17" ht="15" x14ac:dyDescent="0.25">
      <c r="B93" s="20" t="s">
        <v>93</v>
      </c>
      <c r="C93" s="67" t="str">
        <f>VLOOKUP(B93,'[1]26MY_ODYSSEY_DATA'!B:AR,4,FALSE)</f>
        <v>Radiant rouge métallisé II (R-580M)</v>
      </c>
      <c r="D93" s="96" t="str">
        <f t="shared" si="11"/>
        <v>08P20-THR-1A0A</v>
      </c>
      <c r="E93" s="97">
        <f>VLOOKUP(B93,'[1]26MY_ODYSSEY_DATA'!B:AR,9,FALSE)</f>
        <v>23.99</v>
      </c>
      <c r="F93" s="97">
        <f>VLOOKUP(B93,'[1]26MY_ODYSSEY_DATA'!B:AR,10,FALSE)</f>
        <v>39.99</v>
      </c>
      <c r="G93" s="98">
        <f>VLOOKUP(B93,'[1]26MY_ODYSSEY_DATA'!B:AR,7,FALSE)</f>
        <v>0.3</v>
      </c>
      <c r="H93" s="99">
        <f>VLOOKUP(B93,'[1]26MY_ODYSSEY_DATA'!B:AR,11,FALSE)</f>
        <v>90.39</v>
      </c>
      <c r="I93" s="100">
        <f>VLOOKUP(B93,'[1]26MY_ODYSSEY_DATA'!B:AR,12,FALSE)</f>
        <v>0</v>
      </c>
      <c r="J93" s="100" t="str">
        <f>VLOOKUP(B93,'[1]26MY_ODYSSEY_DATA'!B:AR,13,FALSE)</f>
        <v>N/A</v>
      </c>
      <c r="K93" s="100" t="str">
        <f>VLOOKUP(B93,'[1]26MY_ODYSSEY_DATA'!B:AR,14,FALSE)</f>
        <v>N/A</v>
      </c>
      <c r="L93" s="100" t="str">
        <f>VLOOKUP(B93,'[1]26MY_ODYSSEY_DATA'!B:AR,15,FALSE)</f>
        <v>N/A</v>
      </c>
      <c r="M93" s="100" t="str">
        <f>VLOOKUP(B93,'[1]26MY_ODYSSEY_DATA'!B:AR,16,FALSE)</f>
        <v>•</v>
      </c>
      <c r="N93" s="100">
        <f>VLOOKUP($B93,'[1]26MY_ODYSSEY_DATA'!$B:$AR,17,FALSE)</f>
        <v>0</v>
      </c>
      <c r="O93" s="100">
        <f>VLOOKUP($B93,'[1]26MY_ODYSSEY_DATA'!$B:$AR,18,FALSE)</f>
        <v>0</v>
      </c>
      <c r="P93" s="100">
        <f>VLOOKUP($B93,'[1]26MY_ODYSSEY_DATA'!$B:$AR,19,FALSE)</f>
        <v>0</v>
      </c>
      <c r="Q93" s="73"/>
    </row>
    <row r="94" spans="2:17" s="92" customFormat="1" ht="15" customHeight="1" x14ac:dyDescent="0.25">
      <c r="B94" s="20" t="s">
        <v>94</v>
      </c>
      <c r="C94" s="67" t="str">
        <f>VLOOKUP(B94,'[1]26MY_ODYSSEY_DATA'!B:AR,4,FALSE)</f>
        <v>Refl et solaire argent métallisé (NH-932M)</v>
      </c>
      <c r="D94" s="96" t="str">
        <f t="shared" si="11"/>
        <v>08P20-THR-1C0A</v>
      </c>
      <c r="E94" s="97">
        <f>VLOOKUP(B94,'[1]26MY_ODYSSEY_DATA'!B:AR,9,FALSE)</f>
        <v>87</v>
      </c>
      <c r="F94" s="97">
        <f>VLOOKUP(B94,'[1]26MY_ODYSSEY_DATA'!B:AR,10,FALSE)</f>
        <v>145</v>
      </c>
      <c r="G94" s="98">
        <f>VLOOKUP(B94,'[1]26MY_ODYSSEY_DATA'!B:AR,7,FALSE)</f>
        <v>0.3</v>
      </c>
      <c r="H94" s="99">
        <f>VLOOKUP(B94,'[1]26MY_ODYSSEY_DATA'!B:AR,11,FALSE)</f>
        <v>195.4</v>
      </c>
      <c r="I94" s="100">
        <f>VLOOKUP(B94,'[1]26MY_ODYSSEY_DATA'!B:AR,12,FALSE)</f>
        <v>0</v>
      </c>
      <c r="J94" s="100" t="str">
        <f>VLOOKUP(B94,'[1]26MY_ODYSSEY_DATA'!B:AR,13,FALSE)</f>
        <v>•</v>
      </c>
      <c r="K94" s="100" t="str">
        <f>VLOOKUP(B94,'[1]26MY_ODYSSEY_DATA'!B:AR,14,FALSE)</f>
        <v>•</v>
      </c>
      <c r="L94" s="100" t="str">
        <f>VLOOKUP(B94,'[1]26MY_ODYSSEY_DATA'!B:AR,15,FALSE)</f>
        <v>•</v>
      </c>
      <c r="M94" s="100" t="str">
        <f>VLOOKUP(B94,'[1]26MY_ODYSSEY_DATA'!B:AR,16,FALSE)</f>
        <v>N/A</v>
      </c>
      <c r="N94" s="100">
        <f>VLOOKUP($B94,'[1]26MY_ODYSSEY_DATA'!$B:$AR,17,FALSE)</f>
        <v>0</v>
      </c>
      <c r="O94" s="100">
        <f>VLOOKUP($B94,'[1]26MY_ODYSSEY_DATA'!$B:$AR,18,FALSE)</f>
        <v>0</v>
      </c>
      <c r="P94" s="100">
        <f>VLOOKUP($B94,'[1]26MY_ODYSSEY_DATA'!$B:$AR,19,FALSE)</f>
        <v>0</v>
      </c>
      <c r="Q94" s="81"/>
    </row>
    <row r="95" spans="2:17" ht="15" hidden="1" x14ac:dyDescent="0.25">
      <c r="B95" s="20" t="s">
        <v>153</v>
      </c>
      <c r="C95" s="67" t="str">
        <f>VLOOKUP(B95,'[1]26MY_ODYSSEY_DATA'!B:AR,4,FALSE)</f>
        <v>Radiant rouge métallisé II (R-580M)</v>
      </c>
      <c r="D95" s="96" t="str">
        <f t="shared" si="11"/>
        <v>08V67-THR-1A0K</v>
      </c>
      <c r="E95" s="220">
        <f>VLOOKUP(B95,'[1]26MY_ODYSSEY_DATA'!B:AR,24,FALSE)</f>
        <v>0</v>
      </c>
      <c r="F95" s="220">
        <f>VLOOKUP(B95,'[1]26MY_ODYSSEY_DATA'!B:AR,25,FALSE)</f>
        <v>0</v>
      </c>
      <c r="G95" s="221">
        <f>VLOOKUP(B95,'[1]26MY_ODYSSEY_DATA'!B:AR,22,FALSE)</f>
        <v>0</v>
      </c>
      <c r="H95" s="222">
        <f>VLOOKUP(B95,'[1]26MY_ODYSSEY_DATA'!B:AR,26,FALSE)</f>
        <v>0</v>
      </c>
      <c r="I95" s="223"/>
      <c r="J95" s="223">
        <f>VLOOKUP(B95,'[1]26MY_ODYSSEY_DATA'!B:AR,28,FALSE)</f>
        <v>0</v>
      </c>
      <c r="K95" s="223">
        <f>VLOOKUP(B95,'[1]26MY_ODYSSEY_DATA'!B:AR,29,FALSE)</f>
        <v>0</v>
      </c>
      <c r="L95" s="223">
        <f>VLOOKUP(B95,'[1]26MY_ODYSSEY_DATA'!B:AR,30,FALSE)</f>
        <v>0</v>
      </c>
      <c r="M95" s="223">
        <f>VLOOKUP(B95,'[1]26MY_ODYSSEY_DATA'!B:AR,31,FALSE)</f>
        <v>0</v>
      </c>
      <c r="N95" s="223" t="e">
        <f>VLOOKUP(C95,'[1]26MY_ODYSSEY_DATA'!C:AS,31,FALSE)</f>
        <v>#N/A</v>
      </c>
      <c r="O95" s="223" t="e">
        <f>VLOOKUP(C95,'[1]26MY_ODYSSEY_DATA'!C:AS,31,FALSE)</f>
        <v>#N/A</v>
      </c>
      <c r="P95" s="223"/>
      <c r="Q95" s="224"/>
    </row>
    <row r="96" spans="2:17" s="92" customFormat="1" ht="15" customHeight="1" x14ac:dyDescent="0.25">
      <c r="B96" s="90"/>
      <c r="C96" s="115"/>
      <c r="D96" s="115"/>
      <c r="E96" s="116"/>
      <c r="F96" s="116"/>
      <c r="G96" s="117"/>
      <c r="H96" s="116"/>
      <c r="I96" s="116"/>
      <c r="J96" s="116"/>
      <c r="K96" s="116"/>
      <c r="L96" s="116"/>
      <c r="M96" s="116"/>
      <c r="N96" s="116"/>
      <c r="O96" s="116"/>
      <c r="P96" s="116"/>
      <c r="Q96" s="118"/>
    </row>
    <row r="97" spans="2:17" s="65" customFormat="1" ht="18.75" x14ac:dyDescent="0.3">
      <c r="B97" s="109"/>
      <c r="C97" s="47" t="s">
        <v>154</v>
      </c>
      <c r="D97" s="47"/>
      <c r="E97" s="119"/>
      <c r="F97" s="119"/>
      <c r="G97" s="119"/>
      <c r="H97" s="119"/>
      <c r="I97" s="119"/>
      <c r="J97" s="119"/>
      <c r="K97" s="119"/>
      <c r="L97" s="119"/>
      <c r="M97" s="119"/>
      <c r="N97" s="119"/>
      <c r="O97" s="119"/>
      <c r="P97" s="119"/>
      <c r="Q97" s="119"/>
    </row>
    <row r="98" spans="2:17" s="75" customFormat="1" ht="15" customHeight="1" x14ac:dyDescent="0.25">
      <c r="B98" s="94"/>
      <c r="C98" s="53" t="s">
        <v>141</v>
      </c>
      <c r="D98" s="53" t="s">
        <v>142</v>
      </c>
      <c r="E98" s="53" t="s">
        <v>143</v>
      </c>
      <c r="F98" s="53" t="s">
        <v>144</v>
      </c>
      <c r="G98" s="53" t="s">
        <v>145</v>
      </c>
      <c r="H98" s="54" t="s">
        <v>146</v>
      </c>
      <c r="I98" s="53" t="s">
        <v>33</v>
      </c>
      <c r="J98" s="53"/>
      <c r="K98" s="53"/>
      <c r="L98" s="53"/>
      <c r="M98" s="53"/>
      <c r="N98" s="53"/>
      <c r="O98" s="53"/>
      <c r="P98" s="53"/>
      <c r="Q98" s="53" t="s">
        <v>147</v>
      </c>
    </row>
    <row r="99" spans="2:17" s="75" customFormat="1" ht="30" x14ac:dyDescent="0.25">
      <c r="B99" s="94"/>
      <c r="C99" s="53"/>
      <c r="D99" s="53"/>
      <c r="E99" s="53"/>
      <c r="F99" s="53"/>
      <c r="G99" s="53"/>
      <c r="H99" s="54"/>
      <c r="I99" s="55">
        <f>'[1]26MY_ODYSSEY_DATA'!M$6</f>
        <v>0</v>
      </c>
      <c r="J99" s="55" t="str">
        <f>'[1]26MY_ODYSSEY_DATA'!N$6</f>
        <v>Sport</v>
      </c>
      <c r="K99" s="55" t="str">
        <f>'[1]26MY_ODYSSEY_DATA'!O$6</f>
        <v>Sport-L</v>
      </c>
      <c r="L99" s="55" t="str">
        <f>'[1]26MY_ODYSSEY_DATA'!P$6</f>
        <v>Touring</v>
      </c>
      <c r="M99" s="55" t="str">
        <f>'[1]26MY_ODYSSEY_DATA'!Q$6</f>
        <v>Black Edition</v>
      </c>
      <c r="N99" s="55">
        <f>'[1]26MY_ODYSSEY_DATA'!R$6</f>
        <v>0</v>
      </c>
      <c r="O99" s="55">
        <f>'[1]26MY_ODYSSEY_DATA'!S$6</f>
        <v>0</v>
      </c>
      <c r="P99" s="55">
        <f>'[1]26MY_ODYSSEY_DATA'!T$6</f>
        <v>0</v>
      </c>
      <c r="Q99" s="53"/>
    </row>
    <row r="100" spans="2:17" s="92" customFormat="1" ht="15" customHeight="1" x14ac:dyDescent="0.25">
      <c r="B100" s="90" t="s">
        <v>36</v>
      </c>
      <c r="C100" s="219" t="str">
        <f>VLOOKUP(B100,'[1]26MY_ODYSSEY_DATA'!B:AR,4,FALSE)</f>
        <v>Protège-tapis toutes saisons - logo blanc</v>
      </c>
      <c r="D100" s="96" t="str">
        <f t="shared" ref="D100:D107" si="12">B100</f>
        <v>08P17-THR-110A</v>
      </c>
      <c r="E100" s="97">
        <f>VLOOKUP(B100,'[1]26MY_ODYSSEY_DATA'!B:AR,9,FALSE)</f>
        <v>195</v>
      </c>
      <c r="F100" s="97">
        <f>VLOOKUP(B100,'[1]26MY_ODYSSEY_DATA'!B:AR,10,FALSE)</f>
        <v>325</v>
      </c>
      <c r="G100" s="98">
        <f>VLOOKUP(B100,'[1]26MY_ODYSSEY_DATA'!B:AR,7,FALSE)</f>
        <v>0.1</v>
      </c>
      <c r="H100" s="99">
        <f>VLOOKUP(B100,'[1]26MY_ODYSSEY_DATA'!B:AR,11,FALSE)</f>
        <v>341.8</v>
      </c>
      <c r="I100" s="100">
        <f>VLOOKUP(B100,'[1]26MY_ODYSSEY_DATA'!B:AR,12,FALSE)</f>
        <v>0</v>
      </c>
      <c r="J100" s="100" t="str">
        <f>VLOOKUP(B100,'[1]26MY_ODYSSEY_DATA'!B:AR,13,FALSE)</f>
        <v>•</v>
      </c>
      <c r="K100" s="100" t="str">
        <f>VLOOKUP(B100,'[1]26MY_ODYSSEY_DATA'!B:AR,14,FALSE)</f>
        <v>•</v>
      </c>
      <c r="L100" s="100" t="str">
        <f>VLOOKUP(B100,'[1]26MY_ODYSSEY_DATA'!B:AR,15,FALSE)</f>
        <v>•</v>
      </c>
      <c r="M100" s="100" t="str">
        <f>VLOOKUP(B100,'[1]26MY_ODYSSEY_DATA'!B:AR,16,FALSE)</f>
        <v>•</v>
      </c>
      <c r="N100" s="100">
        <f>VLOOKUP($B100,'[1]26MY_ODYSSEY_DATA'!$B:$AR,17,FALSE)</f>
        <v>0</v>
      </c>
      <c r="O100" s="100">
        <f>VLOOKUP($B100,'[1]26MY_ODYSSEY_DATA'!$B:$AR,18,FALSE)</f>
        <v>0</v>
      </c>
      <c r="P100" s="100">
        <f>VLOOKUP($B100,'[1]26MY_ODYSSEY_DATA'!$B:$AR,19,FALSE)</f>
        <v>0</v>
      </c>
      <c r="Q100" s="101" t="str">
        <f>IF(VLOOKUP(B100,'[1]26MY_ODYSSEY_DATA'!B:AR,21,FALSE)="","",VLOOKUP(B100,'[1]26MY_ODYSSEY_DATA'!B:AR,21,FALSE))</f>
        <v>Logo blanc.</v>
      </c>
    </row>
    <row r="101" spans="2:17" s="92" customFormat="1" ht="15" customHeight="1" x14ac:dyDescent="0.25">
      <c r="B101" s="90" t="s">
        <v>37</v>
      </c>
      <c r="C101" s="219" t="str">
        <f>VLOOKUP(B101,'[1]26MY_ODYSSEY_DATA'!B:AR,4,FALSE)</f>
        <v>Plateau de compartiment à bagages - profond</v>
      </c>
      <c r="D101" s="96" t="str">
        <f t="shared" si="12"/>
        <v>08U45-THR-100A</v>
      </c>
      <c r="E101" s="97">
        <f>VLOOKUP(B101,'[1]26MY_ODYSSEY_DATA'!B:AR,9,FALSE)</f>
        <v>140</v>
      </c>
      <c r="F101" s="97">
        <f>VLOOKUP(B101,'[1]26MY_ODYSSEY_DATA'!B:AR,10,FALSE)</f>
        <v>233</v>
      </c>
      <c r="G101" s="98">
        <f>VLOOKUP(B101,'[1]26MY_ODYSSEY_DATA'!B:AR,7,FALSE)</f>
        <v>0.1</v>
      </c>
      <c r="H101" s="99">
        <f>VLOOKUP(B101,'[1]26MY_ODYSSEY_DATA'!B:AR,11,FALSE)</f>
        <v>249.8</v>
      </c>
      <c r="I101" s="100">
        <f>VLOOKUP(B101,'[1]26MY_ODYSSEY_DATA'!B:AR,12,FALSE)</f>
        <v>0</v>
      </c>
      <c r="J101" s="100" t="str">
        <f>VLOOKUP(B101,'[1]26MY_ODYSSEY_DATA'!B:AR,13,FALSE)</f>
        <v>•</v>
      </c>
      <c r="K101" s="100" t="str">
        <f>VLOOKUP(B101,'[1]26MY_ODYSSEY_DATA'!B:AR,14,FALSE)</f>
        <v>•</v>
      </c>
      <c r="L101" s="100" t="str">
        <f>VLOOKUP(B101,'[1]26MY_ODYSSEY_DATA'!B:AR,15,FALSE)</f>
        <v>•</v>
      </c>
      <c r="M101" s="100" t="str">
        <f>VLOOKUP(B101,'[1]26MY_ODYSSEY_DATA'!B:AR,16,FALSE)</f>
        <v>•</v>
      </c>
      <c r="N101" s="100">
        <f>VLOOKUP($B101,'[1]26MY_ODYSSEY_DATA'!$B:$AR,17,FALSE)</f>
        <v>0</v>
      </c>
      <c r="O101" s="100">
        <f>VLOOKUP($B101,'[1]26MY_ODYSSEY_DATA'!$B:$AR,18,FALSE)</f>
        <v>0</v>
      </c>
      <c r="P101" s="100">
        <f>VLOOKUP($B101,'[1]26MY_ODYSSEY_DATA'!$B:$AR,19,FALSE)</f>
        <v>0</v>
      </c>
      <c r="Q101" s="101" t="str">
        <f>IF(VLOOKUP(B101,'[1]26MY_ODYSSEY_DATA'!B:AR,21,FALSE)="","",VLOOKUP(B101,'[1]26MY_ODYSSEY_DATA'!B:AR,21,FALSE))</f>
        <v/>
      </c>
    </row>
    <row r="102" spans="2:17" s="92" customFormat="1" ht="15" customHeight="1" x14ac:dyDescent="0.25">
      <c r="B102" s="90" t="s">
        <v>40</v>
      </c>
      <c r="C102" s="219" t="str">
        <f>VLOOKUP(B102,'[1]26MY_ODYSSEY_DATA'!B:AR,4,FALSE)</f>
        <v>Plateaux de coffre pliants</v>
      </c>
      <c r="D102" s="96" t="str">
        <f t="shared" si="12"/>
        <v>08U45-THR-100B</v>
      </c>
      <c r="E102" s="97">
        <f>VLOOKUP(B102,'[1]26MY_ODYSSEY_DATA'!B:AR,9,FALSE)</f>
        <v>160</v>
      </c>
      <c r="F102" s="97">
        <f>VLOOKUP(B102,'[1]26MY_ODYSSEY_DATA'!B:AR,10,FALSE)</f>
        <v>267</v>
      </c>
      <c r="G102" s="98">
        <f>VLOOKUP(B102,'[1]26MY_ODYSSEY_DATA'!B:AR,7,FALSE)</f>
        <v>0.1</v>
      </c>
      <c r="H102" s="99">
        <f>VLOOKUP(B102,'[1]26MY_ODYSSEY_DATA'!B:AR,11,FALSE)</f>
        <v>283.8</v>
      </c>
      <c r="I102" s="100">
        <f>VLOOKUP(B102,'[1]26MY_ODYSSEY_DATA'!B:AR,12,FALSE)</f>
        <v>0</v>
      </c>
      <c r="J102" s="100" t="str">
        <f>VLOOKUP(B102,'[1]26MY_ODYSSEY_DATA'!B:AR,13,FALSE)</f>
        <v>•</v>
      </c>
      <c r="K102" s="100" t="str">
        <f>VLOOKUP(B102,'[1]26MY_ODYSSEY_DATA'!B:AR,14,FALSE)</f>
        <v>•</v>
      </c>
      <c r="L102" s="100" t="str">
        <f>VLOOKUP(B102,'[1]26MY_ODYSSEY_DATA'!B:AR,15,FALSE)</f>
        <v>•</v>
      </c>
      <c r="M102" s="100" t="str">
        <f>VLOOKUP(B102,'[1]26MY_ODYSSEY_DATA'!B:AR,16,FALSE)</f>
        <v>•</v>
      </c>
      <c r="N102" s="100">
        <f>VLOOKUP($B102,'[1]26MY_ODYSSEY_DATA'!$B:$AR,17,FALSE)</f>
        <v>0</v>
      </c>
      <c r="O102" s="100">
        <f>VLOOKUP($B102,'[1]26MY_ODYSSEY_DATA'!$B:$AR,18,FALSE)</f>
        <v>0</v>
      </c>
      <c r="P102" s="100">
        <f>VLOOKUP($B102,'[1]26MY_ODYSSEY_DATA'!$B:$AR,19,FALSE)</f>
        <v>0</v>
      </c>
      <c r="Q102" s="101" t="str">
        <f>IF(VLOOKUP(B102,'[1]26MY_ODYSSEY_DATA'!B:AR,21,FALSE)="","",VLOOKUP(B102,'[1]26MY_ODYSSEY_DATA'!B:AR,21,FALSE))</f>
        <v/>
      </c>
    </row>
    <row r="103" spans="2:17" s="92" customFormat="1" ht="15" customHeight="1" x14ac:dyDescent="0.25">
      <c r="B103" s="90" t="s">
        <v>96</v>
      </c>
      <c r="C103" s="219" t="str">
        <f>VLOOKUP(B103,'[1]26MY_ODYSSEY_DATA'!B:AR,4,FALSE)</f>
        <v>Des paniers de compartiment à bagages</v>
      </c>
      <c r="D103" s="96" t="str">
        <f t="shared" si="12"/>
        <v>08U45-THR-300</v>
      </c>
      <c r="E103" s="97">
        <f>VLOOKUP(B103,'[1]26MY_ODYSSEY_DATA'!B:AR,9,FALSE)</f>
        <v>413</v>
      </c>
      <c r="F103" s="97">
        <f>VLOOKUP(B103,'[1]26MY_ODYSSEY_DATA'!B:AR,10,FALSE)</f>
        <v>688</v>
      </c>
      <c r="G103" s="98">
        <f>VLOOKUP(B103,'[1]26MY_ODYSSEY_DATA'!B:AR,7,FALSE)</f>
        <v>0.1</v>
      </c>
      <c r="H103" s="99">
        <f>VLOOKUP(B103,'[1]26MY_ODYSSEY_DATA'!B:AR,11,FALSE)</f>
        <v>704.8</v>
      </c>
      <c r="I103" s="100">
        <f>VLOOKUP(B103,'[1]26MY_ODYSSEY_DATA'!B:AR,12,FALSE)</f>
        <v>0</v>
      </c>
      <c r="J103" s="100" t="str">
        <f>VLOOKUP(B103,'[1]26MY_ODYSSEY_DATA'!B:AR,13,FALSE)</f>
        <v>•</v>
      </c>
      <c r="K103" s="100" t="str">
        <f>VLOOKUP(B103,'[1]26MY_ODYSSEY_DATA'!B:AR,14,FALSE)</f>
        <v>•</v>
      </c>
      <c r="L103" s="100" t="str">
        <f>VLOOKUP(B103,'[1]26MY_ODYSSEY_DATA'!B:AR,15,FALSE)</f>
        <v>•</v>
      </c>
      <c r="M103" s="100" t="str">
        <f>VLOOKUP(B103,'[1]26MY_ODYSSEY_DATA'!B:AR,16,FALSE)</f>
        <v>•</v>
      </c>
      <c r="N103" s="100">
        <f>VLOOKUP($B103,'[1]26MY_ODYSSEY_DATA'!$B:$AR,17,FALSE)</f>
        <v>0</v>
      </c>
      <c r="O103" s="100">
        <f>VLOOKUP($B103,'[1]26MY_ODYSSEY_DATA'!$B:$AR,18,FALSE)</f>
        <v>0</v>
      </c>
      <c r="P103" s="100">
        <f>VLOOKUP($B103,'[1]26MY_ODYSSEY_DATA'!$B:$AR,19,FALSE)</f>
        <v>0</v>
      </c>
      <c r="Q103" s="101" t="str">
        <f>IF(VLOOKUP(B103,'[1]26MY_ODYSSEY_DATA'!B:AR,21,FALSE)="","",VLOOKUP(B103,'[1]26MY_ODYSSEY_DATA'!B:AR,21,FALSE))</f>
        <v/>
      </c>
    </row>
    <row r="104" spans="2:17" s="92" customFormat="1" ht="15" customHeight="1" x14ac:dyDescent="0.25">
      <c r="B104" s="90" t="s">
        <v>97</v>
      </c>
      <c r="C104" s="219" t="str">
        <f>VLOOKUP(B104,'[1]26MY_ODYSSEY_DATA'!B:AR,4,FALSE)</f>
        <v xml:space="preserve">Protection pour compartiment utilitaire </v>
      </c>
      <c r="D104" s="96" t="str">
        <f t="shared" si="12"/>
        <v>08P42-THR-100</v>
      </c>
      <c r="E104" s="97">
        <f>VLOOKUP(B104,'[1]26MY_ODYSSEY_DATA'!B:AR,9,FALSE)</f>
        <v>295</v>
      </c>
      <c r="F104" s="97">
        <f>VLOOKUP(B104,'[1]26MY_ODYSSEY_DATA'!B:AR,10,FALSE)</f>
        <v>421</v>
      </c>
      <c r="G104" s="98">
        <f>VLOOKUP(B104,'[1]26MY_ODYSSEY_DATA'!B:AR,7,FALSE)</f>
        <v>1.2</v>
      </c>
      <c r="H104" s="99">
        <f>VLOOKUP(B104,'[1]26MY_ODYSSEY_DATA'!B:AR,11,FALSE)</f>
        <v>622.6</v>
      </c>
      <c r="I104" s="100">
        <f>VLOOKUP(B104,'[1]26MY_ODYSSEY_DATA'!B:AR,12,FALSE)</f>
        <v>0</v>
      </c>
      <c r="J104" s="100" t="str">
        <f>VLOOKUP(B104,'[1]26MY_ODYSSEY_DATA'!B:AR,13,FALSE)</f>
        <v>•</v>
      </c>
      <c r="K104" s="100" t="str">
        <f>VLOOKUP(B104,'[1]26MY_ODYSSEY_DATA'!B:AR,14,FALSE)</f>
        <v>•</v>
      </c>
      <c r="L104" s="100" t="str">
        <f>VLOOKUP(B104,'[1]26MY_ODYSSEY_DATA'!B:AR,15,FALSE)</f>
        <v>•</v>
      </c>
      <c r="M104" s="100" t="str">
        <f>VLOOKUP(B104,'[1]26MY_ODYSSEY_DATA'!B:AR,16,FALSE)</f>
        <v>•</v>
      </c>
      <c r="N104" s="100">
        <f>VLOOKUP($B104,'[1]26MY_ODYSSEY_DATA'!$B:$AR,17,FALSE)</f>
        <v>0</v>
      </c>
      <c r="O104" s="100">
        <f>VLOOKUP($B104,'[1]26MY_ODYSSEY_DATA'!$B:$AR,18,FALSE)</f>
        <v>0</v>
      </c>
      <c r="P104" s="100">
        <f>VLOOKUP($B104,'[1]26MY_ODYSSEY_DATA'!$B:$AR,19,FALSE)</f>
        <v>0</v>
      </c>
      <c r="Q104" s="101" t="str">
        <f>IF(VLOOKUP(B104,'[1]26MY_ODYSSEY_DATA'!B:AR,21,FALSE)="","",VLOOKUP(B104,'[1]26MY_ODYSSEY_DATA'!B:AR,21,FALSE))</f>
        <v/>
      </c>
    </row>
    <row r="105" spans="2:17" s="92" customFormat="1" ht="15" customHeight="1" x14ac:dyDescent="0.25">
      <c r="B105" s="90" t="s">
        <v>98</v>
      </c>
      <c r="C105" s="219" t="str">
        <f>VLOOKUP(B105,'[1]26MY_ODYSSEY_DATA'!B:AR,4,FALSE)</f>
        <v xml:space="preserve">Filet d’arrimage </v>
      </c>
      <c r="D105" s="96" t="str">
        <f t="shared" si="12"/>
        <v>08L96-THR-100</v>
      </c>
      <c r="E105" s="97">
        <f>VLOOKUP(B105,'[1]26MY_ODYSSEY_DATA'!B:AR,9,FALSE)</f>
        <v>42</v>
      </c>
      <c r="F105" s="97">
        <f>VLOOKUP(B105,'[1]26MY_ODYSSEY_DATA'!B:AR,10,FALSE)</f>
        <v>70</v>
      </c>
      <c r="G105" s="98">
        <f>VLOOKUP(B105,'[1]26MY_ODYSSEY_DATA'!B:AR,7,FALSE)</f>
        <v>0.1</v>
      </c>
      <c r="H105" s="99">
        <f>VLOOKUP(B105,'[1]26MY_ODYSSEY_DATA'!B:AR,11,FALSE)</f>
        <v>86.8</v>
      </c>
      <c r="I105" s="100">
        <f>VLOOKUP(B105,'[1]26MY_ODYSSEY_DATA'!B:AR,12,FALSE)</f>
        <v>0</v>
      </c>
      <c r="J105" s="100" t="str">
        <f>VLOOKUP(B105,'[1]26MY_ODYSSEY_DATA'!B:AR,13,FALSE)</f>
        <v>•</v>
      </c>
      <c r="K105" s="100" t="str">
        <f>VLOOKUP(B105,'[1]26MY_ODYSSEY_DATA'!B:AR,14,FALSE)</f>
        <v>•</v>
      </c>
      <c r="L105" s="100" t="str">
        <f>VLOOKUP(B105,'[1]26MY_ODYSSEY_DATA'!B:AR,15,FALSE)</f>
        <v>•</v>
      </c>
      <c r="M105" s="100" t="str">
        <f>VLOOKUP(B105,'[1]26MY_ODYSSEY_DATA'!B:AR,16,FALSE)</f>
        <v>•</v>
      </c>
      <c r="N105" s="100">
        <f>VLOOKUP($B105,'[1]26MY_ODYSSEY_DATA'!$B:$AR,17,FALSE)</f>
        <v>0</v>
      </c>
      <c r="O105" s="100">
        <f>VLOOKUP($B105,'[1]26MY_ODYSSEY_DATA'!$B:$AR,18,FALSE)</f>
        <v>0</v>
      </c>
      <c r="P105" s="100">
        <f>VLOOKUP($B105,'[1]26MY_ODYSSEY_DATA'!$B:$AR,19,FALSE)</f>
        <v>0</v>
      </c>
      <c r="Q105" s="101" t="str">
        <f>IF(VLOOKUP(B105,'[1]26MY_ODYSSEY_DATA'!B:AR,21,FALSE)="","",VLOOKUP(B105,'[1]26MY_ODYSSEY_DATA'!B:AR,21,FALSE))</f>
        <v/>
      </c>
    </row>
    <row r="106" spans="2:17" s="92" customFormat="1" ht="15" customHeight="1" x14ac:dyDescent="0.25">
      <c r="B106" s="90" t="s">
        <v>99</v>
      </c>
      <c r="C106" s="219" t="str">
        <f>VLOOKUP(B106,'[1]26MY_ODYSSEY_DATA'!B:AR,4,FALSE)</f>
        <v>Housse pour sièges, 2e rangée</v>
      </c>
      <c r="D106" s="96" t="str">
        <f t="shared" si="12"/>
        <v>08P32-THR-310D</v>
      </c>
      <c r="E106" s="97">
        <f>VLOOKUP(B106,'[1]26MY_ODYSSEY_DATA'!B:AR,9,FALSE)</f>
        <v>394</v>
      </c>
      <c r="F106" s="97">
        <f>VLOOKUP(B106,'[1]26MY_ODYSSEY_DATA'!B:AR,10,FALSE)</f>
        <v>563</v>
      </c>
      <c r="G106" s="98">
        <f>VLOOKUP(B106,'[1]26MY_ODYSSEY_DATA'!B:AR,7,FALSE)</f>
        <v>0.3</v>
      </c>
      <c r="H106" s="99">
        <f>VLOOKUP(B106,'[1]26MY_ODYSSEY_DATA'!B:AR,11,FALSE)</f>
        <v>613.4</v>
      </c>
      <c r="I106" s="100">
        <f>VLOOKUP(B106,'[1]26MY_ODYSSEY_DATA'!B:AR,12,FALSE)</f>
        <v>0</v>
      </c>
      <c r="J106" s="100" t="str">
        <f>VLOOKUP(B106,'[1]26MY_ODYSSEY_DATA'!B:AR,13,FALSE)</f>
        <v>•</v>
      </c>
      <c r="K106" s="100" t="str">
        <f>VLOOKUP(B106,'[1]26MY_ODYSSEY_DATA'!B:AR,14,FALSE)</f>
        <v>•</v>
      </c>
      <c r="L106" s="100" t="str">
        <f>VLOOKUP(B106,'[1]26MY_ODYSSEY_DATA'!B:AR,15,FALSE)</f>
        <v>•</v>
      </c>
      <c r="M106" s="100" t="str">
        <f>VLOOKUP(B106,'[1]26MY_ODYSSEY_DATA'!B:AR,16,FALSE)</f>
        <v>•</v>
      </c>
      <c r="N106" s="100">
        <f>VLOOKUP($B106,'[1]26MY_ODYSSEY_DATA'!$B:$AR,17,FALSE)</f>
        <v>0</v>
      </c>
      <c r="O106" s="100">
        <f>VLOOKUP($B106,'[1]26MY_ODYSSEY_DATA'!$B:$AR,18,FALSE)</f>
        <v>0</v>
      </c>
      <c r="P106" s="100">
        <f>VLOOKUP($B106,'[1]26MY_ODYSSEY_DATA'!$B:$AR,19,FALSE)</f>
        <v>0</v>
      </c>
      <c r="Q106" s="101" t="str">
        <f>IF(VLOOKUP(B106,'[1]26MY_ODYSSEY_DATA'!B:AR,21,FALSE)="","",VLOOKUP(B106,'[1]26MY_ODYSSEY_DATA'!B:AR,21,FALSE))</f>
        <v>8 sièges passagers.</v>
      </c>
    </row>
    <row r="107" spans="2:17" s="92" customFormat="1" ht="15" customHeight="1" x14ac:dyDescent="0.25">
      <c r="B107" s="90" t="s">
        <v>100</v>
      </c>
      <c r="C107" s="219" t="str">
        <f>VLOOKUP(B107,'[1]26MY_ODYSSEY_DATA'!B:AR,4,FALSE)</f>
        <v>Housse pour sièges, 3e rangée</v>
      </c>
      <c r="D107" s="96" t="str">
        <f t="shared" si="12"/>
        <v>08P32-THR-310F</v>
      </c>
      <c r="E107" s="97">
        <f>VLOOKUP(B107,'[1]26MY_ODYSSEY_DATA'!B:AR,9,FALSE)</f>
        <v>304</v>
      </c>
      <c r="F107" s="97">
        <f>VLOOKUP(B107,'[1]26MY_ODYSSEY_DATA'!B:AR,10,FALSE)</f>
        <v>434</v>
      </c>
      <c r="G107" s="98">
        <f>VLOOKUP(B107,'[1]26MY_ODYSSEY_DATA'!B:AR,7,FALSE)</f>
        <v>0.2</v>
      </c>
      <c r="H107" s="99">
        <f>VLOOKUP(B107,'[1]26MY_ODYSSEY_DATA'!B:AR,11,FALSE)</f>
        <v>467.6</v>
      </c>
      <c r="I107" s="100">
        <f>VLOOKUP(B107,'[1]26MY_ODYSSEY_DATA'!B:AR,12,FALSE)</f>
        <v>0</v>
      </c>
      <c r="J107" s="100" t="str">
        <f>VLOOKUP(B107,'[1]26MY_ODYSSEY_DATA'!B:AR,13,FALSE)</f>
        <v>•</v>
      </c>
      <c r="K107" s="100" t="str">
        <f>VLOOKUP(B107,'[1]26MY_ODYSSEY_DATA'!B:AR,14,FALSE)</f>
        <v>•</v>
      </c>
      <c r="L107" s="100" t="str">
        <f>VLOOKUP(B107,'[1]26MY_ODYSSEY_DATA'!B:AR,15,FALSE)</f>
        <v>•</v>
      </c>
      <c r="M107" s="100" t="str">
        <f>VLOOKUP(B107,'[1]26MY_ODYSSEY_DATA'!B:AR,16,FALSE)</f>
        <v>•</v>
      </c>
      <c r="N107" s="100">
        <f>VLOOKUP($B107,'[1]26MY_ODYSSEY_DATA'!$B:$AR,17,FALSE)</f>
        <v>0</v>
      </c>
      <c r="O107" s="100">
        <f>VLOOKUP($B107,'[1]26MY_ODYSSEY_DATA'!$B:$AR,18,FALSE)</f>
        <v>0</v>
      </c>
      <c r="P107" s="100">
        <f>VLOOKUP($B107,'[1]26MY_ODYSSEY_DATA'!$B:$AR,19,FALSE)</f>
        <v>0</v>
      </c>
      <c r="Q107" s="101" t="str">
        <f>IF(VLOOKUP(B107,'[1]26MY_ODYSSEY_DATA'!B:AR,21,FALSE)="","",VLOOKUP(B107,'[1]26MY_ODYSSEY_DATA'!B:AR,21,FALSE))</f>
        <v/>
      </c>
    </row>
    <row r="108" spans="2:17" s="92" customFormat="1" ht="12" customHeight="1" x14ac:dyDescent="0.25">
      <c r="B108" s="90"/>
      <c r="C108" s="120"/>
      <c r="D108" s="121"/>
      <c r="E108" s="122"/>
      <c r="F108" s="122"/>
      <c r="G108" s="123"/>
      <c r="H108" s="124"/>
      <c r="I108" s="125"/>
      <c r="J108" s="125"/>
      <c r="K108" s="125"/>
      <c r="L108" s="125"/>
      <c r="M108" s="125"/>
      <c r="N108" s="125"/>
      <c r="O108" s="125"/>
      <c r="P108" s="125"/>
      <c r="Q108" s="126"/>
    </row>
    <row r="109" spans="2:17" s="65" customFormat="1" ht="18.75" x14ac:dyDescent="0.3">
      <c r="B109" s="109"/>
      <c r="C109" s="47" t="s">
        <v>155</v>
      </c>
      <c r="D109" s="47"/>
      <c r="E109" s="127"/>
      <c r="F109" s="128"/>
      <c r="G109" s="128"/>
      <c r="H109" s="128"/>
      <c r="I109" s="128"/>
      <c r="J109" s="128"/>
      <c r="K109" s="128"/>
      <c r="L109" s="128"/>
      <c r="M109" s="128"/>
      <c r="N109" s="128"/>
      <c r="O109" s="128"/>
      <c r="P109" s="128"/>
      <c r="Q109" s="128"/>
    </row>
    <row r="110" spans="2:17" s="75" customFormat="1" ht="15" customHeight="1" x14ac:dyDescent="0.25">
      <c r="B110" s="94"/>
      <c r="C110" s="53" t="s">
        <v>141</v>
      </c>
      <c r="D110" s="53" t="s">
        <v>142</v>
      </c>
      <c r="E110" s="53" t="s">
        <v>143</v>
      </c>
      <c r="F110" s="53" t="s">
        <v>144</v>
      </c>
      <c r="G110" s="53" t="s">
        <v>145</v>
      </c>
      <c r="H110" s="54" t="s">
        <v>146</v>
      </c>
      <c r="I110" s="53" t="s">
        <v>33</v>
      </c>
      <c r="J110" s="53"/>
      <c r="K110" s="53"/>
      <c r="L110" s="53"/>
      <c r="M110" s="53"/>
      <c r="N110" s="53"/>
      <c r="O110" s="53"/>
      <c r="P110" s="53"/>
      <c r="Q110" s="53" t="s">
        <v>147</v>
      </c>
    </row>
    <row r="111" spans="2:17" s="75" customFormat="1" ht="30" x14ac:dyDescent="0.25">
      <c r="B111" s="94"/>
      <c r="C111" s="53"/>
      <c r="D111" s="53"/>
      <c r="E111" s="53"/>
      <c r="F111" s="53"/>
      <c r="G111" s="53"/>
      <c r="H111" s="54"/>
      <c r="I111" s="55">
        <f>'[1]26MY_ODYSSEY_DATA'!M$6</f>
        <v>0</v>
      </c>
      <c r="J111" s="55" t="str">
        <f>'[1]26MY_ODYSSEY_DATA'!N$6</f>
        <v>Sport</v>
      </c>
      <c r="K111" s="55" t="str">
        <f>'[1]26MY_ODYSSEY_DATA'!O$6</f>
        <v>Sport-L</v>
      </c>
      <c r="L111" s="55" t="str">
        <f>'[1]26MY_ODYSSEY_DATA'!P$6</f>
        <v>Touring</v>
      </c>
      <c r="M111" s="55" t="str">
        <f>'[1]26MY_ODYSSEY_DATA'!Q$6</f>
        <v>Black Edition</v>
      </c>
      <c r="N111" s="55">
        <f>'[1]26MY_ODYSSEY_DATA'!R$6</f>
        <v>0</v>
      </c>
      <c r="O111" s="55">
        <f>'[1]26MY_ODYSSEY_DATA'!S$6</f>
        <v>0</v>
      </c>
      <c r="P111" s="55">
        <f>'[1]26MY_ODYSSEY_DATA'!T$6</f>
        <v>0</v>
      </c>
      <c r="Q111" s="53"/>
    </row>
    <row r="112" spans="2:17" s="92" customFormat="1" ht="15" customHeight="1" x14ac:dyDescent="0.25">
      <c r="B112" s="90" t="s">
        <v>102</v>
      </c>
      <c r="C112" s="219" t="str">
        <f>VLOOKUP(B112,'[1]26MY_ODYSSEY_DATA'!B:AR,4,FALSE)</f>
        <v>Garniture lumineuses de bas de portière - Avant et arrière</v>
      </c>
      <c r="D112" s="96" t="str">
        <f t="shared" ref="D112:D122" si="13">B112</f>
        <v>08E12-THR-100</v>
      </c>
      <c r="E112" s="97">
        <f>VLOOKUP(B112,'[1]26MY_ODYSSEY_DATA'!B:AR,9,FALSE)</f>
        <v>564</v>
      </c>
      <c r="F112" s="97">
        <f>VLOOKUP(B112,'[1]26MY_ODYSSEY_DATA'!B:AR,10,FALSE)</f>
        <v>868</v>
      </c>
      <c r="G112" s="98">
        <f>VLOOKUP(B112,'[1]26MY_ODYSSEY_DATA'!B:AR,7,FALSE)</f>
        <v>1.2</v>
      </c>
      <c r="H112" s="99">
        <f>VLOOKUP(B112,'[1]26MY_ODYSSEY_DATA'!B:AR,11,FALSE)</f>
        <v>1069.5999999999999</v>
      </c>
      <c r="I112" s="100">
        <f>VLOOKUP(B112,'[1]26MY_ODYSSEY_DATA'!B:AR,12,FALSE)</f>
        <v>0</v>
      </c>
      <c r="J112" s="100" t="str">
        <f>VLOOKUP(B112,'[1]26MY_ODYSSEY_DATA'!B:AR,13,FALSE)</f>
        <v>•</v>
      </c>
      <c r="K112" s="100" t="str">
        <f>VLOOKUP(B112,'[1]26MY_ODYSSEY_DATA'!B:AR,14,FALSE)</f>
        <v>•</v>
      </c>
      <c r="L112" s="100" t="str">
        <f>VLOOKUP(B112,'[1]26MY_ODYSSEY_DATA'!B:AR,15,FALSE)</f>
        <v>•</v>
      </c>
      <c r="M112" s="100" t="str">
        <f>VLOOKUP(B112,'[1]26MY_ODYSSEY_DATA'!B:AR,16,FALSE)</f>
        <v>•</v>
      </c>
      <c r="N112" s="100">
        <f>VLOOKUP($B112,'[1]26MY_ODYSSEY_DATA'!$B:$AR,17,FALSE)</f>
        <v>0</v>
      </c>
      <c r="O112" s="100">
        <f>VLOOKUP($B112,'[1]26MY_ODYSSEY_DATA'!$B:$AR,18,FALSE)</f>
        <v>0</v>
      </c>
      <c r="P112" s="100">
        <f>VLOOKUP($B112,'[1]26MY_ODYSSEY_DATA'!$B:$AR,19,FALSE)</f>
        <v>0</v>
      </c>
      <c r="Q112" s="101" t="str">
        <f>IF(VLOOKUP(B112,'[1]26MY_ODYSSEY_DATA'!B:AR,21,FALSE)="","",VLOOKUP(B112,'[1]26MY_ODYSSEY_DATA'!B:AR,21,FALSE))</f>
        <v>Garniture de portes avant et arrière.</v>
      </c>
    </row>
    <row r="113" spans="2:17" s="92" customFormat="1" ht="15" customHeight="1" x14ac:dyDescent="0.25">
      <c r="B113" s="90" t="s">
        <v>103</v>
      </c>
      <c r="C113" s="219" t="str">
        <f>VLOOKUP(B113,'[1]26MY_ODYSSEY_DATA'!B:AR,4,FALSE)</f>
        <v>Garniture lumineuse de bas de portière - Avant seulement</v>
      </c>
      <c r="D113" s="96" t="str">
        <f t="shared" si="13"/>
        <v>08E12-THR-100A</v>
      </c>
      <c r="E113" s="97">
        <f>VLOOKUP(B113,'[1]26MY_ODYSSEY_DATA'!B:AR,9,FALSE)</f>
        <v>19.989999999999998</v>
      </c>
      <c r="F113" s="97">
        <f>VLOOKUP(B113,'[1]26MY_ODYSSEY_DATA'!B:AR,10,FALSE)</f>
        <v>32.99</v>
      </c>
      <c r="G113" s="98">
        <f>VLOOKUP(B113,'[1]26MY_ODYSSEY_DATA'!B:AR,7,FALSE)</f>
        <v>0.8</v>
      </c>
      <c r="H113" s="99">
        <f>VLOOKUP(B113,'[1]26MY_ODYSSEY_DATA'!B:AR,11,FALSE)</f>
        <v>167.39000000000001</v>
      </c>
      <c r="I113" s="100">
        <f>VLOOKUP(B113,'[1]26MY_ODYSSEY_DATA'!B:AR,12,FALSE)</f>
        <v>0</v>
      </c>
      <c r="J113" s="100" t="str">
        <f>VLOOKUP(B113,'[1]26MY_ODYSSEY_DATA'!B:AR,13,FALSE)</f>
        <v>•</v>
      </c>
      <c r="K113" s="100" t="str">
        <f>VLOOKUP(B113,'[1]26MY_ODYSSEY_DATA'!B:AR,14,FALSE)</f>
        <v>•</v>
      </c>
      <c r="L113" s="100" t="str">
        <f>VLOOKUP(B113,'[1]26MY_ODYSSEY_DATA'!B:AR,15,FALSE)</f>
        <v>•</v>
      </c>
      <c r="M113" s="100" t="str">
        <f>VLOOKUP(B113,'[1]26MY_ODYSSEY_DATA'!B:AR,16,FALSE)</f>
        <v>•</v>
      </c>
      <c r="N113" s="100">
        <f>VLOOKUP($B113,'[1]26MY_ODYSSEY_DATA'!$B:$AR,17,FALSE)</f>
        <v>0</v>
      </c>
      <c r="O113" s="100">
        <f>VLOOKUP($B113,'[1]26MY_ODYSSEY_DATA'!$B:$AR,18,FALSE)</f>
        <v>0</v>
      </c>
      <c r="P113" s="100">
        <f>VLOOKUP($B113,'[1]26MY_ODYSSEY_DATA'!$B:$AR,19,FALSE)</f>
        <v>0</v>
      </c>
      <c r="Q113" s="101" t="str">
        <f>IF(VLOOKUP(B113,'[1]26MY_ODYSSEY_DATA'!B:AR,21,FALSE)="","",VLOOKUP(B113,'[1]26MY_ODYSSEY_DATA'!B:AR,21,FALSE))</f>
        <v>Garniture de portes avant.</v>
      </c>
    </row>
    <row r="114" spans="2:17" s="92" customFormat="1" ht="15" customHeight="1" x14ac:dyDescent="0.25">
      <c r="B114" s="90" t="s">
        <v>104</v>
      </c>
      <c r="C114" s="219" t="str">
        <f>VLOOKUP(B114,'[1]26MY_ODYSSEY_DATA'!B:AR,4,FALSE)</f>
        <v>Lumières d'amiance</v>
      </c>
      <c r="D114" s="96" t="str">
        <f t="shared" si="13"/>
        <v>08E10-THR-100</v>
      </c>
      <c r="E114" s="97">
        <f>VLOOKUP(B114,'[1]26MY_ODYSSEY_DATA'!B:AR,9,FALSE)</f>
        <v>98</v>
      </c>
      <c r="F114" s="97">
        <f>VLOOKUP(B114,'[1]26MY_ODYSSEY_DATA'!B:AR,10,FALSE)</f>
        <v>163</v>
      </c>
      <c r="G114" s="98">
        <f>VLOOKUP(B114,'[1]26MY_ODYSSEY_DATA'!B:AR,7,FALSE)</f>
        <v>0.8</v>
      </c>
      <c r="H114" s="99">
        <f>VLOOKUP(B114,'[1]26MY_ODYSSEY_DATA'!B:AR,11,FALSE)</f>
        <v>297.39999999999998</v>
      </c>
      <c r="I114" s="100">
        <f>VLOOKUP(B114,'[1]26MY_ODYSSEY_DATA'!B:AR,12,FALSE)</f>
        <v>0</v>
      </c>
      <c r="J114" s="100" t="str">
        <f>VLOOKUP(B114,'[1]26MY_ODYSSEY_DATA'!B:AR,13,FALSE)</f>
        <v>•</v>
      </c>
      <c r="K114" s="100" t="str">
        <f>VLOOKUP(B114,'[1]26MY_ODYSSEY_DATA'!B:AR,14,FALSE)</f>
        <v>•</v>
      </c>
      <c r="L114" s="100" t="str">
        <f>VLOOKUP(B114,'[1]26MY_ODYSSEY_DATA'!B:AR,15,FALSE)</f>
        <v>•</v>
      </c>
      <c r="M114" s="100" t="str">
        <f>VLOOKUP(B114,'[1]26MY_ODYSSEY_DATA'!B:AR,16,FALSE)</f>
        <v>•</v>
      </c>
      <c r="N114" s="100">
        <f>VLOOKUP($B114,'[1]26MY_ODYSSEY_DATA'!$B:$AR,17,FALSE)</f>
        <v>0</v>
      </c>
      <c r="O114" s="100">
        <f>VLOOKUP($B114,'[1]26MY_ODYSSEY_DATA'!$B:$AR,18,FALSE)</f>
        <v>0</v>
      </c>
      <c r="P114" s="100">
        <f>VLOOKUP($B114,'[1]26MY_ODYSSEY_DATA'!$B:$AR,19,FALSE)</f>
        <v>0</v>
      </c>
      <c r="Q114" s="101" t="str">
        <f>IF(VLOOKUP(B114,'[1]26MY_ODYSSEY_DATA'!B:AR,21,FALSE)="","",VLOOKUP(B114,'[1]26MY_ODYSSEY_DATA'!B:AR,21,FALSE))</f>
        <v/>
      </c>
    </row>
    <row r="115" spans="2:17" s="92" customFormat="1" ht="15" customHeight="1" x14ac:dyDescent="0.25">
      <c r="B115" s="90" t="s">
        <v>105</v>
      </c>
      <c r="C115" s="219" t="str">
        <f>VLOOKUP(B115,'[1]26MY_ODYSSEY_DATA'!B:AR,4,FALSE)</f>
        <v>Projecteurs de motifs</v>
      </c>
      <c r="D115" s="96" t="str">
        <f t="shared" si="13"/>
        <v>08V27-THR-100</v>
      </c>
      <c r="E115" s="97">
        <f>VLOOKUP(B115,'[1]26MY_ODYSSEY_DATA'!B:AR,9,FALSE)</f>
        <v>9.99</v>
      </c>
      <c r="F115" s="97">
        <f>VLOOKUP(B115,'[1]26MY_ODYSSEY_DATA'!B:AR,10,FALSE)</f>
        <v>16.989999999999998</v>
      </c>
      <c r="G115" s="98">
        <f>VLOOKUP(B115,'[1]26MY_ODYSSEY_DATA'!B:AR,7,FALSE)</f>
        <v>1.2</v>
      </c>
      <c r="H115" s="99">
        <f>VLOOKUP(B115,'[1]26MY_ODYSSEY_DATA'!B:AR,11,FALSE)</f>
        <v>218.59</v>
      </c>
      <c r="I115" s="100">
        <f>VLOOKUP(B115,'[1]26MY_ODYSSEY_DATA'!B:AR,12,FALSE)</f>
        <v>0</v>
      </c>
      <c r="J115" s="100" t="str">
        <f>VLOOKUP(B115,'[1]26MY_ODYSSEY_DATA'!B:AR,13,FALSE)</f>
        <v>•</v>
      </c>
      <c r="K115" s="100" t="str">
        <f>VLOOKUP(B115,'[1]26MY_ODYSSEY_DATA'!B:AR,14,FALSE)</f>
        <v>•</v>
      </c>
      <c r="L115" s="100" t="str">
        <f>VLOOKUP(B115,'[1]26MY_ODYSSEY_DATA'!B:AR,15,FALSE)</f>
        <v>•</v>
      </c>
      <c r="M115" s="100" t="str">
        <f>VLOOKUP(B115,'[1]26MY_ODYSSEY_DATA'!B:AR,16,FALSE)</f>
        <v>•</v>
      </c>
      <c r="N115" s="100">
        <f>VLOOKUP($B115,'[1]26MY_ODYSSEY_DATA'!$B:$AR,17,FALSE)</f>
        <v>0</v>
      </c>
      <c r="O115" s="100">
        <f>VLOOKUP($B115,'[1]26MY_ODYSSEY_DATA'!$B:$AR,18,FALSE)</f>
        <v>0</v>
      </c>
      <c r="P115" s="100">
        <f>VLOOKUP($B115,'[1]26MY_ODYSSEY_DATA'!$B:$AR,19,FALSE)</f>
        <v>0</v>
      </c>
      <c r="Q115" s="101" t="str">
        <f>IF(VLOOKUP(B115,'[1]26MY_ODYSSEY_DATA'!B:AR,21,FALSE)="","",VLOOKUP(B115,'[1]26MY_ODYSSEY_DATA'!B:AR,21,FALSE))</f>
        <v/>
      </c>
    </row>
    <row r="116" spans="2:17" s="92" customFormat="1" ht="15" customHeight="1" x14ac:dyDescent="0.25">
      <c r="B116" s="90" t="s">
        <v>106</v>
      </c>
      <c r="C116" s="219" t="str">
        <f>VLOOKUP(B116,'[1]26MY_ODYSSEY_DATA'!B:AR,4,FALSE)</f>
        <v>Lumières d’accueil</v>
      </c>
      <c r="D116" s="96" t="str">
        <f t="shared" si="13"/>
        <v>08V27-THR-100A</v>
      </c>
      <c r="E116" s="97">
        <f>VLOOKUP(B116,'[1]26MY_ODYSSEY_DATA'!B:AR,9,FALSE)</f>
        <v>263</v>
      </c>
      <c r="F116" s="97">
        <f>VLOOKUP(B116,'[1]26MY_ODYSSEY_DATA'!B:AR,10,FALSE)</f>
        <v>376</v>
      </c>
      <c r="G116" s="98">
        <f>VLOOKUP(B116,'[1]26MY_ODYSSEY_DATA'!B:AR,7,FALSE)</f>
        <v>2.5</v>
      </c>
      <c r="H116" s="99">
        <f>VLOOKUP(B116,'[1]26MY_ODYSSEY_DATA'!B:AR,11,FALSE)</f>
        <v>796</v>
      </c>
      <c r="I116" s="100">
        <f>VLOOKUP(B116,'[1]26MY_ODYSSEY_DATA'!B:AR,12,FALSE)</f>
        <v>0</v>
      </c>
      <c r="J116" s="100" t="str">
        <f>VLOOKUP(B116,'[1]26MY_ODYSSEY_DATA'!B:AR,13,FALSE)</f>
        <v>•</v>
      </c>
      <c r="K116" s="100" t="str">
        <f>VLOOKUP(B116,'[1]26MY_ODYSSEY_DATA'!B:AR,14,FALSE)</f>
        <v>•</v>
      </c>
      <c r="L116" s="100" t="str">
        <f>VLOOKUP(B116,'[1]26MY_ODYSSEY_DATA'!B:AR,15,FALSE)</f>
        <v>•</v>
      </c>
      <c r="M116" s="100" t="str">
        <f>VLOOKUP(B116,'[1]26MY_ODYSSEY_DATA'!B:AR,16,FALSE)</f>
        <v>•</v>
      </c>
      <c r="N116" s="100">
        <f>VLOOKUP($B116,'[1]26MY_ODYSSEY_DATA'!$B:$AR,17,FALSE)</f>
        <v>0</v>
      </c>
      <c r="O116" s="100">
        <f>VLOOKUP($B116,'[1]26MY_ODYSSEY_DATA'!$B:$AR,18,FALSE)</f>
        <v>0</v>
      </c>
      <c r="P116" s="100">
        <f>VLOOKUP($B116,'[1]26MY_ODYSSEY_DATA'!$B:$AR,19,FALSE)</f>
        <v>0</v>
      </c>
      <c r="Q116" s="101" t="str">
        <f>IF(VLOOKUP(B116,'[1]26MY_ODYSSEY_DATA'!B:AR,21,FALSE)="","",VLOOKUP(B116,'[1]26MY_ODYSSEY_DATA'!B:AR,21,FALSE))</f>
        <v/>
      </c>
    </row>
    <row r="117" spans="2:17" s="92" customFormat="1" ht="15" customHeight="1" x14ac:dyDescent="0.25">
      <c r="B117" s="90" t="s">
        <v>107</v>
      </c>
      <c r="C117" s="219" t="str">
        <f>VLOOKUP(B117,'[1]26MY_ODYSSEY_DATA'!B:AR,4,FALSE)</f>
        <v>Capteur de hayon électrique mains libres</v>
      </c>
      <c r="D117" s="96" t="str">
        <f t="shared" si="13"/>
        <v>08U59-THR-101</v>
      </c>
      <c r="E117" s="97">
        <f>VLOOKUP(B117,'[1]26MY_ODYSSEY_DATA'!B:AR,9,FALSE)</f>
        <v>273</v>
      </c>
      <c r="F117" s="97">
        <f>VLOOKUP(B117,'[1]26MY_ODYSSEY_DATA'!B:AR,10,FALSE)</f>
        <v>390</v>
      </c>
      <c r="G117" s="98">
        <f>VLOOKUP(B117,'[1]26MY_ODYSSEY_DATA'!B:AR,7,FALSE)</f>
        <v>0.2</v>
      </c>
      <c r="H117" s="99">
        <f>VLOOKUP(B117,'[1]26MY_ODYSSEY_DATA'!B:AR,11,FALSE)</f>
        <v>423.6</v>
      </c>
      <c r="I117" s="100">
        <f>VLOOKUP(B117,'[1]26MY_ODYSSEY_DATA'!B:AR,12,FALSE)</f>
        <v>0</v>
      </c>
      <c r="J117" s="100" t="str">
        <f>VLOOKUP(B117,'[1]26MY_ODYSSEY_DATA'!B:AR,13,FALSE)</f>
        <v>•</v>
      </c>
      <c r="K117" s="100" t="str">
        <f>VLOOKUP(B117,'[1]26MY_ODYSSEY_DATA'!B:AR,14,FALSE)</f>
        <v>•</v>
      </c>
      <c r="L117" s="100" t="str">
        <f>VLOOKUP(B117,'[1]26MY_ODYSSEY_DATA'!B:AR,15,FALSE)</f>
        <v>S</v>
      </c>
      <c r="M117" s="100" t="str">
        <f>VLOOKUP(B117,'[1]26MY_ODYSSEY_DATA'!B:AR,16,FALSE)</f>
        <v>S</v>
      </c>
      <c r="N117" s="100">
        <f>VLOOKUP($B117,'[1]26MY_ODYSSEY_DATA'!$B:$AR,17,FALSE)</f>
        <v>0</v>
      </c>
      <c r="O117" s="100">
        <f>VLOOKUP($B117,'[1]26MY_ODYSSEY_DATA'!$B:$AR,18,FALSE)</f>
        <v>0</v>
      </c>
      <c r="P117" s="100">
        <f>VLOOKUP($B117,'[1]26MY_ODYSSEY_DATA'!$B:$AR,19,FALSE)</f>
        <v>0</v>
      </c>
      <c r="Q117" s="101" t="str">
        <f>IF(VLOOKUP(B117,'[1]26MY_ODYSSEY_DATA'!B:AR,21,FALSE)="","",VLOOKUP(B117,'[1]26MY_ODYSSEY_DATA'!B:AR,21,FALSE))</f>
        <v>Nécessite un capteur et un accessoire.</v>
      </c>
    </row>
    <row r="118" spans="2:17" s="92" customFormat="1" ht="15" customHeight="1" x14ac:dyDescent="0.25">
      <c r="B118" s="90" t="s">
        <v>108</v>
      </c>
      <c r="C118" s="219" t="str">
        <f>VLOOKUP(B118,'[1]26MY_ODYSSEY_DATA'!B:AR,4,FALSE)</f>
        <v>Fixation du capteur de hayon électrique mains libres</v>
      </c>
      <c r="D118" s="96" t="str">
        <f t="shared" si="13"/>
        <v>08U59-THR-300A</v>
      </c>
      <c r="E118" s="97">
        <f>VLOOKUP(B118,'[1]26MY_ODYSSEY_DATA'!B:AR,9,FALSE)</f>
        <v>126</v>
      </c>
      <c r="F118" s="97">
        <f>VLOOKUP(B118,'[1]26MY_ODYSSEY_DATA'!B:AR,10,FALSE)</f>
        <v>210</v>
      </c>
      <c r="G118" s="98">
        <f>VLOOKUP(B118,'[1]26MY_ODYSSEY_DATA'!B:AR,7,FALSE)</f>
        <v>1.2</v>
      </c>
      <c r="H118" s="99">
        <f>VLOOKUP(B118,'[1]26MY_ODYSSEY_DATA'!B:AR,11,FALSE)</f>
        <v>411.6</v>
      </c>
      <c r="I118" s="100">
        <f>VLOOKUP(B118,'[1]26MY_ODYSSEY_DATA'!B:AR,12,FALSE)</f>
        <v>0</v>
      </c>
      <c r="J118" s="100" t="str">
        <f>VLOOKUP(B118,'[1]26MY_ODYSSEY_DATA'!B:AR,13,FALSE)</f>
        <v>•</v>
      </c>
      <c r="K118" s="100" t="str">
        <f>VLOOKUP(B118,'[1]26MY_ODYSSEY_DATA'!B:AR,14,FALSE)</f>
        <v>•</v>
      </c>
      <c r="L118" s="100" t="str">
        <f>VLOOKUP(B118,'[1]26MY_ODYSSEY_DATA'!B:AR,15,FALSE)</f>
        <v>S</v>
      </c>
      <c r="M118" s="100" t="str">
        <f>VLOOKUP(B118,'[1]26MY_ODYSSEY_DATA'!B:AR,16,FALSE)</f>
        <v>S</v>
      </c>
      <c r="N118" s="100">
        <f>VLOOKUP($B118,'[1]26MY_ODYSSEY_DATA'!$B:$AR,17,FALSE)</f>
        <v>0</v>
      </c>
      <c r="O118" s="100">
        <f>VLOOKUP($B118,'[1]26MY_ODYSSEY_DATA'!$B:$AR,18,FALSE)</f>
        <v>0</v>
      </c>
      <c r="P118" s="100">
        <f>VLOOKUP($B118,'[1]26MY_ODYSSEY_DATA'!$B:$AR,19,FALSE)</f>
        <v>0</v>
      </c>
      <c r="Q118" s="101" t="str">
        <f>IF(VLOOKUP(B118,'[1]26MY_ODYSSEY_DATA'!B:AR,21,FALSE)="","",VLOOKUP(B118,'[1]26MY_ODYSSEY_DATA'!B:AR,21,FALSE))</f>
        <v>Nécessite un capteur et un accessoire.</v>
      </c>
    </row>
    <row r="119" spans="2:17" s="92" customFormat="1" ht="15" customHeight="1" x14ac:dyDescent="0.25">
      <c r="B119" s="90" t="s">
        <v>50</v>
      </c>
      <c r="C119" s="219" t="str">
        <f>VLOOKUP(B119,'[1]26MY_ODYSSEY_DATA'!B:AR,4,FALSE)</f>
        <v>Adaptateur de capteur de hayon électrique mains libres</v>
      </c>
      <c r="D119" s="96" t="str">
        <f t="shared" si="13"/>
        <v>08L91-THR-300A</v>
      </c>
      <c r="E119" s="97">
        <f>VLOOKUP(B119,'[1]26MY_ODYSSEY_DATA'!B:AR,9,FALSE)</f>
        <v>238</v>
      </c>
      <c r="F119" s="97">
        <f>VLOOKUP(B119,'[1]26MY_ODYSSEY_DATA'!B:AR,10,FALSE)</f>
        <v>397</v>
      </c>
      <c r="G119" s="98">
        <f>VLOOKUP(B119,'[1]26MY_ODYSSEY_DATA'!B:AR,7,FALSE)</f>
        <v>0.2</v>
      </c>
      <c r="H119" s="99">
        <f>VLOOKUP(B119,'[1]26MY_ODYSSEY_DATA'!B:AR,11,FALSE)</f>
        <v>430.6</v>
      </c>
      <c r="I119" s="100">
        <f>VLOOKUP(B119,'[1]26MY_ODYSSEY_DATA'!B:AR,12,FALSE)</f>
        <v>0</v>
      </c>
      <c r="J119" s="100" t="str">
        <f>VLOOKUP(B119,'[1]26MY_ODYSSEY_DATA'!B:AR,13,FALSE)</f>
        <v>•</v>
      </c>
      <c r="K119" s="100" t="str">
        <f>VLOOKUP(B119,'[1]26MY_ODYSSEY_DATA'!B:AR,14,FALSE)</f>
        <v>•</v>
      </c>
      <c r="L119" s="100" t="str">
        <f>VLOOKUP(B119,'[1]26MY_ODYSSEY_DATA'!B:AR,15,FALSE)</f>
        <v>•</v>
      </c>
      <c r="M119" s="100" t="str">
        <f>VLOOKUP(B119,'[1]26MY_ODYSSEY_DATA'!B:AR,16,FALSE)</f>
        <v>•</v>
      </c>
      <c r="N119" s="100">
        <f>VLOOKUP($B119,'[1]26MY_ODYSSEY_DATA'!$B:$AR,17,FALSE)</f>
        <v>0</v>
      </c>
      <c r="O119" s="100">
        <f>VLOOKUP($B119,'[1]26MY_ODYSSEY_DATA'!$B:$AR,18,FALSE)</f>
        <v>0</v>
      </c>
      <c r="P119" s="100">
        <f>VLOOKUP($B119,'[1]26MY_ODYSSEY_DATA'!$B:$AR,19,FALSE)</f>
        <v>0</v>
      </c>
      <c r="Q119" s="101" t="str">
        <f>IF(VLOOKUP(B119,'[1]26MY_ODYSSEY_DATA'!B:AR,21,FALSE)="","",VLOOKUP(B119,'[1]26MY_ODYSSEY_DATA'!B:AR,21,FALSE))</f>
        <v/>
      </c>
    </row>
    <row r="120" spans="2:17" s="92" customFormat="1" ht="15" customHeight="1" x14ac:dyDescent="0.25">
      <c r="B120" s="90" t="s">
        <v>42</v>
      </c>
      <c r="C120" s="219" t="str">
        <f>VLOOKUP(B120,'[1]26MY_ODYSSEY_DATA'!B:AR,4,FALSE)</f>
        <v xml:space="preserve">Chauffe-moteur   </v>
      </c>
      <c r="D120" s="96" t="str">
        <f t="shared" si="13"/>
        <v>08T44-SJA-401A</v>
      </c>
      <c r="E120" s="97">
        <f>VLOOKUP(B120,'[1]26MY_ODYSSEY_DATA'!B:AR,9,FALSE)</f>
        <v>145</v>
      </c>
      <c r="F120" s="97">
        <f>VLOOKUP(B120,'[1]26MY_ODYSSEY_DATA'!B:AR,10,FALSE)</f>
        <v>242</v>
      </c>
      <c r="G120" s="98">
        <f>VLOOKUP(B120,'[1]26MY_ODYSSEY_DATA'!B:AR,7,FALSE)</f>
        <v>1.4</v>
      </c>
      <c r="H120" s="99">
        <f>VLOOKUP(B120,'[1]26MY_ODYSSEY_DATA'!B:AR,11,FALSE)</f>
        <v>477.2</v>
      </c>
      <c r="I120" s="100">
        <f>VLOOKUP(B120,'[1]26MY_ODYSSEY_DATA'!B:AR,12,FALSE)</f>
        <v>0</v>
      </c>
      <c r="J120" s="100" t="str">
        <f>VLOOKUP(B120,'[1]26MY_ODYSSEY_DATA'!B:AR,13,FALSE)</f>
        <v>•</v>
      </c>
      <c r="K120" s="100" t="str">
        <f>VLOOKUP(B120,'[1]26MY_ODYSSEY_DATA'!B:AR,14,FALSE)</f>
        <v>•</v>
      </c>
      <c r="L120" s="100" t="str">
        <f>VLOOKUP(B120,'[1]26MY_ODYSSEY_DATA'!B:AR,15,FALSE)</f>
        <v>•</v>
      </c>
      <c r="M120" s="100" t="str">
        <f>VLOOKUP(B120,'[1]26MY_ODYSSEY_DATA'!B:AR,16,FALSE)</f>
        <v>•</v>
      </c>
      <c r="N120" s="100">
        <f>VLOOKUP($B120,'[1]26MY_ODYSSEY_DATA'!$B:$AR,17,FALSE)</f>
        <v>0</v>
      </c>
      <c r="O120" s="100">
        <f>VLOOKUP($B120,'[1]26MY_ODYSSEY_DATA'!$B:$AR,18,FALSE)</f>
        <v>0</v>
      </c>
      <c r="P120" s="100">
        <f>VLOOKUP($B120,'[1]26MY_ODYSSEY_DATA'!$B:$AR,19,FALSE)</f>
        <v>0</v>
      </c>
      <c r="Q120" s="101" t="str">
        <f>IF(VLOOKUP(B120,'[1]26MY_ODYSSEY_DATA'!B:AR,21,FALSE)="","",VLOOKUP(B120,'[1]26MY_ODYSSEY_DATA'!B:AR,21,FALSE))</f>
        <v/>
      </c>
    </row>
    <row r="121" spans="2:17" s="92" customFormat="1" ht="15" customHeight="1" x14ac:dyDescent="0.25">
      <c r="B121" s="90" t="s">
        <v>43</v>
      </c>
      <c r="C121" s="219" t="str">
        <f>VLOOKUP(B121,'[1]26MY_ODYSSEY_DATA'!B:AR,4,FALSE)</f>
        <v>Chargeur/mainteneur de charge de batterie automobile 12 V</v>
      </c>
      <c r="D121" s="96" t="str">
        <f t="shared" si="13"/>
        <v>31670-BMS-004H</v>
      </c>
      <c r="E121" s="97">
        <f>VLOOKUP(B121,'[1]26MY_ODYSSEY_DATA'!B:AR,9,FALSE)</f>
        <v>91</v>
      </c>
      <c r="F121" s="97">
        <f>VLOOKUP(B121,'[1]26MY_ODYSSEY_DATA'!B:AR,10,FALSE)</f>
        <v>152</v>
      </c>
      <c r="G121" s="98">
        <f>VLOOKUP(B121,'[1]26MY_ODYSSEY_DATA'!B:AR,7,FALSE)</f>
        <v>0</v>
      </c>
      <c r="H121" s="99">
        <f>VLOOKUP(B121,'[1]26MY_ODYSSEY_DATA'!B:AR,11,FALSE)</f>
        <v>152</v>
      </c>
      <c r="I121" s="100">
        <f>VLOOKUP(B121,'[1]26MY_ODYSSEY_DATA'!B:AR,12,FALSE)</f>
        <v>0</v>
      </c>
      <c r="J121" s="100" t="str">
        <f>VLOOKUP(B121,'[1]26MY_ODYSSEY_DATA'!B:AR,13,FALSE)</f>
        <v>•</v>
      </c>
      <c r="K121" s="100" t="str">
        <f>VLOOKUP(B121,'[1]26MY_ODYSSEY_DATA'!B:AR,14,FALSE)</f>
        <v>•</v>
      </c>
      <c r="L121" s="100" t="str">
        <f>VLOOKUP(B121,'[1]26MY_ODYSSEY_DATA'!B:AR,15,FALSE)</f>
        <v>•</v>
      </c>
      <c r="M121" s="100" t="str">
        <f>VLOOKUP(B121,'[1]26MY_ODYSSEY_DATA'!B:AR,16,FALSE)</f>
        <v>•</v>
      </c>
      <c r="N121" s="100">
        <f>VLOOKUP($B121,'[1]26MY_ODYSSEY_DATA'!$B:$AR,17,FALSE)</f>
        <v>0</v>
      </c>
      <c r="O121" s="100">
        <f>VLOOKUP($B121,'[1]26MY_ODYSSEY_DATA'!$B:$AR,18,FALSE)</f>
        <v>0</v>
      </c>
      <c r="P121" s="100">
        <f>VLOOKUP($B121,'[1]26MY_ODYSSEY_DATA'!$B:$AR,19,FALSE)</f>
        <v>0</v>
      </c>
      <c r="Q121" s="101" t="str">
        <f>IF(VLOOKUP(B121,'[1]26MY_ODYSSEY_DATA'!B:AR,21,FALSE)="","",VLOOKUP(B121,'[1]26MY_ODYSSEY_DATA'!B:AR,21,FALSE))</f>
        <v/>
      </c>
    </row>
    <row r="122" spans="2:17" s="92" customFormat="1" ht="15" customHeight="1" x14ac:dyDescent="0.25">
      <c r="B122" s="90" t="s">
        <v>109</v>
      </c>
      <c r="C122" s="219" t="str">
        <f>VLOOKUP(B122,'[1]26MY_ODYSSEY_DATA'!B:AR,4,FALSE)</f>
        <v>Câble de batterie</v>
      </c>
      <c r="D122" s="96" t="str">
        <f t="shared" si="13"/>
        <v>31670-BMS-LEAD</v>
      </c>
      <c r="E122" s="97">
        <f>VLOOKUP(B122,'[1]26MY_ODYSSEY_DATA'!B:AR,9,FALSE)</f>
        <v>18.63</v>
      </c>
      <c r="F122" s="97">
        <f>VLOOKUP(B122,'[1]26MY_ODYSSEY_DATA'!B:AR,10,FALSE)</f>
        <v>26.91</v>
      </c>
      <c r="G122" s="98">
        <f>VLOOKUP(B122,'[1]26MY_ODYSSEY_DATA'!B:AR,7,FALSE)</f>
        <v>0</v>
      </c>
      <c r="H122" s="99">
        <f>VLOOKUP(B122,'[1]26MY_ODYSSEY_DATA'!B:AR,11,FALSE)</f>
        <v>26.91</v>
      </c>
      <c r="I122" s="100">
        <f>VLOOKUP(B122,'[1]26MY_ODYSSEY_DATA'!B:AR,12,FALSE)</f>
        <v>0</v>
      </c>
      <c r="J122" s="100" t="str">
        <f>VLOOKUP(B122,'[1]26MY_ODYSSEY_DATA'!B:AR,13,FALSE)</f>
        <v>•</v>
      </c>
      <c r="K122" s="100" t="str">
        <f>VLOOKUP(B122,'[1]26MY_ODYSSEY_DATA'!B:AR,14,FALSE)</f>
        <v>•</v>
      </c>
      <c r="L122" s="100" t="str">
        <f>VLOOKUP(B122,'[1]26MY_ODYSSEY_DATA'!B:AR,15,FALSE)</f>
        <v>•</v>
      </c>
      <c r="M122" s="100" t="str">
        <f>VLOOKUP(B122,'[1]26MY_ODYSSEY_DATA'!B:AR,16,FALSE)</f>
        <v>•</v>
      </c>
      <c r="N122" s="100">
        <f>VLOOKUP($B122,'[1]26MY_ODYSSEY_DATA'!$B:$AR,17,FALSE)</f>
        <v>0</v>
      </c>
      <c r="O122" s="100">
        <f>VLOOKUP($B122,'[1]26MY_ODYSSEY_DATA'!$B:$AR,18,FALSE)</f>
        <v>0</v>
      </c>
      <c r="P122" s="100">
        <f>VLOOKUP($B122,'[1]26MY_ODYSSEY_DATA'!$B:$AR,19,FALSE)</f>
        <v>0</v>
      </c>
      <c r="Q122" s="101" t="str">
        <f>IF(VLOOKUP(B122,'[1]26MY_ODYSSEY_DATA'!B:AR,21,FALSE)="","",VLOOKUP(B122,'[1]26MY_ODYSSEY_DATA'!B:AR,21,FALSE))</f>
        <v/>
      </c>
    </row>
    <row r="123" spans="2:17" s="92" customFormat="1" ht="15" customHeight="1" x14ac:dyDescent="0.25">
      <c r="B123" s="90"/>
      <c r="C123" s="129"/>
      <c r="D123" s="130"/>
      <c r="E123" s="49"/>
      <c r="F123" s="49"/>
      <c r="G123" s="131"/>
      <c r="H123" s="49"/>
      <c r="I123" s="49"/>
      <c r="J123" s="49"/>
      <c r="K123" s="93"/>
      <c r="L123" s="49"/>
      <c r="M123" s="49"/>
      <c r="N123" s="49"/>
      <c r="O123" s="49"/>
      <c r="P123" s="49"/>
      <c r="Q123" s="91"/>
    </row>
    <row r="124" spans="2:17" s="65" customFormat="1" ht="18.75" x14ac:dyDescent="0.3">
      <c r="B124" s="90"/>
      <c r="C124" s="47" t="s">
        <v>156</v>
      </c>
      <c r="D124" s="47"/>
      <c r="E124" s="93"/>
      <c r="F124" s="93"/>
      <c r="G124" s="93"/>
      <c r="H124" s="93"/>
      <c r="I124" s="93"/>
      <c r="J124" s="93"/>
      <c r="L124" s="93"/>
      <c r="M124" s="93"/>
      <c r="N124" s="93"/>
      <c r="O124" s="93"/>
      <c r="P124" s="93"/>
      <c r="Q124" s="93"/>
    </row>
    <row r="125" spans="2:17" s="75" customFormat="1" ht="15" customHeight="1" x14ac:dyDescent="0.25">
      <c r="B125" s="94"/>
      <c r="C125" s="53" t="s">
        <v>141</v>
      </c>
      <c r="D125" s="53" t="s">
        <v>142</v>
      </c>
      <c r="E125" s="53" t="s">
        <v>143</v>
      </c>
      <c r="F125" s="53" t="s">
        <v>144</v>
      </c>
      <c r="G125" s="53" t="s">
        <v>145</v>
      </c>
      <c r="H125" s="54" t="s">
        <v>146</v>
      </c>
      <c r="I125" s="53" t="s">
        <v>33</v>
      </c>
      <c r="J125" s="53"/>
      <c r="K125" s="53"/>
      <c r="L125" s="53"/>
      <c r="M125" s="53"/>
      <c r="N125" s="53"/>
      <c r="O125" s="53"/>
      <c r="P125" s="53"/>
      <c r="Q125" s="53" t="s">
        <v>147</v>
      </c>
    </row>
    <row r="126" spans="2:17" s="75" customFormat="1" ht="30" x14ac:dyDescent="0.25">
      <c r="B126" s="94"/>
      <c r="C126" s="53"/>
      <c r="D126" s="53"/>
      <c r="E126" s="53"/>
      <c r="F126" s="53"/>
      <c r="G126" s="53"/>
      <c r="H126" s="54"/>
      <c r="I126" s="55">
        <f>'[1]26MY_ODYSSEY_DATA'!M$6</f>
        <v>0</v>
      </c>
      <c r="J126" s="55" t="str">
        <f>'[1]26MY_ODYSSEY_DATA'!N$6</f>
        <v>Sport</v>
      </c>
      <c r="K126" s="55" t="str">
        <f>'[1]26MY_ODYSSEY_DATA'!O$6</f>
        <v>Sport-L</v>
      </c>
      <c r="L126" s="55" t="str">
        <f>'[1]26MY_ODYSSEY_DATA'!P$6</f>
        <v>Touring</v>
      </c>
      <c r="M126" s="55" t="str">
        <f>'[1]26MY_ODYSSEY_DATA'!Q$6</f>
        <v>Black Edition</v>
      </c>
      <c r="N126" s="55">
        <f>'[1]26MY_ODYSSEY_DATA'!R$6</f>
        <v>0</v>
      </c>
      <c r="O126" s="55">
        <f>'[1]26MY_ODYSSEY_DATA'!S$6</f>
        <v>0</v>
      </c>
      <c r="P126" s="55">
        <f>'[1]26MY_ODYSSEY_DATA'!T$6</f>
        <v>0</v>
      </c>
      <c r="Q126" s="53"/>
    </row>
    <row r="127" spans="2:17" s="92" customFormat="1" ht="15" customHeight="1" x14ac:dyDescent="0.25">
      <c r="B127" s="90" t="s">
        <v>111</v>
      </c>
      <c r="C127" s="219" t="str">
        <f>VLOOKUP(B127,'[1]26MY_ODYSSEY_DATA'!B:AR,4,FALSE)</f>
        <v>Blanc platine nacré (NH-883P)</v>
      </c>
      <c r="D127" s="96" t="str">
        <f t="shared" ref="D127:D132" si="14">B127</f>
        <v>TUCH-NH883P-A1</v>
      </c>
      <c r="E127" s="59">
        <f>VLOOKUP(B127,'[1]26MY_ODYSSEY_DATA'!B:AR,9,FALSE)</f>
        <v>13</v>
      </c>
      <c r="F127" s="59">
        <f>VLOOKUP(B127,'[1]26MY_ODYSSEY_DATA'!B:AR,10,FALSE)</f>
        <v>21.5</v>
      </c>
      <c r="G127" s="60">
        <f>VLOOKUP(B127,'[1]26MY_ODYSSEY_DATA'!B:AR,7,FALSE)</f>
        <v>0</v>
      </c>
      <c r="H127" s="61">
        <f>VLOOKUP(B127,'[1]26MY_ODYSSEY_DATA'!B:AR,11,FALSE)</f>
        <v>21.5</v>
      </c>
      <c r="I127" s="100">
        <f>VLOOKUP(B127,'[1]26MY_ODYSSEY_DATA'!B:AR,12,FALSE)</f>
        <v>0</v>
      </c>
      <c r="J127" s="100" t="str">
        <f>VLOOKUP(B127,'[1]26MY_ODYSSEY_DATA'!B:AR,13,FALSE)</f>
        <v>•</v>
      </c>
      <c r="K127" s="100" t="str">
        <f>VLOOKUP(B127,'[1]26MY_ODYSSEY_DATA'!B:AR,14,FALSE)</f>
        <v>•</v>
      </c>
      <c r="L127" s="100" t="str">
        <f>VLOOKUP(B127,'[1]26MY_ODYSSEY_DATA'!B:AR,15,FALSE)</f>
        <v>•</v>
      </c>
      <c r="M127" s="100" t="str">
        <f>VLOOKUP(B127,'[1]26MY_ODYSSEY_DATA'!B:AR,16,FALSE)</f>
        <v>•</v>
      </c>
      <c r="N127" s="100">
        <f>VLOOKUP($B127,'[1]26MY_ODYSSEY_DATA'!$B:$AR,17,FALSE)</f>
        <v>0</v>
      </c>
      <c r="O127" s="100">
        <f>VLOOKUP($B127,'[1]26MY_ODYSSEY_DATA'!$B:$AR,18,FALSE)</f>
        <v>0</v>
      </c>
      <c r="P127" s="100">
        <f>VLOOKUP($B127,'[1]26MY_ODYSSEY_DATA'!$B:$AR,19,FALSE)</f>
        <v>0</v>
      </c>
      <c r="Q127" s="63" t="str">
        <f>IF(VLOOKUP(B127,'[1]26MY_ODYSSEY_DATA'!B:AR,21,FALSE)="","",VLOOKUP(B127,'[1]26MY_ODYSSEY_DATA'!B:AR,21,FALSE))</f>
        <v/>
      </c>
    </row>
    <row r="128" spans="2:17" s="92" customFormat="1" ht="15" customHeight="1" x14ac:dyDescent="0.25">
      <c r="B128" s="90" t="s">
        <v>112</v>
      </c>
      <c r="C128" s="219" t="str">
        <f>VLOOKUP(B128,'[1]26MY_ODYSSEY_DATA'!B:AR,4,FALSE)</f>
        <v>Noir cristal nacré (NH-731P)</v>
      </c>
      <c r="D128" s="96" t="str">
        <f t="shared" si="14"/>
        <v>TUCH-NH731P-A1</v>
      </c>
      <c r="E128" s="69"/>
      <c r="F128" s="69"/>
      <c r="G128" s="70"/>
      <c r="H128" s="71"/>
      <c r="I128" s="100">
        <f>VLOOKUP(B128,'[1]26MY_ODYSSEY_DATA'!B:AR,12,FALSE)</f>
        <v>0</v>
      </c>
      <c r="J128" s="100" t="str">
        <f>VLOOKUP(B128,'[1]26MY_ODYSSEY_DATA'!B:AR,13,FALSE)</f>
        <v>•</v>
      </c>
      <c r="K128" s="100" t="str">
        <f>VLOOKUP(B128,'[1]26MY_ODYSSEY_DATA'!B:AR,14,FALSE)</f>
        <v>•</v>
      </c>
      <c r="L128" s="100" t="str">
        <f>VLOOKUP(B128,'[1]26MY_ODYSSEY_DATA'!B:AR,15,FALSE)</f>
        <v>N/A</v>
      </c>
      <c r="M128" s="100" t="str">
        <f>VLOOKUP(B128,'[1]26MY_ODYSSEY_DATA'!B:AR,16,FALSE)</f>
        <v>•</v>
      </c>
      <c r="N128" s="100">
        <f>VLOOKUP($B128,'[1]26MY_ODYSSEY_DATA'!$B:$AR,17,FALSE)</f>
        <v>0</v>
      </c>
      <c r="O128" s="100">
        <f>VLOOKUP($B128,'[1]26MY_ODYSSEY_DATA'!$B:$AR,18,FALSE)</f>
        <v>0</v>
      </c>
      <c r="P128" s="100">
        <f>VLOOKUP($B128,'[1]26MY_ODYSSEY_DATA'!$B:$AR,19,FALSE)</f>
        <v>0</v>
      </c>
      <c r="Q128" s="73"/>
    </row>
    <row r="129" spans="2:17" s="92" customFormat="1" ht="15" customHeight="1" x14ac:dyDescent="0.25">
      <c r="B129" s="90" t="s">
        <v>113</v>
      </c>
      <c r="C129" s="219" t="str">
        <f>VLOOKUP(B129,'[1]26MY_ODYSSEY_DATA'!B:AR,4,FALSE)</f>
        <v>Acier moderne métallisé (NH-797M)</v>
      </c>
      <c r="D129" s="96" t="str">
        <f t="shared" si="14"/>
        <v>TUCH-NH797M-A1</v>
      </c>
      <c r="E129" s="69"/>
      <c r="F129" s="69"/>
      <c r="G129" s="70"/>
      <c r="H129" s="71"/>
      <c r="I129" s="100">
        <f>VLOOKUP(B129,'[1]26MY_ODYSSEY_DATA'!B:AR,12,FALSE)</f>
        <v>0</v>
      </c>
      <c r="J129" s="100" t="str">
        <f>VLOOKUP(B129,'[1]26MY_ODYSSEY_DATA'!B:AR,13,FALSE)</f>
        <v>N/A</v>
      </c>
      <c r="K129" s="100" t="str">
        <f>VLOOKUP(B129,'[1]26MY_ODYSSEY_DATA'!B:AR,14,FALSE)</f>
        <v>•</v>
      </c>
      <c r="L129" s="100" t="str">
        <f>VLOOKUP(B129,'[1]26MY_ODYSSEY_DATA'!B:AR,15,FALSE)</f>
        <v>•</v>
      </c>
      <c r="M129" s="100" t="str">
        <f>VLOOKUP(B129,'[1]26MY_ODYSSEY_DATA'!B:AR,16,FALSE)</f>
        <v>N/A</v>
      </c>
      <c r="N129" s="100">
        <f>VLOOKUP($B129,'[1]26MY_ODYSSEY_DATA'!$B:$AR,17,FALSE)</f>
        <v>0</v>
      </c>
      <c r="O129" s="100">
        <f>VLOOKUP($B129,'[1]26MY_ODYSSEY_DATA'!$B:$AR,18,FALSE)</f>
        <v>0</v>
      </c>
      <c r="P129" s="100">
        <f>VLOOKUP($B129,'[1]26MY_ODYSSEY_DATA'!$B:$AR,19,FALSE)</f>
        <v>0</v>
      </c>
      <c r="Q129" s="73"/>
    </row>
    <row r="130" spans="2:17" s="92" customFormat="1" ht="15" customHeight="1" x14ac:dyDescent="0.25">
      <c r="B130" s="90" t="s">
        <v>114</v>
      </c>
      <c r="C130" s="219" t="str">
        <f>VLOOKUP(B130,'[1]26MY_ODYSSEY_DATA'!B:AR,4,FALSE)</f>
        <v>Gris sonique nacré (NH-877P)</v>
      </c>
      <c r="D130" s="96" t="str">
        <f t="shared" si="14"/>
        <v>TUCH-NH877P-A1</v>
      </c>
      <c r="E130" s="69"/>
      <c r="F130" s="69"/>
      <c r="G130" s="70"/>
      <c r="H130" s="71"/>
      <c r="I130" s="100">
        <f>VLOOKUP(B130,'[1]26MY_ODYSSEY_DATA'!B:AR,12,FALSE)</f>
        <v>0</v>
      </c>
      <c r="J130" s="100" t="str">
        <f>VLOOKUP(B130,'[1]26MY_ODYSSEY_DATA'!B:AR,13,FALSE)</f>
        <v>N/A</v>
      </c>
      <c r="K130" s="100" t="str">
        <f>VLOOKUP(B130,'[1]26MY_ODYSSEY_DATA'!B:AR,14,FALSE)</f>
        <v>N/A</v>
      </c>
      <c r="L130" s="100" t="str">
        <f>VLOOKUP(B130,'[1]26MY_ODYSSEY_DATA'!B:AR,15,FALSE)</f>
        <v>•</v>
      </c>
      <c r="M130" s="100" t="str">
        <f>VLOOKUP(B130,'[1]26MY_ODYSSEY_DATA'!B:AR,16,FALSE)</f>
        <v>•</v>
      </c>
      <c r="N130" s="100">
        <f>VLOOKUP($B130,'[1]26MY_ODYSSEY_DATA'!$B:$AR,17,FALSE)</f>
        <v>0</v>
      </c>
      <c r="O130" s="100">
        <f>VLOOKUP($B130,'[1]26MY_ODYSSEY_DATA'!$B:$AR,18,FALSE)</f>
        <v>0</v>
      </c>
      <c r="P130" s="100">
        <f>VLOOKUP($B130,'[1]26MY_ODYSSEY_DATA'!$B:$AR,19,FALSE)</f>
        <v>0</v>
      </c>
      <c r="Q130" s="73"/>
    </row>
    <row r="131" spans="2:17" s="92" customFormat="1" ht="15" customHeight="1" x14ac:dyDescent="0.25">
      <c r="B131" s="90" t="s">
        <v>115</v>
      </c>
      <c r="C131" s="219" t="str">
        <f>VLOOKUP(B131,'[1]26MY_ODYSSEY_DATA'!B:AR,4,FALSE)</f>
        <v>Radiant rouge métallisé II (R-580M)</v>
      </c>
      <c r="D131" s="96" t="str">
        <f t="shared" si="14"/>
        <v>TUCH-R580M-A1</v>
      </c>
      <c r="E131" s="69"/>
      <c r="F131" s="69"/>
      <c r="G131" s="70"/>
      <c r="H131" s="71"/>
      <c r="I131" s="100">
        <f>VLOOKUP(B131,'[1]26MY_ODYSSEY_DATA'!B:AR,12,FALSE)</f>
        <v>0</v>
      </c>
      <c r="J131" s="100" t="str">
        <f>VLOOKUP(B131,'[1]26MY_ODYSSEY_DATA'!B:AR,13,FALSE)</f>
        <v>N/A</v>
      </c>
      <c r="K131" s="100" t="str">
        <f>VLOOKUP(B131,'[1]26MY_ODYSSEY_DATA'!B:AR,14,FALSE)</f>
        <v>N/A</v>
      </c>
      <c r="L131" s="100" t="str">
        <f>VLOOKUP(B131,'[1]26MY_ODYSSEY_DATA'!B:AR,15,FALSE)</f>
        <v>N/A</v>
      </c>
      <c r="M131" s="100" t="str">
        <f>VLOOKUP(B131,'[1]26MY_ODYSSEY_DATA'!B:AR,16,FALSE)</f>
        <v>•</v>
      </c>
      <c r="N131" s="100">
        <f>VLOOKUP($B131,'[1]26MY_ODYSSEY_DATA'!$B:$AR,17,FALSE)</f>
        <v>0</v>
      </c>
      <c r="O131" s="100">
        <f>VLOOKUP($B131,'[1]26MY_ODYSSEY_DATA'!$B:$AR,18,FALSE)</f>
        <v>0</v>
      </c>
      <c r="P131" s="100">
        <f>VLOOKUP($B131,'[1]26MY_ODYSSEY_DATA'!$B:$AR,19,FALSE)</f>
        <v>0</v>
      </c>
      <c r="Q131" s="73"/>
    </row>
    <row r="132" spans="2:17" s="92" customFormat="1" ht="15" customHeight="1" x14ac:dyDescent="0.25">
      <c r="B132" s="90" t="s">
        <v>116</v>
      </c>
      <c r="C132" s="219" t="str">
        <f>VLOOKUP(B132,'[1]26MY_ODYSSEY_DATA'!B:AR,4,FALSE)</f>
        <v>Refl et solaire argent métallisé (NH-932M)</v>
      </c>
      <c r="D132" s="96" t="str">
        <f t="shared" si="14"/>
        <v>TUCH-NH932M-A1</v>
      </c>
      <c r="E132" s="77"/>
      <c r="F132" s="77"/>
      <c r="G132" s="78"/>
      <c r="H132" s="79"/>
      <c r="I132" s="100">
        <f>VLOOKUP(B132,'[1]26MY_ODYSSEY_DATA'!B:AR,12,FALSE)</f>
        <v>0</v>
      </c>
      <c r="J132" s="100" t="str">
        <f>VLOOKUP(B132,'[1]26MY_ODYSSEY_DATA'!B:AR,13,FALSE)</f>
        <v>•</v>
      </c>
      <c r="K132" s="100" t="str">
        <f>VLOOKUP(B132,'[1]26MY_ODYSSEY_DATA'!B:AR,14,FALSE)</f>
        <v>•</v>
      </c>
      <c r="L132" s="100" t="str">
        <f>VLOOKUP(B132,'[1]26MY_ODYSSEY_DATA'!B:AR,15,FALSE)</f>
        <v>•</v>
      </c>
      <c r="M132" s="100" t="str">
        <f>VLOOKUP(B132,'[1]26MY_ODYSSEY_DATA'!B:AR,16,FALSE)</f>
        <v>N/A</v>
      </c>
      <c r="N132" s="100">
        <f>VLOOKUP($B132,'[1]26MY_ODYSSEY_DATA'!$B:$AR,17,FALSE)</f>
        <v>0</v>
      </c>
      <c r="O132" s="100">
        <f>VLOOKUP($B132,'[1]26MY_ODYSSEY_DATA'!$B:$AR,18,FALSE)</f>
        <v>0</v>
      </c>
      <c r="P132" s="100">
        <f>VLOOKUP($B132,'[1]26MY_ODYSSEY_DATA'!$B:$AR,19,FALSE)</f>
        <v>0</v>
      </c>
      <c r="Q132" s="81"/>
    </row>
    <row r="133" spans="2:17" s="75" customFormat="1" ht="7.15" customHeight="1" x14ac:dyDescent="0.25">
      <c r="B133" s="94"/>
      <c r="C133" s="110"/>
      <c r="D133" s="111"/>
      <c r="E133" s="111"/>
      <c r="F133" s="111"/>
      <c r="G133" s="111"/>
      <c r="H133" s="111"/>
      <c r="I133" s="111"/>
      <c r="J133" s="111"/>
      <c r="K133" s="111"/>
      <c r="L133" s="111"/>
      <c r="M133" s="111"/>
      <c r="N133" s="111"/>
      <c r="O133" s="111"/>
      <c r="P133" s="111"/>
      <c r="Q133" s="114"/>
    </row>
    <row r="134" spans="2:17" s="92" customFormat="1" ht="15" customHeight="1" x14ac:dyDescent="0.25">
      <c r="B134" s="90" t="s">
        <v>117</v>
      </c>
      <c r="C134" s="219" t="str">
        <f>VLOOKUP(B134,'[1]26MY_ODYSSEY_DATA'!B:AR,4,FALSE)</f>
        <v>Aiguilles abrasives fines</v>
      </c>
      <c r="D134" s="96" t="str">
        <f t="shared" ref="D134:D136" si="15">B134</f>
        <v>TUCH-NEEDLES</v>
      </c>
      <c r="E134" s="97">
        <f>VLOOKUP(B134,'[1]26MY_ODYSSEY_DATA'!B:AR,9,FALSE)</f>
        <v>9.5</v>
      </c>
      <c r="F134" s="97">
        <f>VLOOKUP(B134,'[1]26MY_ODYSSEY_DATA'!B:AR,10,FALSE)</f>
        <v>15.75</v>
      </c>
      <c r="G134" s="98">
        <f>VLOOKUP(B134,'[1]26MY_ODYSSEY_DATA'!B:AR,7,FALSE)</f>
        <v>0</v>
      </c>
      <c r="H134" s="99">
        <f>VLOOKUP(B134,'[1]26MY_ODYSSEY_DATA'!B:AR,11,FALSE)</f>
        <v>15.75</v>
      </c>
      <c r="I134" s="100">
        <f>VLOOKUP(B134,'[1]26MY_ODYSSEY_DATA'!B:AR,12,FALSE)</f>
        <v>0</v>
      </c>
      <c r="J134" s="100" t="str">
        <f>VLOOKUP(B134,'[1]26MY_ODYSSEY_DATA'!B:AR,13,FALSE)</f>
        <v>•</v>
      </c>
      <c r="K134" s="100" t="str">
        <f>VLOOKUP(B134,'[1]26MY_ODYSSEY_DATA'!B:AR,14,FALSE)</f>
        <v>•</v>
      </c>
      <c r="L134" s="100" t="str">
        <f>VLOOKUP(B134,'[1]26MY_ODYSSEY_DATA'!B:AR,15,FALSE)</f>
        <v>•</v>
      </c>
      <c r="M134" s="100" t="str">
        <f>VLOOKUP(B134,'[1]26MY_ODYSSEY_DATA'!B:AR,16,FALSE)</f>
        <v>•</v>
      </c>
      <c r="N134" s="100">
        <f>VLOOKUP($B134,'[1]26MY_ODYSSEY_DATA'!$B:$AR,17,FALSE)</f>
        <v>0</v>
      </c>
      <c r="O134" s="100">
        <f>VLOOKUP($B134,'[1]26MY_ODYSSEY_DATA'!$B:$AR,18,FALSE)</f>
        <v>0</v>
      </c>
      <c r="P134" s="100">
        <f>VLOOKUP($B134,'[1]26MY_ODYSSEY_DATA'!$B:$AR,19,FALSE)</f>
        <v>0</v>
      </c>
      <c r="Q134" s="101" t="str">
        <f>IF(VLOOKUP(B134,'[1]26MY_ODYSSEY_DATA'!B:AR,21,FALSE)="","",VLOOKUP(B134,'[1]26MY_ODYSSEY_DATA'!B:AR,21,FALSE))</f>
        <v>Quantité de 5</v>
      </c>
    </row>
    <row r="135" spans="2:17" s="92" customFormat="1" ht="15" customHeight="1" x14ac:dyDescent="0.25">
      <c r="B135" s="90" t="s">
        <v>118</v>
      </c>
      <c r="C135" s="219" t="str">
        <f>VLOOKUP(B135,'[1]26MY_ODYSSEY_DATA'!B:AR,4,FALSE)</f>
        <v>Bâtons abrasifs fins</v>
      </c>
      <c r="D135" s="96" t="str">
        <f t="shared" si="15"/>
        <v>TUCH-STICKS</v>
      </c>
      <c r="E135" s="97">
        <f>VLOOKUP(B135,'[1]26MY_ODYSSEY_DATA'!B:AR,9,FALSE)</f>
        <v>2.4500000000000002</v>
      </c>
      <c r="F135" s="97">
        <f>VLOOKUP(B135,'[1]26MY_ODYSSEY_DATA'!B:AR,10,FALSE)</f>
        <v>4</v>
      </c>
      <c r="G135" s="98">
        <f>VLOOKUP(B135,'[1]26MY_ODYSSEY_DATA'!B:AR,7,FALSE)</f>
        <v>0</v>
      </c>
      <c r="H135" s="99">
        <f>VLOOKUP(B135,'[1]26MY_ODYSSEY_DATA'!B:AR,11,FALSE)</f>
        <v>4</v>
      </c>
      <c r="I135" s="100">
        <f>VLOOKUP(B135,'[1]26MY_ODYSSEY_DATA'!B:AR,12,FALSE)</f>
        <v>0</v>
      </c>
      <c r="J135" s="100" t="str">
        <f>VLOOKUP(B135,'[1]26MY_ODYSSEY_DATA'!B:AR,13,FALSE)</f>
        <v>•</v>
      </c>
      <c r="K135" s="100" t="str">
        <f>VLOOKUP(B135,'[1]26MY_ODYSSEY_DATA'!B:AR,14,FALSE)</f>
        <v>•</v>
      </c>
      <c r="L135" s="100" t="str">
        <f>VLOOKUP(B135,'[1]26MY_ODYSSEY_DATA'!B:AR,15,FALSE)</f>
        <v>•</v>
      </c>
      <c r="M135" s="100" t="str">
        <f>VLOOKUP(B135,'[1]26MY_ODYSSEY_DATA'!B:AR,16,FALSE)</f>
        <v>•</v>
      </c>
      <c r="N135" s="100">
        <f>VLOOKUP($B135,'[1]26MY_ODYSSEY_DATA'!$B:$AR,17,FALSE)</f>
        <v>0</v>
      </c>
      <c r="O135" s="100">
        <f>VLOOKUP($B135,'[1]26MY_ODYSSEY_DATA'!$B:$AR,18,FALSE)</f>
        <v>0</v>
      </c>
      <c r="P135" s="100">
        <f>VLOOKUP($B135,'[1]26MY_ODYSSEY_DATA'!$B:$AR,19,FALSE)</f>
        <v>0</v>
      </c>
      <c r="Q135" s="101" t="str">
        <f>IF(VLOOKUP(B135,'[1]26MY_ODYSSEY_DATA'!B:AR,21,FALSE)="","",VLOOKUP(B135,'[1]26MY_ODYSSEY_DATA'!B:AR,21,FALSE))</f>
        <v>Quantité de 5</v>
      </c>
    </row>
    <row r="136" spans="2:17" s="92" customFormat="1" ht="15" customHeight="1" x14ac:dyDescent="0.25">
      <c r="B136" s="90" t="s">
        <v>119</v>
      </c>
      <c r="C136" s="219" t="str">
        <f>VLOOKUP(B136,'[1]26MY_ODYSSEY_DATA'!B:AR,4,FALSE)</f>
        <v>Pointes de remplacement pour stylos de peinture</v>
      </c>
      <c r="D136" s="96" t="str">
        <f t="shared" si="15"/>
        <v>TUCH-TIPS</v>
      </c>
      <c r="E136" s="97">
        <f>VLOOKUP(B136,'[1]26MY_ODYSSEY_DATA'!B:AR,9,FALSE)</f>
        <v>13.75</v>
      </c>
      <c r="F136" s="97">
        <f>VLOOKUP(B136,'[1]26MY_ODYSSEY_DATA'!B:AR,10,FALSE)</f>
        <v>23</v>
      </c>
      <c r="G136" s="98">
        <f>VLOOKUP(B136,'[1]26MY_ODYSSEY_DATA'!B:AR,7,FALSE)</f>
        <v>0</v>
      </c>
      <c r="H136" s="99">
        <f>VLOOKUP(B136,'[1]26MY_ODYSSEY_DATA'!B:AR,11,FALSE)</f>
        <v>23</v>
      </c>
      <c r="I136" s="100">
        <f>VLOOKUP(B136,'[1]26MY_ODYSSEY_DATA'!B:AR,12,FALSE)</f>
        <v>0</v>
      </c>
      <c r="J136" s="100" t="str">
        <f>VLOOKUP(B136,'[1]26MY_ODYSSEY_DATA'!B:AR,13,FALSE)</f>
        <v>•</v>
      </c>
      <c r="K136" s="100" t="str">
        <f>VLOOKUP(B136,'[1]26MY_ODYSSEY_DATA'!B:AR,14,FALSE)</f>
        <v>•</v>
      </c>
      <c r="L136" s="100" t="str">
        <f>VLOOKUP(B136,'[1]26MY_ODYSSEY_DATA'!B:AR,15,FALSE)</f>
        <v>•</v>
      </c>
      <c r="M136" s="100" t="str">
        <f>VLOOKUP(B136,'[1]26MY_ODYSSEY_DATA'!B:AR,16,FALSE)</f>
        <v>•</v>
      </c>
      <c r="N136" s="100">
        <f>VLOOKUP($B136,'[1]26MY_ODYSSEY_DATA'!$B:$AR,17,FALSE)</f>
        <v>0</v>
      </c>
      <c r="O136" s="100">
        <f>VLOOKUP($B136,'[1]26MY_ODYSSEY_DATA'!$B:$AR,18,FALSE)</f>
        <v>0</v>
      </c>
      <c r="P136" s="100">
        <f>VLOOKUP($B136,'[1]26MY_ODYSSEY_DATA'!$B:$AR,19,FALSE)</f>
        <v>0</v>
      </c>
      <c r="Q136" s="101" t="str">
        <f>IF(VLOOKUP(B136,'[1]26MY_ODYSSEY_DATA'!B:AR,21,FALSE)="","",VLOOKUP(B136,'[1]26MY_ODYSSEY_DATA'!B:AR,21,FALSE))</f>
        <v>Quantité de 25</v>
      </c>
    </row>
    <row r="137" spans="2:17" s="92" customFormat="1" ht="15" customHeight="1" x14ac:dyDescent="0.25">
      <c r="B137" s="132"/>
      <c r="C137" s="102"/>
      <c r="D137" s="133"/>
      <c r="E137" s="134"/>
      <c r="F137" s="134"/>
      <c r="G137" s="135"/>
      <c r="H137" s="136"/>
      <c r="I137" s="135"/>
      <c r="J137" s="135"/>
      <c r="K137" s="135"/>
      <c r="L137" s="135"/>
      <c r="M137" s="135"/>
      <c r="N137" s="135"/>
      <c r="O137" s="135"/>
      <c r="P137" s="135"/>
      <c r="Q137" s="135"/>
    </row>
    <row r="138" spans="2:17" s="92" customFormat="1" ht="15" customHeight="1" x14ac:dyDescent="0.25">
      <c r="B138" s="132"/>
      <c r="C138" s="137" t="s">
        <v>157</v>
      </c>
      <c r="D138" s="138" t="s">
        <v>15</v>
      </c>
      <c r="E138" s="25"/>
      <c r="F138" s="25"/>
      <c r="G138" s="25"/>
      <c r="H138" s="25"/>
      <c r="I138" s="25"/>
      <c r="J138" s="25"/>
      <c r="K138" s="25"/>
      <c r="L138" s="25"/>
      <c r="M138" s="25"/>
      <c r="N138" s="25"/>
      <c r="O138" s="25"/>
      <c r="P138" s="25"/>
      <c r="Q138" s="25"/>
    </row>
    <row r="139" spans="2:17" ht="14.25" customHeight="1" x14ac:dyDescent="0.25">
      <c r="C139" s="140">
        <f>'[1]26MY_ODYSSEY_DATA'!$C$3</f>
        <v>45902</v>
      </c>
      <c r="D139" s="138" t="s">
        <v>158</v>
      </c>
      <c r="E139" s="44"/>
      <c r="F139" s="44"/>
      <c r="G139" s="44"/>
      <c r="H139" s="44"/>
      <c r="I139" s="44"/>
      <c r="J139" s="44"/>
      <c r="K139" s="44"/>
      <c r="L139" s="44"/>
      <c r="M139" s="44"/>
      <c r="N139" s="44"/>
      <c r="O139" s="44"/>
      <c r="P139" s="44"/>
      <c r="Q139" s="44"/>
    </row>
    <row r="140" spans="2:17" ht="14.25" customHeight="1" x14ac:dyDescent="0.25"/>
    <row r="141" spans="2:17" ht="14.25" customHeight="1" x14ac:dyDescent="0.25"/>
    <row r="142" spans="2:17" ht="14.25" customHeight="1" x14ac:dyDescent="0.25"/>
    <row r="143" spans="2:17" ht="14.25" customHeight="1" x14ac:dyDescent="0.25"/>
    <row r="144" spans="2:17"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sheetData>
  <sheetProtection algorithmName="SHA-512" hashValue="l6kKqWnZb8JEEWqNo46SnNvu0QP2SqXBcxnOFNO+TP+fFzgrzTwlq6UyDv+REo+eAl6wJ/OcYl9lzcjQK+1pww==" saltValue="QrHyg3f+N8HLFf+1Cw6TRw==" spinCount="100000" sheet="1" objects="1" scenarios="1"/>
  <mergeCells count="126">
    <mergeCell ref="E127:E132"/>
    <mergeCell ref="F127:F132"/>
    <mergeCell ref="G127:G132"/>
    <mergeCell ref="H127:H132"/>
    <mergeCell ref="Q127:Q132"/>
    <mergeCell ref="Q110:Q111"/>
    <mergeCell ref="C125:C126"/>
    <mergeCell ref="D125:D126"/>
    <mergeCell ref="E125:E126"/>
    <mergeCell ref="F125:F126"/>
    <mergeCell ref="G125:G126"/>
    <mergeCell ref="H125:H126"/>
    <mergeCell ref="I125:P125"/>
    <mergeCell ref="Q125:Q126"/>
    <mergeCell ref="H98:H99"/>
    <mergeCell ref="I98:P98"/>
    <mergeCell ref="Q98:Q99"/>
    <mergeCell ref="C110:C111"/>
    <mergeCell ref="D110:D111"/>
    <mergeCell ref="E110:E111"/>
    <mergeCell ref="F110:F111"/>
    <mergeCell ref="G110:G111"/>
    <mergeCell ref="H110:H111"/>
    <mergeCell ref="I110:P110"/>
    <mergeCell ref="Q48:Q49"/>
    <mergeCell ref="Q66:Q73"/>
    <mergeCell ref="Q75:Q80"/>
    <mergeCell ref="Q82:Q87"/>
    <mergeCell ref="Q89:Q94"/>
    <mergeCell ref="C98:C99"/>
    <mergeCell ref="D98:D99"/>
    <mergeCell ref="E98:E99"/>
    <mergeCell ref="F98:F99"/>
    <mergeCell ref="G98:G99"/>
    <mergeCell ref="H42:H43"/>
    <mergeCell ref="I42:P42"/>
    <mergeCell ref="Q42:Q43"/>
    <mergeCell ref="C48:C49"/>
    <mergeCell ref="D48:D49"/>
    <mergeCell ref="E48:E49"/>
    <mergeCell ref="F48:F49"/>
    <mergeCell ref="G48:G49"/>
    <mergeCell ref="H48:H49"/>
    <mergeCell ref="I48:P48"/>
    <mergeCell ref="M34:M39"/>
    <mergeCell ref="N34:N39"/>
    <mergeCell ref="O34:O39"/>
    <mergeCell ref="P34:P39"/>
    <mergeCell ref="Q34:Q39"/>
    <mergeCell ref="C42:C43"/>
    <mergeCell ref="D42:D43"/>
    <mergeCell ref="E42:E43"/>
    <mergeCell ref="F42:F43"/>
    <mergeCell ref="G42:G43"/>
    <mergeCell ref="P28:P32"/>
    <mergeCell ref="Q28:Q32"/>
    <mergeCell ref="E34:E39"/>
    <mergeCell ref="F34:F39"/>
    <mergeCell ref="G34:G39"/>
    <mergeCell ref="H34:H39"/>
    <mergeCell ref="I34:I39"/>
    <mergeCell ref="J34:J39"/>
    <mergeCell ref="K34:K39"/>
    <mergeCell ref="L34:L39"/>
    <mergeCell ref="J28:J32"/>
    <mergeCell ref="K28:K32"/>
    <mergeCell ref="L28:L32"/>
    <mergeCell ref="M28:M32"/>
    <mergeCell ref="N28:N32"/>
    <mergeCell ref="O28:O32"/>
    <mergeCell ref="M24:M26"/>
    <mergeCell ref="N24:N26"/>
    <mergeCell ref="O24:O26"/>
    <mergeCell ref="P24:P26"/>
    <mergeCell ref="Q24:Q26"/>
    <mergeCell ref="E28:E32"/>
    <mergeCell ref="F28:F32"/>
    <mergeCell ref="G28:G32"/>
    <mergeCell ref="H28:H32"/>
    <mergeCell ref="I28:I32"/>
    <mergeCell ref="P19:P22"/>
    <mergeCell ref="Q19:Q22"/>
    <mergeCell ref="E24:E26"/>
    <mergeCell ref="F24:F26"/>
    <mergeCell ref="G24:G26"/>
    <mergeCell ref="H24:H26"/>
    <mergeCell ref="I24:I26"/>
    <mergeCell ref="J24:J26"/>
    <mergeCell ref="K24:K26"/>
    <mergeCell ref="L24:L26"/>
    <mergeCell ref="J19:J22"/>
    <mergeCell ref="K19:K22"/>
    <mergeCell ref="L19:L22"/>
    <mergeCell ref="M19:M22"/>
    <mergeCell ref="N19:N22"/>
    <mergeCell ref="O19:O22"/>
    <mergeCell ref="M14:M17"/>
    <mergeCell ref="N14:N17"/>
    <mergeCell ref="O14:O17"/>
    <mergeCell ref="P14:P17"/>
    <mergeCell ref="Q14:Q17"/>
    <mergeCell ref="E19:E22"/>
    <mergeCell ref="F19:F22"/>
    <mergeCell ref="G19:G22"/>
    <mergeCell ref="H19:H22"/>
    <mergeCell ref="I19:I22"/>
    <mergeCell ref="I12:P12"/>
    <mergeCell ref="Q12:Q13"/>
    <mergeCell ref="E14:E17"/>
    <mergeCell ref="F14:F17"/>
    <mergeCell ref="G14:G17"/>
    <mergeCell ref="H14:H17"/>
    <mergeCell ref="I14:I17"/>
    <mergeCell ref="J14:J17"/>
    <mergeCell ref="K14:K17"/>
    <mergeCell ref="L14:L17"/>
    <mergeCell ref="C5:M5"/>
    <mergeCell ref="C6:M6"/>
    <mergeCell ref="C7:M7"/>
    <mergeCell ref="C8:M8"/>
    <mergeCell ref="C12:C13"/>
    <mergeCell ref="D12:D13"/>
    <mergeCell ref="E12:E13"/>
    <mergeCell ref="F12:F13"/>
    <mergeCell ref="G12:G13"/>
    <mergeCell ref="H12:H13"/>
  </mergeCells>
  <conditionalFormatting sqref="E1:F13 E40:F43 E46:F49 E65:F65 E74:F74 E81:F81 E88:F88 E95:F99 E108:F111 E123:F126 E133:F133 E137:F1048576">
    <cfRule type="containsText" dxfId="11" priority="12" operator="containsText" text=".99">
      <formula>NOT(ISERROR(SEARCH(".99",E1)))</formula>
    </cfRule>
  </conditionalFormatting>
  <conditionalFormatting sqref="E14:F14 E23:F24 E18:F19 E27:F28 E33:F34">
    <cfRule type="containsText" dxfId="10" priority="11" operator="containsText" text=".99">
      <formula>NOT(ISERROR(SEARCH(".99",E14)))</formula>
    </cfRule>
  </conditionalFormatting>
  <conditionalFormatting sqref="E44:F45">
    <cfRule type="containsText" dxfId="9" priority="10" operator="containsText" text=".99">
      <formula>NOT(ISERROR(SEARCH(".99",E44)))</formula>
    </cfRule>
  </conditionalFormatting>
  <conditionalFormatting sqref="E50:F64">
    <cfRule type="containsText" dxfId="8" priority="9" operator="containsText" text=".99">
      <formula>NOT(ISERROR(SEARCH(".99",E50)))</formula>
    </cfRule>
  </conditionalFormatting>
  <conditionalFormatting sqref="E66:F73">
    <cfRule type="containsText" dxfId="7" priority="8" operator="containsText" text=".99">
      <formula>NOT(ISERROR(SEARCH(".99",E66)))</formula>
    </cfRule>
  </conditionalFormatting>
  <conditionalFormatting sqref="E75:F80">
    <cfRule type="containsText" dxfId="6" priority="7" operator="containsText" text=".99">
      <formula>NOT(ISERROR(SEARCH(".99",E75)))</formula>
    </cfRule>
  </conditionalFormatting>
  <conditionalFormatting sqref="E82:F87">
    <cfRule type="containsText" dxfId="5" priority="6" operator="containsText" text=".99">
      <formula>NOT(ISERROR(SEARCH(".99",E82)))</formula>
    </cfRule>
  </conditionalFormatting>
  <conditionalFormatting sqref="E89:F94">
    <cfRule type="containsText" dxfId="4" priority="5" operator="containsText" text=".99">
      <formula>NOT(ISERROR(SEARCH(".99",E89)))</formula>
    </cfRule>
  </conditionalFormatting>
  <conditionalFormatting sqref="E100:F107">
    <cfRule type="containsText" dxfId="3" priority="4" operator="containsText" text=".99">
      <formula>NOT(ISERROR(SEARCH(".99",E100)))</formula>
    </cfRule>
  </conditionalFormatting>
  <conditionalFormatting sqref="E112:F122">
    <cfRule type="containsText" dxfId="2" priority="3" operator="containsText" text=".99">
      <formula>NOT(ISERROR(SEARCH(".99",E112)))</formula>
    </cfRule>
  </conditionalFormatting>
  <conditionalFormatting sqref="E127:F127">
    <cfRule type="containsText" dxfId="1" priority="2" operator="containsText" text=".99">
      <formula>NOT(ISERROR(SEARCH(".99",E127)))</formula>
    </cfRule>
  </conditionalFormatting>
  <conditionalFormatting sqref="E134:F136">
    <cfRule type="containsText" dxfId="0" priority="1" operator="containsText" text=".99">
      <formula>NOT(ISERROR(SEARCH(".99",E134)))</formula>
    </cfRule>
  </conditionalFormatting>
  <printOptions horizontalCentered="1"/>
  <pageMargins left="0.23622047244094499" right="0.23622047244094499" top="0.39370078740157499" bottom="0.39370078740157499" header="0.31496062992126" footer="0.31496062992126"/>
  <pageSetup scale="44" fitToHeight="0" orientation="portrait" horizontalDpi="1200" verticalDpi="1200" r:id="rId1"/>
  <headerFooter>
    <oddFooter>&amp;CPage &amp;P of &amp;N</oddFooter>
  </headerFooter>
  <rowBreaks count="1" manualBreakCount="1">
    <brk id="87" min="2" max="14"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475C3-6EFF-4456-A61F-904484CD8753}">
  <sheetPr codeName="Sheet27">
    <tabColor theme="3" tint="-0.249977111117893"/>
    <pageSetUpPr fitToPage="1"/>
  </sheetPr>
  <dimension ref="A2:V33"/>
  <sheetViews>
    <sheetView showGridLines="0" view="pageBreakPreview" zoomScale="85" zoomScaleNormal="100" zoomScaleSheetLayoutView="85" workbookViewId="0">
      <selection activeCell="B32" sqref="B32"/>
    </sheetView>
  </sheetViews>
  <sheetFormatPr defaultColWidth="8.85546875" defaultRowHeight="12.75" x14ac:dyDescent="0.25"/>
  <cols>
    <col min="1" max="1" width="8.85546875" style="28"/>
    <col min="2" max="2" width="9.140625" style="200" customWidth="1"/>
    <col min="3" max="3" width="12.5703125" style="28" customWidth="1"/>
    <col min="4" max="5" width="8.5703125" style="28" customWidth="1"/>
    <col min="6" max="6" width="10.5703125" style="28" customWidth="1"/>
    <col min="7" max="7" width="9.42578125" style="28" customWidth="1"/>
    <col min="8" max="8" width="12.5703125" style="28" customWidth="1"/>
    <col min="9" max="10" width="8.5703125" style="28" customWidth="1"/>
    <col min="11" max="11" width="10.5703125" style="28" customWidth="1"/>
    <col min="12" max="12" width="9.42578125" style="28" customWidth="1"/>
    <col min="13" max="13" width="12.5703125" style="28" customWidth="1"/>
    <col min="14" max="15" width="8.5703125" style="28" customWidth="1"/>
    <col min="16" max="16" width="10.5703125" style="28" customWidth="1"/>
    <col min="17" max="17" width="9.42578125" style="28" customWidth="1"/>
    <col min="18" max="16384" width="8.85546875" style="28"/>
  </cols>
  <sheetData>
    <row r="2" spans="2:22" ht="8.1" customHeight="1" x14ac:dyDescent="0.25">
      <c r="B2" s="141"/>
      <c r="C2" s="44"/>
      <c r="D2" s="44"/>
      <c r="E2" s="44"/>
      <c r="F2" s="44"/>
      <c r="G2" s="44"/>
      <c r="H2" s="44"/>
      <c r="I2" s="44"/>
      <c r="J2" s="44"/>
      <c r="K2" s="44"/>
      <c r="L2" s="44"/>
      <c r="M2" s="44"/>
      <c r="N2" s="44"/>
      <c r="O2" s="44"/>
      <c r="R2" s="142"/>
    </row>
    <row r="3" spans="2:22" ht="25.15" customHeight="1" x14ac:dyDescent="0.25">
      <c r="B3" s="143" t="s">
        <v>122</v>
      </c>
      <c r="C3" s="143"/>
      <c r="D3" s="143"/>
      <c r="E3" s="143"/>
      <c r="F3" s="143"/>
      <c r="G3" s="143"/>
      <c r="H3" s="143"/>
      <c r="I3" s="143"/>
      <c r="J3" s="143"/>
      <c r="K3" s="143"/>
      <c r="L3" s="143"/>
      <c r="M3" s="143"/>
      <c r="N3" s="143"/>
      <c r="O3" s="143"/>
      <c r="P3" s="143"/>
      <c r="Q3" s="143"/>
      <c r="R3" s="142"/>
    </row>
    <row r="4" spans="2:22" ht="156" customHeight="1" x14ac:dyDescent="0.25">
      <c r="B4" s="144">
        <v>200</v>
      </c>
      <c r="C4" s="44"/>
      <c r="D4" s="44"/>
      <c r="E4" s="44"/>
      <c r="F4" s="44"/>
      <c r="G4" s="44"/>
      <c r="H4" s="44"/>
      <c r="I4" s="44"/>
      <c r="J4" s="44"/>
      <c r="K4" s="44"/>
      <c r="L4" s="44"/>
      <c r="M4" s="44"/>
      <c r="N4" s="44"/>
      <c r="O4" s="44"/>
      <c r="P4" s="44"/>
      <c r="Q4" s="44"/>
      <c r="R4" s="142"/>
    </row>
    <row r="5" spans="2:22" ht="33" customHeight="1" x14ac:dyDescent="0.25">
      <c r="B5" s="144"/>
      <c r="C5" s="44"/>
      <c r="D5" s="44"/>
      <c r="E5" s="44"/>
      <c r="F5" s="44"/>
      <c r="G5" s="44"/>
      <c r="H5" s="44"/>
      <c r="I5" s="44"/>
      <c r="J5" s="44"/>
      <c r="K5" s="44"/>
      <c r="L5" s="44"/>
      <c r="M5" s="44"/>
      <c r="N5" s="44"/>
      <c r="O5" s="44"/>
      <c r="P5" s="44"/>
      <c r="Q5" s="44"/>
      <c r="R5" s="142"/>
    </row>
    <row r="6" spans="2:22" ht="30" customHeight="1" x14ac:dyDescent="0.25">
      <c r="B6" s="145" t="s">
        <v>159</v>
      </c>
      <c r="C6" s="145"/>
      <c r="D6" s="145"/>
      <c r="E6" s="145"/>
      <c r="F6" s="145"/>
      <c r="G6" s="145"/>
      <c r="H6" s="145"/>
      <c r="I6" s="145"/>
      <c r="J6" s="145"/>
      <c r="K6" s="145"/>
      <c r="L6" s="145"/>
      <c r="M6" s="145"/>
      <c r="N6" s="145"/>
      <c r="O6" s="145"/>
      <c r="P6" s="145"/>
      <c r="Q6" s="145"/>
      <c r="R6" s="142"/>
    </row>
    <row r="7" spans="2:22" ht="12.75" customHeight="1" x14ac:dyDescent="0.25">
      <c r="B7" s="146">
        <v>20</v>
      </c>
      <c r="C7" s="44"/>
      <c r="D7" s="44"/>
      <c r="E7" s="44"/>
      <c r="F7" s="44"/>
      <c r="G7" s="44"/>
      <c r="H7" s="44"/>
      <c r="I7" s="44"/>
      <c r="J7" s="44"/>
      <c r="K7" s="44"/>
      <c r="L7" s="44"/>
      <c r="M7" s="44"/>
      <c r="N7" s="44"/>
      <c r="O7" s="44"/>
      <c r="P7" s="44"/>
      <c r="Q7" s="44"/>
      <c r="R7" s="142"/>
    </row>
    <row r="8" spans="2:22" ht="150" customHeight="1" x14ac:dyDescent="0.25">
      <c r="B8" s="144">
        <v>150</v>
      </c>
      <c r="C8" s="147"/>
      <c r="D8" s="147"/>
      <c r="E8" s="147"/>
      <c r="F8" s="147"/>
      <c r="G8" s="44"/>
      <c r="H8" s="147"/>
      <c r="I8" s="147"/>
      <c r="J8" s="147"/>
      <c r="K8" s="147"/>
      <c r="L8" s="44"/>
      <c r="M8" s="147"/>
      <c r="N8" s="147"/>
      <c r="O8" s="147"/>
      <c r="P8" s="147"/>
      <c r="Q8" s="44"/>
      <c r="R8" s="142"/>
      <c r="V8" s="148"/>
    </row>
    <row r="9" spans="2:22" ht="8.25" customHeight="1" x14ac:dyDescent="0.25">
      <c r="B9" s="144"/>
      <c r="C9" s="149"/>
      <c r="D9" s="149"/>
      <c r="E9" s="149"/>
      <c r="F9" s="149"/>
      <c r="G9" s="44"/>
      <c r="H9" s="149"/>
      <c r="I9" s="149"/>
      <c r="J9" s="149"/>
      <c r="K9" s="149"/>
      <c r="L9" s="44"/>
      <c r="M9" s="149"/>
      <c r="N9" s="149"/>
      <c r="O9" s="149"/>
      <c r="P9" s="149"/>
      <c r="Q9" s="44"/>
      <c r="R9" s="142"/>
      <c r="V9" s="148"/>
    </row>
    <row r="10" spans="2:22" ht="20.25" customHeight="1" x14ac:dyDescent="0.25">
      <c r="B10" s="144">
        <v>20</v>
      </c>
      <c r="C10" s="225" t="str">
        <f>'26MY_ODYSSEY_APP_FR'!$C$100</f>
        <v>Protège-tapis toutes saisons - logo blanc</v>
      </c>
      <c r="D10" s="226"/>
      <c r="E10" s="226"/>
      <c r="F10" s="227"/>
      <c r="G10" s="153"/>
      <c r="H10" s="225" t="str">
        <f>'26MY_ODYSSEY_APP_FR'!$C$101</f>
        <v>Plateau de compartiment à bagages - profond</v>
      </c>
      <c r="I10" s="226"/>
      <c r="J10" s="226"/>
      <c r="K10" s="227"/>
      <c r="L10" s="153"/>
      <c r="M10" s="150" t="str">
        <f>'26MY_ODYSSEY_APP_FR'!$C$102</f>
        <v>Plateaux de coffre pliants</v>
      </c>
      <c r="N10" s="151"/>
      <c r="O10" s="151"/>
      <c r="P10" s="152"/>
      <c r="Q10" s="44"/>
      <c r="R10" s="142"/>
    </row>
    <row r="11" spans="2:22" ht="15" customHeight="1" x14ac:dyDescent="0.25">
      <c r="B11" s="146">
        <v>20</v>
      </c>
      <c r="C11" s="228">
        <f>'26MY_ODYSSEY_APP_FR'!$H$100</f>
        <v>341.8</v>
      </c>
      <c r="D11" s="229">
        <f>-PMT($D$29/52,5*52,C11)</f>
        <v>1.5585734195363132</v>
      </c>
      <c r="E11" s="156" t="s">
        <v>124</v>
      </c>
      <c r="F11" s="157" t="str">
        <f>$C$29</f>
        <v>(6.99%)</v>
      </c>
      <c r="G11" s="44"/>
      <c r="H11" s="228">
        <f>'26MY_ODYSSEY_APP_FR'!$H$101</f>
        <v>249.8</v>
      </c>
      <c r="I11" s="229">
        <f>-PMT($D$29/52,5*52,H11)</f>
        <v>1.139062727326422</v>
      </c>
      <c r="J11" s="156" t="s">
        <v>124</v>
      </c>
      <c r="K11" s="157" t="str">
        <f>$C$29</f>
        <v>(6.99%)</v>
      </c>
      <c r="L11" s="44"/>
      <c r="M11" s="228">
        <f>'26MY_ODYSSEY_APP_FR'!$H$102</f>
        <v>283.8</v>
      </c>
      <c r="N11" s="229">
        <f>-PMT($D$29/52,5*52,M11)</f>
        <v>1.2940992874909469</v>
      </c>
      <c r="O11" s="156" t="s">
        <v>124</v>
      </c>
      <c r="P11" s="157" t="str">
        <f>$C$29</f>
        <v>(6.99%)</v>
      </c>
      <c r="Q11" s="44"/>
      <c r="R11" s="142"/>
    </row>
    <row r="12" spans="2:22" ht="15" customHeight="1" x14ac:dyDescent="0.25">
      <c r="B12" s="146"/>
      <c r="C12" s="154"/>
      <c r="D12" s="155"/>
      <c r="E12" s="156"/>
      <c r="F12" s="157"/>
      <c r="G12" s="44"/>
      <c r="H12" s="44"/>
      <c r="I12" s="44"/>
      <c r="J12" s="44"/>
      <c r="K12" s="44"/>
      <c r="L12" s="44"/>
      <c r="M12" s="44"/>
      <c r="N12" s="44"/>
      <c r="O12" s="44"/>
      <c r="P12" s="44"/>
      <c r="Q12" s="44"/>
      <c r="R12" s="142"/>
    </row>
    <row r="13" spans="2:22" ht="150" customHeight="1" x14ac:dyDescent="0.25">
      <c r="B13" s="144" t="s">
        <v>160</v>
      </c>
      <c r="C13" s="147"/>
      <c r="D13" s="147"/>
      <c r="E13" s="147"/>
      <c r="F13" s="147"/>
      <c r="G13" s="44"/>
      <c r="H13" s="147"/>
      <c r="I13" s="147"/>
      <c r="J13" s="147"/>
      <c r="K13" s="147"/>
      <c r="L13" s="44"/>
      <c r="M13" s="147"/>
      <c r="N13" s="147"/>
      <c r="O13" s="147"/>
      <c r="P13" s="147"/>
      <c r="Q13" s="44"/>
      <c r="R13" s="142"/>
    </row>
    <row r="14" spans="2:22" ht="9" customHeight="1" x14ac:dyDescent="0.25">
      <c r="B14" s="144"/>
      <c r="C14" s="149"/>
      <c r="D14" s="149"/>
      <c r="E14" s="149"/>
      <c r="F14" s="149"/>
      <c r="G14" s="44"/>
      <c r="H14" s="149"/>
      <c r="I14" s="149"/>
      <c r="J14" s="149"/>
      <c r="K14" s="149"/>
      <c r="L14" s="44"/>
      <c r="M14" s="149"/>
      <c r="N14" s="149"/>
      <c r="O14" s="149"/>
      <c r="P14" s="149"/>
      <c r="Q14" s="44"/>
      <c r="R14" s="142"/>
    </row>
    <row r="15" spans="2:22" ht="22.15" customHeight="1" x14ac:dyDescent="0.25">
      <c r="B15" s="144">
        <v>20</v>
      </c>
      <c r="C15" s="158" t="str">
        <f>TEXT('26MY_ODYSSEY_APP_FR'!$C$62,0)&amp;(TEXT($B$13,0)&amp;TEXT('26MY_ODYSSEY_APP_FR'!$C$64,0))</f>
        <v xml:space="preserve">Rails de toit - Noir et Barres transversales </v>
      </c>
      <c r="D15" s="159"/>
      <c r="E15" s="159"/>
      <c r="F15" s="160"/>
      <c r="G15" s="161"/>
      <c r="H15" s="230" t="str">
        <f>TEXT('26MY_ODYSSEY_APP_FR'!$C$75,0)&amp;(TEXT($B$13,0)&amp;TEXT('26MY_ODYSSEY_APP_FR'!$C$78,0))</f>
        <v>Attelage de remorque   et Harnais pour remorque</v>
      </c>
      <c r="I15" s="231"/>
      <c r="J15" s="231"/>
      <c r="K15" s="232"/>
      <c r="L15" s="161"/>
      <c r="M15" s="233" t="str">
        <f>'26MY_ODYSSEY_APP_FR'!$C$112</f>
        <v>Garniture lumineuses de bas de portière - Avant et arrière</v>
      </c>
      <c r="N15" s="234"/>
      <c r="O15" s="234"/>
      <c r="P15" s="235"/>
      <c r="Q15" s="44"/>
      <c r="R15" s="142"/>
    </row>
    <row r="16" spans="2:22" s="166" customFormat="1" ht="15.75" x14ac:dyDescent="0.25">
      <c r="B16" s="162">
        <v>50</v>
      </c>
      <c r="C16" s="228">
        <f>'26MY_ODYSSEY_APP_FR'!$H$62+'26MY_ODYSSEY_APP_FR'!$H$64</f>
        <v>1328.6</v>
      </c>
      <c r="D16" s="229">
        <f>-PMT($D$29/52,5*52,C16)</f>
        <v>6.058281583370233</v>
      </c>
      <c r="E16" s="156" t="s">
        <v>124</v>
      </c>
      <c r="F16" s="157" t="str">
        <f>$C$29</f>
        <v>(6.99%)</v>
      </c>
      <c r="G16" s="163"/>
      <c r="H16" s="228">
        <f>'26MY_ODYSSEY_APP_FR'!$H$75+'26MY_ODYSSEY_APP_FR'!$H$78</f>
        <v>1616.4</v>
      </c>
      <c r="I16" s="229">
        <f>-PMT($D$29/52,5*52,H16)</f>
        <v>7.3706204661746542</v>
      </c>
      <c r="J16" s="156" t="s">
        <v>124</v>
      </c>
      <c r="K16" s="157" t="str">
        <f>$C$29</f>
        <v>(6.99%)</v>
      </c>
      <c r="L16" s="163"/>
      <c r="M16" s="228">
        <f>'26MY_ODYSSEY_APP_FR'!$H$112</f>
        <v>1069.5999999999999</v>
      </c>
      <c r="N16" s="229">
        <f>-PMT($D$29/52,5*52,M16)</f>
        <v>4.8772677868228218</v>
      </c>
      <c r="O16" s="156" t="s">
        <v>124</v>
      </c>
      <c r="P16" s="157" t="str">
        <f>$C$29</f>
        <v>(6.99%)</v>
      </c>
      <c r="Q16" s="164"/>
      <c r="R16" s="165"/>
    </row>
    <row r="17" spans="1:20" s="166" customFormat="1" ht="15" customHeight="1" x14ac:dyDescent="0.25">
      <c r="B17" s="162"/>
      <c r="C17" s="154"/>
      <c r="D17" s="155"/>
      <c r="E17" s="156"/>
      <c r="F17" s="167"/>
      <c r="G17" s="163"/>
      <c r="H17" s="154"/>
      <c r="I17" s="155"/>
      <c r="J17" s="156"/>
      <c r="K17" s="167"/>
      <c r="L17" s="163"/>
      <c r="M17" s="154"/>
      <c r="N17" s="155"/>
      <c r="O17" s="156"/>
      <c r="P17" s="167"/>
      <c r="Q17" s="164"/>
      <c r="R17" s="165"/>
    </row>
    <row r="18" spans="1:20" ht="150" customHeight="1" x14ac:dyDescent="0.25">
      <c r="B18" s="144">
        <v>150</v>
      </c>
      <c r="C18" s="147"/>
      <c r="D18" s="147"/>
      <c r="E18" s="147"/>
      <c r="F18" s="147"/>
      <c r="G18" s="44"/>
      <c r="H18" s="147"/>
      <c r="I18" s="147"/>
      <c r="J18" s="147"/>
      <c r="K18" s="147"/>
      <c r="L18" s="44"/>
      <c r="M18" s="147"/>
      <c r="N18" s="147"/>
      <c r="O18" s="147"/>
      <c r="P18" s="147"/>
      <c r="Q18" s="44"/>
    </row>
    <row r="19" spans="1:20" ht="9.75" customHeight="1" x14ac:dyDescent="0.25">
      <c r="B19" s="144"/>
      <c r="C19" s="149"/>
      <c r="D19" s="149"/>
      <c r="E19" s="149"/>
      <c r="F19" s="149"/>
      <c r="G19" s="44"/>
      <c r="H19" s="149"/>
      <c r="I19" s="149"/>
      <c r="J19" s="149"/>
      <c r="K19" s="149"/>
      <c r="L19" s="44"/>
      <c r="M19" s="149"/>
      <c r="N19" s="149"/>
      <c r="O19" s="149"/>
      <c r="P19" s="149"/>
      <c r="Q19" s="44"/>
    </row>
    <row r="20" spans="1:20" ht="22.15" customHeight="1" x14ac:dyDescent="0.25">
      <c r="B20" s="144">
        <v>20</v>
      </c>
      <c r="C20" s="150" t="str">
        <f>'26MY_ODYSSEY_APP_FR'!$C$58</f>
        <v>Déflecteur d’air du capot</v>
      </c>
      <c r="D20" s="151"/>
      <c r="E20" s="151"/>
      <c r="F20" s="152"/>
      <c r="G20" s="161"/>
      <c r="H20" s="168" t="str">
        <f>'26MY_ODYSSEY_APP_FR'!$C$57</f>
        <v>Pare-soleil de portière</v>
      </c>
      <c r="I20" s="151"/>
      <c r="J20" s="151"/>
      <c r="K20" s="152"/>
      <c r="L20" s="161"/>
      <c r="M20" s="169" t="str">
        <f>'26MY_ODYSSEY_APP_FR'!$C$61</f>
        <v>Tente</v>
      </c>
      <c r="N20" s="170"/>
      <c r="O20" s="170"/>
      <c r="P20" s="171"/>
      <c r="Q20" s="44"/>
    </row>
    <row r="21" spans="1:20" ht="15.75" x14ac:dyDescent="0.25">
      <c r="B21" s="144">
        <v>50</v>
      </c>
      <c r="C21" s="228">
        <f>'26MY_ODYSSEY_APP_FR'!$H$58</f>
        <v>424</v>
      </c>
      <c r="D21" s="229">
        <f>-PMT($D$29/52,5*52,C21)</f>
        <v>1.9333971032281945</v>
      </c>
      <c r="E21" s="156" t="s">
        <v>124</v>
      </c>
      <c r="F21" s="172" t="str">
        <f>$C$29</f>
        <v>(6.99%)</v>
      </c>
      <c r="G21" s="163"/>
      <c r="H21" s="228">
        <f>'26MY_ODYSSEY_APP_FR'!$H$57</f>
        <v>474</v>
      </c>
      <c r="I21" s="229">
        <f>-PMT($D$29/52,5*52,H21)</f>
        <v>2.1613920446466137</v>
      </c>
      <c r="J21" s="156" t="s">
        <v>124</v>
      </c>
      <c r="K21" s="172" t="str">
        <f>$C$29</f>
        <v>(6.99%)</v>
      </c>
      <c r="L21" s="163"/>
      <c r="M21" s="228">
        <f>'26MY_ODYSSEY_APP_FR'!$H$61</f>
        <v>681</v>
      </c>
      <c r="N21" s="229">
        <f>-PMT($D$29/52,5*52,M21)</f>
        <v>3.1052911021188683</v>
      </c>
      <c r="O21" s="156" t="s">
        <v>124</v>
      </c>
      <c r="P21" s="172" t="str">
        <f>$C$29</f>
        <v>(6.99%)</v>
      </c>
      <c r="Q21" s="44"/>
    </row>
    <row r="22" spans="1:20" ht="15" customHeight="1" x14ac:dyDescent="0.25">
      <c r="B22" s="144"/>
      <c r="C22" s="154"/>
      <c r="D22" s="155"/>
      <c r="E22" s="156"/>
      <c r="F22" s="172"/>
      <c r="G22" s="163"/>
      <c r="H22" s="154"/>
      <c r="I22" s="155"/>
      <c r="J22" s="156"/>
      <c r="K22" s="172"/>
      <c r="L22" s="163"/>
      <c r="M22" s="154"/>
      <c r="N22" s="155"/>
      <c r="O22" s="156"/>
      <c r="P22" s="172"/>
      <c r="Q22" s="44"/>
    </row>
    <row r="23" spans="1:20" ht="15" customHeight="1" x14ac:dyDescent="0.25">
      <c r="B23" s="173"/>
      <c r="C23" s="174" t="s">
        <v>161</v>
      </c>
      <c r="D23" s="44"/>
      <c r="E23" s="44"/>
      <c r="F23" s="44"/>
      <c r="G23" s="44"/>
      <c r="H23" s="44"/>
      <c r="I23" s="44"/>
      <c r="J23" s="44"/>
      <c r="K23" s="44"/>
      <c r="L23" s="44"/>
      <c r="M23" s="44"/>
      <c r="N23" s="44"/>
      <c r="O23" s="44"/>
      <c r="P23" s="44"/>
      <c r="Q23" s="44"/>
    </row>
    <row r="24" spans="1:20" ht="15" customHeight="1" x14ac:dyDescent="0.25">
      <c r="B24" s="173"/>
      <c r="C24" s="174" t="s">
        <v>162</v>
      </c>
      <c r="D24" s="44"/>
      <c r="E24" s="44"/>
      <c r="F24" s="44"/>
      <c r="G24" s="175"/>
      <c r="H24" s="175"/>
      <c r="I24" s="175"/>
      <c r="J24" s="175"/>
      <c r="K24" s="175"/>
      <c r="L24" s="175"/>
      <c r="M24" s="175"/>
      <c r="N24" s="175"/>
      <c r="O24" s="175"/>
      <c r="P24" s="175"/>
      <c r="Q24" s="44"/>
    </row>
    <row r="25" spans="1:20" ht="15" customHeight="1" x14ac:dyDescent="0.25">
      <c r="B25" s="173">
        <v>20</v>
      </c>
      <c r="C25" s="174" t="s">
        <v>163</v>
      </c>
      <c r="D25" s="44"/>
      <c r="E25" s="44"/>
      <c r="F25" s="44"/>
      <c r="G25" s="175"/>
      <c r="H25" s="175"/>
      <c r="I25" s="175"/>
      <c r="J25" s="175"/>
      <c r="K25" s="175"/>
      <c r="L25" s="175"/>
      <c r="M25" s="175"/>
      <c r="N25" s="175"/>
      <c r="O25" s="175"/>
      <c r="P25" s="175"/>
      <c r="Q25" s="44"/>
    </row>
    <row r="26" spans="1:20" ht="85.5" customHeight="1" x14ac:dyDescent="0.25">
      <c r="B26" s="144">
        <v>60</v>
      </c>
      <c r="C26" s="176" t="s">
        <v>164</v>
      </c>
      <c r="D26" s="176"/>
      <c r="E26" s="176"/>
      <c r="F26" s="176"/>
      <c r="G26" s="176"/>
      <c r="H26" s="176"/>
      <c r="I26" s="176"/>
      <c r="J26" s="176"/>
      <c r="K26" s="176"/>
      <c r="L26" s="176"/>
      <c r="M26" s="176"/>
      <c r="N26" s="176"/>
      <c r="O26" s="176"/>
      <c r="P26" s="176"/>
      <c r="Q26" s="44"/>
    </row>
    <row r="27" spans="1:20" ht="20.25" customHeight="1" thickBot="1" x14ac:dyDescent="0.3">
      <c r="B27" s="177"/>
      <c r="C27" s="178" t="s">
        <v>165</v>
      </c>
      <c r="D27" s="179"/>
      <c r="E27" s="180"/>
      <c r="F27" s="179"/>
      <c r="G27" s="181"/>
      <c r="H27" s="181"/>
      <c r="I27" s="181"/>
      <c r="J27" s="181"/>
      <c r="K27" s="182"/>
      <c r="L27" s="182"/>
      <c r="M27" s="182"/>
      <c r="N27" s="183"/>
      <c r="O27" s="184"/>
      <c r="P27" s="184"/>
      <c r="Q27" s="185"/>
    </row>
    <row r="28" spans="1:20" ht="20.25" customHeight="1" x14ac:dyDescent="0.25">
      <c r="A28" s="186"/>
      <c r="B28" s="187">
        <v>20</v>
      </c>
      <c r="C28" s="188"/>
      <c r="D28" s="187"/>
      <c r="E28" s="189"/>
      <c r="F28" s="187"/>
      <c r="G28" s="190"/>
      <c r="H28" s="190"/>
      <c r="I28" s="190"/>
      <c r="J28" s="190"/>
      <c r="K28" s="188"/>
      <c r="L28" s="188"/>
      <c r="M28" s="188"/>
      <c r="N28" s="188"/>
      <c r="O28" s="188"/>
      <c r="P28" s="191"/>
      <c r="Q28" s="44"/>
    </row>
    <row r="29" spans="1:20" ht="18" customHeight="1" x14ac:dyDescent="0.25">
      <c r="A29" s="186"/>
      <c r="B29" s="187">
        <v>18</v>
      </c>
      <c r="C29" s="192" t="s">
        <v>131</v>
      </c>
      <c r="D29" s="189">
        <v>6.9900000000000004E-2</v>
      </c>
      <c r="E29" s="189"/>
      <c r="F29" s="187"/>
      <c r="G29" s="190"/>
      <c r="H29" s="190"/>
      <c r="I29" s="190"/>
      <c r="J29" s="190"/>
      <c r="K29" s="188"/>
      <c r="L29" s="188"/>
      <c r="M29" s="188"/>
      <c r="N29" s="188"/>
      <c r="O29" s="188"/>
      <c r="P29" s="191"/>
      <c r="Q29" s="44"/>
    </row>
    <row r="30" spans="1:20" s="44" customFormat="1" ht="15" customHeight="1" x14ac:dyDescent="0.25">
      <c r="A30" s="193"/>
      <c r="B30" s="194">
        <v>7.5</v>
      </c>
      <c r="C30" s="194">
        <v>12</v>
      </c>
      <c r="D30" s="194">
        <v>8</v>
      </c>
      <c r="E30" s="194">
        <v>8</v>
      </c>
      <c r="F30" s="194">
        <v>10</v>
      </c>
      <c r="G30" s="194">
        <v>8.5</v>
      </c>
      <c r="H30" s="194">
        <v>12</v>
      </c>
      <c r="I30" s="194">
        <v>8</v>
      </c>
      <c r="J30" s="194">
        <v>8</v>
      </c>
      <c r="K30" s="194">
        <v>10</v>
      </c>
      <c r="L30" s="194">
        <v>8.5</v>
      </c>
      <c r="M30" s="194">
        <v>12</v>
      </c>
      <c r="N30" s="194">
        <v>8</v>
      </c>
      <c r="O30" s="194">
        <v>8</v>
      </c>
      <c r="P30" s="144">
        <v>10</v>
      </c>
      <c r="Q30" s="144">
        <v>7.5</v>
      </c>
    </row>
    <row r="31" spans="1:20" s="44" customFormat="1" ht="22.15" customHeight="1" x14ac:dyDescent="0.25">
      <c r="A31" s="193"/>
      <c r="B31" s="195" t="s">
        <v>157</v>
      </c>
      <c r="C31" s="196">
        <f>'[1]26MY_ODYSSEY_DATA'!$C$3</f>
        <v>45902</v>
      </c>
      <c r="D31" s="175" t="s">
        <v>15</v>
      </c>
      <c r="E31" s="197"/>
      <c r="F31" s="197"/>
      <c r="G31" s="197"/>
      <c r="H31" s="197"/>
      <c r="I31" s="197"/>
      <c r="J31" s="197"/>
      <c r="K31" s="197"/>
      <c r="L31" s="197"/>
      <c r="M31" s="197"/>
      <c r="N31" s="197"/>
      <c r="O31" s="173"/>
      <c r="P31" s="198" t="s">
        <v>25</v>
      </c>
      <c r="Q31" s="199" t="str">
        <f>'[1]26MY_ODYSSEY_DATA'!L5</f>
        <v>YT</v>
      </c>
    </row>
    <row r="32" spans="1:20" ht="15.75" x14ac:dyDescent="0.25">
      <c r="D32" s="201"/>
      <c r="P32" s="202"/>
      <c r="Q32" s="203"/>
      <c r="T32" s="204"/>
    </row>
    <row r="33" spans="2:2" x14ac:dyDescent="0.25">
      <c r="B33" s="205"/>
    </row>
  </sheetData>
  <mergeCells count="22">
    <mergeCell ref="C26:P26"/>
    <mergeCell ref="O27:P27"/>
    <mergeCell ref="C18:F18"/>
    <mergeCell ref="H18:K18"/>
    <mergeCell ref="M18:P18"/>
    <mergeCell ref="C20:F20"/>
    <mergeCell ref="H20:K20"/>
    <mergeCell ref="M20:P20"/>
    <mergeCell ref="C13:F13"/>
    <mergeCell ref="H13:K13"/>
    <mergeCell ref="M13:P13"/>
    <mergeCell ref="C15:F15"/>
    <mergeCell ref="H15:K15"/>
    <mergeCell ref="M15:P15"/>
    <mergeCell ref="B3:Q3"/>
    <mergeCell ref="B6:Q6"/>
    <mergeCell ref="C8:F8"/>
    <mergeCell ref="H8:K8"/>
    <mergeCell ref="M8:P8"/>
    <mergeCell ref="C10:F10"/>
    <mergeCell ref="H10:K10"/>
    <mergeCell ref="M10:P10"/>
  </mergeCells>
  <printOptions horizontalCentered="1"/>
  <pageMargins left="0.19685039370078741" right="0.19685039370078741" top="0.39370078740157483" bottom="0.39370078740157483" header="0" footer="0"/>
  <pageSetup scale="65" fitToHeight="0" orientation="portrait" r:id="rId1"/>
  <headerFooter scaleWithDoc="0"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10</vt:i4>
      </vt:variant>
    </vt:vector>
  </HeadingPairs>
  <TitlesOfParts>
    <vt:vector size="15" baseType="lpstr">
      <vt:lpstr>SELECT PROVINCE</vt:lpstr>
      <vt:lpstr>26MY_ODYSSEY_APP_EN</vt:lpstr>
      <vt:lpstr>25MY_ODYSSEY_SELL-EN</vt:lpstr>
      <vt:lpstr>26MY_ODYSSEY_APP_FR</vt:lpstr>
      <vt:lpstr>25MY_ODYSSEY_SELL-FR</vt:lpstr>
      <vt:lpstr>'25MY_ODYSSEY_SELL-EN'!Print_Area</vt:lpstr>
      <vt:lpstr>'25MY_ODYSSEY_SELL-FR'!Print_Area</vt:lpstr>
      <vt:lpstr>'26MY_ODYSSEY_APP_EN'!Print_Area</vt:lpstr>
      <vt:lpstr>'26MY_ODYSSEY_APP_FR'!Print_Area</vt:lpstr>
      <vt:lpstr>'SELECT PROVINCE'!Print_Area</vt:lpstr>
      <vt:lpstr>'26MY_ODYSSEY_APP_EN'!Print_Titles</vt:lpstr>
      <vt:lpstr>'26MY_ODYSSEY_APP_FR'!Print_Titles</vt:lpstr>
      <vt:lpstr>prov_cd</vt:lpstr>
      <vt:lpstr>province_codes</vt:lpstr>
      <vt:lpstr>rate_table</vt:lpstr>
    </vt:vector>
  </TitlesOfParts>
  <Company>Honda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Anishan Ravikandan</dc:creator>
  <cp:lastModifiedBy>Anishan Ravikandan</cp:lastModifiedBy>
  <dcterms:created xsi:type="dcterms:W3CDTF">2026-03-05T15:19:08Z</dcterms:created>
  <dcterms:modified xsi:type="dcterms:W3CDTF">2026-03-05T15:21:35Z</dcterms:modified>
</cp:coreProperties>
</file>