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Passport\"/>
    </mc:Choice>
  </mc:AlternateContent>
  <xr:revisionPtr revIDLastSave="0" documentId="8_{CE523621-593A-4F79-9CF6-EC3AF43B19AE}" xr6:coauthVersionLast="47" xr6:coauthVersionMax="47" xr10:uidLastSave="{00000000-0000-0000-0000-000000000000}"/>
  <bookViews>
    <workbookView xWindow="-120" yWindow="-120" windowWidth="29040" windowHeight="15720" tabRatio="843" firstSheet="3" activeTab="3" xr2:uid="{00000000-000D-0000-FFFF-FFFF00000000}"/>
  </bookViews>
  <sheets>
    <sheet name="Sell Sheet Formula" sheetId="128" state="hidden" r:id="rId1"/>
    <sheet name="Hierarchy" sheetId="201" state="hidden" r:id="rId2"/>
    <sheet name="26MY_PASSPORT_DATA" sheetId="174" state="hidden" r:id="rId3"/>
    <sheet name="SELECT PROVINCE" sheetId="1" r:id="rId4"/>
    <sheet name="26MY_Passport_APP_EN" sheetId="197" r:id="rId5"/>
    <sheet name="26MY_Passport_SELL_EN" sheetId="195" r:id="rId6"/>
    <sheet name="26MY_Passport_APP_FR" sheetId="202" r:id="rId7"/>
    <sheet name="26MY_Passport_SELL_FR" sheetId="204" r:id="rId8"/>
  </sheets>
  <externalReferences>
    <externalReference r:id="rId9"/>
    <externalReference r:id="rId10"/>
  </externalReferences>
  <definedNames>
    <definedName name="_xlnm._FilterDatabase" localSheetId="2" hidden="1">'26MY_PASSPORT_DATA'!$A$7:$BC$82</definedName>
    <definedName name="_xlnm._FilterDatabase" localSheetId="1" hidden="1">Hierarchy!$A$1:$M$60</definedName>
    <definedName name="BC" localSheetId="0">#REF!</definedName>
    <definedName name="_xlnm.Print_Area" localSheetId="4">'26MY_Passport_APP_EN'!$C$2:$Q$134</definedName>
    <definedName name="_xlnm.Print_Area" localSheetId="6">'26MY_Passport_APP_FR'!$C$2:$Q$130</definedName>
    <definedName name="_xlnm.Print_Area" localSheetId="5">'26MY_Passport_SELL_EN'!$B$2:$Q$31</definedName>
    <definedName name="_xlnm.Print_Area" localSheetId="7">'26MY_Passport_SELL_FR'!$B$2:$Q$31</definedName>
    <definedName name="_xlnm.Print_Area" localSheetId="3">'SELECT PROVINCE'!$A$1:$M$34</definedName>
    <definedName name="_xlnm.Print_Titles" localSheetId="4">'26MY_Passport_APP_EN'!$12:$13</definedName>
    <definedName name="_xlnm.Print_Titles" localSheetId="6">'26MY_Passport_APP_FR'!$12:$13</definedName>
    <definedName name="_xlnm.Print_Titles" localSheetId="2">'26MY_PASSPORT_DATA'!$2:$3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 i="174" l="1"/>
  <c r="K8" i="174"/>
  <c r="H9" i="174"/>
  <c r="Q110" i="202" l="1"/>
  <c r="P110" i="202"/>
  <c r="O110" i="202"/>
  <c r="N110" i="202"/>
  <c r="M110" i="202"/>
  <c r="L110" i="202"/>
  <c r="K110" i="202"/>
  <c r="J110" i="202"/>
  <c r="I110" i="202"/>
  <c r="G110" i="202"/>
  <c r="D110" i="202"/>
  <c r="C110" i="202"/>
  <c r="Q110" i="197"/>
  <c r="P110" i="197"/>
  <c r="O110" i="197"/>
  <c r="N110" i="197"/>
  <c r="M110" i="197"/>
  <c r="L110" i="197"/>
  <c r="K110" i="197"/>
  <c r="J110" i="197"/>
  <c r="I110" i="197"/>
  <c r="G110" i="197"/>
  <c r="D110" i="197"/>
  <c r="C110" i="197"/>
  <c r="J69" i="174" l="1"/>
  <c r="C69" i="174"/>
  <c r="K69" i="174"/>
  <c r="Q80" i="202"/>
  <c r="Q80" i="197"/>
  <c r="G126" i="202"/>
  <c r="I126" i="202"/>
  <c r="J126" i="202"/>
  <c r="K126" i="202"/>
  <c r="L126" i="202"/>
  <c r="M126" i="202"/>
  <c r="N126" i="202"/>
  <c r="O126" i="202"/>
  <c r="P126" i="202"/>
  <c r="Q126" i="202"/>
  <c r="G127" i="202"/>
  <c r="I127" i="202"/>
  <c r="J127" i="202"/>
  <c r="K127" i="202"/>
  <c r="L127" i="202"/>
  <c r="M127" i="202"/>
  <c r="N127" i="202"/>
  <c r="O127" i="202"/>
  <c r="P127" i="202"/>
  <c r="Q127" i="202"/>
  <c r="Q125" i="202"/>
  <c r="P125" i="202"/>
  <c r="O125" i="202"/>
  <c r="N125" i="202"/>
  <c r="M125" i="202"/>
  <c r="L125" i="202"/>
  <c r="K125" i="202"/>
  <c r="J125" i="202"/>
  <c r="I125" i="202"/>
  <c r="G125" i="202"/>
  <c r="I119" i="202"/>
  <c r="J119" i="202"/>
  <c r="K119" i="202"/>
  <c r="L119" i="202"/>
  <c r="M119" i="202"/>
  <c r="N119" i="202"/>
  <c r="O119" i="202"/>
  <c r="P119" i="202"/>
  <c r="Q119" i="202"/>
  <c r="I120" i="202"/>
  <c r="J120" i="202"/>
  <c r="K120" i="202"/>
  <c r="L120" i="202"/>
  <c r="M120" i="202"/>
  <c r="N120" i="202"/>
  <c r="O120" i="202"/>
  <c r="P120" i="202"/>
  <c r="Q120" i="202"/>
  <c r="I121" i="202"/>
  <c r="J121" i="202"/>
  <c r="K121" i="202"/>
  <c r="L121" i="202"/>
  <c r="M121" i="202"/>
  <c r="N121" i="202"/>
  <c r="O121" i="202"/>
  <c r="P121" i="202"/>
  <c r="Q121" i="202"/>
  <c r="I122" i="202"/>
  <c r="J122" i="202"/>
  <c r="K122" i="202"/>
  <c r="L122" i="202"/>
  <c r="M122" i="202"/>
  <c r="N122" i="202"/>
  <c r="O122" i="202"/>
  <c r="P122" i="202"/>
  <c r="Q122" i="202"/>
  <c r="I123" i="202"/>
  <c r="J123" i="202"/>
  <c r="K123" i="202"/>
  <c r="L123" i="202"/>
  <c r="M123" i="202"/>
  <c r="N123" i="202"/>
  <c r="O123" i="202"/>
  <c r="P123" i="202"/>
  <c r="Q123" i="202"/>
  <c r="Q118" i="202"/>
  <c r="P118" i="202"/>
  <c r="O118" i="202"/>
  <c r="N118" i="202"/>
  <c r="M118" i="202"/>
  <c r="L118" i="202"/>
  <c r="K118" i="202"/>
  <c r="J118" i="202"/>
  <c r="I118" i="202"/>
  <c r="G118" i="202"/>
  <c r="E109" i="202"/>
  <c r="F109" i="202"/>
  <c r="G109" i="202"/>
  <c r="H109" i="202"/>
  <c r="I109" i="202"/>
  <c r="J109" i="202"/>
  <c r="K109" i="202"/>
  <c r="L109" i="202"/>
  <c r="M109" i="202"/>
  <c r="N109" i="202"/>
  <c r="O109" i="202"/>
  <c r="P109" i="202"/>
  <c r="Q109" i="202"/>
  <c r="G111" i="202"/>
  <c r="I111" i="202"/>
  <c r="J111" i="202"/>
  <c r="K111" i="202"/>
  <c r="L111" i="202"/>
  <c r="M111" i="202"/>
  <c r="N111" i="202"/>
  <c r="O111" i="202"/>
  <c r="P111" i="202"/>
  <c r="Q111" i="202"/>
  <c r="G112" i="202"/>
  <c r="I112" i="202"/>
  <c r="J112" i="202"/>
  <c r="K112" i="202"/>
  <c r="L112" i="202"/>
  <c r="M112" i="202"/>
  <c r="N112" i="202"/>
  <c r="O112" i="202"/>
  <c r="P112" i="202"/>
  <c r="Q112" i="202"/>
  <c r="G113" i="202"/>
  <c r="I113" i="202"/>
  <c r="J113" i="202"/>
  <c r="K113" i="202"/>
  <c r="L113" i="202"/>
  <c r="M113" i="202"/>
  <c r="N113" i="202"/>
  <c r="O113" i="202"/>
  <c r="P113" i="202"/>
  <c r="Q113" i="202"/>
  <c r="Q108" i="202"/>
  <c r="P108" i="202"/>
  <c r="O108" i="202"/>
  <c r="N108" i="202"/>
  <c r="M108" i="202"/>
  <c r="L108" i="202"/>
  <c r="K108" i="202"/>
  <c r="J108" i="202"/>
  <c r="I108" i="202"/>
  <c r="G108" i="202"/>
  <c r="G93" i="202"/>
  <c r="I93" i="202"/>
  <c r="J93" i="202"/>
  <c r="K93" i="202"/>
  <c r="L93" i="202"/>
  <c r="M93" i="202"/>
  <c r="N93" i="202"/>
  <c r="O93" i="202"/>
  <c r="P93" i="202"/>
  <c r="Q93" i="202"/>
  <c r="G94" i="202"/>
  <c r="I94" i="202"/>
  <c r="J94" i="202"/>
  <c r="K94" i="202"/>
  <c r="L94" i="202"/>
  <c r="M94" i="202"/>
  <c r="N94" i="202"/>
  <c r="O94" i="202"/>
  <c r="P94" i="202"/>
  <c r="Q94" i="202"/>
  <c r="G95" i="202"/>
  <c r="I95" i="202"/>
  <c r="J95" i="202"/>
  <c r="K95" i="202"/>
  <c r="L95" i="202"/>
  <c r="M95" i="202"/>
  <c r="N95" i="202"/>
  <c r="O95" i="202"/>
  <c r="P95" i="202"/>
  <c r="Q95" i="202"/>
  <c r="G96" i="202"/>
  <c r="I96" i="202"/>
  <c r="J96" i="202"/>
  <c r="K96" i="202"/>
  <c r="L96" i="202"/>
  <c r="M96" i="202"/>
  <c r="N96" i="202"/>
  <c r="O96" i="202"/>
  <c r="P96" i="202"/>
  <c r="Q96" i="202"/>
  <c r="G97" i="202"/>
  <c r="I97" i="202"/>
  <c r="J97" i="202"/>
  <c r="K97" i="202"/>
  <c r="L97" i="202"/>
  <c r="M97" i="202"/>
  <c r="N97" i="202"/>
  <c r="O97" i="202"/>
  <c r="P97" i="202"/>
  <c r="Q97" i="202"/>
  <c r="G98" i="202"/>
  <c r="I98" i="202"/>
  <c r="J98" i="202"/>
  <c r="K98" i="202"/>
  <c r="L98" i="202"/>
  <c r="M98" i="202"/>
  <c r="N98" i="202"/>
  <c r="O98" i="202"/>
  <c r="P98" i="202"/>
  <c r="Q98" i="202"/>
  <c r="G99" i="202"/>
  <c r="I99" i="202"/>
  <c r="J99" i="202"/>
  <c r="K99" i="202"/>
  <c r="L99" i="202"/>
  <c r="M99" i="202"/>
  <c r="N99" i="202"/>
  <c r="O99" i="202"/>
  <c r="P99" i="202"/>
  <c r="Q99" i="202"/>
  <c r="G100" i="202"/>
  <c r="I100" i="202"/>
  <c r="J100" i="202"/>
  <c r="K100" i="202"/>
  <c r="L100" i="202"/>
  <c r="M100" i="202"/>
  <c r="N100" i="202"/>
  <c r="O100" i="202"/>
  <c r="P100" i="202"/>
  <c r="Q100" i="202"/>
  <c r="G101" i="202"/>
  <c r="I101" i="202"/>
  <c r="J101" i="202"/>
  <c r="K101" i="202"/>
  <c r="L101" i="202"/>
  <c r="M101" i="202"/>
  <c r="N101" i="202"/>
  <c r="O101" i="202"/>
  <c r="P101" i="202"/>
  <c r="Q101" i="202"/>
  <c r="G102" i="202"/>
  <c r="I102" i="202"/>
  <c r="J102" i="202"/>
  <c r="K102" i="202"/>
  <c r="L102" i="202"/>
  <c r="M102" i="202"/>
  <c r="N102" i="202"/>
  <c r="O102" i="202"/>
  <c r="P102" i="202"/>
  <c r="Q102" i="202"/>
  <c r="G103" i="202"/>
  <c r="I103" i="202"/>
  <c r="J103" i="202"/>
  <c r="K103" i="202"/>
  <c r="L103" i="202"/>
  <c r="M103" i="202"/>
  <c r="N103" i="202"/>
  <c r="O103" i="202"/>
  <c r="P103" i="202"/>
  <c r="Q103" i="202"/>
  <c r="Q92" i="202"/>
  <c r="P92" i="202"/>
  <c r="O92" i="202"/>
  <c r="N92" i="202"/>
  <c r="M92" i="202"/>
  <c r="L92" i="202"/>
  <c r="K92" i="202"/>
  <c r="J92" i="202"/>
  <c r="I92" i="202"/>
  <c r="G92" i="202"/>
  <c r="G80" i="202"/>
  <c r="I80" i="202"/>
  <c r="J80" i="202"/>
  <c r="K80" i="202"/>
  <c r="L80" i="202"/>
  <c r="M80" i="202"/>
  <c r="N80" i="202"/>
  <c r="O80" i="202"/>
  <c r="P80" i="202"/>
  <c r="G81" i="202"/>
  <c r="I81" i="202"/>
  <c r="J81" i="202"/>
  <c r="K81" i="202"/>
  <c r="L81" i="202"/>
  <c r="M81" i="202"/>
  <c r="N81" i="202"/>
  <c r="O81" i="202"/>
  <c r="P81" i="202"/>
  <c r="G82" i="202"/>
  <c r="I82" i="202"/>
  <c r="J82" i="202"/>
  <c r="K82" i="202"/>
  <c r="L82" i="202"/>
  <c r="M82" i="202"/>
  <c r="N82" i="202"/>
  <c r="O82" i="202"/>
  <c r="P82" i="202"/>
  <c r="G83" i="202"/>
  <c r="I83" i="202"/>
  <c r="J83" i="202"/>
  <c r="K83" i="202"/>
  <c r="L83" i="202"/>
  <c r="M83" i="202"/>
  <c r="N83" i="202"/>
  <c r="O83" i="202"/>
  <c r="P83" i="202"/>
  <c r="G84" i="202"/>
  <c r="I84" i="202"/>
  <c r="J84" i="202"/>
  <c r="K84" i="202"/>
  <c r="L84" i="202"/>
  <c r="M84" i="202"/>
  <c r="N84" i="202"/>
  <c r="O84" i="202"/>
  <c r="P84" i="202"/>
  <c r="G85" i="202"/>
  <c r="I85" i="202"/>
  <c r="J85" i="202"/>
  <c r="K85" i="202"/>
  <c r="L85" i="202"/>
  <c r="M85" i="202"/>
  <c r="N85" i="202"/>
  <c r="O85" i="202"/>
  <c r="P85" i="202"/>
  <c r="G86" i="202"/>
  <c r="I86" i="202"/>
  <c r="J86" i="202"/>
  <c r="K86" i="202"/>
  <c r="L86" i="202"/>
  <c r="M86" i="202"/>
  <c r="N86" i="202"/>
  <c r="O86" i="202"/>
  <c r="P86" i="202"/>
  <c r="G87" i="202"/>
  <c r="I87" i="202"/>
  <c r="J87" i="202"/>
  <c r="K87" i="202"/>
  <c r="L87" i="202"/>
  <c r="M87" i="202"/>
  <c r="N87" i="202"/>
  <c r="O87" i="202"/>
  <c r="P87" i="202"/>
  <c r="Q79" i="202"/>
  <c r="P79" i="202"/>
  <c r="O79" i="202"/>
  <c r="N79" i="202"/>
  <c r="M79" i="202"/>
  <c r="L79" i="202"/>
  <c r="K79" i="202"/>
  <c r="J79" i="202"/>
  <c r="I79" i="202"/>
  <c r="G79" i="202"/>
  <c r="G71" i="202"/>
  <c r="I71" i="202"/>
  <c r="J71" i="202"/>
  <c r="K71" i="202"/>
  <c r="L71" i="202"/>
  <c r="M71" i="202"/>
  <c r="N71" i="202"/>
  <c r="O71" i="202"/>
  <c r="P71" i="202"/>
  <c r="Q71" i="202"/>
  <c r="G72" i="202"/>
  <c r="I72" i="202"/>
  <c r="J72" i="202"/>
  <c r="K72" i="202"/>
  <c r="L72" i="202"/>
  <c r="M72" i="202"/>
  <c r="N72" i="202"/>
  <c r="O72" i="202"/>
  <c r="P72" i="202"/>
  <c r="Q72" i="202"/>
  <c r="G73" i="202"/>
  <c r="I73" i="202"/>
  <c r="J73" i="202"/>
  <c r="K73" i="202"/>
  <c r="L73" i="202"/>
  <c r="M73" i="202"/>
  <c r="N73" i="202"/>
  <c r="O73" i="202"/>
  <c r="P73" i="202"/>
  <c r="Q73" i="202"/>
  <c r="G74" i="202"/>
  <c r="I74" i="202"/>
  <c r="J74" i="202"/>
  <c r="K74" i="202"/>
  <c r="L74" i="202"/>
  <c r="M74" i="202"/>
  <c r="N74" i="202"/>
  <c r="O74" i="202"/>
  <c r="P74" i="202"/>
  <c r="Q74" i="202"/>
  <c r="G75" i="202"/>
  <c r="I75" i="202"/>
  <c r="J75" i="202"/>
  <c r="K75" i="202"/>
  <c r="L75" i="202"/>
  <c r="M75" i="202"/>
  <c r="N75" i="202"/>
  <c r="O75" i="202"/>
  <c r="P75" i="202"/>
  <c r="Q75" i="202"/>
  <c r="G76" i="202"/>
  <c r="I76" i="202"/>
  <c r="J76" i="202"/>
  <c r="K76" i="202"/>
  <c r="L76" i="202"/>
  <c r="M76" i="202"/>
  <c r="N76" i="202"/>
  <c r="O76" i="202"/>
  <c r="P76" i="202"/>
  <c r="Q76" i="202"/>
  <c r="G77" i="202"/>
  <c r="I77" i="202"/>
  <c r="J77" i="202"/>
  <c r="K77" i="202"/>
  <c r="L77" i="202"/>
  <c r="M77" i="202"/>
  <c r="N77" i="202"/>
  <c r="O77" i="202"/>
  <c r="P77" i="202"/>
  <c r="Q77" i="202"/>
  <c r="Q70" i="202"/>
  <c r="P70" i="202"/>
  <c r="O70" i="202"/>
  <c r="N70" i="202"/>
  <c r="M70" i="202"/>
  <c r="L70" i="202"/>
  <c r="K70" i="202"/>
  <c r="J70" i="202"/>
  <c r="I70" i="202"/>
  <c r="G70" i="202"/>
  <c r="G62" i="202"/>
  <c r="I62" i="202"/>
  <c r="J62" i="202"/>
  <c r="K62" i="202"/>
  <c r="L62" i="202"/>
  <c r="M62" i="202"/>
  <c r="N62" i="202"/>
  <c r="O62" i="202"/>
  <c r="P62" i="202"/>
  <c r="Q62" i="202"/>
  <c r="G63" i="202"/>
  <c r="I63" i="202"/>
  <c r="J63" i="202"/>
  <c r="K63" i="202"/>
  <c r="L63" i="202"/>
  <c r="M63" i="202"/>
  <c r="N63" i="202"/>
  <c r="O63" i="202"/>
  <c r="P63" i="202"/>
  <c r="Q63" i="202"/>
  <c r="G64" i="202"/>
  <c r="I64" i="202"/>
  <c r="J64" i="202"/>
  <c r="K64" i="202"/>
  <c r="L64" i="202"/>
  <c r="M64" i="202"/>
  <c r="N64" i="202"/>
  <c r="O64" i="202"/>
  <c r="P64" i="202"/>
  <c r="Q64" i="202"/>
  <c r="G65" i="202"/>
  <c r="I65" i="202"/>
  <c r="J65" i="202"/>
  <c r="K65" i="202"/>
  <c r="L65" i="202"/>
  <c r="M65" i="202"/>
  <c r="N65" i="202"/>
  <c r="O65" i="202"/>
  <c r="P65" i="202"/>
  <c r="Q65" i="202"/>
  <c r="G66" i="202"/>
  <c r="I66" i="202"/>
  <c r="J66" i="202"/>
  <c r="K66" i="202"/>
  <c r="L66" i="202"/>
  <c r="M66" i="202"/>
  <c r="N66" i="202"/>
  <c r="O66" i="202"/>
  <c r="P66" i="202"/>
  <c r="Q66" i="202"/>
  <c r="G67" i="202"/>
  <c r="I67" i="202"/>
  <c r="J67" i="202"/>
  <c r="K67" i="202"/>
  <c r="L67" i="202"/>
  <c r="M67" i="202"/>
  <c r="N67" i="202"/>
  <c r="O67" i="202"/>
  <c r="P67" i="202"/>
  <c r="Q67" i="202"/>
  <c r="G68" i="202"/>
  <c r="I68" i="202"/>
  <c r="J68" i="202"/>
  <c r="K68" i="202"/>
  <c r="L68" i="202"/>
  <c r="M68" i="202"/>
  <c r="N68" i="202"/>
  <c r="O68" i="202"/>
  <c r="P68" i="202"/>
  <c r="Q68" i="202"/>
  <c r="Q61" i="202"/>
  <c r="P61" i="202"/>
  <c r="O61" i="202"/>
  <c r="N61" i="202"/>
  <c r="M61" i="202"/>
  <c r="L61" i="202"/>
  <c r="K61" i="202"/>
  <c r="J61" i="202"/>
  <c r="I61" i="202"/>
  <c r="G61" i="202"/>
  <c r="G53" i="202"/>
  <c r="I53" i="202"/>
  <c r="J53" i="202"/>
  <c r="K53" i="202"/>
  <c r="L53" i="202"/>
  <c r="M53" i="202"/>
  <c r="N53" i="202"/>
  <c r="O53" i="202"/>
  <c r="P53" i="202"/>
  <c r="Q53" i="202"/>
  <c r="G54" i="202"/>
  <c r="I54" i="202"/>
  <c r="J54" i="202"/>
  <c r="K54" i="202"/>
  <c r="L54" i="202"/>
  <c r="M54" i="202"/>
  <c r="N54" i="202"/>
  <c r="O54" i="202"/>
  <c r="P54" i="202"/>
  <c r="Q54" i="202"/>
  <c r="G55" i="202"/>
  <c r="I55" i="202"/>
  <c r="J55" i="202"/>
  <c r="K55" i="202"/>
  <c r="L55" i="202"/>
  <c r="M55" i="202"/>
  <c r="N55" i="202"/>
  <c r="O55" i="202"/>
  <c r="P55" i="202"/>
  <c r="Q55" i="202"/>
  <c r="Q52" i="202"/>
  <c r="P52" i="202"/>
  <c r="O52" i="202"/>
  <c r="N52" i="202"/>
  <c r="M52" i="202"/>
  <c r="L52" i="202"/>
  <c r="K52" i="202"/>
  <c r="J52" i="202"/>
  <c r="I52" i="202"/>
  <c r="G52" i="202"/>
  <c r="Q45" i="202"/>
  <c r="Q38" i="202"/>
  <c r="Q33" i="202"/>
  <c r="Q28" i="202"/>
  <c r="Q24" i="202"/>
  <c r="Q18" i="202"/>
  <c r="Q14" i="202"/>
  <c r="P45" i="202"/>
  <c r="O45" i="202"/>
  <c r="N45" i="202"/>
  <c r="M45" i="202"/>
  <c r="L45" i="202"/>
  <c r="K45" i="202"/>
  <c r="J45" i="202"/>
  <c r="I45" i="202"/>
  <c r="P38" i="202"/>
  <c r="O38" i="202"/>
  <c r="N38" i="202"/>
  <c r="M38" i="202"/>
  <c r="L38" i="202"/>
  <c r="K38" i="202"/>
  <c r="J38" i="202"/>
  <c r="I38" i="202"/>
  <c r="P33" i="202"/>
  <c r="O33" i="202"/>
  <c r="N33" i="202"/>
  <c r="M33" i="202"/>
  <c r="L33" i="202"/>
  <c r="K33" i="202"/>
  <c r="J33" i="202"/>
  <c r="I33" i="202"/>
  <c r="P28" i="202"/>
  <c r="O28" i="202"/>
  <c r="N28" i="202"/>
  <c r="M28" i="202"/>
  <c r="L28" i="202"/>
  <c r="K28" i="202"/>
  <c r="J28" i="202"/>
  <c r="I28" i="202"/>
  <c r="P24" i="202"/>
  <c r="O24" i="202"/>
  <c r="N24" i="202"/>
  <c r="M24" i="202"/>
  <c r="L24" i="202"/>
  <c r="K24" i="202"/>
  <c r="J24" i="202"/>
  <c r="I24" i="202"/>
  <c r="G24" i="202"/>
  <c r="P18" i="202"/>
  <c r="O18" i="202"/>
  <c r="N18" i="202"/>
  <c r="M18" i="202"/>
  <c r="L18" i="202"/>
  <c r="K18" i="202"/>
  <c r="J18" i="202"/>
  <c r="I18" i="202"/>
  <c r="P14" i="202"/>
  <c r="O14" i="202"/>
  <c r="N14" i="202"/>
  <c r="M14" i="202"/>
  <c r="L14" i="202"/>
  <c r="K14" i="202"/>
  <c r="J14" i="202"/>
  <c r="I14" i="202"/>
  <c r="Q33" i="197"/>
  <c r="P33" i="197"/>
  <c r="O33" i="197"/>
  <c r="N33" i="197"/>
  <c r="M33" i="197"/>
  <c r="L33" i="197"/>
  <c r="K33" i="197"/>
  <c r="J33" i="197"/>
  <c r="I33" i="197"/>
  <c r="I28" i="197"/>
  <c r="J28" i="197"/>
  <c r="K28" i="197"/>
  <c r="L28" i="197"/>
  <c r="M28" i="197"/>
  <c r="N28" i="197"/>
  <c r="O28" i="197"/>
  <c r="P28" i="197"/>
  <c r="Q28" i="197"/>
  <c r="Q45" i="197"/>
  <c r="P45" i="197"/>
  <c r="O45" i="197"/>
  <c r="N45" i="197"/>
  <c r="M45" i="197"/>
  <c r="L45" i="197"/>
  <c r="K45" i="197"/>
  <c r="J45" i="197"/>
  <c r="I45" i="197"/>
  <c r="Q24" i="197"/>
  <c r="P24" i="197"/>
  <c r="O24" i="197"/>
  <c r="N24" i="197"/>
  <c r="M24" i="197"/>
  <c r="L24" i="197"/>
  <c r="K24" i="197"/>
  <c r="J24" i="197"/>
  <c r="I24" i="197"/>
  <c r="G24" i="197"/>
  <c r="G126" i="197"/>
  <c r="I126" i="197"/>
  <c r="J126" i="197"/>
  <c r="K126" i="197"/>
  <c r="L126" i="197"/>
  <c r="M126" i="197"/>
  <c r="N126" i="197"/>
  <c r="O126" i="197"/>
  <c r="P126" i="197"/>
  <c r="Q126" i="197"/>
  <c r="G127" i="197"/>
  <c r="I127" i="197"/>
  <c r="J127" i="197"/>
  <c r="K127" i="197"/>
  <c r="L127" i="197"/>
  <c r="M127" i="197"/>
  <c r="N127" i="197"/>
  <c r="O127" i="197"/>
  <c r="P127" i="197"/>
  <c r="Q127" i="197"/>
  <c r="Q125" i="197"/>
  <c r="P125" i="197"/>
  <c r="O125" i="197"/>
  <c r="N125" i="197"/>
  <c r="M125" i="197"/>
  <c r="L125" i="197"/>
  <c r="K125" i="197"/>
  <c r="J125" i="197"/>
  <c r="I125" i="197"/>
  <c r="G125" i="197"/>
  <c r="I119" i="197"/>
  <c r="J119" i="197"/>
  <c r="K119" i="197"/>
  <c r="L119" i="197"/>
  <c r="M119" i="197"/>
  <c r="N119" i="197"/>
  <c r="O119" i="197"/>
  <c r="P119" i="197"/>
  <c r="Q119" i="197"/>
  <c r="I120" i="197"/>
  <c r="J120" i="197"/>
  <c r="K120" i="197"/>
  <c r="L120" i="197"/>
  <c r="M120" i="197"/>
  <c r="N120" i="197"/>
  <c r="O120" i="197"/>
  <c r="P120" i="197"/>
  <c r="Q120" i="197"/>
  <c r="I121" i="197"/>
  <c r="J121" i="197"/>
  <c r="K121" i="197"/>
  <c r="L121" i="197"/>
  <c r="M121" i="197"/>
  <c r="N121" i="197"/>
  <c r="O121" i="197"/>
  <c r="P121" i="197"/>
  <c r="Q121" i="197"/>
  <c r="I122" i="197"/>
  <c r="J122" i="197"/>
  <c r="K122" i="197"/>
  <c r="L122" i="197"/>
  <c r="M122" i="197"/>
  <c r="N122" i="197"/>
  <c r="O122" i="197"/>
  <c r="P122" i="197"/>
  <c r="Q122" i="197"/>
  <c r="I123" i="197"/>
  <c r="J123" i="197"/>
  <c r="K123" i="197"/>
  <c r="L123" i="197"/>
  <c r="M123" i="197"/>
  <c r="N123" i="197"/>
  <c r="O123" i="197"/>
  <c r="P123" i="197"/>
  <c r="Q123" i="197"/>
  <c r="Q118" i="197"/>
  <c r="P118" i="197"/>
  <c r="O118" i="197"/>
  <c r="N118" i="197"/>
  <c r="M118" i="197"/>
  <c r="L118" i="197"/>
  <c r="K118" i="197"/>
  <c r="J118" i="197"/>
  <c r="I118" i="197"/>
  <c r="G118" i="197"/>
  <c r="E109" i="197"/>
  <c r="F109" i="197"/>
  <c r="G109" i="197"/>
  <c r="H109" i="197"/>
  <c r="I109" i="197"/>
  <c r="J109" i="197"/>
  <c r="K109" i="197"/>
  <c r="L109" i="197"/>
  <c r="M109" i="197"/>
  <c r="N109" i="197"/>
  <c r="O109" i="197"/>
  <c r="P109" i="197"/>
  <c r="Q109" i="197"/>
  <c r="G111" i="197"/>
  <c r="I111" i="197"/>
  <c r="J111" i="197"/>
  <c r="K111" i="197"/>
  <c r="L111" i="197"/>
  <c r="M111" i="197"/>
  <c r="N111" i="197"/>
  <c r="O111" i="197"/>
  <c r="P111" i="197"/>
  <c r="Q111" i="197"/>
  <c r="G112" i="197"/>
  <c r="I112" i="197"/>
  <c r="J112" i="197"/>
  <c r="K112" i="197"/>
  <c r="L112" i="197"/>
  <c r="M112" i="197"/>
  <c r="N112" i="197"/>
  <c r="O112" i="197"/>
  <c r="P112" i="197"/>
  <c r="Q112" i="197"/>
  <c r="G113" i="197"/>
  <c r="I113" i="197"/>
  <c r="J113" i="197"/>
  <c r="K113" i="197"/>
  <c r="L113" i="197"/>
  <c r="M113" i="197"/>
  <c r="N113" i="197"/>
  <c r="O113" i="197"/>
  <c r="P113" i="197"/>
  <c r="Q113" i="197"/>
  <c r="Q108" i="197"/>
  <c r="P108" i="197"/>
  <c r="O108" i="197"/>
  <c r="N108" i="197"/>
  <c r="M108" i="197"/>
  <c r="L108" i="197"/>
  <c r="K108" i="197"/>
  <c r="J108" i="197"/>
  <c r="I108" i="197"/>
  <c r="G108" i="197"/>
  <c r="G93" i="197"/>
  <c r="I93" i="197"/>
  <c r="J93" i="197"/>
  <c r="K93" i="197"/>
  <c r="L93" i="197"/>
  <c r="M93" i="197"/>
  <c r="N93" i="197"/>
  <c r="O93" i="197"/>
  <c r="P93" i="197"/>
  <c r="Q93" i="197"/>
  <c r="G94" i="197"/>
  <c r="I94" i="197"/>
  <c r="J94" i="197"/>
  <c r="K94" i="197"/>
  <c r="L94" i="197"/>
  <c r="M94" i="197"/>
  <c r="N94" i="197"/>
  <c r="O94" i="197"/>
  <c r="P94" i="197"/>
  <c r="Q94" i="197"/>
  <c r="G95" i="197"/>
  <c r="I95" i="197"/>
  <c r="J95" i="197"/>
  <c r="K95" i="197"/>
  <c r="L95" i="197"/>
  <c r="M95" i="197"/>
  <c r="N95" i="197"/>
  <c r="O95" i="197"/>
  <c r="P95" i="197"/>
  <c r="Q95" i="197"/>
  <c r="G96" i="197"/>
  <c r="I96" i="197"/>
  <c r="J96" i="197"/>
  <c r="K96" i="197"/>
  <c r="L96" i="197"/>
  <c r="M96" i="197"/>
  <c r="N96" i="197"/>
  <c r="O96" i="197"/>
  <c r="P96" i="197"/>
  <c r="Q96" i="197"/>
  <c r="G97" i="197"/>
  <c r="I97" i="197"/>
  <c r="J97" i="197"/>
  <c r="K97" i="197"/>
  <c r="L97" i="197"/>
  <c r="M97" i="197"/>
  <c r="N97" i="197"/>
  <c r="O97" i="197"/>
  <c r="P97" i="197"/>
  <c r="Q97" i="197"/>
  <c r="G98" i="197"/>
  <c r="I98" i="197"/>
  <c r="J98" i="197"/>
  <c r="K98" i="197"/>
  <c r="L98" i="197"/>
  <c r="M98" i="197"/>
  <c r="N98" i="197"/>
  <c r="O98" i="197"/>
  <c r="P98" i="197"/>
  <c r="Q98" i="197"/>
  <c r="G99" i="197"/>
  <c r="I99" i="197"/>
  <c r="J99" i="197"/>
  <c r="K99" i="197"/>
  <c r="L99" i="197"/>
  <c r="M99" i="197"/>
  <c r="N99" i="197"/>
  <c r="O99" i="197"/>
  <c r="P99" i="197"/>
  <c r="Q99" i="197"/>
  <c r="G100" i="197"/>
  <c r="I100" i="197"/>
  <c r="J100" i="197"/>
  <c r="K100" i="197"/>
  <c r="L100" i="197"/>
  <c r="M100" i="197"/>
  <c r="N100" i="197"/>
  <c r="O100" i="197"/>
  <c r="P100" i="197"/>
  <c r="Q100" i="197"/>
  <c r="G101" i="197"/>
  <c r="I101" i="197"/>
  <c r="J101" i="197"/>
  <c r="K101" i="197"/>
  <c r="L101" i="197"/>
  <c r="M101" i="197"/>
  <c r="N101" i="197"/>
  <c r="O101" i="197"/>
  <c r="P101" i="197"/>
  <c r="Q101" i="197"/>
  <c r="G102" i="197"/>
  <c r="I102" i="197"/>
  <c r="J102" i="197"/>
  <c r="K102" i="197"/>
  <c r="L102" i="197"/>
  <c r="M102" i="197"/>
  <c r="N102" i="197"/>
  <c r="O102" i="197"/>
  <c r="P102" i="197"/>
  <c r="Q102" i="197"/>
  <c r="G103" i="197"/>
  <c r="I103" i="197"/>
  <c r="J103" i="197"/>
  <c r="K103" i="197"/>
  <c r="L103" i="197"/>
  <c r="M103" i="197"/>
  <c r="N103" i="197"/>
  <c r="O103" i="197"/>
  <c r="P103" i="197"/>
  <c r="Q103" i="197"/>
  <c r="Q92" i="197"/>
  <c r="P92" i="197"/>
  <c r="O92" i="197"/>
  <c r="N92" i="197"/>
  <c r="M92" i="197"/>
  <c r="L92" i="197"/>
  <c r="K92" i="197"/>
  <c r="J92" i="197"/>
  <c r="I92" i="197"/>
  <c r="G92" i="197"/>
  <c r="G80" i="197"/>
  <c r="I80" i="197"/>
  <c r="J80" i="197"/>
  <c r="K80" i="197"/>
  <c r="L80" i="197"/>
  <c r="M80" i="197"/>
  <c r="N80" i="197"/>
  <c r="O80" i="197"/>
  <c r="P80" i="197"/>
  <c r="G81" i="197"/>
  <c r="I81" i="197"/>
  <c r="J81" i="197"/>
  <c r="K81" i="197"/>
  <c r="L81" i="197"/>
  <c r="M81" i="197"/>
  <c r="N81" i="197"/>
  <c r="O81" i="197"/>
  <c r="P81" i="197"/>
  <c r="G82" i="197"/>
  <c r="I82" i="197"/>
  <c r="J82" i="197"/>
  <c r="K82" i="197"/>
  <c r="L82" i="197"/>
  <c r="M82" i="197"/>
  <c r="N82" i="197"/>
  <c r="O82" i="197"/>
  <c r="P82" i="197"/>
  <c r="G83" i="197"/>
  <c r="I83" i="197"/>
  <c r="J83" i="197"/>
  <c r="K83" i="197"/>
  <c r="L83" i="197"/>
  <c r="M83" i="197"/>
  <c r="N83" i="197"/>
  <c r="O83" i="197"/>
  <c r="P83" i="197"/>
  <c r="G84" i="197"/>
  <c r="I84" i="197"/>
  <c r="J84" i="197"/>
  <c r="K84" i="197"/>
  <c r="L84" i="197"/>
  <c r="M84" i="197"/>
  <c r="N84" i="197"/>
  <c r="O84" i="197"/>
  <c r="P84" i="197"/>
  <c r="G85" i="197"/>
  <c r="I85" i="197"/>
  <c r="J85" i="197"/>
  <c r="K85" i="197"/>
  <c r="L85" i="197"/>
  <c r="M85" i="197"/>
  <c r="N85" i="197"/>
  <c r="O85" i="197"/>
  <c r="P85" i="197"/>
  <c r="G86" i="197"/>
  <c r="I86" i="197"/>
  <c r="J86" i="197"/>
  <c r="K86" i="197"/>
  <c r="L86" i="197"/>
  <c r="M86" i="197"/>
  <c r="N86" i="197"/>
  <c r="O86" i="197"/>
  <c r="P86" i="197"/>
  <c r="G87" i="197"/>
  <c r="I87" i="197"/>
  <c r="J87" i="197"/>
  <c r="K87" i="197"/>
  <c r="L87" i="197"/>
  <c r="M87" i="197"/>
  <c r="N87" i="197"/>
  <c r="O87" i="197"/>
  <c r="P87" i="197"/>
  <c r="Q79" i="197"/>
  <c r="P79" i="197"/>
  <c r="O79" i="197"/>
  <c r="N79" i="197"/>
  <c r="M79" i="197"/>
  <c r="L79" i="197"/>
  <c r="K79" i="197"/>
  <c r="J79" i="197"/>
  <c r="I79" i="197"/>
  <c r="G79"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Q74" i="197"/>
  <c r="G75" i="197"/>
  <c r="I75" i="197"/>
  <c r="J75" i="197"/>
  <c r="K75" i="197"/>
  <c r="L75" i="197"/>
  <c r="M75" i="197"/>
  <c r="N75" i="197"/>
  <c r="O75" i="197"/>
  <c r="P75" i="197"/>
  <c r="Q75" i="197"/>
  <c r="G76" i="197"/>
  <c r="I76" i="197"/>
  <c r="J76" i="197"/>
  <c r="K76" i="197"/>
  <c r="L76" i="197"/>
  <c r="M76" i="197"/>
  <c r="N76" i="197"/>
  <c r="O76" i="197"/>
  <c r="P76" i="197"/>
  <c r="Q76" i="197"/>
  <c r="G77" i="197"/>
  <c r="I77" i="197"/>
  <c r="J77" i="197"/>
  <c r="K77" i="197"/>
  <c r="L77" i="197"/>
  <c r="M77" i="197"/>
  <c r="N77" i="197"/>
  <c r="O77" i="197"/>
  <c r="P77" i="197"/>
  <c r="Q77" i="197"/>
  <c r="Q70" i="197"/>
  <c r="P70" i="197"/>
  <c r="O70" i="197"/>
  <c r="N70" i="197"/>
  <c r="M70" i="197"/>
  <c r="L70" i="197"/>
  <c r="K70" i="197"/>
  <c r="J70" i="197"/>
  <c r="I70" i="197"/>
  <c r="G70"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Q64" i="197"/>
  <c r="G65" i="197"/>
  <c r="I65" i="197"/>
  <c r="J65" i="197"/>
  <c r="K65" i="197"/>
  <c r="L65" i="197"/>
  <c r="M65" i="197"/>
  <c r="N65" i="197"/>
  <c r="O65" i="197"/>
  <c r="P65" i="197"/>
  <c r="Q65" i="197"/>
  <c r="G66" i="197"/>
  <c r="I66" i="197"/>
  <c r="J66" i="197"/>
  <c r="K66" i="197"/>
  <c r="L66" i="197"/>
  <c r="M66" i="197"/>
  <c r="N66" i="197"/>
  <c r="O66" i="197"/>
  <c r="P66" i="197"/>
  <c r="Q66" i="197"/>
  <c r="G67" i="197"/>
  <c r="I67" i="197"/>
  <c r="J67" i="197"/>
  <c r="K67" i="197"/>
  <c r="L67" i="197"/>
  <c r="M67" i="197"/>
  <c r="N67" i="197"/>
  <c r="O67" i="197"/>
  <c r="P67" i="197"/>
  <c r="Q67" i="197"/>
  <c r="G68" i="197"/>
  <c r="I68" i="197"/>
  <c r="J68" i="197"/>
  <c r="K68" i="197"/>
  <c r="L68" i="197"/>
  <c r="M68" i="197"/>
  <c r="N68" i="197"/>
  <c r="O68" i="197"/>
  <c r="P68" i="197"/>
  <c r="Q68" i="197"/>
  <c r="Q61" i="197"/>
  <c r="P61" i="197"/>
  <c r="O61" i="197"/>
  <c r="N61" i="197"/>
  <c r="M61" i="197"/>
  <c r="L61" i="197"/>
  <c r="K61" i="197"/>
  <c r="J61" i="197"/>
  <c r="I61" i="197"/>
  <c r="G61" i="197"/>
  <c r="G53" i="197"/>
  <c r="I53" i="197"/>
  <c r="J53" i="197"/>
  <c r="K53" i="197"/>
  <c r="L53" i="197"/>
  <c r="M53" i="197"/>
  <c r="N53" i="197"/>
  <c r="O53" i="197"/>
  <c r="P53" i="197"/>
  <c r="Q53" i="197"/>
  <c r="G54" i="197"/>
  <c r="I54" i="197"/>
  <c r="J54" i="197"/>
  <c r="K54" i="197"/>
  <c r="L54" i="197"/>
  <c r="M54" i="197"/>
  <c r="N54" i="197"/>
  <c r="O54" i="197"/>
  <c r="P54" i="197"/>
  <c r="Q54" i="197"/>
  <c r="G55" i="197"/>
  <c r="I55" i="197"/>
  <c r="J55" i="197"/>
  <c r="K55" i="197"/>
  <c r="L55" i="197"/>
  <c r="M55" i="197"/>
  <c r="N55" i="197"/>
  <c r="O55" i="197"/>
  <c r="P55" i="197"/>
  <c r="Q55" i="197"/>
  <c r="Q52" i="197"/>
  <c r="P52" i="197"/>
  <c r="O52" i="197"/>
  <c r="N52" i="197"/>
  <c r="M52" i="197"/>
  <c r="L52" i="197"/>
  <c r="K52" i="197"/>
  <c r="J52" i="197"/>
  <c r="I52" i="197"/>
  <c r="G52" i="197"/>
  <c r="Q38" i="197"/>
  <c r="P38" i="197"/>
  <c r="O38" i="197"/>
  <c r="N38" i="197"/>
  <c r="M38" i="197"/>
  <c r="L38" i="197"/>
  <c r="K38" i="197"/>
  <c r="J38" i="197"/>
  <c r="I38" i="197"/>
  <c r="Q18" i="197"/>
  <c r="P18" i="197"/>
  <c r="O18" i="197"/>
  <c r="N18" i="197"/>
  <c r="M18" i="197"/>
  <c r="L18" i="197"/>
  <c r="K18" i="197"/>
  <c r="J18" i="197"/>
  <c r="I18" i="197"/>
  <c r="Q14" i="197"/>
  <c r="P14" i="197"/>
  <c r="O14" i="197"/>
  <c r="N14" i="197"/>
  <c r="M14" i="197"/>
  <c r="L14" i="197"/>
  <c r="K14" i="197"/>
  <c r="J14" i="197"/>
  <c r="I14" i="197"/>
  <c r="N117" i="202"/>
  <c r="N107" i="202"/>
  <c r="N91" i="202"/>
  <c r="N60" i="202"/>
  <c r="N51" i="202"/>
  <c r="N13" i="202"/>
  <c r="J117" i="202"/>
  <c r="J107" i="202"/>
  <c r="J91" i="202"/>
  <c r="J60" i="202"/>
  <c r="J51" i="202"/>
  <c r="J13" i="202"/>
  <c r="J117" i="197"/>
  <c r="J107" i="197"/>
  <c r="J91" i="197"/>
  <c r="J60" i="197"/>
  <c r="J51" i="197"/>
  <c r="J13" i="197"/>
  <c r="M117" i="197"/>
  <c r="M107" i="197"/>
  <c r="M91" i="197"/>
  <c r="M60" i="197"/>
  <c r="M56" i="197"/>
  <c r="M51" i="197"/>
  <c r="M13" i="197"/>
  <c r="H10" i="174"/>
  <c r="K21" i="174"/>
  <c r="F52" i="197" s="1"/>
  <c r="J21" i="174"/>
  <c r="C71" i="174"/>
  <c r="J71" i="174"/>
  <c r="K71" i="174"/>
  <c r="L71" i="174" s="1"/>
  <c r="H112" i="202" s="1"/>
  <c r="D47" i="202"/>
  <c r="C47" i="202"/>
  <c r="D46" i="202"/>
  <c r="C46" i="202"/>
  <c r="D45" i="202"/>
  <c r="C45" i="202"/>
  <c r="D47" i="197"/>
  <c r="C47" i="197"/>
  <c r="D46" i="197"/>
  <c r="C46" i="197"/>
  <c r="D45" i="197"/>
  <c r="C45" i="197"/>
  <c r="H14" i="174"/>
  <c r="G45" i="202" s="1"/>
  <c r="L69" i="174" l="1"/>
  <c r="F110" i="197"/>
  <c r="F110" i="202"/>
  <c r="E110" i="202"/>
  <c r="E110" i="197"/>
  <c r="G45" i="197"/>
  <c r="H112" i="197"/>
  <c r="E112" i="202"/>
  <c r="E112" i="197"/>
  <c r="E52" i="202"/>
  <c r="E52" i="197"/>
  <c r="F52" i="202"/>
  <c r="F112" i="197"/>
  <c r="F112" i="202"/>
  <c r="C14" i="174"/>
  <c r="C14" i="197"/>
  <c r="C15" i="197"/>
  <c r="C16" i="197"/>
  <c r="C18" i="197"/>
  <c r="C19" i="197"/>
  <c r="C20" i="197"/>
  <c r="C21" i="197"/>
  <c r="C22" i="197"/>
  <c r="C24" i="197"/>
  <c r="C25" i="197"/>
  <c r="C26" i="197"/>
  <c r="C28" i="197"/>
  <c r="C29" i="197"/>
  <c r="C30" i="197"/>
  <c r="C31" i="197"/>
  <c r="C33" i="197"/>
  <c r="C34" i="197"/>
  <c r="C35" i="197"/>
  <c r="C36" i="197"/>
  <c r="C38" i="197"/>
  <c r="C39" i="197"/>
  <c r="C40" i="197"/>
  <c r="C41" i="197"/>
  <c r="C42" i="197"/>
  <c r="C43" i="197"/>
  <c r="C52" i="197"/>
  <c r="C53" i="197"/>
  <c r="C54" i="197"/>
  <c r="C55" i="197"/>
  <c r="C56" i="197"/>
  <c r="C61" i="197"/>
  <c r="C62" i="197"/>
  <c r="C63" i="197"/>
  <c r="C64" i="197"/>
  <c r="C65" i="197"/>
  <c r="C66" i="197"/>
  <c r="C67" i="197"/>
  <c r="C68" i="197"/>
  <c r="C69" i="197"/>
  <c r="C70" i="197"/>
  <c r="C71" i="197"/>
  <c r="C72" i="197"/>
  <c r="C73" i="197"/>
  <c r="C74" i="197"/>
  <c r="C75" i="197"/>
  <c r="C76" i="197"/>
  <c r="C77" i="197"/>
  <c r="C78" i="197"/>
  <c r="C79" i="197"/>
  <c r="C80" i="197"/>
  <c r="C81" i="197"/>
  <c r="C82" i="197"/>
  <c r="C83" i="197"/>
  <c r="C84" i="197"/>
  <c r="C85" i="197"/>
  <c r="C86" i="197"/>
  <c r="C87" i="197"/>
  <c r="C92" i="197"/>
  <c r="C93" i="197"/>
  <c r="C94" i="197"/>
  <c r="C95" i="197"/>
  <c r="C96" i="197"/>
  <c r="C97" i="197"/>
  <c r="C98" i="197"/>
  <c r="C99" i="197"/>
  <c r="C100" i="197"/>
  <c r="C101" i="197"/>
  <c r="C102" i="197"/>
  <c r="C103" i="197"/>
  <c r="C108" i="197"/>
  <c r="C109" i="197"/>
  <c r="C111" i="197"/>
  <c r="C112" i="197"/>
  <c r="C113" i="197"/>
  <c r="C118" i="197"/>
  <c r="C119" i="197"/>
  <c r="C120" i="197"/>
  <c r="C121" i="197"/>
  <c r="C122" i="197"/>
  <c r="C123" i="197"/>
  <c r="C125" i="197"/>
  <c r="C126" i="197"/>
  <c r="C127" i="197"/>
  <c r="C130" i="197"/>
  <c r="K13" i="197"/>
  <c r="L13" i="197"/>
  <c r="N13" i="197"/>
  <c r="O13" i="197"/>
  <c r="P13" i="197"/>
  <c r="K51" i="197"/>
  <c r="L51" i="197"/>
  <c r="N51" i="197"/>
  <c r="O51" i="197"/>
  <c r="P51" i="197"/>
  <c r="K56" i="197"/>
  <c r="L56" i="197"/>
  <c r="N56" i="197"/>
  <c r="O56" i="197"/>
  <c r="P56" i="197"/>
  <c r="Q56" i="197"/>
  <c r="K60" i="197"/>
  <c r="L60" i="197"/>
  <c r="N60" i="197"/>
  <c r="O60" i="197"/>
  <c r="P60" i="197"/>
  <c r="K91" i="197"/>
  <c r="L91" i="197"/>
  <c r="N91" i="197"/>
  <c r="O91" i="197"/>
  <c r="P91" i="197"/>
  <c r="K107" i="197"/>
  <c r="L107" i="197"/>
  <c r="N107" i="197"/>
  <c r="O107" i="197"/>
  <c r="P107" i="197"/>
  <c r="K117" i="197"/>
  <c r="L117" i="197"/>
  <c r="N117" i="197"/>
  <c r="O117" i="197"/>
  <c r="P117" i="197"/>
  <c r="G56" i="197"/>
  <c r="H110" i="197" l="1"/>
  <c r="H110" i="202"/>
  <c r="H11" i="174"/>
  <c r="H12" i="174"/>
  <c r="H13" i="174"/>
  <c r="G38" i="197" l="1"/>
  <c r="G38" i="202"/>
  <c r="G33" i="202"/>
  <c r="G33" i="197"/>
  <c r="G28" i="197"/>
  <c r="G28" i="202"/>
  <c r="D4" i="202"/>
  <c r="C36" i="174"/>
  <c r="C37" i="174"/>
  <c r="C39" i="174"/>
  <c r="C43" i="174"/>
  <c r="C55" i="174"/>
  <c r="C56" i="174"/>
  <c r="C57" i="174"/>
  <c r="C58" i="174"/>
  <c r="C59" i="174"/>
  <c r="C60" i="174"/>
  <c r="C61" i="174"/>
  <c r="C62" i="174"/>
  <c r="C63" i="174"/>
  <c r="C67" i="174"/>
  <c r="C66" i="174"/>
  <c r="C45" i="174"/>
  <c r="K21" i="204" l="1"/>
  <c r="C25" i="174"/>
  <c r="C26" i="174"/>
  <c r="C27" i="174"/>
  <c r="C28" i="174"/>
  <c r="C24" i="174"/>
  <c r="C21" i="174"/>
  <c r="C109" i="202"/>
  <c r="D109" i="202"/>
  <c r="C111" i="202"/>
  <c r="D111" i="202"/>
  <c r="C112" i="202"/>
  <c r="D112" i="202"/>
  <c r="C113" i="202"/>
  <c r="D113" i="202"/>
  <c r="C98" i="202"/>
  <c r="D98" i="202"/>
  <c r="C99" i="202"/>
  <c r="D99" i="202"/>
  <c r="C100" i="202"/>
  <c r="D100" i="202"/>
  <c r="C101" i="202"/>
  <c r="D101" i="202"/>
  <c r="C102" i="202"/>
  <c r="D102" i="202"/>
  <c r="D79" i="197"/>
  <c r="C15" i="195"/>
  <c r="C67" i="202"/>
  <c r="D67" i="202"/>
  <c r="C68" i="202"/>
  <c r="D68" i="202"/>
  <c r="C56" i="202"/>
  <c r="D56" i="202"/>
  <c r="G56" i="202"/>
  <c r="L56" i="202"/>
  <c r="M56" i="202"/>
  <c r="O56" i="202"/>
  <c r="P56" i="202"/>
  <c r="Q56" i="202"/>
  <c r="D36" i="202"/>
  <c r="C36" i="202"/>
  <c r="D35" i="202"/>
  <c r="C35" i="202"/>
  <c r="D34" i="202"/>
  <c r="C34" i="202"/>
  <c r="D33" i="202"/>
  <c r="C33" i="202"/>
  <c r="M15" i="204" l="1"/>
  <c r="H8" i="174"/>
  <c r="D112" i="197"/>
  <c r="D113" i="197"/>
  <c r="D109" i="197"/>
  <c r="D111" i="197"/>
  <c r="D98" i="197"/>
  <c r="D99" i="197"/>
  <c r="D100" i="197"/>
  <c r="D101" i="197"/>
  <c r="D102" i="197"/>
  <c r="D103" i="197"/>
  <c r="D77" i="197"/>
  <c r="D76" i="197"/>
  <c r="D85" i="197"/>
  <c r="D86" i="197"/>
  <c r="D87" i="197"/>
  <c r="M15" i="195"/>
  <c r="D68" i="197"/>
  <c r="D56" i="197"/>
  <c r="D36" i="197"/>
  <c r="D35" i="197"/>
  <c r="D34" i="197"/>
  <c r="D33" i="197"/>
  <c r="C12" i="174"/>
  <c r="C11" i="174"/>
  <c r="G14" i="202" l="1"/>
  <c r="G14" i="197"/>
  <c r="G18" i="197"/>
  <c r="G18" i="202"/>
  <c r="D31" i="197"/>
  <c r="D21" i="197"/>
  <c r="D22" i="197"/>
  <c r="C13" i="174"/>
  <c r="C10" i="174"/>
  <c r="J23" i="174" l="1"/>
  <c r="K23" i="174"/>
  <c r="F54" i="197" l="1"/>
  <c r="F54" i="202"/>
  <c r="E54" i="197"/>
  <c r="E54" i="202"/>
  <c r="L23" i="174"/>
  <c r="K19" i="174"/>
  <c r="F56" i="197" s="1"/>
  <c r="J19" i="174"/>
  <c r="E56" i="197" s="1"/>
  <c r="J41" i="174"/>
  <c r="K41" i="174"/>
  <c r="J42" i="174"/>
  <c r="K42" i="174"/>
  <c r="E74" i="202" l="1"/>
  <c r="E74" i="197"/>
  <c r="E75" i="202"/>
  <c r="E75" i="197"/>
  <c r="H54" i="202"/>
  <c r="H54" i="197"/>
  <c r="F75" i="197"/>
  <c r="F75" i="202"/>
  <c r="F74" i="202"/>
  <c r="F74" i="197"/>
  <c r="L41" i="174"/>
  <c r="L42" i="174"/>
  <c r="E56" i="202"/>
  <c r="L19" i="174"/>
  <c r="F56" i="202"/>
  <c r="J72" i="174"/>
  <c r="K72" i="174"/>
  <c r="J30" i="174"/>
  <c r="J29" i="174"/>
  <c r="J28" i="174"/>
  <c r="J64" i="174"/>
  <c r="K64" i="174"/>
  <c r="J65" i="174"/>
  <c r="K65" i="174"/>
  <c r="J66" i="174"/>
  <c r="K66" i="174"/>
  <c r="K62" i="174"/>
  <c r="J62" i="174"/>
  <c r="J67" i="174"/>
  <c r="K67" i="174"/>
  <c r="J70" i="174"/>
  <c r="K70" i="174"/>
  <c r="E111" i="202" l="1"/>
  <c r="E111" i="197"/>
  <c r="F102" i="202"/>
  <c r="F102" i="197"/>
  <c r="H75" i="202"/>
  <c r="H75" i="197"/>
  <c r="E102" i="202"/>
  <c r="E102" i="197"/>
  <c r="H74" i="197"/>
  <c r="H74" i="202"/>
  <c r="F101" i="202"/>
  <c r="F101" i="197"/>
  <c r="E101" i="202"/>
  <c r="E101" i="197"/>
  <c r="E65" i="202"/>
  <c r="E65" i="197"/>
  <c r="E66" i="202"/>
  <c r="E66" i="197"/>
  <c r="F111" i="202"/>
  <c r="F111" i="197"/>
  <c r="F108" i="197"/>
  <c r="F108" i="202"/>
  <c r="E67" i="202"/>
  <c r="E67" i="197"/>
  <c r="F113" i="202"/>
  <c r="F113" i="197"/>
  <c r="E99" i="197"/>
  <c r="E99" i="202"/>
  <c r="E113" i="197"/>
  <c r="E113" i="202"/>
  <c r="F99" i="197"/>
  <c r="F99" i="202"/>
  <c r="F103" i="202"/>
  <c r="F103" i="197"/>
  <c r="E108" i="202"/>
  <c r="E108" i="197"/>
  <c r="E103" i="202"/>
  <c r="E103" i="197"/>
  <c r="K14" i="174"/>
  <c r="J14" i="174"/>
  <c r="L67" i="174"/>
  <c r="K56" i="202"/>
  <c r="I56" i="202"/>
  <c r="I56" i="197"/>
  <c r="L62" i="174"/>
  <c r="L72" i="174"/>
  <c r="L66" i="174"/>
  <c r="H56" i="202"/>
  <c r="H56" i="197"/>
  <c r="L65" i="174"/>
  <c r="L70" i="174"/>
  <c r="L64" i="174"/>
  <c r="J39" i="174"/>
  <c r="K39" i="174"/>
  <c r="J40" i="174"/>
  <c r="K40" i="174"/>
  <c r="J43" i="174"/>
  <c r="K43" i="174"/>
  <c r="J37" i="174"/>
  <c r="K37" i="174"/>
  <c r="J36" i="174"/>
  <c r="K36" i="174"/>
  <c r="J38" i="174"/>
  <c r="K38" i="174"/>
  <c r="J32" i="174"/>
  <c r="K32" i="174"/>
  <c r="L32" i="174" s="1"/>
  <c r="J33" i="174"/>
  <c r="K33" i="174"/>
  <c r="L33" i="174" s="1"/>
  <c r="J34" i="174"/>
  <c r="K34" i="174"/>
  <c r="L34" i="174" s="1"/>
  <c r="K28" i="174"/>
  <c r="K30" i="174"/>
  <c r="J31" i="174"/>
  <c r="K31" i="174"/>
  <c r="J24" i="174"/>
  <c r="K24" i="174"/>
  <c r="J48" i="174"/>
  <c r="K48" i="174"/>
  <c r="J49" i="174"/>
  <c r="K49" i="174"/>
  <c r="J46" i="174"/>
  <c r="K46" i="174"/>
  <c r="J47" i="174"/>
  <c r="K47" i="174"/>
  <c r="J50" i="174"/>
  <c r="K50" i="174"/>
  <c r="J51" i="174"/>
  <c r="K51" i="174"/>
  <c r="J52" i="174"/>
  <c r="K52" i="174"/>
  <c r="J53" i="174"/>
  <c r="K53" i="174"/>
  <c r="J54" i="174"/>
  <c r="K54" i="174"/>
  <c r="J55" i="174"/>
  <c r="K55" i="174"/>
  <c r="J56" i="174"/>
  <c r="K56" i="174"/>
  <c r="J58" i="174"/>
  <c r="K58" i="174"/>
  <c r="J61" i="174"/>
  <c r="K61" i="174"/>
  <c r="J68" i="174"/>
  <c r="K68" i="174"/>
  <c r="J59" i="174"/>
  <c r="K59" i="174"/>
  <c r="J57" i="174"/>
  <c r="K57" i="174"/>
  <c r="J60" i="174"/>
  <c r="K60" i="174"/>
  <c r="K45" i="174"/>
  <c r="J45" i="174"/>
  <c r="J22" i="174"/>
  <c r="K22" i="174"/>
  <c r="K29" i="174"/>
  <c r="J27" i="174"/>
  <c r="K27" i="174"/>
  <c r="J26" i="174"/>
  <c r="K26" i="174"/>
  <c r="J25" i="174"/>
  <c r="K25" i="174"/>
  <c r="J63" i="174"/>
  <c r="K63" i="174"/>
  <c r="K9" i="174" l="1"/>
  <c r="J9" i="174"/>
  <c r="F94" i="202"/>
  <c r="F94" i="197"/>
  <c r="F81" i="202"/>
  <c r="F81" i="197"/>
  <c r="E81" i="202"/>
  <c r="E81" i="197"/>
  <c r="F77" i="202"/>
  <c r="F77" i="197"/>
  <c r="H113" i="202"/>
  <c r="H113" i="197"/>
  <c r="F71" i="202"/>
  <c r="F71" i="197"/>
  <c r="H103" i="202"/>
  <c r="H103" i="197"/>
  <c r="F76" i="197"/>
  <c r="F76" i="202"/>
  <c r="E76" i="197"/>
  <c r="E76" i="202"/>
  <c r="E77" i="197"/>
  <c r="E77" i="202"/>
  <c r="H99" i="202"/>
  <c r="H99" i="197"/>
  <c r="F73" i="202"/>
  <c r="F73" i="197"/>
  <c r="F67" i="202"/>
  <c r="F67" i="197"/>
  <c r="F65" i="197"/>
  <c r="F65" i="202"/>
  <c r="F80" i="202"/>
  <c r="F80" i="197"/>
  <c r="F64" i="202"/>
  <c r="F64" i="197"/>
  <c r="E96" i="202"/>
  <c r="E96" i="197"/>
  <c r="E80" i="202"/>
  <c r="E80" i="197"/>
  <c r="E64" i="202"/>
  <c r="E64" i="197"/>
  <c r="F87" i="202"/>
  <c r="F87" i="197"/>
  <c r="F83" i="202"/>
  <c r="F83" i="197"/>
  <c r="F66" i="202"/>
  <c r="F66" i="197"/>
  <c r="E87" i="202"/>
  <c r="E87" i="197"/>
  <c r="E83" i="202"/>
  <c r="E83" i="197"/>
  <c r="E73" i="202"/>
  <c r="E73" i="197"/>
  <c r="E92" i="202"/>
  <c r="E92" i="197"/>
  <c r="E63" i="202"/>
  <c r="E63" i="197"/>
  <c r="F86" i="202"/>
  <c r="F86" i="197"/>
  <c r="F82" i="202"/>
  <c r="F82" i="197"/>
  <c r="F72" i="202"/>
  <c r="F72" i="197"/>
  <c r="E72" i="202"/>
  <c r="E72" i="197"/>
  <c r="H108" i="202"/>
  <c r="H108" i="197"/>
  <c r="E79" i="202"/>
  <c r="E79" i="197"/>
  <c r="F95" i="202"/>
  <c r="F95" i="197"/>
  <c r="F85" i="202"/>
  <c r="F85" i="197"/>
  <c r="F61" i="202"/>
  <c r="F61" i="197"/>
  <c r="H101" i="202"/>
  <c r="H101" i="197"/>
  <c r="E45" i="197"/>
  <c r="E45" i="202"/>
  <c r="E62" i="202"/>
  <c r="E62" i="197"/>
  <c r="E71" i="197"/>
  <c r="E71" i="202"/>
  <c r="F53" i="197"/>
  <c r="F53" i="202"/>
  <c r="E98" i="202"/>
  <c r="E98" i="197"/>
  <c r="E82" i="202"/>
  <c r="E82" i="197"/>
  <c r="F100" i="202"/>
  <c r="F100" i="197"/>
  <c r="F79" i="202"/>
  <c r="F79" i="197"/>
  <c r="E95" i="202"/>
  <c r="E95" i="197"/>
  <c r="E85" i="202"/>
  <c r="E85" i="197"/>
  <c r="E61" i="202"/>
  <c r="E61" i="197"/>
  <c r="H111" i="202"/>
  <c r="H111" i="197"/>
  <c r="F45" i="197"/>
  <c r="F45" i="202"/>
  <c r="E94" i="202"/>
  <c r="E94" i="197"/>
  <c r="F96" i="202"/>
  <c r="F96" i="197"/>
  <c r="F98" i="197"/>
  <c r="F98" i="202"/>
  <c r="E100" i="197"/>
  <c r="E100" i="202"/>
  <c r="F97" i="202"/>
  <c r="F97" i="197"/>
  <c r="F93" i="202"/>
  <c r="F93" i="197"/>
  <c r="F84" i="202"/>
  <c r="F84" i="197"/>
  <c r="F68" i="197"/>
  <c r="F68" i="202"/>
  <c r="F70" i="197"/>
  <c r="F70" i="202"/>
  <c r="H102" i="202"/>
  <c r="H102" i="197"/>
  <c r="F92" i="202"/>
  <c r="F92" i="197"/>
  <c r="F63" i="202"/>
  <c r="F63" i="197"/>
  <c r="E53" i="197"/>
  <c r="E53" i="202"/>
  <c r="E86" i="202"/>
  <c r="E86" i="197"/>
  <c r="F62" i="202"/>
  <c r="F62" i="197"/>
  <c r="E97" i="202"/>
  <c r="E97" i="197"/>
  <c r="E93" i="202"/>
  <c r="E93" i="197"/>
  <c r="E84" i="202"/>
  <c r="E84" i="197"/>
  <c r="E68" i="202"/>
  <c r="E68" i="197"/>
  <c r="E70" i="202"/>
  <c r="E70" i="197"/>
  <c r="K13" i="174"/>
  <c r="J13" i="174"/>
  <c r="K10" i="174"/>
  <c r="J10" i="174"/>
  <c r="L14" i="174"/>
  <c r="L22" i="174"/>
  <c r="L48" i="174"/>
  <c r="L60" i="174"/>
  <c r="L56" i="174"/>
  <c r="L50" i="174"/>
  <c r="L24" i="174"/>
  <c r="L38" i="174"/>
  <c r="L25" i="174"/>
  <c r="L58" i="174"/>
  <c r="L57" i="174"/>
  <c r="L47" i="174"/>
  <c r="L37" i="174"/>
  <c r="L59" i="174"/>
  <c r="L46" i="174"/>
  <c r="L27" i="174"/>
  <c r="L49" i="174"/>
  <c r="L29" i="174"/>
  <c r="L26" i="174"/>
  <c r="L28" i="174"/>
  <c r="L40" i="174"/>
  <c r="L39" i="174"/>
  <c r="K12" i="174"/>
  <c r="K11" i="174"/>
  <c r="J12" i="174"/>
  <c r="J11" i="174"/>
  <c r="L36" i="174"/>
  <c r="L30" i="174"/>
  <c r="L68" i="174"/>
  <c r="L54" i="174"/>
  <c r="L43" i="174"/>
  <c r="L61" i="174"/>
  <c r="L53" i="174"/>
  <c r="L52" i="174"/>
  <c r="L63" i="174"/>
  <c r="L45" i="174"/>
  <c r="L51" i="174"/>
  <c r="L55" i="174"/>
  <c r="L31" i="174"/>
  <c r="J75" i="174"/>
  <c r="K75" i="174"/>
  <c r="J76" i="174"/>
  <c r="K76" i="174"/>
  <c r="J77" i="174"/>
  <c r="K77" i="174"/>
  <c r="J78" i="174"/>
  <c r="K78" i="174"/>
  <c r="J79" i="174"/>
  <c r="K79" i="174"/>
  <c r="K74" i="174"/>
  <c r="J74" i="174"/>
  <c r="F24" i="202" l="1"/>
  <c r="F24" i="197"/>
  <c r="H86" i="197"/>
  <c r="H86" i="202"/>
  <c r="H72" i="202"/>
  <c r="H72" i="197"/>
  <c r="H95" i="202"/>
  <c r="H95" i="197"/>
  <c r="E24" i="202"/>
  <c r="E24" i="197"/>
  <c r="H87" i="202"/>
  <c r="H87" i="197"/>
  <c r="E38" i="197"/>
  <c r="E38" i="202"/>
  <c r="H62" i="202"/>
  <c r="H62" i="197"/>
  <c r="H65" i="202"/>
  <c r="H65" i="197"/>
  <c r="H63" i="202"/>
  <c r="H63" i="197"/>
  <c r="H76" i="202"/>
  <c r="H76" i="197"/>
  <c r="H66" i="202"/>
  <c r="H66" i="197"/>
  <c r="H84" i="197"/>
  <c r="H84" i="202"/>
  <c r="H98" i="202"/>
  <c r="H98" i="197"/>
  <c r="H77" i="202"/>
  <c r="H77" i="197"/>
  <c r="E118" i="197"/>
  <c r="E118" i="202"/>
  <c r="E14" i="202"/>
  <c r="E14" i="197"/>
  <c r="H83" i="202"/>
  <c r="H83" i="197"/>
  <c r="H93" i="202"/>
  <c r="H93" i="197"/>
  <c r="F118" i="202"/>
  <c r="F118" i="197"/>
  <c r="H68" i="197"/>
  <c r="M16" i="195" s="1"/>
  <c r="H68" i="202"/>
  <c r="M16" i="204" s="1"/>
  <c r="H67" i="202"/>
  <c r="H67" i="197"/>
  <c r="H64" i="202"/>
  <c r="H64" i="197"/>
  <c r="H97" i="197"/>
  <c r="H97" i="202"/>
  <c r="F14" i="197"/>
  <c r="F14" i="202"/>
  <c r="H70" i="197"/>
  <c r="H70" i="202"/>
  <c r="H80" i="197"/>
  <c r="H80" i="202"/>
  <c r="H82" i="202"/>
  <c r="H82" i="197"/>
  <c r="H92" i="202"/>
  <c r="H92" i="197"/>
  <c r="E28" i="197"/>
  <c r="E28" i="202"/>
  <c r="H96" i="197"/>
  <c r="H96" i="202"/>
  <c r="H53" i="202"/>
  <c r="H53" i="197"/>
  <c r="H73" i="197"/>
  <c r="H73" i="202"/>
  <c r="F38" i="197"/>
  <c r="F38" i="202"/>
  <c r="H85" i="197"/>
  <c r="H85" i="202"/>
  <c r="E33" i="197"/>
  <c r="E33" i="202"/>
  <c r="H71" i="202"/>
  <c r="H71" i="197"/>
  <c r="E18" i="197"/>
  <c r="E18" i="202"/>
  <c r="H79" i="202"/>
  <c r="H79" i="197"/>
  <c r="C16" i="195" s="1"/>
  <c r="F28" i="202"/>
  <c r="F28" i="197"/>
  <c r="H81" i="202"/>
  <c r="H81" i="197"/>
  <c r="F18" i="197"/>
  <c r="F18" i="202"/>
  <c r="H61" i="197"/>
  <c r="H61" i="202"/>
  <c r="H100" i="202"/>
  <c r="H100" i="197"/>
  <c r="F33" i="197"/>
  <c r="F33" i="202"/>
  <c r="H94" i="197"/>
  <c r="H94" i="202"/>
  <c r="H45" i="202"/>
  <c r="H45" i="197"/>
  <c r="L9" i="174"/>
  <c r="L13" i="174"/>
  <c r="L10" i="174"/>
  <c r="L8" i="174"/>
  <c r="L11" i="174"/>
  <c r="L12" i="174"/>
  <c r="D72" i="202"/>
  <c r="D73" i="202"/>
  <c r="D74" i="202"/>
  <c r="D75" i="202"/>
  <c r="D76" i="202"/>
  <c r="D77" i="202"/>
  <c r="C63" i="202"/>
  <c r="D63" i="202"/>
  <c r="C64" i="202"/>
  <c r="D64" i="202"/>
  <c r="C65" i="202"/>
  <c r="D65" i="202"/>
  <c r="C66" i="202"/>
  <c r="D66" i="202"/>
  <c r="C53" i="202"/>
  <c r="D53" i="202"/>
  <c r="C54" i="202"/>
  <c r="D54" i="202"/>
  <c r="C55" i="202"/>
  <c r="D55" i="202"/>
  <c r="C40" i="202"/>
  <c r="D40" i="202"/>
  <c r="C41" i="202"/>
  <c r="D41" i="202"/>
  <c r="C42" i="202"/>
  <c r="D42" i="202"/>
  <c r="C43" i="202"/>
  <c r="D43" i="202"/>
  <c r="C30" i="202"/>
  <c r="D30" i="202"/>
  <c r="C25" i="202"/>
  <c r="D26" i="202"/>
  <c r="C26" i="202"/>
  <c r="C19" i="202"/>
  <c r="D19" i="202"/>
  <c r="C20" i="202"/>
  <c r="D20" i="202"/>
  <c r="D39" i="202"/>
  <c r="C39" i="202"/>
  <c r="D38" i="202"/>
  <c r="D18" i="202"/>
  <c r="D14" i="202"/>
  <c r="P117" i="202"/>
  <c r="O117" i="202"/>
  <c r="M117" i="202"/>
  <c r="L117" i="202"/>
  <c r="K117" i="202"/>
  <c r="I117" i="202"/>
  <c r="P107" i="202"/>
  <c r="O107" i="202"/>
  <c r="M107" i="202"/>
  <c r="L107" i="202"/>
  <c r="K107" i="202"/>
  <c r="I107" i="202"/>
  <c r="P91" i="202"/>
  <c r="O91" i="202"/>
  <c r="M91" i="202"/>
  <c r="L91" i="202"/>
  <c r="K91" i="202"/>
  <c r="I91" i="202"/>
  <c r="P60" i="202"/>
  <c r="O60" i="202"/>
  <c r="M60" i="202"/>
  <c r="L60" i="202"/>
  <c r="K60" i="202"/>
  <c r="I60" i="202"/>
  <c r="P51" i="202"/>
  <c r="O51" i="202"/>
  <c r="M51" i="202"/>
  <c r="L51" i="202"/>
  <c r="K51" i="202"/>
  <c r="I51" i="202"/>
  <c r="P13" i="202"/>
  <c r="O13" i="202"/>
  <c r="L13" i="202"/>
  <c r="K13" i="202"/>
  <c r="I13" i="202"/>
  <c r="H14" i="197" l="1"/>
  <c r="H14" i="202"/>
  <c r="H38" i="197"/>
  <c r="H38" i="202"/>
  <c r="H33" i="202"/>
  <c r="H33" i="197"/>
  <c r="H18" i="197"/>
  <c r="H18" i="202"/>
  <c r="H28" i="197"/>
  <c r="H28" i="202"/>
  <c r="H24" i="202"/>
  <c r="H24" i="197"/>
  <c r="H15" i="204"/>
  <c r="D30" i="197"/>
  <c r="D29" i="197"/>
  <c r="D28" i="197"/>
  <c r="D26" i="197"/>
  <c r="D25" i="197"/>
  <c r="D24" i="197"/>
  <c r="D64" i="197"/>
  <c r="D65" i="197"/>
  <c r="D66" i="197"/>
  <c r="D72" i="197"/>
  <c r="D73" i="197"/>
  <c r="D74" i="197"/>
  <c r="D53" i="197"/>
  <c r="D54" i="197"/>
  <c r="D55" i="197"/>
  <c r="D41" i="197"/>
  <c r="D40" i="197"/>
  <c r="D42" i="197"/>
  <c r="D43" i="197"/>
  <c r="D14" i="197"/>
  <c r="D18" i="197"/>
  <c r="D20" i="197"/>
  <c r="I117" i="197"/>
  <c r="I107" i="197"/>
  <c r="I91" i="197"/>
  <c r="I60" i="197"/>
  <c r="I51" i="197"/>
  <c r="I13" i="197"/>
  <c r="C38" i="202" l="1"/>
  <c r="L21" i="174" l="1"/>
  <c r="H16" i="204"/>
  <c r="J20" i="174"/>
  <c r="K20" i="174"/>
  <c r="F55" i="202" l="1"/>
  <c r="F55" i="197"/>
  <c r="E55" i="197"/>
  <c r="E55" i="202"/>
  <c r="H52" i="197"/>
  <c r="H52" i="202"/>
  <c r="H16" i="195"/>
  <c r="L20" i="174"/>
  <c r="H55" i="202" l="1"/>
  <c r="H55" i="197"/>
  <c r="M21" i="204"/>
  <c r="M11" i="204"/>
  <c r="C11" i="204"/>
  <c r="C9" i="174"/>
  <c r="C8" i="174"/>
  <c r="J56" i="197" l="1"/>
  <c r="J56" i="202"/>
  <c r="N56" i="202"/>
  <c r="C21" i="204"/>
  <c r="H11" i="204"/>
  <c r="C21" i="195"/>
  <c r="M11" i="195"/>
  <c r="M21" i="195"/>
  <c r="H11" i="195"/>
  <c r="C11" i="195"/>
  <c r="D87" i="202"/>
  <c r="C87" i="202"/>
  <c r="C77" i="202"/>
  <c r="C76" i="202"/>
  <c r="C75" i="202"/>
  <c r="C74" i="202"/>
  <c r="C73" i="202"/>
  <c r="C69" i="202"/>
  <c r="C29" i="202"/>
  <c r="D29" i="202"/>
  <c r="D24" i="202"/>
  <c r="D3" i="202"/>
  <c r="D4" i="197"/>
  <c r="D97" i="197" l="1"/>
  <c r="M20" i="195"/>
  <c r="D96" i="197"/>
  <c r="D83" i="197" l="1"/>
  <c r="D82" i="197"/>
  <c r="D81" i="197"/>
  <c r="D80" i="197"/>
  <c r="D84" i="197"/>
  <c r="D19" i="197" l="1"/>
  <c r="C16" i="204" l="1"/>
  <c r="D15" i="197" l="1"/>
  <c r="H21" i="204" l="1"/>
  <c r="I21" i="204" s="1"/>
  <c r="H21" i="195"/>
  <c r="L79" i="174" l="1"/>
  <c r="L78" i="174"/>
  <c r="L77" i="174"/>
  <c r="L76" i="174"/>
  <c r="C72" i="202"/>
  <c r="M13" i="202"/>
  <c r="D75" i="197"/>
  <c r="D3" i="197"/>
  <c r="C83" i="202" l="1"/>
  <c r="D83" i="202"/>
  <c r="C78" i="202"/>
  <c r="L6" i="174" l="1"/>
  <c r="H11" i="197"/>
  <c r="K82" i="174"/>
  <c r="J82" i="174"/>
  <c r="K81" i="174"/>
  <c r="J81" i="174"/>
  <c r="K80" i="174"/>
  <c r="J80" i="174"/>
  <c r="E125" i="202" l="1"/>
  <c r="E125" i="197"/>
  <c r="F125" i="197"/>
  <c r="F125" i="202"/>
  <c r="E126" i="197"/>
  <c r="E126" i="202"/>
  <c r="E127" i="197"/>
  <c r="E127" i="202"/>
  <c r="F126" i="197"/>
  <c r="F126" i="202"/>
  <c r="F127" i="202"/>
  <c r="F127" i="197"/>
  <c r="C31" i="204"/>
  <c r="P21" i="204"/>
  <c r="F21" i="204"/>
  <c r="P16" i="204"/>
  <c r="K16" i="204"/>
  <c r="F16" i="204"/>
  <c r="P11" i="204"/>
  <c r="K11" i="204"/>
  <c r="F11" i="204"/>
  <c r="D16" i="197" l="1"/>
  <c r="H73" i="174" l="1"/>
  <c r="L75" i="174"/>
  <c r="L74" i="174"/>
  <c r="L80" i="174"/>
  <c r="L81" i="174"/>
  <c r="J73" i="174"/>
  <c r="H126" i="202" l="1"/>
  <c r="H126" i="197"/>
  <c r="H125" i="202"/>
  <c r="H125" i="197"/>
  <c r="H118" i="202"/>
  <c r="H118" i="197"/>
  <c r="K73" i="174"/>
  <c r="C31" i="195"/>
  <c r="D31" i="195"/>
  <c r="C126" i="202" l="1"/>
  <c r="C127" i="202"/>
  <c r="C125" i="202"/>
  <c r="C119" i="202"/>
  <c r="C120" i="202"/>
  <c r="C121" i="202"/>
  <c r="C122" i="202"/>
  <c r="C123" i="202"/>
  <c r="C118" i="202"/>
  <c r="C108" i="202"/>
  <c r="C93" i="202"/>
  <c r="C94" i="202"/>
  <c r="C95" i="202"/>
  <c r="C96" i="202"/>
  <c r="C97" i="202"/>
  <c r="C103" i="202"/>
  <c r="C92" i="202"/>
  <c r="C85" i="202"/>
  <c r="C86" i="202"/>
  <c r="D84" i="202"/>
  <c r="C84" i="202"/>
  <c r="C62" i="202"/>
  <c r="C70" i="202"/>
  <c r="C71" i="202"/>
  <c r="C79" i="202"/>
  <c r="C80" i="202"/>
  <c r="C81" i="202"/>
  <c r="C82" i="202"/>
  <c r="C61" i="202"/>
  <c r="C52" i="202"/>
  <c r="D31" i="202"/>
  <c r="C31" i="202"/>
  <c r="D25" i="202"/>
  <c r="C28" i="202"/>
  <c r="C24" i="202"/>
  <c r="C18" i="202"/>
  <c r="C14" i="202"/>
  <c r="D22" i="202"/>
  <c r="C22" i="202"/>
  <c r="D21" i="202"/>
  <c r="C21" i="202"/>
  <c r="C15" i="202"/>
  <c r="C16" i="202"/>
  <c r="D15" i="202"/>
  <c r="C130" i="202"/>
  <c r="D127" i="202"/>
  <c r="D126" i="202"/>
  <c r="D125" i="202"/>
  <c r="D123" i="202"/>
  <c r="D122" i="202"/>
  <c r="D121" i="202"/>
  <c r="D120" i="202"/>
  <c r="D119" i="202"/>
  <c r="D118" i="202"/>
  <c r="D108" i="202"/>
  <c r="D103" i="202"/>
  <c r="D97" i="202"/>
  <c r="D96" i="202"/>
  <c r="D95" i="202"/>
  <c r="D94" i="202"/>
  <c r="D93" i="202"/>
  <c r="D92" i="202"/>
  <c r="D86" i="202"/>
  <c r="D85" i="202"/>
  <c r="D82" i="202"/>
  <c r="D81" i="202"/>
  <c r="D80" i="202"/>
  <c r="D79" i="202"/>
  <c r="D71" i="202"/>
  <c r="D70" i="202"/>
  <c r="D62" i="202"/>
  <c r="D61" i="202"/>
  <c r="D52" i="202"/>
  <c r="D28" i="202"/>
  <c r="D16" i="202"/>
  <c r="H11" i="202"/>
  <c r="D38" i="197"/>
  <c r="C15" i="204" l="1"/>
  <c r="M10" i="204"/>
  <c r="H10" i="204"/>
  <c r="H20" i="204"/>
  <c r="C10" i="204"/>
  <c r="M20" i="204"/>
  <c r="D39" i="197"/>
  <c r="D52" i="197"/>
  <c r="D126" i="197"/>
  <c r="D127" i="197"/>
  <c r="D125" i="197"/>
  <c r="D119" i="197"/>
  <c r="D120" i="197"/>
  <c r="D121" i="197"/>
  <c r="D122" i="197"/>
  <c r="D123" i="197"/>
  <c r="D118" i="197"/>
  <c r="D108" i="197"/>
  <c r="H20" i="195"/>
  <c r="H10" i="195"/>
  <c r="D93" i="197"/>
  <c r="M10" i="195"/>
  <c r="D94" i="197"/>
  <c r="D95" i="197"/>
  <c r="D92" i="197"/>
  <c r="C10" i="195"/>
  <c r="D70" i="197"/>
  <c r="D71" i="197"/>
  <c r="D62" i="197"/>
  <c r="H15" i="195"/>
  <c r="D63" i="197"/>
  <c r="D67" i="197"/>
  <c r="D61" i="197"/>
  <c r="Q31" i="204"/>
  <c r="Q31" i="195" l="1"/>
  <c r="L82" i="174"/>
  <c r="L73" i="174"/>
  <c r="H127" i="197" l="1"/>
  <c r="H127" i="202"/>
  <c r="D16" i="204"/>
  <c r="N16" i="204"/>
  <c r="D21" i="204"/>
  <c r="D11" i="204" l="1"/>
  <c r="I1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B44" authorId="0" shapeId="0" xr:uid="{FE5C1BD2-51C8-4B99-83F3-7E6F8A30B98F}">
      <text>
        <r>
          <rPr>
            <sz val="9"/>
            <color indexed="81"/>
            <rFont val="Tahoma"/>
            <family val="2"/>
          </rPr>
          <t>not a real PN, just for app chart reference</t>
        </r>
      </text>
    </comment>
    <comment ref="B73"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<sst xmlns="http://schemas.openxmlformats.org/spreadsheetml/2006/main" count="1359" uniqueCount="543">
  <si>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</si>
  <si>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</si>
  <si>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</si>
  <si>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</si>
  <si>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</si>
  <si>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</si>
  <si>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</si>
  <si>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</si>
  <si>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</si>
  <si>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</si>
  <si>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</si>
  <si>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</si>
  <si>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</si>
  <si>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</si>
  <si>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</si>
  <si>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</si>
  <si>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</si>
  <si>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</si>
  <si>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</si>
  <si>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</si>
  <si>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</si>
  <si>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</si>
  <si>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</si>
  <si>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</si>
  <si>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</si>
  <si>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</si>
  <si>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</si>
  <si>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</si>
  <si>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</si>
  <si>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</si>
  <si>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</si>
  <si>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</si>
  <si>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</si>
  <si>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</si>
  <si>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</si>
  <si>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</si>
  <si>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</si>
  <si>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</si>
  <si>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</si>
  <si>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</si>
  <si>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</si>
  <si>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</si>
  <si>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</si>
  <si>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</si>
  <si>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</si>
  <si>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</si>
  <si>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</si>
  <si>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</si>
  <si>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</si>
  <si>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</si>
  <si>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</si>
  <si>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</si>
  <si>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</si>
  <si>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</si>
  <si>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</si>
  <si>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</si>
  <si>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</si>
  <si>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</si>
  <si>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</si>
  <si>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</si>
  <si>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</si>
  <si>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</si>
  <si>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</si>
  <si>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</si>
  <si>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</si>
  <si>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</si>
  <si>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</si>
  <si>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</si>
  <si>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</si>
  <si>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</si>
  <si>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</si>
  <si>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</si>
  <si>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</si>
  <si>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</si>
  <si>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</si>
  <si>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</si>
  <si>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</si>
  <si>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</si>
  <si>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</si>
  <si>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</si>
  <si>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</si>
  <si>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</si>
  <si>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</si>
  <si>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</si>
  <si>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</si>
  <si>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</si>
  <si>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</si>
  <si>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</si>
  <si>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</si>
  <si>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</si>
  <si>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</si>
  <si>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</si>
  <si>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</si>
  <si>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</si>
  <si>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Optimate 12V Auto Battery Charger/Maintainer</t>
  </si>
  <si>
    <t>Wheel Locks - Black</t>
  </si>
  <si>
    <t>Wheel Locks - Chrome</t>
  </si>
  <si>
    <t>Pointes de remplacement pour stylos de peinture</t>
  </si>
  <si>
    <t>Blanc platine nacré (NH-883P)</t>
  </si>
  <si>
    <t>Ashtray</t>
  </si>
  <si>
    <t>T</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</si>
  <si>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</si>
  <si>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</si>
  <si>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</si>
  <si>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</si>
  <si>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</si>
  <si>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</si>
  <si>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</si>
  <si>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</si>
  <si>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</si>
  <si>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</si>
  <si>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</si>
  <si>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</si>
  <si>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</si>
  <si>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</si>
  <si>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</si>
  <si>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</si>
  <si>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</si>
  <si>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</si>
  <si>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</si>
  <si>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</si>
  <si>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</si>
  <si>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</si>
  <si>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</si>
  <si>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</si>
  <si>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</si>
  <si>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</si>
  <si>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</si>
  <si>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</si>
  <si>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</si>
  <si>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</si>
  <si>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</si>
  <si>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</si>
  <si>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</si>
  <si>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</si>
  <si>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</si>
  <si>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</si>
  <si>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</si>
  <si>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</si>
  <si>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</si>
  <si>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</si>
  <si>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</si>
  <si>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</si>
  <si>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</si>
  <si>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</si>
  <si>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</si>
  <si>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</si>
  <si>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</si>
  <si>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</si>
  <si>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</si>
  <si>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</si>
  <si>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</si>
  <si>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</si>
  <si>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</si>
  <si>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</si>
  <si>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</si>
  <si>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</si>
  <si>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</si>
  <si>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</si>
  <si>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</si>
  <si>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TUCH-NH883P-A1</t>
  </si>
  <si>
    <t>Wheels
Steel wheels first if applicable. 
Then the other wheels
Then Wheel locks</t>
  </si>
  <si>
    <t>Quantity of 25.</t>
  </si>
  <si>
    <t>Quantity of 5.</t>
  </si>
  <si>
    <t>Quantité de 25</t>
  </si>
  <si>
    <t>Quantité de 5</t>
  </si>
  <si>
    <t>Residual-ized $</t>
  </si>
  <si>
    <t>Cargo Tray</t>
  </si>
  <si>
    <t>Seat Back Protector</t>
  </si>
  <si>
    <t>08L20-E09-300B</t>
  </si>
  <si>
    <t>08L03-E09-300C</t>
  </si>
  <si>
    <t>Roof Basket</t>
  </si>
  <si>
    <t>Roof Kayak Attachment</t>
  </si>
  <si>
    <t>Roof Ski/Snowboard Attachment</t>
  </si>
  <si>
    <t>Body Side Moulding</t>
  </si>
  <si>
    <t>08LXX-E09-XXXX</t>
  </si>
  <si>
    <t>NEW</t>
  </si>
  <si>
    <t>Priced as a set of 4 wheels. Tires sold separately.</t>
  </si>
  <si>
    <t>N/A App Chart only</t>
  </si>
  <si>
    <t>Ensemble de protection</t>
  </si>
  <si>
    <t>Protection Package Advance</t>
  </si>
  <si>
    <t>Prix établi pour ensemble de 4 pneus. Pneus vendus séparément.</t>
  </si>
  <si>
    <t>Noir cristal nacré  (NH-731P)</t>
  </si>
  <si>
    <t>Find Sanding Needles</t>
  </si>
  <si>
    <t>Emblems</t>
  </si>
  <si>
    <t>Emblèmes</t>
  </si>
  <si>
    <t>Door Visor</t>
  </si>
  <si>
    <t>N/A App Chart reference</t>
  </si>
  <si>
    <t xml:space="preserve">Roof Attachments </t>
  </si>
  <si>
    <t>Accessoires de toit</t>
  </si>
  <si>
    <t>Cargo Cover</t>
  </si>
  <si>
    <t>Protection Package</t>
  </si>
  <si>
    <t>Ensemble de protection Avance</t>
  </si>
  <si>
    <t>Crossbars</t>
  </si>
  <si>
    <t>08L20-E09-300A</t>
  </si>
  <si>
    <t>08L07-E09-300A</t>
  </si>
  <si>
    <t>08L92-S9V-300G</t>
  </si>
  <si>
    <t>08L92-S9V-300H</t>
  </si>
  <si>
    <t>08L92-SJC-300A</t>
  </si>
  <si>
    <t>Trailer Hitch Locking Pin</t>
  </si>
  <si>
    <t>A great way to help ensure that your wheels stay on your truck where they belong.</t>
  </si>
  <si>
    <t>Wheel Lug Nuts, Black</t>
  </si>
  <si>
    <t>Create a different look with a set of black lug nuts. Each package has a quantity of 24 lugs</t>
  </si>
  <si>
    <t>Charging</t>
  </si>
  <si>
    <t>Accessories</t>
  </si>
  <si>
    <t>Wheels</t>
  </si>
  <si>
    <t>10% Discount applied</t>
  </si>
  <si>
    <t>Rabais de 10 % est appliqué</t>
  </si>
  <si>
    <t>Black Emblem Set</t>
  </si>
  <si>
    <t xml:space="preserve">Ensemble d’emblèmes noirs </t>
  </si>
  <si>
    <t>Platinum White Pearl (NH-883P)</t>
  </si>
  <si>
    <t>TrailSport</t>
  </si>
  <si>
    <t>TrailSport Touring</t>
  </si>
  <si>
    <t>TUCH-NH797M-A1</t>
  </si>
  <si>
    <t>Modern Steel Metallic (NH-797M)</t>
  </si>
  <si>
    <t>Acier moderne métallisé (NH-797M)</t>
  </si>
  <si>
    <t>TUCH-NH731P-A1</t>
  </si>
  <si>
    <t>Crystal Black Pearl (NH-731P)</t>
  </si>
  <si>
    <t>TUCH-R580M-A1</t>
  </si>
  <si>
    <t>Radiant Red Metallic II (R-580M)</t>
  </si>
  <si>
    <t>Radiant rouge métallisé II (R-580M)</t>
  </si>
  <si>
    <t>TUCH-YR585-A1</t>
  </si>
  <si>
    <t>Sunset Orange (YR-585)</t>
  </si>
  <si>
    <t>TUCH-G545M-A1</t>
  </si>
  <si>
    <t>Ash Green Metallic (G-545M)</t>
  </si>
  <si>
    <t>08L04-3BM-300</t>
  </si>
  <si>
    <t>08L08-3BM-100</t>
  </si>
  <si>
    <t>Roof Platform</t>
  </si>
  <si>
    <t>08L33-3BM-100</t>
  </si>
  <si>
    <t>08L33-3BM-100A</t>
  </si>
  <si>
    <t>Running Board</t>
  </si>
  <si>
    <t>08L92-3BM-100A</t>
  </si>
  <si>
    <t>08P00-3BM-100</t>
  </si>
  <si>
    <t>Splash Guards</t>
  </si>
  <si>
    <t>08F20-3BM-100B</t>
  </si>
  <si>
    <t>Black Emblem H Front &amp; rear</t>
  </si>
  <si>
    <t>08F20-3BM-100</t>
  </si>
  <si>
    <t>Black Emblem Passport</t>
  </si>
  <si>
    <t>08P04-3BM-100</t>
  </si>
  <si>
    <t>08P05-3BM-100</t>
  </si>
  <si>
    <t>08P17-3BM-120A</t>
  </si>
  <si>
    <t>08P42-3BM-100</t>
  </si>
  <si>
    <t>08P46-3BM-100</t>
  </si>
  <si>
    <t>Front Scuff Plate</t>
  </si>
  <si>
    <t>08U45-3BM-100</t>
  </si>
  <si>
    <t>08U97-3BM-110</t>
  </si>
  <si>
    <t>Heated Steering Wheel</t>
  </si>
  <si>
    <t>08W18-3BM-100</t>
  </si>
  <si>
    <t>08L96-3BM-300</t>
  </si>
  <si>
    <t>08U35-3BM-300A</t>
  </si>
  <si>
    <t>08U35-3BM-310</t>
  </si>
  <si>
    <t>08V30-3BM-300</t>
  </si>
  <si>
    <t>Cargo Light</t>
  </si>
  <si>
    <t>08Z03-3BM-300</t>
  </si>
  <si>
    <t>Separation Barrier</t>
  </si>
  <si>
    <t>Black Emblem AWD</t>
  </si>
  <si>
    <t>Door Handle Film</t>
  </si>
  <si>
    <t>Engine Block Heater</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</si>
  <si>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</si>
  <si>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</si>
  <si>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</si>
  <si>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</si>
  <si>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</si>
  <si>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</si>
  <si>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</si>
  <si>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08Z05-3BM-100</t>
  </si>
  <si>
    <t>Cargo Shelf / Table</t>
  </si>
  <si>
    <t>Soft Cargo Organizer</t>
  </si>
  <si>
    <t>08P20-T90-100</t>
  </si>
  <si>
    <t>08P48-T90-100A</t>
  </si>
  <si>
    <t>08F20-T90-100A</t>
  </si>
  <si>
    <t>08U20-S9V-101</t>
  </si>
  <si>
    <t>08U25-S5D-106</t>
  </si>
  <si>
    <t>Passport</t>
  </si>
  <si>
    <t>Rocker Slider</t>
  </si>
  <si>
    <t>Trailer Hitch Ball - 1-7/8"</t>
  </si>
  <si>
    <t>Trailer hitch ball available in 1 7/8 inches or 2 inches.</t>
  </si>
  <si>
    <t>Trailer Hitch Ball - 2"</t>
  </si>
  <si>
    <t>08R04-T90-100</t>
  </si>
  <si>
    <t>This tinted Door Visor helps to protect you and your passengers from sun glare and minimizes outside noise when the windows are partially open.</t>
  </si>
  <si>
    <t>08U08-3BM-100</t>
  </si>
  <si>
    <t>Tool Organizer</t>
  </si>
  <si>
    <t>08V03-3BM-100</t>
  </si>
  <si>
    <t>HOMELINK MIRROR</t>
  </si>
  <si>
    <t>08U02-3BM-100</t>
  </si>
  <si>
    <t>FULL SIZE SPARE KIT ??</t>
  </si>
  <si>
    <t>26PAS-PROPK</t>
  </si>
  <si>
    <t>26PAS-PROPKA</t>
  </si>
  <si>
    <t>08W42-TG7-301A</t>
  </si>
  <si>
    <t>08W42-TK4-301</t>
  </si>
  <si>
    <t>Un excellent moyen de vous assurer que les roues demeurent sur votre camion, là où elles devraient se trouver.</t>
  </si>
  <si>
    <t>26PAS-BLK-EMB</t>
  </si>
  <si>
    <t>26PAS-RUGPK</t>
  </si>
  <si>
    <t>Rugged Package</t>
  </si>
  <si>
    <t>PASEMBLEM</t>
  </si>
  <si>
    <t>All Season Mats (TrailSport logo)</t>
  </si>
  <si>
    <t>26PAS-TOW-PK1</t>
  </si>
  <si>
    <t>26PAS-TOW-PK2</t>
  </si>
  <si>
    <t>Towing Package 1</t>
  </si>
  <si>
    <t>Towing Package 2</t>
  </si>
  <si>
    <t>26MY Honda Passport</t>
  </si>
  <si>
    <t>TBD don't make image -&gt;</t>
  </si>
  <si>
    <t xml:space="preserve">TBD </t>
  </si>
  <si>
    <t>18" Retro Alloy Wheel White</t>
  </si>
  <si>
    <t>Roof Bicycle Attachment - Frame mount</t>
  </si>
  <si>
    <t>Bicycle Attachment - Fork Mount</t>
  </si>
  <si>
    <t>Roof Box Short</t>
  </si>
  <si>
    <t>Boîte de toit courte</t>
  </si>
  <si>
    <t>Roof Box, Long</t>
  </si>
  <si>
    <t>Panier de toit</t>
  </si>
  <si>
    <t>Roof Surfboard Attachment</t>
  </si>
  <si>
    <t>Hatch Tent</t>
  </si>
  <si>
    <t>Trailer Hitch Ball Mount</t>
  </si>
  <si>
    <t>Ensemble de remorquage 1</t>
  </si>
  <si>
    <t>Ensemble de remorquage 2</t>
  </si>
  <si>
    <t>Marchepieds</t>
  </si>
  <si>
    <t>Pellicule pour rebord de portière</t>
  </si>
  <si>
    <t>Help protect the cabin floor of your vehicle with custom-fit front and rear mats for maximum carpet protection.</t>
  </si>
  <si>
    <t>Protect the cargo area carpeting of your Honda with the Cargo Tray.</t>
  </si>
  <si>
    <t>This cargo cover helps keep your valuables in the cargo area safely out of sight and out of the sun.</t>
  </si>
  <si>
    <t>The Seat Back Protector protects the back of the seat when it's folded down to load longer items. Made of high-quality molded plastic for maximum durability. Cleans easily with mild soap and water. Textured surface helps to prevent items from shifting and sliding.</t>
  </si>
  <si>
    <t>Barrière de séparation</t>
  </si>
  <si>
    <t>Keep your dog and the interior of your vehicle protected when you and your pooch hit the road together. Designed specifically to fit your vehicle</t>
  </si>
  <si>
    <t>Protégez votre chien et l’intérieur de votre véhicule lorsque vous prenez la route avec lui. Conçue spécifiquement pour s’adapter à votre vehicle.</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</si>
  <si>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</si>
  <si>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</si>
  <si>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Package includes trailer hitch ball mount, locking pin, trailer hitch ball - 2"</t>
  </si>
  <si>
    <t>Package includes trailer hitch ball mount, locking pin, trailer hitch ball - 1-7/8"</t>
  </si>
  <si>
    <t xml:space="preserve">Towing Package </t>
  </si>
  <si>
    <t>Ensemble de remorquage</t>
  </si>
  <si>
    <t>Transparent, urethane film in the well of the door handle helps safeguard the paint finish from unsightly scratches from nails, jewelry, and keys.</t>
  </si>
  <si>
    <t>La pellicule d’uréthane transparente placée dans l’espace de la poignée de portière protège la peinture des égratignures inesthétiques causées par les ongles, les bijoux et les clés.</t>
  </si>
  <si>
    <t>Body Side Molding accentuates the passport's styling, but there's more to it than just good looks. It's ideally positioned where the side panel extends out the most, in order to help protect against door dings and scratches. Available in Black or Gray.</t>
  </si>
  <si>
    <t>Pellicule pour poignée de portière</t>
  </si>
  <si>
    <t xml:space="preserve">Chauffe-moteur   </t>
  </si>
  <si>
    <t>Safely secure everything from groceries to sporting gear, while helping to keep your trunk area clean and organized with this Cargo Net.</t>
  </si>
  <si>
    <t>Cup-holder type ashtray designed for use in the front seat</t>
  </si>
  <si>
    <t>Cendrier de type porte-gobelet conçu pour être utilisé entre les sièges avant</t>
  </si>
  <si>
    <t>Enhance your Honda’s versatility with this innovative cargo shelf that effortlessly transforms into a convenient table, perfect for on-the-go adventures and tailgating.</t>
  </si>
  <si>
    <t>Protect your Honda’s door sills from scratches and scuffs with this durable, protection film, ensuring your vehicle stays looking new for longer.</t>
  </si>
  <si>
    <t>Keep your Honda’s trunk neat and tidy with this soft cargo organizer, featuring multiple compartments to securely store your belongings and prevent clutte</t>
  </si>
  <si>
    <t>Streamline your Honda’s storage with this versatile tool organizer, designed to securely hold your tools and conveniently accommodate a trailer hitch ball mount.</t>
  </si>
  <si>
    <t>Illuminate your Honda’s trunk with this bright and efficient cargo light, making it easy to find your belongings even in low-light conditions</t>
  </si>
  <si>
    <t>Upgrade your Honda with this versatile utility panel, designed to provide additional storage and organization options while giving your vehicle a rugged look, making it even more functional </t>
  </si>
  <si>
    <t>Give your Honda a sleek and stylish upgrade with this black AWD emblem, adding a touch of sophistication and a modern, bold look to your vehicle.</t>
  </si>
  <si>
    <t>Give your Honda a sleek and stylish upgrade with these black front and rear, H emblems, adding a touch of sophistication and a modern, bold look to your vehicle.</t>
  </si>
  <si>
    <t>Give your Honda a sleek and stylish upgrade with this black Passport emblem, adding a touch of sophistication and a modern, bold look to your vehicle.</t>
  </si>
  <si>
    <t>Secure your trailer hitch using this durable locking pin, designed to prevent theft and ensure a safe, reliable connection for your Honda.</t>
  </si>
  <si>
    <t xml:space="preserve">With the Crossbars, you can securely haul items on your Passport. You’ll help prevent damage to your vehicle’s interior, while providing more comfort to those seated inside.  Moonroof operation is unaffected. </t>
  </si>
  <si>
    <t>Protect your Honda from mud, dirt, and road debris with these durable splash guards, designed to keep your vehicle looking clean and well-maintained</t>
  </si>
  <si>
    <t>Add both style and functionality to your Honda with these durable running boards, providing a convenient step up into your vehicle</t>
  </si>
  <si>
    <t>Enhance your Honda’s exterior with this durable front scuff plate, designed to protect against scratches and wear while adding a rugged, functional touch</t>
  </si>
  <si>
    <t>Equip your Honda with these robust rock sliders, designed to protect your vehicle’s sides from rocks and obstacles while adding a rugged, off-road-ready look</t>
  </si>
  <si>
    <t>Upgrade your Honda with these 18-inch retro alloy white wheels, designed for both rugged durability and functional performance, giving your vehicle a classic, tough look.</t>
  </si>
  <si>
    <t>Expand your Honda’s cargo capacity with this durable roof platform, designed for rugged functionality and perfect for carrying extra gear on your outdoor adventures.</t>
  </si>
  <si>
    <t>L’ensemble comprend une monture de rotule d’attelage de remorque, une goupille de verrouillage, une rotule d’attelage de remorque de 1 7/8 po.</t>
  </si>
  <si>
    <t>L’ensemble comprend une monture de rotule d’attelage de remorque, une goupille de verrouillage, une rotule d’attelage de remorque de 2 po.</t>
  </si>
  <si>
    <t>Écrous de roue noirs</t>
  </si>
  <si>
    <t>Créez un style différent grâce à cet ensemble d’écrous de roue noirs. Chaque ensemble comprend 24 écrous de roue.</t>
  </si>
  <si>
    <t>Jantes rétro blanches de 18 pouces en alliage</t>
  </si>
  <si>
    <t>Rehaussez l’apparence de votre Honda grâce à ces jantes rétro blanches de 18 pouces en alliage, conçues pour une durabilité robuste et des performances fonctionnelles, conférant à votre véhicule un style à la fois classique et robuste.</t>
  </si>
  <si>
    <t>Écrous de roue antivol chromés</t>
  </si>
  <si>
    <t>Écrous de roue antivol noirs</t>
  </si>
  <si>
    <t>Plaque de protection avant</t>
  </si>
  <si>
    <t>Rehaussez l’extérieur de votre Honda grâce à cette plaque de protection avant durable, conçue pour protéger contre les rayures et l’usure tout en ajoutant une touche robuste et fonctionnelle.</t>
  </si>
  <si>
    <t>Barre de protection latérale</t>
  </si>
  <si>
    <t>Équipez votre Honda de ces barres de protection latérales massives, conçues pour protéger les flancs de votre véhicule contre les rochers et les obstacles, tout en lui conférant un aspect robuste et prêt pour la conduite hors route.</t>
  </si>
  <si>
    <t>Ajoutez style et fonctionnalité à votre Honda grâce à ces marchepieds durables et pratiques pour monter dans votre véhicule.</t>
  </si>
  <si>
    <t>Garde-boue</t>
  </si>
  <si>
    <t>Protégez votre Honda de la boue, de la saleté et des débris de la route grâce à ces garde-boue durables, conçus pour que votre véhicule reste propre et bien entretenu.</t>
  </si>
  <si>
    <t>Moulure latérale de carrosserie</t>
  </si>
  <si>
    <t>La moulure latérale de carrosserie accentue le style du Passport. En plus d'ajouter à son apparence, elle est positionnée idéalement à l’endroit où le panneau latéral est le plus en saillie, afin de protéger contre les marques et les égratignures causées par les portières. Offerte en noir ou gris.</t>
  </si>
  <si>
    <t>Visière de portière</t>
  </si>
  <si>
    <t>Cette visière de portière teintée aide à protéger le conducteur et les passagers contre les reflets du soleil, et à réduire le bruit provenant de l'extérieur quand les glaces sont partiellement ouvertes.</t>
  </si>
  <si>
    <t xml:space="preserve">ENSEMBLE DE ROUE DE SECOURS PLEINE GRANDEUR </t>
  </si>
  <si>
    <t>Emblème Passport noir</t>
  </si>
  <si>
    <t>Rehaussez l’apparence de votre Honda avec élégance et style grâce à cet emblème Passport noir, ajoutant une touche de sophistication et un style moderne et audacieux à votre véhicule.</t>
  </si>
  <si>
    <t>Emblèmes noirs – Logo « H » à l’avant et à l’arrière</t>
  </si>
  <si>
    <t>Rehaussez l’apparence de votre Honda avec élégance et style grâce à ces emblèmes  « H » noirs à l’avant et à l’arrière, ajoutant une touche de sophistication et un style moderne et audacieux à votre véhicule.</t>
  </si>
  <si>
    <t>Emblème noir – AWD</t>
  </si>
  <si>
    <t>Rehaussez l’apparence de votre Honda avec élégance et style grâce cet emblème AWD noir, ajoutant une touche de sophistication et un style moderne et audacieux à votre véhicule.</t>
  </si>
  <si>
    <t>Attelage de remorque – Monture de rotule</t>
  </si>
  <si>
    <t>Monture de rotule d’attelage de remorque</t>
  </si>
  <si>
    <t>Attelage de remorque – Goupille de verrouillage</t>
  </si>
  <si>
    <t>Fixez votre attelage de remorque à l’aide de cette goupille de verrouillage durable, conçue pour prévenir le vol et assurer une connexion sécuritaire et fiable pour votre Honda.</t>
  </si>
  <si>
    <t>Attelage de remorque – Rotule d'attelage de 1 7/8 po</t>
  </si>
  <si>
    <t>Rotule d'attelage de remorque de 1 7/8 pouces ou 
2 pouces.</t>
  </si>
  <si>
    <t>Attelage de remorque – Rotule d'attelage de 2 po</t>
  </si>
  <si>
    <t>Barres transversales</t>
  </si>
  <si>
    <t xml:space="preserve">Avec les barres transversales, vous pouvez transporter des objets en toute sécurité sur votre Passport. Vous éviterez ainsi des dommages à l’intérieur de votre véhicule, tout en offrant plus de confort aux passagers.  L’utilisation du toit ouvrant n’est pas affectée. </t>
  </si>
  <si>
    <t>Plateforme de toit</t>
  </si>
  <si>
    <t>Augmentez la capacité de chargement de votre Honda grâce à cette plateforme de toit durable, conçue pour un usage robuste et parfaite pour transporter du matériel supplémentaire lors de vos aventures de plein air.</t>
  </si>
  <si>
    <t>Porte-vélo de toit – Fixation au cadre</t>
  </si>
  <si>
    <t>Porte-vélo de toit – Fixation à la fourche</t>
  </si>
  <si>
    <t>Porte-ski/planche à neige de toit</t>
  </si>
  <si>
    <t>Porte-planche de surf de toit</t>
  </si>
  <si>
    <t>Porte-kayak de toit</t>
  </si>
  <si>
    <t>Boîte de toit longue</t>
  </si>
  <si>
    <t>Tente pour hayon</t>
  </si>
  <si>
    <t>Tapis toutes saisons (logo TrailSport)</t>
  </si>
  <si>
    <t>Aidez à protéger le plancher d’habitacle de votre véhicule avec les protège-tapis avant et arrière faits sur mesure pour le maximum de protection de la moquette.</t>
  </si>
  <si>
    <t>Plateau pour compartiment utilitaire</t>
  </si>
  <si>
    <t>Protégez la moquette du compartiment utilitaire de votre Honda à l’aide d’un plateau pour compartiment utilitaire.</t>
  </si>
  <si>
    <t>Couvre-bagages</t>
  </si>
  <si>
    <t>Ce couvre-bagages aide à garder vos objets précieux à l'abri des regards indiscrets et du soleil dans le compartiment utilitaire.</t>
  </si>
  <si>
    <t>Protecteur de dossier de siège</t>
  </si>
  <si>
    <t>Le protecteur de dossier de siège protège le dossier du siège lorsqu'il est rabattu pour charger des articles plus longs. Fait de plastique moulé de haute qualité offrant une durabilité maximale. Se nettoie facilement avec un savon doux et de l'eau. La surface texturée aide à empêcher les articles de bouger et de glisser.</t>
  </si>
  <si>
    <t>Panneau utilitaire</t>
  </si>
  <si>
    <t>Améliorez votre Honda avec ce panneau utilitaire polyvalent, conçu pour offrir des options de rangement et d’organisation supplémentaires tout en donnant à votre véhicule un aspect robuste, le rendant encore plus fonctionnel. </t>
  </si>
  <si>
    <t>Filet pour compartiment utilitaire</t>
  </si>
  <si>
    <t>Transportez tout en toute sécurité des sacs d’épicerie à l’équipement de sport, tout en gardant le compartiment utilitaire propre et organisé grâce à ce filet pour compartiment utilitaire.</t>
  </si>
  <si>
    <t>Tablette/table pour compartiment utilitaire</t>
  </si>
  <si>
    <t>Améliorez la polyvalence de votre Honda grâce à cette tablette pour compartiment utilitaire novatrice qui se transforme, sans effort, en une table pratique, parfaite pour les aventures imprévues et les fêtes d’avant-match.</t>
  </si>
  <si>
    <t>Pellicule protectrice de seuil de portière</t>
  </si>
  <si>
    <t>Protégez les seuils de portières de votre Honda contre les égratignures et les éraflures grâce à cette pellicule protectrice durable, afin que votre véhicule conserve son aspect neuf plus longtemps.</t>
  </si>
  <si>
    <t>Organisateur souple pour compartiment utilitaire</t>
  </si>
  <si>
    <t>Gardez le compartiment utilitaire de votre Honda propre et bien rangé avec cet organisateur de compartiment utilitaire souple, doté de plusieurs compartiments pour ranger vos effets personnels en toute sécurité et éviter l’encombrement.</t>
  </si>
  <si>
    <t>Cendrier</t>
  </si>
  <si>
    <t>Organisateur d’outils</t>
  </si>
  <si>
    <t>Simplifiez le rangement dans votre Honda grâce à cet organisateur d’outils polyvalent, conçu pour ranger vos outils en toute sécurité et pour accueillir une rotule d’attelage de remorque.</t>
  </si>
  <si>
    <t>Lampe pour compartiment utilitaire</t>
  </si>
  <si>
    <t>Éclairez le compartiment utilitaire de votre Honda grâce à cette lampe pour compartiment utilitaire brillante et efficace. Elle vous permet de trouver facilement vos effets personnels, même dans des conditions de faible luminosité.</t>
  </si>
  <si>
    <t>The hatch tent attaches to the back of your Passport, extending the interior space for extra sleeping or storage. It’s easy to set up, weather-resistant, and well-ventilated, making it ideal for car camping adventures.</t>
  </si>
  <si>
    <t>La tente pour hayon se fixe à l’arrière de votre Passport, agrandissant l’espace intérieur afin d’accueillir plus de personnes ou pour du rangement supplémentaire. Facile à installer, résistante aux intempéries et bien ventilée, elle est parfaite pour les aventures de camping à bord de votre véhicule.</t>
  </si>
  <si>
    <t>Coucher de soleil orangé (YR-585)</t>
  </si>
  <si>
    <t>Vert cendré métallisé (G-545M)</t>
  </si>
  <si>
    <t>08T44-SNA-302</t>
  </si>
  <si>
    <t>08L20-E09-101C</t>
  </si>
  <si>
    <t>08L05-E09-100</t>
  </si>
  <si>
    <t>08L09-E09-101</t>
  </si>
  <si>
    <t>08L07-E09-101</t>
  </si>
  <si>
    <t>08Z04-SCV-110B</t>
  </si>
  <si>
    <t>08W42-PL4-100A</t>
  </si>
  <si>
    <t>You can always use more storage space on a road trip, and the Short Roof Box provides just that. 13 cu. ft. of lockable storage space - length 65in, width 34.5 in, height 16in. 110lbs max load capacity. Dual-side opening for easy access. Requires Roof Rack Crossbars.</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</si>
  <si>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Rack Crossbars.</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</si>
  <si>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Roof Rack Crossbars.</t>
  </si>
  <si>
    <t>Handle kayaks up to 36 in wide and weighing up to 75 lbs. Easy loading with the pivoting, felt-lined rear saddles that help glide and center your kayak. Two independent pivoting saddles conform to a limitless range of hull shapes. Requires Roof Rack Crossbars.</t>
  </si>
  <si>
    <t>The telescoping design allows a custom fit for boards up to 34 in wide. Handles two boards with maximum stability. Soft, weather-resistant padding and strong, durable load straps with adjustable padding protect boards from strap abrasion. Requires Roof Rack Crossbars.</t>
  </si>
  <si>
    <t>The handy Ski Attachment keeps your skis and snowboards outside so your interior stays clean and dry. Requires Roof Rack Crossbars.</t>
  </si>
  <si>
    <t>This Bike Attachment - Fork lets you securely transport your bicycle and keep it safely out of the way. Requires Roof Rack Crossbars.</t>
  </si>
  <si>
    <t>This Roof Bike Attachment lets you securely transport your bicycle and keep it safely out of the way. Requires Roof Rack Crossbars.</t>
  </si>
  <si>
    <t>Ce porte-vélo de toit vous permet de transporter votre vélo de manière sécuritaire et de le garder hors de nuisance.  Les traverses de toit sont requises.</t>
  </si>
  <si>
    <t>Ce porte-vélo avec fixation à la fourche vous permet de transporter votre vélo de manière sécuritaire et de le garder hors de nuisance.  Les traverses de toit sont requises.</t>
  </si>
  <si>
    <t>Ce porte-ski pratique garde vos skis et vos planches à neige à l’extérieur pour que l’intérieur demeure propre et sec.  Les traverses de toit sont requises.</t>
  </si>
  <si>
    <t>La conception télescopique permet un ajustement personnalisé pour des planches jusqu’à 34 po de largeur. Permet de transporter deux planches avec un maximum de stabilité. Rembourrage doux, résistant aux intempéries et robuste, et sangles de charge durables avec rembourrage réglable pour protéger les planches contre l’abrasion causée par les sangles.  Les traverses de toit sont requises.</t>
  </si>
  <si>
    <t>Convient aux kayaks jusqu’à 36 po de largeur et pesant jusqu’à 75 lb. Chargement facile avec les sabots arrière pivotants doublés de feutre qui aident à faire glisser et à centrer votre kayak. Les deux sabots pivotants indépendants s’adaptent à une plage illimitée de formes de coque. Les traverses de toit sont requises.</t>
  </si>
  <si>
    <t>Vous pouvez toujours utiliser plus d’espace de rangement en voyage, et c’est exactement ce que vous offre la boîte de toit courte. Espace de rangement verrouillable de 13 pi³. Dimension : 65 po de longueur, 34,5 po de largeur et 16 po de hauteur. Capacité de charge maximale de 110 lb. Ouverture des deux côtés pour un accès facile.  Les traverses de toit sont requises.</t>
  </si>
  <si>
    <t>Gardez vos bâtons de golf, planches à neige, skis et autre équipement protégés et à l’abri des éléments dans la boîte de toit de taille moyenne résistante aux chocs et aux rayons UV. Espace de rangement verrouillable de 16 pi³ . Dimension : 74 po de longueur, 36 po de largeur, 16,5 po de hauteur. Capacité de charge maximale de 110 lb. Ouverture des deux côtés pour un accès facile.  Les traverses de toit sont requises.</t>
  </si>
  <si>
    <t>Honda vous offre la commodité d’une galerie de toit à profil bas pouvant supporter jusqu’à 150 lb. Ses parois latérales en angle facilitent le chargement et le carénage dirige le débit d’air par-dessus votre charge. La galerie de toit peut supporter jusqu’à 150 lb. Cependant, le poids combiné du panier de toit et de la charge ne peut pas excéder 154 lb.  Les traverses de toit sont requises.</t>
  </si>
  <si>
    <t>08L07-E09-300A-26PAS</t>
  </si>
  <si>
    <t>08L07-E09-101-26PAS</t>
  </si>
  <si>
    <t>08L03-E09-300C-26PAS</t>
  </si>
  <si>
    <t>08L05-E09-100-26PAS</t>
  </si>
  <si>
    <t>08L09-E09-101-26PAS</t>
  </si>
  <si>
    <t>08L20-E09-300B-26PAS</t>
  </si>
  <si>
    <t>08L20-E09-300A-26PAS</t>
  </si>
  <si>
    <t>08L20-E09-101C-26PAS</t>
  </si>
  <si>
    <t>08Z04-SCV-110B-26PAS</t>
  </si>
  <si>
    <t>08U20-S9V-101-26PAS</t>
  </si>
  <si>
    <t>N/A App Chart Only</t>
  </si>
  <si>
    <t>08T44-SNA-302-26PAS</t>
  </si>
  <si>
    <t>08L92-SJC-300A-26PAS</t>
  </si>
  <si>
    <t>08L92-S9V-300G-26PAS</t>
  </si>
  <si>
    <t>08L92-S9V-300H-26PAS</t>
  </si>
  <si>
    <t>08F20-T90-100A-26PAS</t>
  </si>
  <si>
    <t>08P48-T90-100A-26PAS</t>
  </si>
  <si>
    <t>08P20-T90-100-26PAS</t>
  </si>
  <si>
    <t>08R04-T90-100-26PAS</t>
  </si>
  <si>
    <t>08W42-TK4-301-26PAS</t>
  </si>
  <si>
    <t>08W42-TG7-301A-26PAS</t>
  </si>
  <si>
    <t>08W42-PL4-100A-26PAS</t>
  </si>
  <si>
    <t>Ensemble robuste</t>
  </si>
  <si>
    <t>5% Discount applied</t>
  </si>
  <si>
    <t>Rabais de 5 % est appliqué</t>
  </si>
  <si>
    <t>TrailSport Blackout</t>
  </si>
  <si>
    <t>Trailsport Touring Blackout</t>
  </si>
  <si>
    <t>Cannot be installed with Running Boards</t>
  </si>
  <si>
    <t>Cannot be installed with Rocker Slider</t>
  </si>
  <si>
    <t>Requires Roof Rails &amp; Crossbars.</t>
  </si>
  <si>
    <t>Nécessite des barres de toit et des barres transversales.</t>
  </si>
  <si>
    <t>Cannot be used in conjunction with Cargo Cover.</t>
  </si>
  <si>
    <t>Cannot be used in conjunction with Cargo Shelf / Table</t>
  </si>
  <si>
    <t xml:space="preserve">Utility Panel </t>
  </si>
  <si>
    <t>Ne peut pas être utilisé en conjonction avec tablette/table pour compartiment utilitaire.</t>
  </si>
  <si>
    <t>Ne peut pas être utilisé en conjonction avec couvre-bagages</t>
  </si>
  <si>
    <t>Trailer Hitch</t>
  </si>
  <si>
    <t>Roof Attachments</t>
  </si>
  <si>
    <t>Interior Function</t>
  </si>
  <si>
    <t>08U35-3BM-310 - Cargo Cover</t>
  </si>
  <si>
    <t>26PAS-TOW-PK2 - Towing Package 2
08L92-3BM-100A - Trailer Hitch Ball Mount
08L92-SJC-300A-26PAS - Trailet Hitch locking pin 
08L92-S9V-300G-26PAS - Trailer Hitch Ball 1-7/8"
08L92-S9V-300H-26PAS - Trailer Hitch Ball 2"</t>
  </si>
  <si>
    <t>26PAS-TOW-PK1 - Towing Package 1
08L92-3BM-100A - Trailer Hitch Ball Mount
08L92-SJC-300A-26PAS - Trailet Hitch locking pin 
08L92-S9V-300G-26PAS - Trailer Hitch Ball 1-7/8"
08L92-S9V-300H-26PAS - Trailer Hitch Ball 2"</t>
  </si>
  <si>
    <t>26PAS-PROPKA - Protection Package Advance
26PAS-RUGPK - Rugged Package
08P17-3BM-120A - All season mats
08U45-3BM-100 - Cargo Tray</t>
  </si>
  <si>
    <t>08W42-TG7-301A-26PAS - wheel locks black</t>
  </si>
  <si>
    <t>08W42-TK4-301-26PAS - wheel locks chrome</t>
  </si>
  <si>
    <t>26PAS-PROPK - Protection Package
08P17-3BM-120A - All season mats
08U45-3BM-100 - Cargo Tray
08U35-3BM-310 - Cargo Cover
08P00-3BM-100 - Splash Guards</t>
  </si>
  <si>
    <t>08L04-3BM-300 - Crossbars</t>
  </si>
  <si>
    <t>08L92-3BM-100A - Trailer Hitch Ball Mount</t>
  </si>
  <si>
    <t>26PAS-COLD</t>
  </si>
  <si>
    <t>Cold Weather Package</t>
  </si>
  <si>
    <t>Ensemble de temps froid</t>
  </si>
  <si>
    <t>Includes Engine Block Heater &amp; Auto Battery Charger/Maintainer.</t>
  </si>
  <si>
    <t>Comprend: Chauffe-moteur et Chargeur/mainteneur de charge de batterie automobile 12 V</t>
  </si>
  <si>
    <t>08T44-SNA-302-26PAS - Engine Block Heater
Optimate 12V Auto Battery Charger/Maintainer - 31670-BMS-004H</t>
  </si>
  <si>
    <t>Rock Slider</t>
  </si>
  <si>
    <t>Running Boards</t>
  </si>
  <si>
    <t>Images</t>
  </si>
  <si>
    <t>SiteCore</t>
  </si>
  <si>
    <t>All Accessories</t>
  </si>
  <si>
    <t xml:space="preserve">Promotional 20% discount available for a limited time. </t>
  </si>
  <si>
    <t>Limited Time Offer: Enjoy a 20% Promotional Discount! Contact your local Honda dealer for more details. Package Includes All season mats, Cargo tray, splash guards, front scuff plate and rock slider</t>
  </si>
  <si>
    <t>Remise promotionnelle de 20 % disponible pour une durée limitée.</t>
  </si>
  <si>
    <t>REMOVED* Feb 19 updated Spec sheet</t>
  </si>
  <si>
    <t>08F20-3BM-100 - Black Emblem Passport
08F20-3BM-100B - Black Emblem H Front &amp; rear</t>
  </si>
  <si>
    <t>Package Includes Passport, Front and Rear - "H" Black Emblems</t>
  </si>
  <si>
    <t>L’ensemble comprend les emblèmes noirs Passport et le logo « H » à l’avant et à l’arrière.</t>
  </si>
  <si>
    <t>Offre d’une durée limitée : Profitez d’un rabais promotionnel de 20 %! Communiquez avec votre concessionnaire Honda pour plus d’information.  L’ensemble comprend des tapis toutes saisons, un plateau pour compartiment utilitaire et des garde-boue, une plaque de protection avant et des barres de protection latérales.</t>
  </si>
  <si>
    <t>26PAS-RUGPK	Rugged Package</t>
  </si>
  <si>
    <t>26PAS-RUGPK	Rugged Package
26PAS-PROPK	Protection Package
26PAS-PROPKA	Protection Package Advance</t>
  </si>
  <si>
    <t>08Z05-3BM-100 - Cargo Shelf/Table
26PAS-PROPK	Protection Package
26PAS-PROPKA	Protection Package Advance</t>
  </si>
  <si>
    <t>26PAS-PROPK	Protection Package
26PAS-PROPKA	Protection Package Advance</t>
  </si>
  <si>
    <t>26PAS-COLD	Cold Weather Package</t>
  </si>
  <si>
    <t>26PAS-BLK-EMB	Black Emblem Set</t>
  </si>
  <si>
    <t>26PAS-TOW-PK1	Towing Package 1
26PAS-TOW-PK2	Towing Package 2</t>
  </si>
  <si>
    <t>Overlay 1</t>
  </si>
  <si>
    <t>Overlay 2</t>
  </si>
  <si>
    <t>Overlay 3</t>
  </si>
  <si>
    <t>Overlay 4</t>
  </si>
  <si>
    <t>Overlay 5</t>
  </si>
  <si>
    <t>Overlay 6</t>
  </si>
  <si>
    <t>Overlay 7</t>
  </si>
  <si>
    <t>Overlay 8</t>
  </si>
  <si>
    <t>76400-T90-A01</t>
  </si>
  <si>
    <t>Homelink Rearview Mirror</t>
  </si>
  <si>
    <t>The HomeLink rearview mirror enhances your Passport by enabling seamless connectivity with garage door openers, providing a convenient and integrated solution for home access.</t>
  </si>
  <si>
    <t>Rétroviseur intérieur Homelink</t>
  </si>
  <si>
    <t>Le rétroviseur intérieur HomeLink améliore votre Passport en permettant une connectivité transparente avec les ouvre-portes de garage, offrant ainsi une solution pratique et intégrée pour l'accès au domicile.</t>
  </si>
  <si>
    <t>26PAS-PROPK - Protection Package
26PAS-PROPKA - Protection Package Advance
08P17-3BM-120A - All season mats
08U45-3BM-100 - Cargo Tray
08P00-3BM-100 - Splash Guards
08P46-3BM-100 - Front Scuff Plate
08L33-3BM-100A - Rocker Slider
08L33-3BM-100	 Running Boards</t>
  </si>
  <si>
    <t>08L33-3BM-100	 Running Boards
26PAS-RUGPK	Rugged Package</t>
  </si>
  <si>
    <t>08L33-3BM-100A Rock Slider
26PAS-RUGPK	Rugged Package</t>
  </si>
  <si>
    <t>L’ensemble comprend des tapis toutes saisons et un plateau pour compartiment utilitaire</t>
  </si>
  <si>
    <t>L’ensemble comprend des tapis toutes saisons, un plateau pour compartiment utilitaire, des garde-boue, et un couvre-bagages</t>
  </si>
  <si>
    <t>Package Includes All season mats, Cargo tray, splash guards and cargo cover</t>
  </si>
  <si>
    <t>Package Includes All season mats and Cargo tray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</si>
</sst>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color theme="1"/>
      <name val="Calibri"/>
      <family val="2"/>
      <scheme val="minor"/>
    </font>
    <font>
      <sz val="8"/>
      <color theme="1"/>
      <name val="Calibri"/>
      <family val="2"/>
      <scheme val="minor"/>
    </font>
    <font>
      <b/>
      <sz val="14"/>
      <name val="Calibri"/>
      <family val="2"/>
      <scheme val="minor"/>
    </font>
    <font>
      <sz val="11"/>
      <color rgb="FFFF0000"/>
      <name val="Calibri"/>
      <family val="2"/>
      <scheme val="minor"/>
    </font>
    <font>
      <i/>
      <sz val="10"/>
      <color theme="0" tint="-4.9989318521683403E-2"/>
      <name val="Arial Narrow"/>
      <family val="2"/>
    </font>
    <font>
      <i/>
      <sz val="11"/>
      <color theme="0" tint="-4.9989318521683403E-2"/>
      <name val="Arial Narrow"/>
      <family val="2"/>
    </font>
    <font>
      <i/>
      <sz val="14"/>
      <color theme="0" tint="-4.9989318521683403E-2"/>
      <name val="Arial Narrow"/>
      <family val="2"/>
    </font>
    <font>
      <sz val="11"/>
      <color theme="0" tint="-4.9989318521683403E-2"/>
      <name val="Arial Narrow"/>
      <family val="2"/>
    </font>
    <font>
      <sz val="10"/>
      <color theme="0" tint="-4.9989318521683403E-2"/>
      <name val="Arial Narrow"/>
      <family val="2"/>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s>
  <borders count="5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704">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70" fontId="38" fillId="0" borderId="0" applyFont="0" applyFill="0" applyBorder="0" applyAlignment="0" applyProtection="0"/>
    <xf numFmtId="169"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2"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9" fontId="38" fillId="0" borderId="0" applyFont="0" applyFill="0" applyBorder="0" applyAlignment="0" applyProtection="0"/>
    <xf numFmtId="170"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4"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2"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4" fillId="0" borderId="0"/>
    <xf numFmtId="0" fontId="4" fillId="0" borderId="0"/>
    <xf numFmtId="0" fontId="4" fillId="0" borderId="0"/>
    <xf numFmtId="165" fontId="38" fillId="0" borderId="0" applyFont="0" applyFill="0" applyBorder="0" applyAlignment="0" applyProtection="0"/>
  </cellStyleXfs>
  <cellXfs count="412">
    <xf numFmtId="0" fontId="0" fillId="0" borderId="0" xfId="0"/>
    <xf numFmtId="0" fontId="45" fillId="33" borderId="0" xfId="74" applyFont="1" applyFill="1"/>
    <xf numFmtId="0" fontId="82" fillId="33" borderId="15" xfId="594" applyNumberFormat="1" applyFont="1" applyFill="1" applyAlignment="1">
      <alignment vertical="center"/>
    </xf>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4" fillId="0" borderId="0" xfId="652"/>
    <xf numFmtId="0" fontId="95"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6" fillId="33" borderId="0" xfId="74" applyFont="1" applyFill="1"/>
    <xf numFmtId="0" fontId="48" fillId="33" borderId="0" xfId="74" applyFont="1" applyFill="1"/>
    <xf numFmtId="0" fontId="84" fillId="33" borderId="15" xfId="592" applyFont="1" applyFill="1" applyBorder="1" applyAlignment="1">
      <alignment vertical="center"/>
    </xf>
    <xf numFmtId="0" fontId="89" fillId="33" borderId="18" xfId="594" applyNumberFormat="1" applyFont="1" applyFill="1" applyBorder="1">
      <alignment horizontal="center" vertical="center"/>
    </xf>
    <xf numFmtId="166" fontId="86" fillId="33" borderId="18" xfId="595" applyNumberFormat="1" applyFont="1" applyFill="1" applyBorder="1">
      <alignment horizontal="center" vertical="center"/>
    </xf>
    <xf numFmtId="166" fontId="89" fillId="33" borderId="18" xfId="594" applyNumberFormat="1" applyFont="1" applyFill="1" applyBorder="1">
      <alignment horizontal="center" vertical="center"/>
    </xf>
    <xf numFmtId="0" fontId="86" fillId="0" borderId="18" xfId="591" applyFont="1" applyFill="1" applyBorder="1" applyAlignment="1">
      <alignment horizontal="left" vertical="center"/>
    </xf>
    <xf numFmtId="0" fontId="86" fillId="33" borderId="18" xfId="591" applyFont="1" applyFill="1" applyBorder="1" applyAlignment="1">
      <alignment horizontal="left" vertical="center"/>
    </xf>
    <xf numFmtId="166" fontId="86" fillId="0" borderId="18" xfId="594" applyNumberFormat="1" applyFont="1" applyFill="1" applyBorder="1">
      <alignment horizontal="center" vertical="center"/>
    </xf>
    <xf numFmtId="0" fontId="86" fillId="0" borderId="18" xfId="594" applyNumberFormat="1" applyFont="1" applyFill="1" applyBorder="1">
      <alignment horizontal="center" vertical="center"/>
    </xf>
    <xf numFmtId="166" fontId="86" fillId="0" borderId="18" xfId="595" applyNumberFormat="1" applyFont="1" applyFill="1" applyBorder="1">
      <alignment horizontal="center" vertical="center"/>
    </xf>
    <xf numFmtId="0" fontId="89" fillId="0" borderId="18" xfId="594" applyNumberFormat="1" applyFont="1" applyFill="1" applyBorder="1">
      <alignment horizontal="center" vertical="center"/>
    </xf>
    <xf numFmtId="0" fontId="86" fillId="0" borderId="18" xfId="595" applyFont="1" applyFill="1" applyBorder="1" applyAlignment="1">
      <alignment horizontal="left" vertical="center" wrapText="1"/>
    </xf>
    <xf numFmtId="1" fontId="89" fillId="33" borderId="18" xfId="594" applyNumberFormat="1" applyFont="1" applyFill="1" applyBorder="1" applyAlignment="1">
      <alignment horizontal="left" vertical="center"/>
    </xf>
    <xf numFmtId="171" fontId="89"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6"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3"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3" fillId="32" borderId="22" xfId="80" applyFont="1" applyFill="1" applyBorder="1" applyAlignment="1">
      <alignment horizontal="center"/>
    </xf>
    <xf numFmtId="0" fontId="83" fillId="32" borderId="24" xfId="80" applyFont="1" applyFill="1" applyBorder="1" applyAlignment="1">
      <alignment horizontal="center"/>
    </xf>
    <xf numFmtId="0" fontId="92" fillId="35" borderId="27" xfId="80" applyFont="1" applyFill="1" applyBorder="1" applyAlignment="1">
      <alignment horizontal="centerContinuous"/>
    </xf>
    <xf numFmtId="0" fontId="38" fillId="0" borderId="26" xfId="80" applyBorder="1" applyAlignment="1">
      <alignment vertical="center"/>
    </xf>
    <xf numFmtId="0" fontId="92" fillId="35" borderId="28" xfId="80" applyFont="1" applyFill="1" applyBorder="1" applyAlignment="1">
      <alignment horizontal="centerContinuous"/>
    </xf>
    <xf numFmtId="173" fontId="83" fillId="31" borderId="23" xfId="80" applyNumberFormat="1" applyFont="1" applyFill="1" applyBorder="1"/>
    <xf numFmtId="173" fontId="83" fillId="31" borderId="25" xfId="80" applyNumberFormat="1" applyFont="1" applyFill="1" applyBorder="1"/>
    <xf numFmtId="0" fontId="85"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3" fillId="0" borderId="0" xfId="74" applyFont="1" applyAlignment="1">
      <alignment vertical="center"/>
    </xf>
    <xf numFmtId="0" fontId="83" fillId="30" borderId="0" xfId="74" applyFont="1" applyFill="1" applyAlignment="1">
      <alignment vertical="center"/>
    </xf>
    <xf numFmtId="0" fontId="88" fillId="33" borderId="26" xfId="691" applyFont="1" applyFill="1" applyBorder="1" applyAlignment="1">
      <alignment horizontal="left" vertical="center"/>
    </xf>
    <xf numFmtId="0" fontId="88" fillId="33" borderId="16" xfId="691" applyFont="1" applyFill="1" applyBorder="1" applyAlignment="1">
      <alignment horizontal="left" vertical="center"/>
    </xf>
    <xf numFmtId="0" fontId="102" fillId="33" borderId="0" xfId="74" applyFont="1" applyFill="1" applyAlignment="1">
      <alignment vertical="center"/>
    </xf>
    <xf numFmtId="0" fontId="83" fillId="33" borderId="0" xfId="74" applyFont="1" applyFill="1" applyAlignment="1">
      <alignment vertical="center"/>
    </xf>
    <xf numFmtId="0" fontId="106" fillId="33" borderId="0" xfId="74" applyFont="1" applyFill="1" applyAlignment="1">
      <alignment horizontal="center" vertical="center"/>
    </xf>
    <xf numFmtId="0" fontId="103" fillId="33" borderId="0" xfId="74" applyFont="1" applyFill="1" applyAlignment="1">
      <alignment horizontal="center" vertical="center"/>
    </xf>
    <xf numFmtId="164" fontId="83" fillId="0" borderId="0" xfId="74" applyNumberFormat="1" applyFont="1" applyAlignment="1">
      <alignment vertical="center"/>
    </xf>
    <xf numFmtId="0" fontId="80" fillId="33" borderId="0" xfId="74" applyFont="1" applyFill="1" applyAlignment="1">
      <alignment vertical="center"/>
    </xf>
    <xf numFmtId="0" fontId="106" fillId="33" borderId="0" xfId="74" applyFont="1" applyFill="1" applyAlignment="1">
      <alignment horizontal="center" vertical="top"/>
    </xf>
    <xf numFmtId="8" fontId="81" fillId="33" borderId="0" xfId="74" applyNumberFormat="1" applyFont="1" applyFill="1" applyAlignment="1">
      <alignment horizontal="right" vertical="top"/>
    </xf>
    <xf numFmtId="44" fontId="81" fillId="33" borderId="0" xfId="74" applyNumberFormat="1" applyFont="1" applyFill="1" applyAlignment="1">
      <alignment horizontal="left" vertical="top"/>
    </xf>
    <xf numFmtId="49" fontId="110" fillId="0" borderId="0" xfId="74" applyNumberFormat="1" applyFont="1" applyAlignment="1">
      <alignment vertical="top"/>
    </xf>
    <xf numFmtId="0" fontId="80" fillId="33" borderId="0" xfId="74" applyFont="1" applyFill="1" applyAlignment="1">
      <alignment vertical="top"/>
    </xf>
    <xf numFmtId="0" fontId="83" fillId="33" borderId="0" xfId="74" applyFont="1" applyFill="1" applyAlignment="1">
      <alignment vertical="top"/>
    </xf>
    <xf numFmtId="0" fontId="83" fillId="30" borderId="0" xfId="74" applyFont="1" applyFill="1" applyAlignment="1">
      <alignment vertical="top"/>
    </xf>
    <xf numFmtId="0" fontId="83" fillId="0" borderId="0" xfId="74" applyFont="1" applyAlignment="1">
      <alignment vertical="top"/>
    </xf>
    <xf numFmtId="0" fontId="81" fillId="33" borderId="0" xfId="74" applyFont="1" applyFill="1" applyAlignment="1">
      <alignment vertical="center"/>
    </xf>
    <xf numFmtId="0" fontId="103" fillId="33" borderId="0" xfId="74" applyFont="1" applyFill="1" applyAlignment="1">
      <alignment vertical="center"/>
    </xf>
    <xf numFmtId="0" fontId="109" fillId="33" borderId="0" xfId="74" applyFont="1" applyFill="1" applyAlignment="1">
      <alignment horizontal="left" vertical="center"/>
    </xf>
    <xf numFmtId="0" fontId="108" fillId="33" borderId="0" xfId="74" applyFont="1" applyFill="1" applyAlignment="1">
      <alignment vertical="center"/>
    </xf>
    <xf numFmtId="0" fontId="105" fillId="0" borderId="0" xfId="74" applyFont="1" applyAlignment="1">
      <alignment vertical="center"/>
    </xf>
    <xf numFmtId="0" fontId="105" fillId="33" borderId="0" xfId="74" applyFont="1" applyFill="1" applyAlignment="1">
      <alignment vertical="center"/>
    </xf>
    <xf numFmtId="0" fontId="102" fillId="0" borderId="0" xfId="74" applyFont="1" applyAlignment="1">
      <alignment vertical="center"/>
    </xf>
    <xf numFmtId="10" fontId="5" fillId="0" borderId="0" xfId="522" applyNumberFormat="1" applyFont="1" applyBorder="1" applyAlignment="1">
      <alignment vertical="center"/>
    </xf>
    <xf numFmtId="174" fontId="81" fillId="33" borderId="0" xfId="74" applyNumberFormat="1" applyFont="1" applyFill="1" applyAlignment="1">
      <alignment horizontal="right" vertical="top"/>
    </xf>
    <xf numFmtId="175" fontId="80" fillId="33" borderId="0" xfId="74" applyNumberFormat="1" applyFont="1" applyFill="1" applyAlignment="1">
      <alignment vertical="top"/>
    </xf>
    <xf numFmtId="176" fontId="80" fillId="33" borderId="0" xfId="74" applyNumberFormat="1" applyFont="1" applyFill="1" applyAlignment="1">
      <alignment vertical="top"/>
    </xf>
    <xf numFmtId="9" fontId="110" fillId="33" borderId="0" xfId="74" applyNumberFormat="1" applyFont="1" applyFill="1" applyAlignment="1">
      <alignment vertical="center"/>
    </xf>
    <xf numFmtId="9" fontId="110" fillId="33" borderId="0" xfId="74" applyNumberFormat="1" applyFont="1" applyFill="1" applyAlignment="1">
      <alignment vertical="top"/>
    </xf>
    <xf numFmtId="0" fontId="107" fillId="33" borderId="0" xfId="74" applyFont="1" applyFill="1" applyAlignment="1">
      <alignment vertical="center"/>
    </xf>
    <xf numFmtId="171" fontId="89" fillId="31" borderId="15" xfId="594" applyNumberFormat="1" applyFont="1" applyFill="1" applyAlignment="1">
      <alignment horizontal="left" vertical="center"/>
    </xf>
    <xf numFmtId="171" fontId="89" fillId="31" borderId="18" xfId="594" applyNumberFormat="1" applyFont="1" applyFill="1" applyBorder="1" applyAlignment="1">
      <alignment horizontal="left" vertical="center"/>
    </xf>
    <xf numFmtId="0" fontId="83" fillId="33" borderId="0" xfId="74" applyFont="1" applyFill="1" applyAlignment="1">
      <alignment horizontal="center" vertical="center"/>
    </xf>
    <xf numFmtId="0" fontId="108" fillId="0" borderId="0" xfId="74" applyFont="1" applyAlignment="1">
      <alignment vertical="center"/>
    </xf>
    <xf numFmtId="0" fontId="80" fillId="0" borderId="0" xfId="591" applyFont="1" applyFill="1" applyBorder="1" applyAlignment="1">
      <alignment horizontal="center" vertical="center" wrapText="1"/>
    </xf>
    <xf numFmtId="0" fontId="98" fillId="0" borderId="0" xfId="594" applyNumberFormat="1" applyFont="1" applyFill="1" applyBorder="1">
      <alignment horizontal="center" vertical="center"/>
    </xf>
    <xf numFmtId="0" fontId="116" fillId="33" borderId="0" xfId="74" applyFont="1" applyFill="1"/>
    <xf numFmtId="0" fontId="38" fillId="34" borderId="0" xfId="74" applyFill="1"/>
    <xf numFmtId="178" fontId="115" fillId="33" borderId="0" xfId="74" applyNumberFormat="1" applyFont="1" applyFill="1" applyAlignment="1">
      <alignment horizontal="left" vertical="center"/>
    </xf>
    <xf numFmtId="0" fontId="99" fillId="32" borderId="30" xfId="80" applyFont="1" applyFill="1" applyBorder="1" applyAlignment="1" applyProtection="1">
      <alignment horizontal="center" vertical="center"/>
      <protection locked="0"/>
    </xf>
    <xf numFmtId="0" fontId="90" fillId="30" borderId="29" xfId="80" applyFont="1" applyFill="1" applyBorder="1" applyAlignment="1">
      <alignment horizontal="center" wrapText="1"/>
    </xf>
    <xf numFmtId="0" fontId="82" fillId="33" borderId="0" xfId="594" applyNumberFormat="1" applyFont="1" applyFill="1" applyBorder="1">
      <alignment horizontal="center" vertical="center"/>
    </xf>
    <xf numFmtId="0" fontId="82" fillId="33" borderId="0" xfId="594" applyNumberFormat="1" applyFont="1" applyFill="1" applyBorder="1" applyAlignment="1">
      <alignment vertical="center"/>
    </xf>
    <xf numFmtId="0" fontId="89" fillId="33" borderId="0" xfId="594" applyNumberFormat="1" applyFont="1" applyFill="1" applyBorder="1">
      <alignment horizontal="center" vertical="center"/>
    </xf>
    <xf numFmtId="0" fontId="86" fillId="33" borderId="0" xfId="591" applyFont="1" applyFill="1" applyBorder="1" applyAlignment="1">
      <alignment horizontal="left" vertical="center" wrapText="1"/>
    </xf>
    <xf numFmtId="0" fontId="3" fillId="33" borderId="0" xfId="689" applyFont="1" applyFill="1" applyAlignment="1">
      <alignment horizontal="center" vertical="center"/>
    </xf>
    <xf numFmtId="0" fontId="3"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6" fillId="33" borderId="0" xfId="74" applyFont="1" applyFill="1" applyAlignment="1">
      <alignment vertical="center"/>
    </xf>
    <xf numFmtId="0" fontId="92" fillId="36" borderId="8" xfId="595" applyFont="1" applyFill="1" applyBorder="1" applyAlignment="1">
      <alignment horizontal="center" vertical="center" wrapText="1"/>
    </xf>
    <xf numFmtId="0" fontId="86" fillId="33" borderId="0" xfId="74" applyFont="1" applyFill="1" applyAlignment="1">
      <alignment horizontal="center" vertical="center"/>
    </xf>
    <xf numFmtId="0" fontId="86" fillId="33" borderId="0" xfId="74" applyFont="1" applyFill="1" applyAlignment="1">
      <alignment vertical="center" wrapText="1"/>
    </xf>
    <xf numFmtId="0" fontId="92" fillId="36" borderId="35" xfId="595" applyFont="1" applyFill="1" applyBorder="1" applyAlignment="1">
      <alignment horizontal="center" vertical="center" wrapText="1"/>
    </xf>
    <xf numFmtId="0" fontId="92" fillId="37" borderId="35" xfId="595" applyFont="1" applyFill="1" applyBorder="1" applyAlignment="1">
      <alignment vertical="center" wrapText="1"/>
    </xf>
    <xf numFmtId="0" fontId="83" fillId="33" borderId="37" xfId="74" applyFont="1" applyFill="1" applyBorder="1" applyAlignment="1">
      <alignment vertical="center"/>
    </xf>
    <xf numFmtId="0" fontId="92" fillId="36" borderId="37" xfId="591" applyFont="1" applyFill="1" applyBorder="1" applyAlignment="1">
      <alignment horizontal="left" vertical="center"/>
    </xf>
    <xf numFmtId="0" fontId="83" fillId="33" borderId="37" xfId="74" applyFont="1" applyFill="1" applyBorder="1" applyAlignment="1">
      <alignment horizontal="center" vertical="center"/>
    </xf>
    <xf numFmtId="0" fontId="82"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3" fillId="33" borderId="37" xfId="74" applyFont="1" applyFill="1" applyBorder="1" applyAlignment="1">
      <alignment vertical="center" wrapText="1"/>
    </xf>
    <xf numFmtId="0" fontId="83" fillId="33" borderId="0" xfId="74" applyFont="1" applyFill="1" applyAlignment="1">
      <alignment vertical="center" wrapText="1"/>
    </xf>
    <xf numFmtId="0" fontId="118" fillId="33" borderId="0" xfId="74" applyFont="1" applyFill="1" applyAlignment="1">
      <alignment horizontal="left" vertical="center" wrapText="1"/>
    </xf>
    <xf numFmtId="0" fontId="112"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6" fillId="33" borderId="0" xfId="672" applyFont="1" applyFill="1" applyBorder="1" applyAlignment="1">
      <alignment vertical="center"/>
    </xf>
    <xf numFmtId="0" fontId="87"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122" fillId="33" borderId="37" xfId="74" applyFont="1" applyFill="1" applyBorder="1" applyAlignment="1">
      <alignment horizontal="center" vertical="center" wrapText="1"/>
    </xf>
    <xf numFmtId="0" fontId="83" fillId="38" borderId="37" xfId="74" applyFont="1" applyFill="1" applyBorder="1" applyAlignment="1">
      <alignment horizontal="center" vertical="center"/>
    </xf>
    <xf numFmtId="0" fontId="83" fillId="38" borderId="37" xfId="74" applyFont="1" applyFill="1" applyBorder="1" applyAlignment="1">
      <alignment vertical="center"/>
    </xf>
    <xf numFmtId="0" fontId="2" fillId="33" borderId="15" xfId="689" applyFont="1" applyFill="1" applyBorder="1" applyAlignment="1">
      <alignment horizontal="center" vertical="center"/>
    </xf>
    <xf numFmtId="0" fontId="2" fillId="33" borderId="15" xfId="689" applyFont="1" applyFill="1" applyBorder="1" applyAlignment="1">
      <alignment vertical="center"/>
    </xf>
    <xf numFmtId="0" fontId="2" fillId="33" borderId="16" xfId="689" applyFont="1" applyFill="1" applyBorder="1" applyAlignment="1">
      <alignment vertical="center"/>
    </xf>
    <xf numFmtId="0" fontId="2" fillId="33" borderId="0" xfId="689" applyFont="1" applyFill="1" applyAlignment="1">
      <alignment horizontal="center" vertical="center"/>
    </xf>
    <xf numFmtId="0" fontId="2" fillId="33" borderId="0" xfId="689" applyFont="1" applyFill="1" applyAlignment="1">
      <alignment vertical="center"/>
    </xf>
    <xf numFmtId="0" fontId="118" fillId="0" borderId="0" xfId="74" applyFont="1" applyAlignment="1">
      <alignment horizontal="left" vertical="center"/>
    </xf>
    <xf numFmtId="0" fontId="86" fillId="30" borderId="0" xfId="74" applyFont="1" applyFill="1" applyAlignment="1">
      <alignment vertical="center"/>
    </xf>
    <xf numFmtId="0" fontId="86" fillId="0" borderId="0" xfId="74" applyFont="1" applyAlignment="1">
      <alignment vertical="center"/>
    </xf>
    <xf numFmtId="0" fontId="2" fillId="33" borderId="18" xfId="689" applyFont="1" applyFill="1" applyBorder="1" applyAlignment="1">
      <alignment vertical="center"/>
    </xf>
    <xf numFmtId="178" fontId="100" fillId="33" borderId="0" xfId="74" applyNumberFormat="1" applyFont="1" applyFill="1" applyAlignment="1">
      <alignment horizontal="left" vertical="center"/>
    </xf>
    <xf numFmtId="0" fontId="87" fillId="33" borderId="15" xfId="591" applyFont="1" applyFill="1" applyBorder="1" applyAlignment="1">
      <alignment vertical="center"/>
    </xf>
    <xf numFmtId="0" fontId="87" fillId="33" borderId="16" xfId="591" applyFont="1" applyFill="1" applyBorder="1" applyAlignment="1">
      <alignment vertical="center"/>
    </xf>
    <xf numFmtId="0" fontId="2" fillId="33" borderId="17" xfId="689" applyFont="1" applyFill="1" applyBorder="1" applyAlignment="1">
      <alignment vertical="center"/>
    </xf>
    <xf numFmtId="0" fontId="87" fillId="33" borderId="0" xfId="591" applyFont="1" applyFill="1" applyBorder="1" applyAlignment="1">
      <alignment vertical="center"/>
    </xf>
    <xf numFmtId="0" fontId="87" fillId="33" borderId="0" xfId="591" applyFont="1" applyFill="1" applyBorder="1" applyAlignment="1">
      <alignment horizontal="left" vertical="center"/>
    </xf>
    <xf numFmtId="0" fontId="88" fillId="33" borderId="0" xfId="691" applyFont="1" applyFill="1" applyAlignment="1">
      <alignment horizontal="left" vertical="center"/>
    </xf>
    <xf numFmtId="0" fontId="86" fillId="33" borderId="15" xfId="689" applyFont="1" applyFill="1" applyBorder="1" applyAlignment="1">
      <alignment vertical="center"/>
    </xf>
    <xf numFmtId="0" fontId="86" fillId="33" borderId="16" xfId="689" applyFont="1" applyFill="1" applyBorder="1" applyAlignment="1">
      <alignment vertical="center"/>
    </xf>
    <xf numFmtId="0" fontId="86" fillId="33" borderId="13" xfId="689" applyFont="1" applyFill="1" applyBorder="1" applyAlignment="1">
      <alignment vertical="center"/>
    </xf>
    <xf numFmtId="0" fontId="86" fillId="33" borderId="20" xfId="689" applyFont="1" applyFill="1" applyBorder="1" applyAlignment="1">
      <alignment vertical="center"/>
    </xf>
    <xf numFmtId="0" fontId="86" fillId="33" borderId="18" xfId="689" applyFont="1" applyFill="1" applyBorder="1" applyAlignment="1">
      <alignment vertical="center"/>
    </xf>
    <xf numFmtId="0" fontId="87" fillId="33" borderId="15" xfId="689" applyFont="1" applyFill="1" applyBorder="1" applyAlignment="1">
      <alignment vertical="center"/>
    </xf>
    <xf numFmtId="0" fontId="86" fillId="33" borderId="26" xfId="689" applyFont="1" applyFill="1" applyBorder="1" applyAlignment="1">
      <alignment vertical="center"/>
    </xf>
    <xf numFmtId="0" fontId="83"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4" fillId="33" borderId="20" xfId="592" applyFont="1" applyFill="1" applyBorder="1" applyAlignment="1">
      <alignment vertical="center"/>
    </xf>
    <xf numFmtId="0" fontId="82" fillId="33" borderId="20" xfId="594" applyNumberFormat="1" applyFont="1" applyFill="1" applyBorder="1" applyAlignment="1">
      <alignment vertical="center"/>
    </xf>
    <xf numFmtId="0" fontId="87" fillId="33" borderId="18" xfId="591" applyFont="1" applyFill="1" applyBorder="1" applyAlignment="1">
      <alignment horizontal="left" vertical="center"/>
    </xf>
    <xf numFmtId="0" fontId="84" fillId="39" borderId="0" xfId="672" applyFont="1" applyFill="1" applyBorder="1" applyAlignment="1">
      <alignment vertical="center"/>
    </xf>
    <xf numFmtId="0" fontId="86" fillId="30" borderId="15" xfId="591" applyFont="1" applyFill="1" applyBorder="1" applyAlignment="1">
      <alignment horizontal="left" vertical="center"/>
    </xf>
    <xf numFmtId="0" fontId="87" fillId="33" borderId="26" xfId="689" applyFont="1" applyFill="1" applyBorder="1" applyAlignment="1">
      <alignment vertical="center"/>
    </xf>
    <xf numFmtId="2" fontId="3" fillId="33" borderId="37" xfId="689" applyNumberFormat="1" applyFont="1" applyFill="1" applyBorder="1" applyAlignment="1">
      <alignment vertical="center"/>
    </xf>
    <xf numFmtId="0" fontId="120" fillId="40" borderId="35" xfId="595" applyFont="1" applyFill="1" applyBorder="1" applyAlignment="1">
      <alignment horizontal="center" vertical="center" wrapText="1"/>
    </xf>
    <xf numFmtId="0" fontId="120" fillId="36" borderId="38" xfId="595" applyFont="1" applyFill="1" applyBorder="1" applyAlignment="1">
      <alignment horizontal="center" vertical="center" wrapText="1"/>
    </xf>
    <xf numFmtId="2" fontId="83" fillId="33" borderId="37" xfId="74" applyNumberFormat="1" applyFont="1" applyFill="1" applyBorder="1" applyAlignment="1">
      <alignment vertical="center"/>
    </xf>
    <xf numFmtId="167" fontId="83" fillId="33" borderId="37" xfId="74" applyNumberFormat="1" applyFont="1" applyFill="1" applyBorder="1" applyAlignment="1">
      <alignment horizontal="center" vertical="center"/>
    </xf>
    <xf numFmtId="2" fontId="83" fillId="41" borderId="37" xfId="74" applyNumberFormat="1" applyFont="1" applyFill="1" applyBorder="1" applyAlignment="1">
      <alignment vertical="center"/>
    </xf>
    <xf numFmtId="2" fontId="3" fillId="41" borderId="37" xfId="689" applyNumberFormat="1" applyFont="1" applyFill="1" applyBorder="1" applyAlignment="1">
      <alignment vertical="center"/>
    </xf>
    <xf numFmtId="167" fontId="83" fillId="41" borderId="37" xfId="74" applyNumberFormat="1" applyFont="1" applyFill="1" applyBorder="1" applyAlignment="1">
      <alignment horizontal="center" vertical="center"/>
    </xf>
    <xf numFmtId="0" fontId="92" fillId="37" borderId="37" xfId="595" applyFont="1" applyFill="1" applyBorder="1" applyAlignment="1">
      <alignment horizontal="center" vertical="center" wrapText="1"/>
    </xf>
    <xf numFmtId="0" fontId="129" fillId="37" borderId="37" xfId="595" applyFont="1" applyFill="1" applyBorder="1" applyAlignment="1">
      <alignment horizontal="center" vertical="center" wrapText="1"/>
    </xf>
    <xf numFmtId="0" fontId="120" fillId="36" borderId="37" xfId="595" applyFont="1" applyFill="1" applyBorder="1" applyAlignment="1">
      <alignment horizontal="center" vertical="center" wrapText="1"/>
    </xf>
    <xf numFmtId="0" fontId="117" fillId="30" borderId="37" xfId="595" applyFont="1" applyFill="1" applyBorder="1">
      <alignment horizontal="center" vertical="center"/>
    </xf>
    <xf numFmtId="0" fontId="92" fillId="37" borderId="37" xfId="595" applyFont="1" applyFill="1" applyBorder="1" applyAlignment="1">
      <alignment vertical="center" wrapText="1"/>
    </xf>
    <xf numFmtId="0" fontId="83" fillId="28" borderId="37" xfId="74" applyFont="1" applyFill="1" applyBorder="1" applyAlignment="1">
      <alignment horizontal="center" vertical="center"/>
    </xf>
    <xf numFmtId="0" fontId="89" fillId="30" borderId="15" xfId="595" applyFont="1" applyFill="1" applyBorder="1" applyAlignment="1">
      <alignment horizontal="center" vertical="center" wrapText="1"/>
    </xf>
    <xf numFmtId="0" fontId="86" fillId="32" borderId="18" xfId="591" applyFont="1" applyFill="1" applyBorder="1" applyAlignment="1">
      <alignment horizontal="left" vertical="center"/>
    </xf>
    <xf numFmtId="44" fontId="86" fillId="31" borderId="18" xfId="36" applyFont="1" applyFill="1" applyBorder="1" applyAlignment="1">
      <alignment horizontal="center" vertical="center"/>
    </xf>
    <xf numFmtId="0" fontId="86" fillId="31" borderId="18" xfId="594" applyNumberFormat="1" applyFont="1" applyFill="1" applyBorder="1">
      <alignment horizontal="center" vertical="center"/>
    </xf>
    <xf numFmtId="44" fontId="89" fillId="32" borderId="18" xfId="36" applyFont="1" applyFill="1" applyBorder="1" applyAlignment="1">
      <alignment horizontal="center" vertical="center"/>
    </xf>
    <xf numFmtId="0" fontId="83" fillId="31" borderId="18" xfId="594" applyNumberFormat="1" applyFont="1" applyFill="1" applyBorder="1">
      <alignment horizontal="center" vertical="center"/>
    </xf>
    <xf numFmtId="0" fontId="86" fillId="32" borderId="18" xfId="595" applyFont="1" applyFill="1" applyBorder="1" applyAlignment="1">
      <alignment horizontal="left" vertical="center" wrapText="1"/>
    </xf>
    <xf numFmtId="0" fontId="83" fillId="33" borderId="34" xfId="74" applyFont="1" applyFill="1" applyBorder="1" applyAlignment="1">
      <alignment vertical="center"/>
    </xf>
    <xf numFmtId="0" fontId="89" fillId="33" borderId="34" xfId="594" applyNumberFormat="1" applyFont="1" applyFill="1" applyBorder="1">
      <alignment horizontal="center" vertical="center"/>
    </xf>
    <xf numFmtId="171" fontId="89" fillId="33" borderId="33" xfId="594" applyNumberFormat="1" applyFont="1" applyFill="1" applyBorder="1" applyAlignment="1">
      <alignment horizontal="left" vertical="center"/>
    </xf>
    <xf numFmtId="166" fontId="86" fillId="33" borderId="0" xfId="594" applyNumberFormat="1" applyFont="1" applyFill="1" applyBorder="1">
      <alignment horizontal="center" vertical="center"/>
    </xf>
    <xf numFmtId="0" fontId="86" fillId="33" borderId="0" xfId="594" applyNumberFormat="1" applyFont="1" applyFill="1" applyBorder="1">
      <alignment horizontal="center" vertical="center"/>
    </xf>
    <xf numFmtId="166" fontId="86" fillId="33" borderId="0" xfId="595" applyNumberFormat="1" applyFont="1" applyFill="1" applyBorder="1">
      <alignment horizontal="center" vertical="center"/>
    </xf>
    <xf numFmtId="0" fontId="86"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9" fillId="32" borderId="19" xfId="591" applyFont="1" applyFill="1" applyBorder="1" applyAlignment="1">
      <alignment vertical="center"/>
    </xf>
    <xf numFmtId="0" fontId="83" fillId="41" borderId="37" xfId="74" applyFont="1" applyFill="1" applyBorder="1" applyAlignment="1">
      <alignment horizontal="left" vertical="center"/>
    </xf>
    <xf numFmtId="0" fontId="83" fillId="33" borderId="37" xfId="74" applyFont="1" applyFill="1" applyBorder="1" applyAlignment="1">
      <alignment horizontal="left" vertical="center"/>
    </xf>
    <xf numFmtId="0" fontId="86" fillId="32" borderId="15" xfId="591" applyFont="1" applyFill="1" applyBorder="1">
      <alignment horizontal="left" vertical="center" indent="1"/>
    </xf>
    <xf numFmtId="0" fontId="91" fillId="33" borderId="17" xfId="689" applyFont="1" applyFill="1" applyBorder="1" applyAlignment="1">
      <alignment horizontal="center" vertical="center"/>
    </xf>
    <xf numFmtId="0" fontId="88" fillId="33" borderId="15" xfId="691" applyFont="1" applyFill="1" applyBorder="1" applyAlignment="1">
      <alignment horizontal="left" vertical="center"/>
    </xf>
    <xf numFmtId="0" fontId="86" fillId="32" borderId="20" xfId="595" applyFont="1" applyFill="1" applyBorder="1" applyAlignment="1">
      <alignment horizontal="left" vertical="center" wrapText="1"/>
    </xf>
    <xf numFmtId="0" fontId="89" fillId="32" borderId="15" xfId="591" applyFont="1" applyFill="1" applyBorder="1" applyAlignment="1">
      <alignment horizontal="left" vertical="center"/>
    </xf>
    <xf numFmtId="0" fontId="122" fillId="33" borderId="0" xfId="74" applyFont="1" applyFill="1" applyAlignment="1">
      <alignment vertical="center"/>
    </xf>
    <xf numFmtId="0" fontId="86" fillId="32" borderId="18" xfId="591" applyFont="1" applyFill="1" applyBorder="1">
      <alignment horizontal="left" vertical="center" indent="1"/>
    </xf>
    <xf numFmtId="0" fontId="89" fillId="32" borderId="18" xfId="591" applyFont="1" applyFill="1" applyBorder="1" applyAlignment="1">
      <alignment horizontal="left" vertical="center"/>
    </xf>
    <xf numFmtId="0" fontId="2" fillId="33" borderId="33" xfId="689" applyFont="1" applyFill="1" applyBorder="1" applyAlignment="1">
      <alignment vertical="center"/>
    </xf>
    <xf numFmtId="0" fontId="91" fillId="33" borderId="0" xfId="689" applyFont="1" applyFill="1" applyAlignment="1">
      <alignment horizontal="center" vertical="center"/>
    </xf>
    <xf numFmtId="1" fontId="86" fillId="31" borderId="15" xfId="594" applyNumberFormat="1" applyFont="1" applyFill="1" applyAlignment="1">
      <alignment horizontal="left" vertical="center" indent="1"/>
    </xf>
    <xf numFmtId="0" fontId="86" fillId="30" borderId="13" xfId="74" applyFont="1" applyFill="1" applyBorder="1" applyAlignment="1">
      <alignment vertical="center"/>
    </xf>
    <xf numFmtId="0" fontId="86" fillId="30" borderId="19" xfId="74" applyFont="1" applyFill="1" applyBorder="1" applyAlignment="1">
      <alignment vertical="center"/>
    </xf>
    <xf numFmtId="0" fontId="83" fillId="42" borderId="0" xfId="74" applyFont="1" applyFill="1" applyAlignment="1">
      <alignment vertical="center"/>
    </xf>
    <xf numFmtId="0" fontId="83" fillId="42" borderId="37" xfId="74" applyFont="1" applyFill="1" applyBorder="1" applyAlignment="1">
      <alignment vertical="center"/>
    </xf>
    <xf numFmtId="0" fontId="83" fillId="42" borderId="37" xfId="74" applyFont="1" applyFill="1" applyBorder="1" applyAlignment="1">
      <alignment vertical="center" wrapText="1"/>
    </xf>
    <xf numFmtId="0" fontId="122" fillId="42" borderId="37" xfId="74" applyFont="1" applyFill="1" applyBorder="1" applyAlignment="1">
      <alignment vertical="center" wrapText="1"/>
    </xf>
    <xf numFmtId="0" fontId="83" fillId="42" borderId="37" xfId="74" applyFont="1" applyFill="1" applyBorder="1" applyAlignment="1">
      <alignment horizontal="center" vertical="center"/>
    </xf>
    <xf numFmtId="0" fontId="3" fillId="42" borderId="37" xfId="689" applyFont="1" applyFill="1" applyBorder="1" applyAlignment="1">
      <alignment vertical="center"/>
    </xf>
    <xf numFmtId="2" fontId="83" fillId="42" borderId="37" xfId="74" applyNumberFormat="1" applyFont="1" applyFill="1" applyBorder="1" applyAlignment="1">
      <alignment vertical="center"/>
    </xf>
    <xf numFmtId="0" fontId="89" fillId="33" borderId="37" xfId="591" applyFont="1" applyFill="1" applyBorder="1" applyAlignment="1">
      <alignment horizontal="left"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124" fillId="43" borderId="35" xfId="74" applyFont="1" applyFill="1" applyBorder="1" applyAlignment="1">
      <alignment wrapText="1"/>
    </xf>
    <xf numFmtId="178" fontId="89" fillId="33" borderId="37" xfId="591" applyNumberFormat="1" applyFont="1" applyFill="1" applyBorder="1" applyAlignment="1">
      <alignment horizontal="left" vertical="center"/>
    </xf>
    <xf numFmtId="1" fontId="86" fillId="31" borderId="15" xfId="594" applyNumberFormat="1" applyFont="1" applyFill="1" applyAlignment="1">
      <alignment horizontal="left" vertical="center" wrapText="1" indent="1"/>
    </xf>
    <xf numFmtId="0" fontId="122" fillId="33" borderId="0" xfId="74" applyFont="1" applyFill="1" applyAlignment="1">
      <alignment vertical="top"/>
    </xf>
    <xf numFmtId="177" fontId="86" fillId="31" borderId="18" xfId="36" applyNumberFormat="1" applyFont="1" applyFill="1" applyBorder="1" applyAlignment="1">
      <alignment horizontal="center" vertical="center"/>
    </xf>
    <xf numFmtId="177" fontId="89" fillId="32" borderId="18" xfId="36" applyNumberFormat="1" applyFont="1" applyFill="1" applyBorder="1" applyAlignment="1">
      <alignment horizontal="center" vertical="center"/>
    </xf>
    <xf numFmtId="0" fontId="86" fillId="32" borderId="15" xfId="591" applyFont="1" applyFill="1" applyBorder="1" applyAlignment="1">
      <alignment horizontal="left" vertical="center"/>
    </xf>
    <xf numFmtId="0" fontId="104" fillId="33" borderId="0" xfId="74" applyFont="1" applyFill="1" applyAlignment="1">
      <alignment vertical="center"/>
    </xf>
    <xf numFmtId="0" fontId="133" fillId="33" borderId="0" xfId="74" applyFont="1" applyFill="1" applyAlignment="1">
      <alignment horizontal="center" vertical="center"/>
    </xf>
    <xf numFmtId="0" fontId="83" fillId="33" borderId="0" xfId="74" applyFont="1" applyFill="1" applyAlignment="1">
      <alignment horizontal="right" vertical="center"/>
    </xf>
    <xf numFmtId="178" fontId="83"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3" fillId="33" borderId="43" xfId="74" applyFont="1" applyFill="1" applyBorder="1" applyAlignment="1">
      <alignment horizontal="center" vertical="center"/>
    </xf>
    <xf numFmtId="0" fontId="108" fillId="33" borderId="43" xfId="74" applyFont="1" applyFill="1" applyBorder="1" applyAlignment="1">
      <alignment horizontal="left" vertical="center"/>
    </xf>
    <xf numFmtId="0" fontId="83" fillId="33" borderId="43" xfId="74" applyFont="1" applyFill="1" applyBorder="1" applyAlignment="1">
      <alignment vertical="center"/>
    </xf>
    <xf numFmtId="0" fontId="83" fillId="33" borderId="43" xfId="74" applyFont="1" applyFill="1" applyBorder="1" applyAlignment="1">
      <alignment horizontal="left" vertical="center"/>
    </xf>
    <xf numFmtId="0" fontId="107" fillId="33" borderId="43" xfId="74" applyFont="1" applyFill="1" applyBorder="1" applyAlignment="1">
      <alignment horizontal="left" vertical="center"/>
    </xf>
    <xf numFmtId="0" fontId="107" fillId="33" borderId="43" xfId="74" applyFont="1" applyFill="1" applyBorder="1" applyAlignment="1">
      <alignment vertical="center"/>
    </xf>
    <xf numFmtId="0" fontId="83" fillId="0" borderId="43" xfId="74" applyFont="1" applyBorder="1" applyAlignment="1">
      <alignment vertical="center"/>
    </xf>
    <xf numFmtId="14" fontId="107" fillId="33" borderId="43" xfId="74" applyNumberFormat="1" applyFont="1" applyFill="1" applyBorder="1" applyAlignment="1">
      <alignment horizontal="left" vertical="center"/>
    </xf>
    <xf numFmtId="0" fontId="86" fillId="33" borderId="0" xfId="672" applyFont="1" applyFill="1" applyBorder="1" applyAlignment="1">
      <alignment horizontal="center" vertical="center"/>
    </xf>
    <xf numFmtId="0" fontId="92" fillId="37" borderId="44" xfId="595" applyFont="1" applyFill="1" applyBorder="1" applyAlignment="1">
      <alignment horizontal="center" vertical="center" wrapText="1"/>
    </xf>
    <xf numFmtId="0" fontId="83" fillId="33" borderId="40" xfId="74" applyFont="1" applyFill="1" applyBorder="1" applyAlignment="1">
      <alignment horizontal="center" vertical="center"/>
    </xf>
    <xf numFmtId="0" fontId="83" fillId="42" borderId="40" xfId="74" applyFont="1" applyFill="1" applyBorder="1" applyAlignment="1">
      <alignment horizontal="center" vertical="center"/>
    </xf>
    <xf numFmtId="0" fontId="120" fillId="40" borderId="45" xfId="595" applyFont="1" applyFill="1" applyBorder="1" applyAlignment="1">
      <alignment horizontal="center" vertical="center" wrapText="1"/>
    </xf>
    <xf numFmtId="0" fontId="83" fillId="33" borderId="46" xfId="74" applyFont="1" applyFill="1" applyBorder="1" applyAlignment="1">
      <alignment vertical="center"/>
    </xf>
    <xf numFmtId="0" fontId="83" fillId="33" borderId="46" xfId="74" applyFont="1" applyFill="1" applyBorder="1" applyAlignment="1">
      <alignment vertical="center" wrapText="1"/>
    </xf>
    <xf numFmtId="0" fontId="122" fillId="33" borderId="46" xfId="74" applyFont="1" applyFill="1" applyBorder="1" applyAlignment="1">
      <alignment horizontal="center" vertical="center" wrapText="1"/>
    </xf>
    <xf numFmtId="0" fontId="83" fillId="33" borderId="47" xfId="74" applyFont="1" applyFill="1" applyBorder="1" applyAlignment="1">
      <alignment horizontal="center" vertical="center"/>
    </xf>
    <xf numFmtId="0" fontId="80" fillId="28" borderId="46" xfId="74" applyFont="1" applyFill="1" applyBorder="1" applyAlignment="1">
      <alignment horizontal="center" vertical="center"/>
    </xf>
    <xf numFmtId="167" fontId="83" fillId="33" borderId="46" xfId="74" applyNumberFormat="1" applyFont="1" applyFill="1" applyBorder="1" applyAlignment="1">
      <alignment horizontal="center" vertical="center"/>
    </xf>
    <xf numFmtId="2" fontId="3" fillId="33" borderId="46" xfId="689" applyNumberFormat="1" applyFont="1" applyFill="1" applyBorder="1" applyAlignment="1">
      <alignment vertical="center"/>
    </xf>
    <xf numFmtId="2" fontId="83" fillId="33" borderId="46" xfId="74" applyNumberFormat="1" applyFont="1" applyFill="1" applyBorder="1" applyAlignment="1">
      <alignment vertical="center"/>
    </xf>
    <xf numFmtId="0" fontId="122" fillId="33" borderId="46" xfId="74" applyFont="1" applyFill="1" applyBorder="1" applyAlignment="1">
      <alignment vertical="center" wrapText="1"/>
    </xf>
    <xf numFmtId="0" fontId="83" fillId="33" borderId="8" xfId="74" applyFont="1" applyFill="1" applyBorder="1" applyAlignment="1">
      <alignment vertical="center"/>
    </xf>
    <xf numFmtId="0" fontId="83" fillId="33" borderId="8" xfId="74" applyFont="1" applyFill="1" applyBorder="1" applyAlignment="1">
      <alignment vertical="center" wrapText="1"/>
    </xf>
    <xf numFmtId="0" fontId="122" fillId="33" borderId="8" xfId="74" applyFont="1" applyFill="1" applyBorder="1" applyAlignment="1">
      <alignment horizontal="center" vertical="center" wrapText="1"/>
    </xf>
    <xf numFmtId="0" fontId="83" fillId="33" borderId="8" xfId="74" applyFont="1" applyFill="1" applyBorder="1" applyAlignment="1">
      <alignment horizontal="center" vertical="center"/>
    </xf>
    <xf numFmtId="0" fontId="80" fillId="28" borderId="8" xfId="74" applyFont="1" applyFill="1" applyBorder="1" applyAlignment="1">
      <alignment horizontal="center" vertical="center"/>
    </xf>
    <xf numFmtId="167" fontId="83" fillId="33" borderId="8" xfId="74" applyNumberFormat="1" applyFont="1" applyFill="1" applyBorder="1" applyAlignment="1">
      <alignment horizontal="center" vertical="center"/>
    </xf>
    <xf numFmtId="2" fontId="3" fillId="33" borderId="8" xfId="689" applyNumberFormat="1" applyFont="1" applyFill="1" applyBorder="1" applyAlignment="1">
      <alignment vertical="center"/>
    </xf>
    <xf numFmtId="2" fontId="83" fillId="33" borderId="8" xfId="74" applyNumberFormat="1" applyFont="1" applyFill="1" applyBorder="1" applyAlignment="1">
      <alignment vertical="center"/>
    </xf>
    <xf numFmtId="0" fontId="122" fillId="33" borderId="8" xfId="74" applyFont="1" applyFill="1" applyBorder="1" applyAlignment="1">
      <alignment vertical="center" wrapText="1"/>
    </xf>
    <xf numFmtId="0" fontId="82" fillId="32" borderId="15" xfId="594" applyNumberFormat="1" applyFont="1" applyFill="1" applyAlignment="1">
      <alignment horizontal="left" vertical="center" wrapText="1"/>
    </xf>
    <xf numFmtId="0" fontId="86" fillId="32" borderId="15" xfId="591" applyFont="1" applyFill="1" applyBorder="1" applyAlignment="1">
      <alignment horizontal="left" vertical="center" wrapText="1"/>
    </xf>
    <xf numFmtId="0" fontId="83" fillId="44" borderId="37" xfId="74" applyFont="1" applyFill="1" applyBorder="1" applyAlignment="1">
      <alignment vertical="center"/>
    </xf>
    <xf numFmtId="0" fontId="82" fillId="32" borderId="15" xfId="594" applyNumberFormat="1" applyFont="1" applyFill="1" applyAlignment="1">
      <alignment horizontal="left" vertical="center"/>
    </xf>
    <xf numFmtId="0" fontId="83" fillId="44" borderId="37" xfId="74" applyFont="1" applyFill="1" applyBorder="1" applyAlignment="1">
      <alignment vertical="center" wrapText="1"/>
    </xf>
    <xf numFmtId="0" fontId="122" fillId="44" borderId="37" xfId="74" applyFont="1" applyFill="1" applyBorder="1" applyAlignment="1">
      <alignment vertical="center" wrapText="1"/>
    </xf>
    <xf numFmtId="0" fontId="122" fillId="44" borderId="37" xfId="74" applyFont="1" applyFill="1" applyBorder="1" applyAlignment="1">
      <alignment horizontal="center" vertical="center" wrapText="1"/>
    </xf>
    <xf numFmtId="0" fontId="83" fillId="44" borderId="40" xfId="74" applyFont="1" applyFill="1" applyBorder="1" applyAlignment="1">
      <alignment horizontal="center" vertical="center"/>
    </xf>
    <xf numFmtId="0" fontId="80" fillId="44" borderId="37" xfId="74" applyFont="1" applyFill="1" applyBorder="1" applyAlignment="1">
      <alignment horizontal="center" vertical="center"/>
    </xf>
    <xf numFmtId="0" fontId="83" fillId="44" borderId="37" xfId="74" applyFont="1" applyFill="1" applyBorder="1" applyAlignment="1">
      <alignment horizontal="center" vertical="center"/>
    </xf>
    <xf numFmtId="2" fontId="3" fillId="44" borderId="37" xfId="689" applyNumberFormat="1" applyFont="1" applyFill="1" applyBorder="1" applyAlignment="1">
      <alignment vertical="center"/>
    </xf>
    <xf numFmtId="2" fontId="83" fillId="44" borderId="37" xfId="74" applyNumberFormat="1" applyFont="1" applyFill="1" applyBorder="1" applyAlignment="1">
      <alignment vertical="center"/>
    </xf>
    <xf numFmtId="167" fontId="83" fillId="44" borderId="37" xfId="74" applyNumberFormat="1" applyFont="1" applyFill="1" applyBorder="1" applyAlignment="1">
      <alignment horizontal="center" vertical="center"/>
    </xf>
    <xf numFmtId="2" fontId="1" fillId="44" borderId="37" xfId="689" applyNumberFormat="1" applyFont="1" applyFill="1" applyBorder="1" applyAlignment="1">
      <alignment vertical="center"/>
    </xf>
    <xf numFmtId="0" fontId="135" fillId="33" borderId="37" xfId="689" applyFont="1" applyFill="1" applyBorder="1" applyAlignment="1">
      <alignment vertical="center"/>
    </xf>
    <xf numFmtId="0" fontId="136" fillId="33" borderId="37" xfId="689" applyFont="1" applyFill="1" applyBorder="1" applyAlignment="1">
      <alignment vertical="center" wrapText="1"/>
    </xf>
    <xf numFmtId="0" fontId="83" fillId="33" borderId="37" xfId="74" applyFont="1" applyFill="1" applyBorder="1" applyAlignment="1">
      <alignment horizontal="left" vertical="center" wrapText="1"/>
    </xf>
    <xf numFmtId="171" fontId="89" fillId="31" borderId="15" xfId="594" applyNumberFormat="1" applyFont="1" applyFill="1" applyAlignment="1">
      <alignment horizontal="left" vertical="center" wrapText="1"/>
    </xf>
    <xf numFmtId="0" fontId="86" fillId="32" borderId="18" xfId="591" applyFont="1" applyFill="1" applyBorder="1" applyAlignment="1">
      <alignment horizontal="left" vertical="center" indent="2"/>
    </xf>
    <xf numFmtId="0" fontId="137" fillId="33" borderId="0" xfId="672" applyFont="1" applyFill="1" applyBorder="1" applyAlignment="1">
      <alignment horizontal="center" vertical="center"/>
    </xf>
    <xf numFmtId="0" fontId="87" fillId="33" borderId="0" xfId="672" applyFont="1" applyFill="1" applyBorder="1" applyAlignment="1">
      <alignment vertical="center"/>
    </xf>
    <xf numFmtId="0" fontId="92" fillId="45" borderId="8" xfId="74" applyFont="1" applyFill="1" applyBorder="1" applyAlignment="1">
      <alignment vertical="center"/>
    </xf>
    <xf numFmtId="0" fontId="80" fillId="28" borderId="49" xfId="74" applyFont="1" applyFill="1" applyBorder="1" applyAlignment="1">
      <alignment horizontal="center" vertical="center"/>
    </xf>
    <xf numFmtId="0" fontId="120" fillId="45" borderId="8" xfId="595" applyFont="1" applyFill="1" applyBorder="1" applyAlignment="1">
      <alignment horizontal="center" vertical="center" wrapText="1"/>
    </xf>
    <xf numFmtId="49" fontId="89" fillId="31" borderId="18" xfId="594" applyNumberFormat="1" applyFont="1" applyFill="1" applyBorder="1" applyAlignment="1">
      <alignment horizontal="left" vertical="center"/>
    </xf>
    <xf numFmtId="0" fontId="86" fillId="32" borderId="18" xfId="591" applyFont="1" applyFill="1" applyBorder="1" applyAlignment="1">
      <alignment horizontal="left" vertical="center" wrapText="1" indent="2"/>
    </xf>
    <xf numFmtId="0" fontId="86" fillId="32" borderId="15" xfId="591" applyFont="1" applyFill="1" applyBorder="1" applyAlignment="1">
      <alignment horizontal="left" vertical="center" wrapText="1" indent="1"/>
    </xf>
    <xf numFmtId="174" fontId="89" fillId="33" borderId="0" xfId="74" applyNumberFormat="1" applyFont="1" applyFill="1" applyAlignment="1">
      <alignment horizontal="right" vertical="top"/>
    </xf>
    <xf numFmtId="0" fontId="83" fillId="34" borderId="37" xfId="74" applyFont="1" applyFill="1" applyBorder="1" applyAlignment="1">
      <alignment horizontal="left" vertical="center"/>
    </xf>
    <xf numFmtId="0" fontId="139" fillId="0" borderId="0" xfId="74" applyFont="1" applyAlignment="1">
      <alignment vertical="center"/>
    </xf>
    <xf numFmtId="0" fontId="139" fillId="0" borderId="0" xfId="74" applyFont="1" applyAlignment="1">
      <alignment horizontal="left" vertical="center"/>
    </xf>
    <xf numFmtId="0" fontId="140" fillId="0" borderId="0" xfId="74" applyFont="1" applyAlignment="1">
      <alignment vertical="center"/>
    </xf>
    <xf numFmtId="0" fontId="140" fillId="30" borderId="0" xfId="74" applyFont="1" applyFill="1" applyAlignment="1">
      <alignment vertical="center"/>
    </xf>
    <xf numFmtId="0" fontId="141" fillId="0" borderId="0" xfId="74" applyFont="1" applyAlignment="1">
      <alignment horizontal="left" vertical="center"/>
    </xf>
    <xf numFmtId="0" fontId="142" fillId="0" borderId="0" xfId="74" applyFont="1" applyAlignment="1">
      <alignment vertical="center"/>
    </xf>
    <xf numFmtId="0" fontId="143" fillId="0" borderId="0" xfId="74" applyFont="1" applyAlignment="1">
      <alignment vertical="center"/>
    </xf>
    <xf numFmtId="0" fontId="138" fillId="34" borderId="0" xfId="74" applyFont="1" applyFill="1" applyAlignment="1">
      <alignment vertical="center"/>
    </xf>
    <xf numFmtId="0" fontId="83" fillId="34" borderId="37" xfId="74" applyFont="1" applyFill="1" applyBorder="1" applyAlignment="1">
      <alignment vertical="center" wrapText="1"/>
    </xf>
    <xf numFmtId="0" fontId="83" fillId="34" borderId="37" xfId="74" applyFont="1" applyFill="1" applyBorder="1" applyAlignment="1">
      <alignment vertical="center"/>
    </xf>
    <xf numFmtId="0" fontId="122" fillId="0" borderId="8" xfId="0" applyFont="1" applyBorder="1" applyAlignment="1">
      <alignment vertical="center" wrapText="1"/>
    </xf>
    <xf numFmtId="0" fontId="122" fillId="0" borderId="41" xfId="74" applyFont="1" applyBorder="1" applyAlignment="1">
      <alignment vertical="center" wrapText="1"/>
    </xf>
    <xf numFmtId="0" fontId="122" fillId="0" borderId="51" xfId="74" applyFont="1" applyBorder="1" applyAlignment="1">
      <alignment vertical="center" wrapText="1"/>
    </xf>
    <xf numFmtId="0" fontId="122" fillId="0" borderId="37" xfId="74" applyFont="1" applyBorder="1" applyAlignment="1">
      <alignment vertical="center" wrapText="1"/>
    </xf>
    <xf numFmtId="0" fontId="83" fillId="0" borderId="37" xfId="74" applyFont="1" applyBorder="1" applyAlignment="1">
      <alignment vertical="center" wrapText="1"/>
    </xf>
    <xf numFmtId="0" fontId="136" fillId="0" borderId="37" xfId="689" applyFont="1" applyBorder="1" applyAlignment="1">
      <alignment vertical="center" wrapText="1"/>
    </xf>
    <xf numFmtId="0" fontId="83" fillId="0" borderId="37" xfId="74" applyFont="1" applyBorder="1" applyAlignment="1">
      <alignment vertical="center"/>
    </xf>
    <xf numFmtId="0" fontId="83" fillId="0" borderId="8" xfId="74" applyFont="1" applyBorder="1" applyAlignment="1">
      <alignment vertical="center" wrapText="1"/>
    </xf>
    <xf numFmtId="0" fontId="122" fillId="0" borderId="42" xfId="74" applyFont="1" applyBorder="1" applyAlignment="1">
      <alignment vertical="center" wrapText="1"/>
    </xf>
    <xf numFmtId="0" fontId="122" fillId="0" borderId="46" xfId="74" applyFont="1" applyBorder="1" applyAlignment="1">
      <alignment vertical="center" wrapText="1"/>
    </xf>
    <xf numFmtId="0" fontId="83" fillId="0" borderId="0" xfId="74" applyFont="1" applyAlignment="1">
      <alignment vertical="center" wrapText="1"/>
    </xf>
    <xf numFmtId="0" fontId="83" fillId="34" borderId="0" xfId="74" applyFont="1" applyFill="1" applyAlignment="1">
      <alignment vertical="center"/>
    </xf>
    <xf numFmtId="0" fontId="83" fillId="41" borderId="37" xfId="74" applyFont="1" applyFill="1" applyBorder="1" applyAlignment="1">
      <alignment vertical="center"/>
    </xf>
    <xf numFmtId="0" fontId="83" fillId="41" borderId="37" xfId="74" applyFont="1" applyFill="1" applyBorder="1" applyAlignment="1">
      <alignment vertical="center" wrapText="1"/>
    </xf>
    <xf numFmtId="0" fontId="122" fillId="41" borderId="37" xfId="74" applyFont="1" applyFill="1" applyBorder="1" applyAlignment="1">
      <alignment vertical="center" wrapText="1"/>
    </xf>
    <xf numFmtId="0" fontId="122" fillId="41" borderId="37" xfId="74" applyFont="1" applyFill="1" applyBorder="1" applyAlignment="1">
      <alignment horizontal="center" vertical="center" wrapText="1"/>
    </xf>
    <xf numFmtId="0" fontId="122" fillId="28" borderId="37" xfId="74" applyFont="1" applyFill="1" applyBorder="1" applyAlignment="1">
      <alignment horizontal="left" vertical="center" wrapText="1"/>
    </xf>
    <xf numFmtId="0" fontId="122" fillId="28" borderId="37" xfId="74" applyFont="1" applyFill="1" applyBorder="1" applyAlignment="1">
      <alignment horizontal="left" vertical="center"/>
    </xf>
    <xf numFmtId="0" fontId="122" fillId="42" borderId="37" xfId="74" applyFont="1" applyFill="1" applyBorder="1" applyAlignment="1">
      <alignment horizontal="left" vertical="center"/>
    </xf>
    <xf numFmtId="0" fontId="122" fillId="44" borderId="37" xfId="74" applyFont="1" applyFill="1" applyBorder="1" applyAlignment="1">
      <alignment horizontal="left" vertical="center"/>
    </xf>
    <xf numFmtId="0" fontId="122" fillId="44" borderId="46" xfId="74" applyFont="1" applyFill="1" applyBorder="1" applyAlignment="1">
      <alignment horizontal="left" vertical="center"/>
    </xf>
    <xf numFmtId="0" fontId="122" fillId="38" borderId="37" xfId="74" applyFont="1" applyFill="1" applyBorder="1" applyAlignment="1">
      <alignment horizontal="left" vertical="center"/>
    </xf>
    <xf numFmtId="0" fontId="122" fillId="28" borderId="46" xfId="74" applyFont="1" applyFill="1" applyBorder="1" applyAlignment="1">
      <alignment horizontal="left" vertical="center"/>
    </xf>
    <xf numFmtId="0" fontId="122" fillId="28" borderId="8" xfId="74" applyFont="1" applyFill="1" applyBorder="1" applyAlignment="1">
      <alignment horizontal="left" vertical="center"/>
    </xf>
    <xf numFmtId="0" fontId="144" fillId="0" borderId="0" xfId="74" applyFont="1" applyAlignment="1">
      <alignment vertical="center"/>
    </xf>
    <xf numFmtId="0" fontId="144" fillId="0" borderId="0" xfId="74" applyFont="1" applyAlignment="1">
      <alignment horizontal="left" vertical="center"/>
    </xf>
    <xf numFmtId="0" fontId="145" fillId="0" borderId="0" xfId="74" applyFont="1" applyAlignment="1">
      <alignment vertical="center"/>
    </xf>
    <xf numFmtId="0" fontId="146" fillId="0" borderId="0" xfId="74" applyFont="1" applyAlignment="1">
      <alignment horizontal="left" vertical="center"/>
    </xf>
    <xf numFmtId="0" fontId="147" fillId="0" borderId="0" xfId="74" applyFont="1" applyAlignment="1">
      <alignment vertical="center"/>
    </xf>
    <xf numFmtId="0" fontId="148" fillId="0" borderId="0" xfId="74" applyFont="1" applyAlignment="1">
      <alignment vertical="center"/>
    </xf>
    <xf numFmtId="0" fontId="80" fillId="28" borderId="50" xfId="74" applyFont="1" applyFill="1" applyBorder="1" applyAlignment="1">
      <alignment horizontal="center" vertical="center"/>
    </xf>
    <xf numFmtId="0" fontId="83" fillId="28" borderId="50" xfId="74" applyFont="1" applyFill="1" applyBorder="1" applyAlignment="1">
      <alignment horizontal="center" vertical="center"/>
    </xf>
    <xf numFmtId="0" fontId="80" fillId="28" borderId="40" xfId="74" applyFont="1" applyFill="1" applyBorder="1" applyAlignment="1">
      <alignment horizontal="center" vertical="center"/>
    </xf>
    <xf numFmtId="0" fontId="83" fillId="28" borderId="40" xfId="74" applyFont="1" applyFill="1" applyBorder="1" applyAlignment="1">
      <alignment horizontal="center" vertical="center"/>
    </xf>
    <xf numFmtId="0" fontId="121" fillId="46" borderId="35" xfId="595" applyFont="1" applyFill="1" applyBorder="1" applyAlignment="1">
      <alignment horizontal="center" vertical="center" wrapText="1"/>
    </xf>
    <xf numFmtId="0" fontId="121" fillId="46" borderId="36" xfId="74" applyFont="1" applyFill="1" applyBorder="1" applyAlignment="1">
      <alignment horizontal="center" vertical="center" wrapText="1"/>
    </xf>
    <xf numFmtId="0" fontId="122" fillId="0" borderId="37" xfId="74" applyFont="1" applyBorder="1" applyAlignment="1">
      <alignment horizontal="center" vertical="center" wrapText="1"/>
    </xf>
    <xf numFmtId="44" fontId="86" fillId="31" borderId="15" xfId="36" applyFont="1" applyFill="1" applyBorder="1" applyAlignment="1">
      <alignment vertical="center"/>
    </xf>
    <xf numFmtId="167" fontId="86" fillId="31" borderId="15" xfId="594" applyNumberFormat="1" applyFont="1" applyFill="1" applyAlignment="1">
      <alignment vertical="center"/>
    </xf>
    <xf numFmtId="44" fontId="89" fillId="32" borderId="15" xfId="36" applyFont="1" applyFill="1" applyBorder="1" applyAlignment="1">
      <alignment vertical="center"/>
    </xf>
    <xf numFmtId="0" fontId="86" fillId="32" borderId="15" xfId="595" applyFont="1" applyFill="1" applyBorder="1" applyAlignment="1">
      <alignment vertical="center" wrapText="1"/>
    </xf>
    <xf numFmtId="0" fontId="83" fillId="31" borderId="15" xfId="594" applyNumberFormat="1" applyFont="1" applyFill="1">
      <alignment horizontal="center" vertical="center"/>
    </xf>
    <xf numFmtId="0" fontId="86" fillId="32" borderId="16" xfId="595" applyFont="1" applyFill="1" applyAlignment="1">
      <alignment horizontal="left" vertical="center" wrapText="1"/>
    </xf>
    <xf numFmtId="0" fontId="86" fillId="30" borderId="20" xfId="74" applyFont="1" applyFill="1" applyBorder="1" applyAlignment="1">
      <alignment horizontal="left" vertical="center"/>
    </xf>
    <xf numFmtId="0" fontId="86" fillId="32" borderId="15" xfId="595" applyFont="1" applyFill="1" applyBorder="1" applyAlignment="1">
      <alignment horizontal="left" vertical="center" wrapText="1"/>
    </xf>
    <xf numFmtId="0" fontId="89" fillId="32" borderId="19" xfId="591" applyFont="1" applyFill="1" applyBorder="1" applyAlignment="1">
      <alignment horizontal="left" vertical="center"/>
    </xf>
    <xf numFmtId="0" fontId="95" fillId="0" borderId="0" xfId="74" applyFont="1" applyAlignment="1">
      <alignment horizontal="left" vertical="center" wrapText="1"/>
    </xf>
    <xf numFmtId="0" fontId="95" fillId="0" borderId="0" xfId="74" applyFont="1" applyAlignment="1">
      <alignment horizontal="left" vertical="top"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4" fillId="43" borderId="16" xfId="74" applyFont="1" applyFill="1" applyBorder="1" applyAlignment="1">
      <alignment horizontal="center" vertical="center"/>
    </xf>
    <xf numFmtId="0" fontId="124" fillId="43" borderId="17" xfId="74" applyFont="1" applyFill="1" applyBorder="1" applyAlignment="1">
      <alignment horizontal="center" vertical="center"/>
    </xf>
    <xf numFmtId="0" fontId="129" fillId="36" borderId="35" xfId="595" applyFont="1" applyFill="1" applyBorder="1" applyAlignment="1">
      <alignment horizontal="center" vertical="center" wrapText="1"/>
    </xf>
    <xf numFmtId="0" fontId="129" fillId="36" borderId="54" xfId="595" applyFont="1" applyFill="1" applyBorder="1" applyAlignment="1">
      <alignment horizontal="center" vertical="center" wrapText="1"/>
    </xf>
    <xf numFmtId="0" fontId="92" fillId="36" borderId="52" xfId="74" applyFont="1" applyFill="1" applyBorder="1" applyAlignment="1">
      <alignment horizontal="center" vertical="center"/>
    </xf>
    <xf numFmtId="0" fontId="92" fillId="36" borderId="4" xfId="74" applyFont="1" applyFill="1" applyBorder="1" applyAlignment="1">
      <alignment horizontal="center" vertical="center"/>
    </xf>
    <xf numFmtId="0" fontId="92" fillId="36" borderId="53" xfId="74" applyFont="1" applyFill="1" applyBorder="1" applyAlignment="1">
      <alignment horizontal="center" vertical="center"/>
    </xf>
    <xf numFmtId="0" fontId="121" fillId="46" borderId="36" xfId="74" applyFont="1" applyFill="1" applyBorder="1" applyAlignment="1">
      <alignment horizontal="center" vertical="center" wrapText="1"/>
    </xf>
    <xf numFmtId="0" fontId="87" fillId="33" borderId="48" xfId="672" applyFont="1" applyFill="1" applyBorder="1" applyAlignment="1">
      <alignment horizontal="center" vertical="center"/>
    </xf>
    <xf numFmtId="0" fontId="92" fillId="36" borderId="37" xfId="595" applyFont="1" applyFill="1" applyBorder="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54" xfId="74" applyFont="1" applyFill="1" applyBorder="1" applyAlignment="1">
      <alignment horizontal="center" vertical="center"/>
    </xf>
    <xf numFmtId="0" fontId="83" fillId="31" borderId="16" xfId="594" applyNumberFormat="1" applyFont="1" applyFill="1" applyBorder="1">
      <alignment horizontal="center" vertical="center"/>
    </xf>
    <xf numFmtId="0" fontId="83" fillId="31" borderId="17" xfId="594" applyNumberFormat="1" applyFont="1" applyFill="1" applyBorder="1">
      <alignment horizontal="center" vertical="center"/>
    </xf>
    <xf numFmtId="0" fontId="83" fillId="31" borderId="18" xfId="594" applyNumberFormat="1" applyFont="1" applyFill="1" applyBorder="1">
      <alignment horizontal="center" vertical="center"/>
    </xf>
    <xf numFmtId="0" fontId="86" fillId="32" borderId="16" xfId="595" applyFont="1" applyFill="1" applyAlignment="1">
      <alignment horizontal="left" vertical="center" wrapText="1"/>
    </xf>
    <xf numFmtId="0" fontId="86" fillId="32" borderId="17" xfId="595" applyFont="1" applyFill="1" applyBorder="1" applyAlignment="1">
      <alignment horizontal="left" vertical="center" wrapText="1"/>
    </xf>
    <xf numFmtId="0" fontId="86" fillId="32" borderId="18" xfId="595" applyFont="1" applyFill="1" applyBorder="1" applyAlignment="1">
      <alignment horizontal="left" vertical="center" wrapText="1"/>
    </xf>
    <xf numFmtId="44" fontId="86" fillId="31" borderId="16" xfId="36" applyFont="1" applyFill="1" applyBorder="1" applyAlignment="1">
      <alignment horizontal="center" vertical="center"/>
    </xf>
    <xf numFmtId="44" fontId="86" fillId="31" borderId="17" xfId="36" applyFont="1" applyFill="1" applyBorder="1" applyAlignment="1">
      <alignment horizontal="center" vertical="center"/>
    </xf>
    <xf numFmtId="44" fontId="86" fillId="31" borderId="18" xfId="36" applyFont="1" applyFill="1" applyBorder="1" applyAlignment="1">
      <alignment horizontal="center" vertical="center"/>
    </xf>
    <xf numFmtId="167" fontId="86" fillId="31" borderId="16" xfId="594" applyNumberFormat="1" applyFont="1" applyFill="1" applyBorder="1">
      <alignment horizontal="center" vertical="center"/>
    </xf>
    <xf numFmtId="167" fontId="86" fillId="31" borderId="17" xfId="594" applyNumberFormat="1" applyFont="1" applyFill="1" applyBorder="1">
      <alignment horizontal="center" vertical="center"/>
    </xf>
    <xf numFmtId="167" fontId="86" fillId="31" borderId="18" xfId="594" applyNumberFormat="1" applyFont="1" applyFill="1" applyBorder="1">
      <alignment horizontal="center" vertical="center"/>
    </xf>
    <xf numFmtId="44" fontId="89" fillId="32" borderId="16" xfId="36" applyFont="1" applyFill="1" applyBorder="1" applyAlignment="1">
      <alignment horizontal="center" vertical="center"/>
    </xf>
    <xf numFmtId="44" fontId="89" fillId="32" borderId="17" xfId="36" applyFont="1" applyFill="1" applyBorder="1" applyAlignment="1">
      <alignment horizontal="center" vertical="center"/>
    </xf>
    <xf numFmtId="44" fontId="89" fillId="32" borderId="18" xfId="36" applyFont="1" applyFill="1" applyBorder="1" applyAlignment="1">
      <alignment horizontal="center" vertical="center"/>
    </xf>
    <xf numFmtId="0" fontId="89" fillId="30" borderId="15" xfId="595" applyFont="1" applyFill="1" applyBorder="1" applyAlignment="1">
      <alignment horizontal="center" vertical="center" wrapText="1"/>
    </xf>
    <xf numFmtId="0" fontId="89" fillId="30" borderId="15" xfId="595" applyFont="1" applyFill="1" applyBorder="1">
      <alignment horizontal="center" vertical="center"/>
    </xf>
    <xf numFmtId="0" fontId="108" fillId="33" borderId="0" xfId="74" applyFont="1" applyFill="1" applyAlignment="1">
      <alignment horizontal="left" vertical="center" wrapText="1"/>
    </xf>
    <xf numFmtId="0" fontId="107" fillId="33" borderId="43" xfId="74" applyFont="1" applyFill="1" applyBorder="1" applyAlignment="1">
      <alignment horizontal="right" vertical="center"/>
    </xf>
    <xf numFmtId="0" fontId="83" fillId="33" borderId="0" xfId="74" applyFont="1" applyFill="1" applyAlignment="1">
      <alignment horizontal="center" vertical="center"/>
    </xf>
    <xf numFmtId="0" fontId="81" fillId="32" borderId="40" xfId="74" applyFont="1" applyFill="1" applyBorder="1" applyAlignment="1">
      <alignment horizontal="center" vertical="center"/>
    </xf>
    <xf numFmtId="0" fontId="81" fillId="32" borderId="41" xfId="74" applyFont="1" applyFill="1" applyBorder="1" applyAlignment="1">
      <alignment horizontal="center" vertical="center"/>
    </xf>
    <xf numFmtId="0" fontId="81" fillId="32" borderId="42" xfId="74" applyFont="1" applyFill="1" applyBorder="1" applyAlignment="1">
      <alignment horizontal="center" vertical="center"/>
    </xf>
    <xf numFmtId="2" fontId="81" fillId="32" borderId="40" xfId="74" applyNumberFormat="1" applyFont="1" applyFill="1" applyBorder="1" applyAlignment="1">
      <alignment horizontal="center" vertical="center"/>
    </xf>
    <xf numFmtId="0" fontId="89" fillId="32" borderId="40" xfId="74" applyFont="1" applyFill="1" applyBorder="1" applyAlignment="1">
      <alignment horizontal="center" vertical="center" wrapText="1"/>
    </xf>
    <xf numFmtId="0" fontId="89" fillId="32" borderId="41" xfId="74" applyFont="1" applyFill="1" applyBorder="1" applyAlignment="1">
      <alignment horizontal="center" vertical="center" wrapText="1"/>
    </xf>
    <xf numFmtId="0" fontId="89" fillId="32" borderId="42" xfId="74" applyFont="1" applyFill="1" applyBorder="1" applyAlignment="1">
      <alignment horizontal="center" vertical="center" wrapText="1"/>
    </xf>
    <xf numFmtId="0" fontId="111" fillId="33" borderId="0" xfId="74" applyFont="1" applyFill="1" applyAlignment="1">
      <alignment horizontal="center" vertical="center"/>
    </xf>
    <xf numFmtId="0" fontId="84" fillId="39" borderId="0" xfId="74" applyFont="1" applyFill="1" applyAlignment="1">
      <alignment horizontal="center" vertical="center"/>
    </xf>
    <xf numFmtId="0" fontId="87" fillId="33" borderId="33" xfId="591" applyFont="1" applyFill="1" applyBorder="1" applyAlignment="1">
      <alignment horizontal="left" vertical="center"/>
    </xf>
    <xf numFmtId="0" fontId="87" fillId="33" borderId="34" xfId="591" applyFont="1" applyFill="1" applyBorder="1" applyAlignment="1">
      <alignment horizontal="left" vertical="center"/>
    </xf>
    <xf numFmtId="0" fontId="87" fillId="33" borderId="31" xfId="591" applyFont="1" applyFill="1" applyBorder="1" applyAlignment="1">
      <alignment horizontal="left" vertical="center"/>
    </xf>
    <xf numFmtId="0" fontId="87" fillId="33" borderId="13" xfId="591" applyFont="1" applyFill="1" applyAlignment="1">
      <alignment horizontal="left" vertical="center"/>
    </xf>
    <xf numFmtId="0" fontId="87" fillId="33" borderId="19"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14" xfId="591" applyFont="1" applyFill="1" applyBorder="1" applyAlignment="1">
      <alignment horizontal="left" vertical="center"/>
    </xf>
    <xf numFmtId="0" fontId="87" fillId="33" borderId="21" xfId="591" applyFont="1" applyFill="1" applyBorder="1" applyAlignment="1">
      <alignment horizontal="left" vertical="center"/>
    </xf>
    <xf numFmtId="0" fontId="87" fillId="33" borderId="26" xfId="591" applyFont="1" applyFill="1" applyBorder="1" applyAlignment="1">
      <alignment horizontal="left" vertical="center"/>
    </xf>
    <xf numFmtId="0" fontId="114" fillId="32" borderId="40" xfId="74" applyFont="1" applyFill="1" applyBorder="1" applyAlignment="1">
      <alignment horizontal="center" vertical="center" wrapText="1"/>
    </xf>
    <xf numFmtId="0" fontId="114" fillId="32" borderId="41" xfId="74" applyFont="1" applyFill="1" applyBorder="1" applyAlignment="1">
      <alignment horizontal="center" vertical="center"/>
    </xf>
    <xf numFmtId="0" fontId="114" fillId="32" borderId="42" xfId="74" applyFont="1" applyFill="1" applyBorder="1" applyAlignment="1">
      <alignment horizontal="center" vertical="center"/>
    </xf>
  </cellXfs>
  <cellStyles count="704">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99FF99"/>
        </patternFill>
      </fill>
    </dxf>
    <dxf>
      <font>
        <color rgb="FF9C0006"/>
      </font>
      <fill>
        <patternFill>
          <bgColor rgb="FFFFC7CE"/>
        </patternFill>
      </fill>
    </dxf>
    <dxf>
      <font>
        <color rgb="FF9C0006"/>
      </font>
      <fill>
        <patternFill>
          <bgColor rgb="FFFFC7CE"/>
        </patternFill>
      </fill>
    </dxf>
    <dxf>
      <fill>
        <patternFill patternType="solid">
          <bgColor rgb="FF99FF99"/>
        </patternFill>
      </fill>
    </dxf>
    <dxf>
      <font>
        <color rgb="FF9C0006"/>
      </font>
      <fill>
        <patternFill>
          <bgColor rgb="FFFFC7CE"/>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2MY_CIV4D_APP_FR'!A1"/><Relationship Id="rId2" Type="http://schemas.openxmlformats.org/officeDocument/2006/relationships/hyperlink" Target="#'22MY_CIV4D_APP_EN'!A1"/><Relationship Id="rId1" Type="http://schemas.openxmlformats.org/officeDocument/2006/relationships/hyperlink" Target="#'22MY_CIV4D_SELL-EN'!A1"/><Relationship Id="rId6" Type="http://schemas.openxmlformats.org/officeDocument/2006/relationships/hyperlink" Target="#'22MY_CIV_Si_SELL-FR'!A1"/><Relationship Id="rId5" Type="http://schemas.openxmlformats.org/officeDocument/2006/relationships/hyperlink" Target="#'22MY_CIV4D_SELL-FR'!A1"/><Relationship Id="rId4" Type="http://schemas.openxmlformats.org/officeDocument/2006/relationships/hyperlink" Target="#'22MY_CIV_Si_SELL-EN'!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jpe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21.png"/><Relationship Id="rId3" Type="http://schemas.openxmlformats.org/officeDocument/2006/relationships/image" Target="../media/image16.jpeg"/><Relationship Id="rId7" Type="http://schemas.openxmlformats.org/officeDocument/2006/relationships/image" Target="../media/image8.png"/><Relationship Id="rId12" Type="http://schemas.openxmlformats.org/officeDocument/2006/relationships/image" Target="../media/image2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19.png"/><Relationship Id="rId11" Type="http://schemas.openxmlformats.org/officeDocument/2006/relationships/image" Target="../media/image12.jpeg"/><Relationship Id="rId5" Type="http://schemas.openxmlformats.org/officeDocument/2006/relationships/image" Target="../media/image18.png"/><Relationship Id="rId10" Type="http://schemas.openxmlformats.org/officeDocument/2006/relationships/image" Target="../media/image11.jpeg"/><Relationship Id="rId4" Type="http://schemas.openxmlformats.org/officeDocument/2006/relationships/image" Target="../media/image17.jpe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(4D)</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6</xdr:col>
      <xdr:colOff>609600</xdr:colOff>
      <xdr:row>6</xdr:row>
      <xdr:rowOff>117593</xdr:rowOff>
    </xdr:from>
    <xdr:to>
      <xdr:col>10</xdr:col>
      <xdr:colOff>191096</xdr:colOff>
      <xdr:row>9</xdr:row>
      <xdr:rowOff>43815</xdr:rowOff>
    </xdr:to>
    <xdr:sp macro="" textlink="">
      <xdr:nvSpPr>
        <xdr:cNvPr id="7" name="Rounded Rectangle 18">
          <a:hlinkClick xmlns:r="http://schemas.openxmlformats.org/officeDocument/2006/relationships" r:id="rId4"/>
          <a:extLst>
            <a:ext uri="{FF2B5EF4-FFF2-40B4-BE49-F238E27FC236}">
              <a16:creationId xmlns:a16="http://schemas.microsoft.com/office/drawing/2014/main" id="{00000000-0008-0000-0300-000007000000}"/>
            </a:ext>
          </a:extLst>
        </xdr:cNvPr>
        <xdr:cNvSpPr/>
      </xdr:nvSpPr>
      <xdr:spPr>
        <a:xfrm>
          <a:off x="7467600" y="1611113"/>
          <a:ext cx="2080856" cy="452002"/>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(Si)</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5"/>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(4D)</a:t>
          </a:r>
          <a:endParaRPr lang="en-CA" sz="1200" b="1"/>
        </a:p>
      </xdr:txBody>
    </xdr:sp>
    <xdr:clientData/>
  </xdr:twoCellAnchor>
  <xdr:twoCellAnchor>
    <xdr:from>
      <xdr:col>7</xdr:col>
      <xdr:colOff>0</xdr:colOff>
      <xdr:row>17</xdr:row>
      <xdr:rowOff>133350</xdr:rowOff>
    </xdr:from>
    <xdr:to>
      <xdr:col>10</xdr:col>
      <xdr:colOff>193001</xdr:colOff>
      <xdr:row>20</xdr:row>
      <xdr:rowOff>78146</xdr:rowOff>
    </xdr:to>
    <xdr:sp macro="" textlink="">
      <xdr:nvSpPr>
        <xdr:cNvPr id="10" name="Rounded Rectangle 3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7482840" y="35699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(Si)</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694090</xdr:colOff>
      <xdr:row>2</xdr:row>
      <xdr:rowOff>248</xdr:rowOff>
    </xdr:from>
    <xdr:to>
      <xdr:col>16</xdr:col>
      <xdr:colOff>3019552</xdr:colOff>
      <xdr:row>8</xdr:row>
      <xdr:rowOff>103916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63979" y="607026"/>
          <a:ext cx="2325462" cy="1416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2</xdr:col>
      <xdr:colOff>11906</xdr:colOff>
      <xdr:row>7</xdr:row>
      <xdr:rowOff>0</xdr:rowOff>
    </xdr:from>
    <xdr:to>
      <xdr:col>6</xdr:col>
      <xdr:colOff>9898</xdr:colOff>
      <xdr:row>8</xdr:row>
      <xdr:rowOff>266</xdr:rowOff>
    </xdr:to>
    <xdr:pic>
      <xdr:nvPicPr>
        <xdr:cNvPr id="16" name="Picture 15">
          <a:extLst>
            <a:ext uri="{FF2B5EF4-FFF2-40B4-BE49-F238E27FC236}">
              <a16:creationId xmlns:a16="http://schemas.microsoft.com/office/drawing/2014/main" id="{AE9F8394-2BFB-1944-CF4F-A328DC7D914A}"/>
            </a:ext>
          </a:extLst>
        </xdr:cNvPr>
        <xdr:cNvPicPr>
          <a:picLocks noChangeAspect="1"/>
        </xdr:cNvPicPr>
      </xdr:nvPicPr>
      <xdr:blipFill>
        <a:blip xmlns:r="http://schemas.openxmlformats.org/officeDocument/2006/relationships" r:embed="rId2"/>
        <a:stretch>
          <a:fillRect/>
        </a:stretch>
      </xdr:blipFill>
      <xdr:spPr>
        <a:xfrm>
          <a:off x="1214437" y="3833813"/>
          <a:ext cx="2676899" cy="1905266"/>
        </a:xfrm>
        <a:prstGeom prst="rect">
          <a:avLst/>
        </a:prstGeom>
      </xdr:spPr>
    </xdr:pic>
    <xdr:clientData/>
  </xdr:twoCellAnchor>
  <xdr:twoCellAnchor editAs="oneCell">
    <xdr:from>
      <xdr:col>12</xdr:col>
      <xdr:colOff>9525</xdr:colOff>
      <xdr:row>17</xdr:row>
      <xdr:rowOff>38099</xdr:rowOff>
    </xdr:from>
    <xdr:to>
      <xdr:col>16</xdr:col>
      <xdr:colOff>9525</xdr:colOff>
      <xdr:row>18</xdr:row>
      <xdr:rowOff>33340</xdr:rowOff>
    </xdr:to>
    <xdr:pic>
      <xdr:nvPicPr>
        <xdr:cNvPr id="35" name="Picture 34">
          <a:extLst>
            <a:ext uri="{FF2B5EF4-FFF2-40B4-BE49-F238E27FC236}">
              <a16:creationId xmlns:a16="http://schemas.microsoft.com/office/drawing/2014/main" id="{3FBA5729-434B-4043-6491-7F69B63B469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019" t="1405" r="8108" b="-1"/>
        <a:stretch/>
      </xdr:blipFill>
      <xdr:spPr>
        <a:xfrm>
          <a:off x="7839075" y="9201149"/>
          <a:ext cx="2686050" cy="1900241"/>
        </a:xfrm>
        <a:prstGeom prst="rect">
          <a:avLst/>
        </a:prstGeom>
      </xdr:spPr>
    </xdr:pic>
    <xdr:clientData/>
  </xdr:twoCellAnchor>
  <xdr:twoCellAnchor editAs="oneCell">
    <xdr:from>
      <xdr:col>2</xdr:col>
      <xdr:colOff>0</xdr:colOff>
      <xdr:row>17</xdr:row>
      <xdr:rowOff>47625</xdr:rowOff>
    </xdr:from>
    <xdr:to>
      <xdr:col>6</xdr:col>
      <xdr:colOff>9526</xdr:colOff>
      <xdr:row>18</xdr:row>
      <xdr:rowOff>35722</xdr:rowOff>
    </xdr:to>
    <xdr:pic>
      <xdr:nvPicPr>
        <xdr:cNvPr id="37" name="Picture 36">
          <a:extLst>
            <a:ext uri="{FF2B5EF4-FFF2-40B4-BE49-F238E27FC236}">
              <a16:creationId xmlns:a16="http://schemas.microsoft.com/office/drawing/2014/main" id="{09D35229-3F77-5AEA-4117-B1BB4981689F}"/>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378" t="873" r="6391"/>
        <a:stretch/>
      </xdr:blipFill>
      <xdr:spPr>
        <a:xfrm>
          <a:off x="1200150" y="9210675"/>
          <a:ext cx="2695576" cy="1893097"/>
        </a:xfrm>
        <a:prstGeom prst="rect">
          <a:avLst/>
        </a:prstGeom>
      </xdr:spPr>
    </xdr:pic>
    <xdr:clientData/>
  </xdr:twoCellAnchor>
  <xdr:twoCellAnchor editAs="oneCell">
    <xdr:from>
      <xdr:col>2</xdr:col>
      <xdr:colOff>9525</xdr:colOff>
      <xdr:row>12</xdr:row>
      <xdr:rowOff>28575</xdr:rowOff>
    </xdr:from>
    <xdr:to>
      <xdr:col>6</xdr:col>
      <xdr:colOff>0</xdr:colOff>
      <xdr:row>13</xdr:row>
      <xdr:rowOff>28579</xdr:rowOff>
    </xdr:to>
    <xdr:pic>
      <xdr:nvPicPr>
        <xdr:cNvPr id="40" name="Picture 39">
          <a:extLst>
            <a:ext uri="{FF2B5EF4-FFF2-40B4-BE49-F238E27FC236}">
              <a16:creationId xmlns:a16="http://schemas.microsoft.com/office/drawing/2014/main" id="{81ABBE2B-DAE8-BC91-1EDF-BF5269FA4FD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875" r="5314"/>
        <a:stretch/>
      </xdr:blipFill>
      <xdr:spPr>
        <a:xfrm>
          <a:off x="1209675" y="6505575"/>
          <a:ext cx="2676525" cy="1905004"/>
        </a:xfrm>
        <a:prstGeom prst="rect">
          <a:avLst/>
        </a:prstGeom>
      </xdr:spPr>
    </xdr:pic>
    <xdr:clientData/>
  </xdr:twoCellAnchor>
  <xdr:twoCellAnchor editAs="oneCell">
    <xdr:from>
      <xdr:col>12</xdr:col>
      <xdr:colOff>28575</xdr:colOff>
      <xdr:row>12</xdr:row>
      <xdr:rowOff>19050</xdr:rowOff>
    </xdr:from>
    <xdr:to>
      <xdr:col>16</xdr:col>
      <xdr:colOff>38101</xdr:colOff>
      <xdr:row>13</xdr:row>
      <xdr:rowOff>19054</xdr:rowOff>
    </xdr:to>
    <xdr:pic>
      <xdr:nvPicPr>
        <xdr:cNvPr id="44" name="Picture 43">
          <a:extLst>
            <a:ext uri="{FF2B5EF4-FFF2-40B4-BE49-F238E27FC236}">
              <a16:creationId xmlns:a16="http://schemas.microsoft.com/office/drawing/2014/main" id="{95B95FC5-2A07-5F42-2BBF-87EEBD5B57EE}"/>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687" r="6875"/>
        <a:stretch/>
      </xdr:blipFill>
      <xdr:spPr>
        <a:xfrm>
          <a:off x="7858125" y="6496050"/>
          <a:ext cx="2695576" cy="1905004"/>
        </a:xfrm>
        <a:prstGeom prst="rect">
          <a:avLst/>
        </a:prstGeom>
      </xdr:spPr>
    </xdr:pic>
    <xdr:clientData/>
  </xdr:twoCellAnchor>
  <xdr:twoCellAnchor editAs="oneCell">
    <xdr:from>
      <xdr:col>7</xdr:col>
      <xdr:colOff>0</xdr:colOff>
      <xdr:row>17</xdr:row>
      <xdr:rowOff>47625</xdr:rowOff>
    </xdr:from>
    <xdr:to>
      <xdr:col>11</xdr:col>
      <xdr:colOff>9525</xdr:colOff>
      <xdr:row>18</xdr:row>
      <xdr:rowOff>47629</xdr:rowOff>
    </xdr:to>
    <xdr:pic>
      <xdr:nvPicPr>
        <xdr:cNvPr id="46" name="Picture 45">
          <a:extLst>
            <a:ext uri="{FF2B5EF4-FFF2-40B4-BE49-F238E27FC236}">
              <a16:creationId xmlns:a16="http://schemas.microsoft.com/office/drawing/2014/main" id="{AFFF78A4-F938-32FA-12F6-7D94474E390C}"/>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6250" r="5313"/>
        <a:stretch/>
      </xdr:blipFill>
      <xdr:spPr>
        <a:xfrm>
          <a:off x="4514850" y="9210675"/>
          <a:ext cx="2695575" cy="1905004"/>
        </a:xfrm>
        <a:prstGeom prst="rect">
          <a:avLst/>
        </a:prstGeom>
      </xdr:spPr>
    </xdr:pic>
    <xdr:clientData/>
  </xdr:twoCellAnchor>
  <xdr:twoCellAnchor editAs="oneCell">
    <xdr:from>
      <xdr:col>1</xdr:col>
      <xdr:colOff>266699</xdr:colOff>
      <xdr:row>3</xdr:row>
      <xdr:rowOff>174245</xdr:rowOff>
    </xdr:from>
    <xdr:to>
      <xdr:col>8</xdr:col>
      <xdr:colOff>476250</xdr:colOff>
      <xdr:row>4</xdr:row>
      <xdr:rowOff>381000</xdr:rowOff>
    </xdr:to>
    <xdr:pic>
      <xdr:nvPicPr>
        <xdr:cNvPr id="48" name="Picture 47">
          <a:extLst>
            <a:ext uri="{FF2B5EF4-FFF2-40B4-BE49-F238E27FC236}">
              <a16:creationId xmlns:a16="http://schemas.microsoft.com/office/drawing/2014/main" id="{93D1C043-203A-86E2-5326-4B9AF208CDF7}"/>
            </a:ext>
          </a:extLst>
        </xdr:cNvPr>
        <xdr:cNvPicPr>
          <a:picLocks noChangeAspect="1"/>
        </xdr:cNvPicPr>
      </xdr:nvPicPr>
      <xdr:blipFill rotWithShape="1">
        <a:blip xmlns:r="http://schemas.openxmlformats.org/officeDocument/2006/relationships" r:embed="rId8" cstate="print">
          <a:alphaModFix/>
          <a:extLst>
            <a:ext uri="{28A0092B-C50C-407E-A947-70E740481C1C}">
              <a14:useLocalDpi xmlns:a14="http://schemas.microsoft.com/office/drawing/2010/main" val="0"/>
            </a:ext>
          </a:extLst>
        </a:blip>
        <a:srcRect l="14828" t="25490" r="17524" b="17211"/>
        <a:stretch/>
      </xdr:blipFill>
      <xdr:spPr>
        <a:xfrm>
          <a:off x="857249" y="879095"/>
          <a:ext cx="4972051" cy="2368930"/>
        </a:xfrm>
        <a:prstGeom prst="rect">
          <a:avLst/>
        </a:prstGeom>
      </xdr:spPr>
    </xdr:pic>
    <xdr:clientData/>
  </xdr:twoCellAnchor>
  <xdr:twoCellAnchor editAs="oneCell">
    <xdr:from>
      <xdr:col>8</xdr:col>
      <xdr:colOff>542925</xdr:colOff>
      <xdr:row>3</xdr:row>
      <xdr:rowOff>130539</xdr:rowOff>
    </xdr:from>
    <xdr:to>
      <xdr:col>16</xdr:col>
      <xdr:colOff>0</xdr:colOff>
      <xdr:row>4</xdr:row>
      <xdr:rowOff>314325</xdr:rowOff>
    </xdr:to>
    <xdr:pic>
      <xdr:nvPicPr>
        <xdr:cNvPr id="50" name="Picture 49">
          <a:extLst>
            <a:ext uri="{FF2B5EF4-FFF2-40B4-BE49-F238E27FC236}">
              <a16:creationId xmlns:a16="http://schemas.microsoft.com/office/drawing/2014/main" id="{D030A08A-75CD-BF27-CC9F-05A5288FA7FA}"/>
            </a:ext>
          </a:extLst>
        </xdr:cNvPr>
        <xdr:cNvPicPr>
          <a:picLocks noChangeAspect="1"/>
        </xdr:cNvPicPr>
      </xdr:nvPicPr>
      <xdr:blipFill rotWithShape="1">
        <a:blip xmlns:r="http://schemas.openxmlformats.org/officeDocument/2006/relationships" r:embed="rId9" cstate="print">
          <a:alphaModFix/>
          <a:extLst>
            <a:ext uri="{28A0092B-C50C-407E-A947-70E740481C1C}">
              <a14:useLocalDpi xmlns:a14="http://schemas.microsoft.com/office/drawing/2010/main" val="0"/>
            </a:ext>
          </a:extLst>
        </a:blip>
        <a:srcRect l="16575" t="22004" r="18229" b="19136"/>
        <a:stretch/>
      </xdr:blipFill>
      <xdr:spPr>
        <a:xfrm>
          <a:off x="5895975" y="835389"/>
          <a:ext cx="4619625" cy="2345961"/>
        </a:xfrm>
        <a:prstGeom prst="rect">
          <a:avLst/>
        </a:prstGeom>
      </xdr:spPr>
    </xdr:pic>
    <xdr:clientData/>
  </xdr:twoCellAnchor>
  <xdr:twoCellAnchor editAs="oneCell">
    <xdr:from>
      <xdr:col>11</xdr:col>
      <xdr:colOff>627051</xdr:colOff>
      <xdr:row>7</xdr:row>
      <xdr:rowOff>38100</xdr:rowOff>
    </xdr:from>
    <xdr:to>
      <xdr:col>16</xdr:col>
      <xdr:colOff>28575</xdr:colOff>
      <xdr:row>8</xdr:row>
      <xdr:rowOff>3164</xdr:rowOff>
    </xdr:to>
    <xdr:pic>
      <xdr:nvPicPr>
        <xdr:cNvPr id="4" name="Picture 3">
          <a:extLst>
            <a:ext uri="{FF2B5EF4-FFF2-40B4-BE49-F238E27FC236}">
              <a16:creationId xmlns:a16="http://schemas.microsoft.com/office/drawing/2014/main" id="{B6275DF6-35F1-1B3F-6AE7-2494BF43FAA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827951" y="3867150"/>
          <a:ext cx="2716224" cy="1870064"/>
        </a:xfrm>
        <a:prstGeom prst="rect">
          <a:avLst/>
        </a:prstGeom>
        <a:ln>
          <a:noFill/>
        </a:ln>
      </xdr:spPr>
    </xdr:pic>
    <xdr:clientData/>
  </xdr:twoCellAnchor>
  <xdr:twoCellAnchor editAs="oneCell">
    <xdr:from>
      <xdr:col>6</xdr:col>
      <xdr:colOff>600075</xdr:colOff>
      <xdr:row>12</xdr:row>
      <xdr:rowOff>133350</xdr:rowOff>
    </xdr:from>
    <xdr:to>
      <xdr:col>11</xdr:col>
      <xdr:colOff>9524</xdr:colOff>
      <xdr:row>13</xdr:row>
      <xdr:rowOff>38099</xdr:rowOff>
    </xdr:to>
    <xdr:pic>
      <xdr:nvPicPr>
        <xdr:cNvPr id="10" name="Picture 9">
          <a:extLst>
            <a:ext uri="{FF2B5EF4-FFF2-40B4-BE49-F238E27FC236}">
              <a16:creationId xmlns:a16="http://schemas.microsoft.com/office/drawing/2014/main" id="{D61302E6-D84C-0238-C6CE-DF684BC2889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486275" y="6610350"/>
          <a:ext cx="2724149" cy="1809749"/>
        </a:xfrm>
        <a:prstGeom prst="rect">
          <a:avLst/>
        </a:prstGeom>
      </xdr:spPr>
    </xdr:pic>
    <xdr:clientData/>
  </xdr:twoCellAnchor>
  <xdr:twoCellAnchor editAs="oneCell">
    <xdr:from>
      <xdr:col>7</xdr:col>
      <xdr:colOff>9527</xdr:colOff>
      <xdr:row>7</xdr:row>
      <xdr:rowOff>28575</xdr:rowOff>
    </xdr:from>
    <xdr:to>
      <xdr:col>10</xdr:col>
      <xdr:colOff>695325</xdr:colOff>
      <xdr:row>7</xdr:row>
      <xdr:rowOff>1895475</xdr:rowOff>
    </xdr:to>
    <xdr:pic>
      <xdr:nvPicPr>
        <xdr:cNvPr id="14" name="Picture 13">
          <a:extLst>
            <a:ext uri="{FF2B5EF4-FFF2-40B4-BE49-F238E27FC236}">
              <a16:creationId xmlns:a16="http://schemas.microsoft.com/office/drawing/2014/main" id="{17D18380-B445-92A7-3545-80ED9B866FC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524377" y="3857625"/>
          <a:ext cx="2666998" cy="1866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857250</xdr:colOff>
      <xdr:row>2</xdr:row>
      <xdr:rowOff>59339</xdr:rowOff>
    </xdr:from>
    <xdr:to>
      <xdr:col>16</xdr:col>
      <xdr:colOff>3192689</xdr:colOff>
      <xdr:row>9</xdr:row>
      <xdr:rowOff>729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5188" y="670527"/>
          <a:ext cx="2335439" cy="14415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2</xdr:col>
      <xdr:colOff>12557</xdr:colOff>
      <xdr:row>6</xdr:row>
      <xdr:rowOff>143308</xdr:rowOff>
    </xdr:from>
    <xdr:to>
      <xdr:col>5</xdr:col>
      <xdr:colOff>691154</xdr:colOff>
      <xdr:row>7</xdr:row>
      <xdr:rowOff>1887298</xdr:rowOff>
    </xdr:to>
    <xdr:pic>
      <xdr:nvPicPr>
        <xdr:cNvPr id="2" name="Picture 1">
          <a:extLst>
            <a:ext uri="{FF2B5EF4-FFF2-40B4-BE49-F238E27FC236}">
              <a16:creationId xmlns:a16="http://schemas.microsoft.com/office/drawing/2014/main" id="{AC7CB2F2-D4C4-458C-B98E-4A432908515E}"/>
            </a:ext>
          </a:extLst>
        </xdr:cNvPr>
        <xdr:cNvPicPr>
          <a:picLocks noChangeAspect="1"/>
        </xdr:cNvPicPr>
      </xdr:nvPicPr>
      <xdr:blipFill>
        <a:blip xmlns:r="http://schemas.openxmlformats.org/officeDocument/2006/relationships" r:embed="rId2"/>
        <a:stretch>
          <a:fillRect/>
        </a:stretch>
      </xdr:blipFill>
      <xdr:spPr>
        <a:xfrm>
          <a:off x="1212707" y="3496108"/>
          <a:ext cx="2659797" cy="1905915"/>
        </a:xfrm>
        <a:prstGeom prst="rect">
          <a:avLst/>
        </a:prstGeom>
      </xdr:spPr>
    </xdr:pic>
    <xdr:clientData/>
  </xdr:twoCellAnchor>
  <xdr:twoCellAnchor editAs="oneCell">
    <xdr:from>
      <xdr:col>1</xdr:col>
      <xdr:colOff>368011</xdr:colOff>
      <xdr:row>3</xdr:row>
      <xdr:rowOff>19050</xdr:rowOff>
    </xdr:from>
    <xdr:to>
      <xdr:col>9</xdr:col>
      <xdr:colOff>53039</xdr:colOff>
      <xdr:row>4</xdr:row>
      <xdr:rowOff>322118</xdr:rowOff>
    </xdr:to>
    <xdr:pic>
      <xdr:nvPicPr>
        <xdr:cNvPr id="3" name="Picture 2">
          <a:extLst>
            <a:ext uri="{FF2B5EF4-FFF2-40B4-BE49-F238E27FC236}">
              <a16:creationId xmlns:a16="http://schemas.microsoft.com/office/drawing/2014/main" id="{2470523B-3493-423C-A8BE-77AE29A98BF6}"/>
            </a:ext>
          </a:extLst>
        </xdr:cNvPr>
        <xdr:cNvPicPr>
          <a:picLocks noChangeAspect="1"/>
        </xdr:cNvPicPr>
      </xdr:nvPicPr>
      <xdr:blipFill rotWithShape="1">
        <a:blip xmlns:r="http://schemas.openxmlformats.org/officeDocument/2006/relationships" r:embed="rId3" cstate="print">
          <a:alphaModFix/>
          <a:extLst>
            <a:ext uri="{28A0092B-C50C-407E-A947-70E740481C1C}">
              <a14:useLocalDpi xmlns:a14="http://schemas.microsoft.com/office/drawing/2010/main" val="0"/>
            </a:ext>
          </a:extLst>
        </a:blip>
        <a:srcRect l="9760" t="23520" r="17637" b="18113"/>
        <a:stretch/>
      </xdr:blipFill>
      <xdr:spPr>
        <a:xfrm>
          <a:off x="958561" y="590550"/>
          <a:ext cx="5019028" cy="2284268"/>
        </a:xfrm>
        <a:prstGeom prst="rect">
          <a:avLst/>
        </a:prstGeom>
      </xdr:spPr>
    </xdr:pic>
    <xdr:clientData/>
  </xdr:twoCellAnchor>
  <xdr:twoCellAnchor editAs="oneCell">
    <xdr:from>
      <xdr:col>9</xdr:col>
      <xdr:colOff>253625</xdr:colOff>
      <xdr:row>3</xdr:row>
      <xdr:rowOff>42213</xdr:rowOff>
    </xdr:from>
    <xdr:to>
      <xdr:col>16</xdr:col>
      <xdr:colOff>14722</xdr:colOff>
      <xdr:row>4</xdr:row>
      <xdr:rowOff>274493</xdr:rowOff>
    </xdr:to>
    <xdr:pic>
      <xdr:nvPicPr>
        <xdr:cNvPr id="4" name="Picture 3">
          <a:extLst>
            <a:ext uri="{FF2B5EF4-FFF2-40B4-BE49-F238E27FC236}">
              <a16:creationId xmlns:a16="http://schemas.microsoft.com/office/drawing/2014/main" id="{0BE27298-020E-40C5-BE4C-5490D393CC22}"/>
            </a:ext>
          </a:extLst>
        </xdr:cNvPr>
        <xdr:cNvPicPr>
          <a:picLocks noChangeAspect="1"/>
        </xdr:cNvPicPr>
      </xdr:nvPicPr>
      <xdr:blipFill rotWithShape="1">
        <a:blip xmlns:r="http://schemas.openxmlformats.org/officeDocument/2006/relationships" r:embed="rId4" cstate="print">
          <a:alphaModFix/>
          <a:extLst>
            <a:ext uri="{28A0092B-C50C-407E-A947-70E740481C1C}">
              <a14:useLocalDpi xmlns:a14="http://schemas.microsoft.com/office/drawing/2010/main" val="0"/>
            </a:ext>
          </a:extLst>
        </a:blip>
        <a:srcRect l="15762" t="22499" r="18864" b="18944"/>
        <a:stretch/>
      </xdr:blipFill>
      <xdr:spPr>
        <a:xfrm>
          <a:off x="6159125" y="613713"/>
          <a:ext cx="4350415" cy="2206553"/>
        </a:xfrm>
        <a:prstGeom prst="rect">
          <a:avLst/>
        </a:prstGeom>
      </xdr:spPr>
    </xdr:pic>
    <xdr:clientData/>
  </xdr:twoCellAnchor>
  <xdr:twoCellAnchor editAs="oneCell">
    <xdr:from>
      <xdr:col>12</xdr:col>
      <xdr:colOff>19268</xdr:colOff>
      <xdr:row>16</xdr:row>
      <xdr:rowOff>186576</xdr:rowOff>
    </xdr:from>
    <xdr:to>
      <xdr:col>15</xdr:col>
      <xdr:colOff>698574</xdr:colOff>
      <xdr:row>18</xdr:row>
      <xdr:rowOff>23816</xdr:rowOff>
    </xdr:to>
    <xdr:pic>
      <xdr:nvPicPr>
        <xdr:cNvPr id="10" name="Picture 9">
          <a:extLst>
            <a:ext uri="{FF2B5EF4-FFF2-40B4-BE49-F238E27FC236}">
              <a16:creationId xmlns:a16="http://schemas.microsoft.com/office/drawing/2014/main" id="{0100CA3E-4934-4403-8BB8-A3B6C076B9E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019" r="8108"/>
        <a:stretch/>
      </xdr:blipFill>
      <xdr:spPr>
        <a:xfrm>
          <a:off x="7848818" y="8844801"/>
          <a:ext cx="2660506" cy="1932740"/>
        </a:xfrm>
        <a:prstGeom prst="rect">
          <a:avLst/>
        </a:prstGeom>
      </xdr:spPr>
    </xdr:pic>
    <xdr:clientData/>
  </xdr:twoCellAnchor>
  <xdr:twoCellAnchor editAs="oneCell">
    <xdr:from>
      <xdr:col>2</xdr:col>
      <xdr:colOff>67326</xdr:colOff>
      <xdr:row>17</xdr:row>
      <xdr:rowOff>6493</xdr:rowOff>
    </xdr:from>
    <xdr:to>
      <xdr:col>6</xdr:col>
      <xdr:colOff>52607</xdr:colOff>
      <xdr:row>18</xdr:row>
      <xdr:rowOff>22083</xdr:rowOff>
    </xdr:to>
    <xdr:pic>
      <xdr:nvPicPr>
        <xdr:cNvPr id="11" name="Picture 10">
          <a:extLst>
            <a:ext uri="{FF2B5EF4-FFF2-40B4-BE49-F238E27FC236}">
              <a16:creationId xmlns:a16="http://schemas.microsoft.com/office/drawing/2014/main" id="{4994F463-5D7E-4F5B-8BA2-55DDB11090BD}"/>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5378" r="6391"/>
        <a:stretch/>
      </xdr:blipFill>
      <xdr:spPr>
        <a:xfrm>
          <a:off x="1262281" y="8856084"/>
          <a:ext cx="2669599" cy="1920590"/>
        </a:xfrm>
        <a:prstGeom prst="rect">
          <a:avLst/>
        </a:prstGeom>
      </xdr:spPr>
    </xdr:pic>
    <xdr:clientData/>
  </xdr:twoCellAnchor>
  <xdr:twoCellAnchor editAs="oneCell">
    <xdr:from>
      <xdr:col>2</xdr:col>
      <xdr:colOff>1</xdr:colOff>
      <xdr:row>12</xdr:row>
      <xdr:rowOff>21861</xdr:rowOff>
    </xdr:from>
    <xdr:to>
      <xdr:col>5</xdr:col>
      <xdr:colOff>695326</xdr:colOff>
      <xdr:row>13</xdr:row>
      <xdr:rowOff>21865</xdr:rowOff>
    </xdr:to>
    <xdr:pic>
      <xdr:nvPicPr>
        <xdr:cNvPr id="13" name="Picture 12">
          <a:extLst>
            <a:ext uri="{FF2B5EF4-FFF2-40B4-BE49-F238E27FC236}">
              <a16:creationId xmlns:a16="http://schemas.microsoft.com/office/drawing/2014/main" id="{0A771102-D646-4DAD-8DD9-B4DD765C0961}"/>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6875" r="5314"/>
        <a:stretch/>
      </xdr:blipFill>
      <xdr:spPr>
        <a:xfrm>
          <a:off x="1200151" y="6184536"/>
          <a:ext cx="2676525" cy="1905004"/>
        </a:xfrm>
        <a:prstGeom prst="rect">
          <a:avLst/>
        </a:prstGeom>
      </xdr:spPr>
    </xdr:pic>
    <xdr:clientData/>
  </xdr:twoCellAnchor>
  <xdr:twoCellAnchor editAs="oneCell">
    <xdr:from>
      <xdr:col>11</xdr:col>
      <xdr:colOff>619126</xdr:colOff>
      <xdr:row>12</xdr:row>
      <xdr:rowOff>31386</xdr:rowOff>
    </xdr:from>
    <xdr:to>
      <xdr:col>16</xdr:col>
      <xdr:colOff>2</xdr:colOff>
      <xdr:row>13</xdr:row>
      <xdr:rowOff>31390</xdr:rowOff>
    </xdr:to>
    <xdr:pic>
      <xdr:nvPicPr>
        <xdr:cNvPr id="26" name="Picture 25">
          <a:extLst>
            <a:ext uri="{FF2B5EF4-FFF2-40B4-BE49-F238E27FC236}">
              <a16:creationId xmlns:a16="http://schemas.microsoft.com/office/drawing/2014/main" id="{C89E1166-F3E9-4BE4-9A5D-EA37AFE0DE5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4687" r="6875"/>
        <a:stretch/>
      </xdr:blipFill>
      <xdr:spPr>
        <a:xfrm>
          <a:off x="7820026" y="6194061"/>
          <a:ext cx="2695576" cy="1905004"/>
        </a:xfrm>
        <a:prstGeom prst="rect">
          <a:avLst/>
        </a:prstGeom>
      </xdr:spPr>
    </xdr:pic>
    <xdr:clientData/>
  </xdr:twoCellAnchor>
  <xdr:twoCellAnchor editAs="oneCell">
    <xdr:from>
      <xdr:col>6</xdr:col>
      <xdr:colOff>619126</xdr:colOff>
      <xdr:row>17</xdr:row>
      <xdr:rowOff>40911</xdr:rowOff>
    </xdr:from>
    <xdr:to>
      <xdr:col>11</xdr:col>
      <xdr:colOff>1</xdr:colOff>
      <xdr:row>18</xdr:row>
      <xdr:rowOff>40915</xdr:rowOff>
    </xdr:to>
    <xdr:pic>
      <xdr:nvPicPr>
        <xdr:cNvPr id="27" name="Picture 26">
          <a:extLst>
            <a:ext uri="{FF2B5EF4-FFF2-40B4-BE49-F238E27FC236}">
              <a16:creationId xmlns:a16="http://schemas.microsoft.com/office/drawing/2014/main" id="{D5B39B4B-B0B9-4D80-8D61-53759D2A36EA}"/>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6250" r="5313"/>
        <a:stretch/>
      </xdr:blipFill>
      <xdr:spPr>
        <a:xfrm>
          <a:off x="4505326" y="8889636"/>
          <a:ext cx="2695575" cy="1905004"/>
        </a:xfrm>
        <a:prstGeom prst="rect">
          <a:avLst/>
        </a:prstGeom>
      </xdr:spPr>
    </xdr:pic>
    <xdr:clientData/>
  </xdr:twoCellAnchor>
  <xdr:twoCellAnchor editAs="oneCell">
    <xdr:from>
      <xdr:col>1</xdr:col>
      <xdr:colOff>257175</xdr:colOff>
      <xdr:row>2</xdr:row>
      <xdr:rowOff>300881</xdr:rowOff>
    </xdr:from>
    <xdr:to>
      <xdr:col>8</xdr:col>
      <xdr:colOff>466726</xdr:colOff>
      <xdr:row>4</xdr:row>
      <xdr:rowOff>374286</xdr:rowOff>
    </xdr:to>
    <xdr:pic>
      <xdr:nvPicPr>
        <xdr:cNvPr id="28" name="Picture 27">
          <a:extLst>
            <a:ext uri="{FF2B5EF4-FFF2-40B4-BE49-F238E27FC236}">
              <a16:creationId xmlns:a16="http://schemas.microsoft.com/office/drawing/2014/main" id="{8571ACC1-FBB1-470C-98AB-ABBBB1B64D43}"/>
            </a:ext>
          </a:extLst>
        </xdr:cNvPr>
        <xdr:cNvPicPr>
          <a:picLocks noChangeAspect="1"/>
        </xdr:cNvPicPr>
      </xdr:nvPicPr>
      <xdr:blipFill rotWithShape="1">
        <a:blip xmlns:r="http://schemas.openxmlformats.org/officeDocument/2006/relationships" r:embed="rId10" cstate="print">
          <a:alphaModFix/>
          <a:extLst>
            <a:ext uri="{28A0092B-C50C-407E-A947-70E740481C1C}">
              <a14:useLocalDpi xmlns:a14="http://schemas.microsoft.com/office/drawing/2010/main" val="0"/>
            </a:ext>
          </a:extLst>
        </a:blip>
        <a:srcRect l="14828" t="25490" r="17524" b="17211"/>
        <a:stretch/>
      </xdr:blipFill>
      <xdr:spPr>
        <a:xfrm>
          <a:off x="847725" y="558056"/>
          <a:ext cx="4972051" cy="2368930"/>
        </a:xfrm>
        <a:prstGeom prst="rect">
          <a:avLst/>
        </a:prstGeom>
      </xdr:spPr>
    </xdr:pic>
    <xdr:clientData/>
  </xdr:twoCellAnchor>
  <xdr:twoCellAnchor editAs="oneCell">
    <xdr:from>
      <xdr:col>9</xdr:col>
      <xdr:colOff>82551</xdr:colOff>
      <xdr:row>3</xdr:row>
      <xdr:rowOff>15875</xdr:rowOff>
    </xdr:from>
    <xdr:to>
      <xdr:col>16</xdr:col>
      <xdr:colOff>104776</xdr:colOff>
      <xdr:row>4</xdr:row>
      <xdr:rowOff>313961</xdr:rowOff>
    </xdr:to>
    <xdr:pic>
      <xdr:nvPicPr>
        <xdr:cNvPr id="29" name="Picture 28">
          <a:extLst>
            <a:ext uri="{FF2B5EF4-FFF2-40B4-BE49-F238E27FC236}">
              <a16:creationId xmlns:a16="http://schemas.microsoft.com/office/drawing/2014/main" id="{772E1A04-DA5F-4AB5-8BA6-B56F11DD2258}"/>
            </a:ext>
          </a:extLst>
        </xdr:cNvPr>
        <xdr:cNvPicPr>
          <a:picLocks noChangeAspect="1"/>
        </xdr:cNvPicPr>
      </xdr:nvPicPr>
      <xdr:blipFill rotWithShape="1">
        <a:blip xmlns:r="http://schemas.openxmlformats.org/officeDocument/2006/relationships" r:embed="rId11" cstate="print">
          <a:alphaModFix/>
          <a:extLst>
            <a:ext uri="{28A0092B-C50C-407E-A947-70E740481C1C}">
              <a14:useLocalDpi xmlns:a14="http://schemas.microsoft.com/office/drawing/2010/main" val="0"/>
            </a:ext>
          </a:extLst>
        </a:blip>
        <a:srcRect l="16575" t="23677" r="18229" b="19136"/>
        <a:stretch/>
      </xdr:blipFill>
      <xdr:spPr>
        <a:xfrm>
          <a:off x="6280151" y="600075"/>
          <a:ext cx="4822825" cy="2279286"/>
        </a:xfrm>
        <a:prstGeom prst="rect">
          <a:avLst/>
        </a:prstGeom>
      </xdr:spPr>
    </xdr:pic>
    <xdr:clientData/>
  </xdr:twoCellAnchor>
  <xdr:twoCellAnchor editAs="oneCell">
    <xdr:from>
      <xdr:col>12</xdr:col>
      <xdr:colOff>16416</xdr:colOff>
      <xdr:row>7</xdr:row>
      <xdr:rowOff>19051</xdr:rowOff>
    </xdr:from>
    <xdr:to>
      <xdr:col>15</xdr:col>
      <xdr:colOff>717550</xdr:colOff>
      <xdr:row>7</xdr:row>
      <xdr:rowOff>1879601</xdr:rowOff>
    </xdr:to>
    <xdr:pic>
      <xdr:nvPicPr>
        <xdr:cNvPr id="8" name="Picture 7">
          <a:extLst>
            <a:ext uri="{FF2B5EF4-FFF2-40B4-BE49-F238E27FC236}">
              <a16:creationId xmlns:a16="http://schemas.microsoft.com/office/drawing/2014/main" id="{AF4E4B96-5B7F-4AB8-989C-54FC59C0D49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207916" y="3543301"/>
          <a:ext cx="2771234" cy="1860550"/>
        </a:xfrm>
        <a:prstGeom prst="rect">
          <a:avLst/>
        </a:prstGeom>
        <a:ln>
          <a:noFill/>
        </a:ln>
      </xdr:spPr>
    </xdr:pic>
    <xdr:clientData/>
  </xdr:twoCellAnchor>
  <xdr:twoCellAnchor editAs="oneCell">
    <xdr:from>
      <xdr:col>7</xdr:col>
      <xdr:colOff>12700</xdr:colOff>
      <xdr:row>12</xdr:row>
      <xdr:rowOff>149225</xdr:rowOff>
    </xdr:from>
    <xdr:to>
      <xdr:col>10</xdr:col>
      <xdr:colOff>730249</xdr:colOff>
      <xdr:row>13</xdr:row>
      <xdr:rowOff>53974</xdr:rowOff>
    </xdr:to>
    <xdr:pic>
      <xdr:nvPicPr>
        <xdr:cNvPr id="9" name="Picture 8">
          <a:extLst>
            <a:ext uri="{FF2B5EF4-FFF2-40B4-BE49-F238E27FC236}">
              <a16:creationId xmlns:a16="http://schemas.microsoft.com/office/drawing/2014/main" id="{B7E5FD20-CB29-4EAA-88AC-75D4648228D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737100" y="6315075"/>
          <a:ext cx="2787649" cy="1809749"/>
        </a:xfrm>
        <a:prstGeom prst="rect">
          <a:avLst/>
        </a:prstGeom>
      </xdr:spPr>
    </xdr:pic>
    <xdr:clientData/>
  </xdr:twoCellAnchor>
  <xdr:twoCellAnchor editAs="oneCell">
    <xdr:from>
      <xdr:col>7</xdr:col>
      <xdr:colOff>19052</xdr:colOff>
      <xdr:row>7</xdr:row>
      <xdr:rowOff>38100</xdr:rowOff>
    </xdr:from>
    <xdr:to>
      <xdr:col>10</xdr:col>
      <xdr:colOff>704850</xdr:colOff>
      <xdr:row>8</xdr:row>
      <xdr:rowOff>0</xdr:rowOff>
    </xdr:to>
    <xdr:pic>
      <xdr:nvPicPr>
        <xdr:cNvPr id="12" name="Picture 11">
          <a:extLst>
            <a:ext uri="{FF2B5EF4-FFF2-40B4-BE49-F238E27FC236}">
              <a16:creationId xmlns:a16="http://schemas.microsoft.com/office/drawing/2014/main" id="{4E36AB92-CC51-457A-A9A4-69B07E1182C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743452" y="3562350"/>
          <a:ext cx="2755898" cy="1866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 val="Main"/>
    </sheetNames>
    <sheetDataSet>
      <sheetData sheetId="0">
        <row r="1">
          <cell r="C1"/>
          <cell r="D1"/>
        </row>
        <row r="2">
          <cell r="C2"/>
          <cell r="D2"/>
        </row>
        <row r="3">
          <cell r="B3" t="str">
            <v>Part Number</v>
          </cell>
          <cell r="C3" t="str">
            <v>Dealer Net</v>
          </cell>
          <cell r="D3" t="str">
            <v>List Price</v>
          </cell>
        </row>
        <row r="4">
          <cell r="B4" t="str">
            <v>08E12-30A-100A</v>
          </cell>
          <cell r="C4">
            <v>64</v>
          </cell>
          <cell r="D4">
            <v>85</v>
          </cell>
        </row>
        <row r="5">
          <cell r="B5" t="str">
            <v>08E12-30A-110</v>
          </cell>
          <cell r="C5">
            <v>294</v>
          </cell>
          <cell r="D5">
            <v>452</v>
          </cell>
        </row>
        <row r="6">
          <cell r="B6" t="str">
            <v>08F04-30A-1F0</v>
          </cell>
          <cell r="C6">
            <v>421</v>
          </cell>
          <cell r="D6">
            <v>702</v>
          </cell>
        </row>
        <row r="7">
          <cell r="B7" t="str">
            <v>08F10-30A-110</v>
          </cell>
          <cell r="C7">
            <v>376</v>
          </cell>
          <cell r="D7">
            <v>627</v>
          </cell>
        </row>
        <row r="8">
          <cell r="B8" t="str">
            <v>08F10-30A-140</v>
          </cell>
          <cell r="C8">
            <v>376</v>
          </cell>
          <cell r="D8">
            <v>627</v>
          </cell>
        </row>
        <row r="9">
          <cell r="B9" t="str">
            <v>08F10-30A-150</v>
          </cell>
          <cell r="C9">
            <v>376</v>
          </cell>
          <cell r="D9">
            <v>627</v>
          </cell>
        </row>
        <row r="10">
          <cell r="B10" t="str">
            <v>08F10-30A-170</v>
          </cell>
          <cell r="C10">
            <v>376</v>
          </cell>
          <cell r="D10">
            <v>627</v>
          </cell>
        </row>
        <row r="11">
          <cell r="B11" t="str">
            <v>08F10-30A-1A0</v>
          </cell>
          <cell r="C11">
            <v>376</v>
          </cell>
          <cell r="D11">
            <v>627</v>
          </cell>
        </row>
        <row r="12">
          <cell r="B12" t="str">
            <v>08F10-30A-1C0</v>
          </cell>
          <cell r="C12">
            <v>376</v>
          </cell>
          <cell r="D12">
            <v>627</v>
          </cell>
        </row>
        <row r="13">
          <cell r="B13" t="str">
            <v>08F10-30A-1D0</v>
          </cell>
          <cell r="C13">
            <v>376</v>
          </cell>
          <cell r="D13">
            <v>627</v>
          </cell>
        </row>
        <row r="14">
          <cell r="B14" t="str">
            <v>08F10-30A-1H0</v>
          </cell>
          <cell r="C14">
            <v>376</v>
          </cell>
          <cell r="D14">
            <v>627</v>
          </cell>
        </row>
        <row r="15">
          <cell r="B15" t="str">
            <v>08F20-30A-100</v>
          </cell>
          <cell r="C15">
            <v>73</v>
          </cell>
          <cell r="D15">
            <v>122</v>
          </cell>
        </row>
        <row r="16">
          <cell r="B16" t="str">
            <v>08F20-30A-100B</v>
          </cell>
          <cell r="C16">
            <v>69</v>
          </cell>
          <cell r="D16">
            <v>115</v>
          </cell>
        </row>
        <row r="17">
          <cell r="B17" t="str">
            <v>08F20-3A0-100C</v>
          </cell>
          <cell r="C17">
            <v>42</v>
          </cell>
          <cell r="D17">
            <v>70</v>
          </cell>
        </row>
        <row r="18">
          <cell r="B18" t="str">
            <v>08F20-3V0-100B</v>
          </cell>
          <cell r="C18">
            <v>42</v>
          </cell>
          <cell r="D18">
            <v>70</v>
          </cell>
        </row>
        <row r="19">
          <cell r="B19" t="str">
            <v>08F59-30A-100</v>
          </cell>
          <cell r="C19">
            <v>91</v>
          </cell>
          <cell r="D19">
            <v>152</v>
          </cell>
        </row>
        <row r="20">
          <cell r="B20" t="str">
            <v>08L96-TA0-301A</v>
          </cell>
          <cell r="C20">
            <v>16</v>
          </cell>
          <cell r="D20">
            <v>27</v>
          </cell>
        </row>
        <row r="21">
          <cell r="B21" t="str">
            <v>08L96-TVA-300</v>
          </cell>
          <cell r="C21">
            <v>19.989999999999998</v>
          </cell>
          <cell r="D21">
            <v>33.99</v>
          </cell>
        </row>
        <row r="22">
          <cell r="B22" t="str">
            <v>08P04-30A-100</v>
          </cell>
          <cell r="C22">
            <v>103</v>
          </cell>
          <cell r="D22">
            <v>168</v>
          </cell>
        </row>
        <row r="23">
          <cell r="B23" t="str">
            <v>08P05-30A-110</v>
          </cell>
          <cell r="C23">
            <v>226</v>
          </cell>
          <cell r="D23">
            <v>377</v>
          </cell>
        </row>
        <row r="24">
          <cell r="B24" t="str">
            <v>08P05-30A-130</v>
          </cell>
          <cell r="C24">
            <v>226</v>
          </cell>
          <cell r="D24">
            <v>377</v>
          </cell>
        </row>
        <row r="25">
          <cell r="B25" t="str">
            <v>08P05-30A-140</v>
          </cell>
          <cell r="C25">
            <v>226</v>
          </cell>
          <cell r="D25">
            <v>377</v>
          </cell>
        </row>
        <row r="26">
          <cell r="B26" t="str">
            <v>08P05-30A-150</v>
          </cell>
          <cell r="C26">
            <v>226</v>
          </cell>
          <cell r="D26">
            <v>377</v>
          </cell>
        </row>
        <row r="27">
          <cell r="B27" t="str">
            <v>08P05-30A-170</v>
          </cell>
          <cell r="C27">
            <v>226</v>
          </cell>
          <cell r="D27">
            <v>377</v>
          </cell>
        </row>
        <row r="28">
          <cell r="B28" t="str">
            <v>08P05-30A-1A0</v>
          </cell>
          <cell r="C28">
            <v>226</v>
          </cell>
          <cell r="D28">
            <v>377</v>
          </cell>
        </row>
        <row r="29">
          <cell r="B29" t="str">
            <v>08P05-30A-1C0</v>
          </cell>
          <cell r="C29">
            <v>226</v>
          </cell>
          <cell r="D29">
            <v>377</v>
          </cell>
        </row>
        <row r="30">
          <cell r="B30" t="str">
            <v>08P05-30A-1D0</v>
          </cell>
          <cell r="C30">
            <v>226</v>
          </cell>
          <cell r="D30">
            <v>377</v>
          </cell>
        </row>
        <row r="31">
          <cell r="B31" t="str">
            <v>08P05-30A-1F0</v>
          </cell>
          <cell r="C31">
            <v>226</v>
          </cell>
          <cell r="D31">
            <v>377</v>
          </cell>
        </row>
        <row r="32">
          <cell r="B32" t="str">
            <v>08P05-30A-1G0</v>
          </cell>
          <cell r="C32">
            <v>226</v>
          </cell>
          <cell r="D32">
            <v>377</v>
          </cell>
        </row>
        <row r="33">
          <cell r="B33" t="str">
            <v>08P05-30A-1H0</v>
          </cell>
          <cell r="C33">
            <v>226</v>
          </cell>
          <cell r="D33">
            <v>377</v>
          </cell>
        </row>
        <row r="34">
          <cell r="B34" t="str">
            <v>08P09-30A-300</v>
          </cell>
          <cell r="C34">
            <v>48</v>
          </cell>
          <cell r="D34">
            <v>80</v>
          </cell>
        </row>
        <row r="35">
          <cell r="B35" t="str">
            <v>08P17-30A-110</v>
          </cell>
          <cell r="C35">
            <v>170</v>
          </cell>
          <cell r="D35">
            <v>283</v>
          </cell>
        </row>
        <row r="36">
          <cell r="B36" t="str">
            <v>08P20-30A-100A</v>
          </cell>
          <cell r="C36">
            <v>69</v>
          </cell>
          <cell r="D36">
            <v>115</v>
          </cell>
        </row>
        <row r="37">
          <cell r="B37" t="str">
            <v>08P20-30A-110</v>
          </cell>
          <cell r="C37">
            <v>171</v>
          </cell>
          <cell r="D37">
            <v>285</v>
          </cell>
        </row>
        <row r="38">
          <cell r="B38" t="str">
            <v>08P20-30A-130</v>
          </cell>
          <cell r="C38">
            <v>171</v>
          </cell>
          <cell r="D38">
            <v>285</v>
          </cell>
        </row>
        <row r="39">
          <cell r="B39" t="str">
            <v>08P20-30A-140</v>
          </cell>
          <cell r="C39">
            <v>171</v>
          </cell>
          <cell r="D39">
            <v>285</v>
          </cell>
        </row>
        <row r="40">
          <cell r="B40" t="str">
            <v>08P20-30A-150</v>
          </cell>
          <cell r="C40">
            <v>171</v>
          </cell>
          <cell r="D40">
            <v>285</v>
          </cell>
        </row>
        <row r="41">
          <cell r="B41" t="str">
            <v>08P20-30A-170</v>
          </cell>
          <cell r="C41">
            <v>171</v>
          </cell>
          <cell r="D41">
            <v>285</v>
          </cell>
        </row>
        <row r="42">
          <cell r="B42" t="str">
            <v>08P20-30A-1A0</v>
          </cell>
          <cell r="C42">
            <v>171</v>
          </cell>
          <cell r="D42">
            <v>285</v>
          </cell>
        </row>
        <row r="43">
          <cell r="B43" t="str">
            <v>08P20-30A-1C0</v>
          </cell>
          <cell r="C43">
            <v>171</v>
          </cell>
          <cell r="D43">
            <v>285</v>
          </cell>
        </row>
        <row r="44">
          <cell r="B44" t="str">
            <v>08P20-30A-1D0</v>
          </cell>
          <cell r="C44">
            <v>171</v>
          </cell>
          <cell r="D44">
            <v>285</v>
          </cell>
        </row>
        <row r="45">
          <cell r="B45" t="str">
            <v>08P20-30A-1F0</v>
          </cell>
          <cell r="C45">
            <v>171</v>
          </cell>
          <cell r="D45">
            <v>285</v>
          </cell>
        </row>
        <row r="46">
          <cell r="B46" t="str">
            <v>08P20-30A-1G0</v>
          </cell>
          <cell r="C46">
            <v>171</v>
          </cell>
          <cell r="D46">
            <v>285</v>
          </cell>
        </row>
        <row r="47">
          <cell r="B47" t="str">
            <v>08P20-30A-1H0</v>
          </cell>
          <cell r="C47">
            <v>171</v>
          </cell>
          <cell r="D47">
            <v>285</v>
          </cell>
        </row>
        <row r="48">
          <cell r="B48" t="str">
            <v>08P48-30A-100</v>
          </cell>
          <cell r="C48">
            <v>127</v>
          </cell>
          <cell r="D48">
            <v>212</v>
          </cell>
        </row>
        <row r="49">
          <cell r="B49" t="str">
            <v>08P98-30A-1F0</v>
          </cell>
          <cell r="C49">
            <v>341</v>
          </cell>
          <cell r="D49">
            <v>568</v>
          </cell>
        </row>
        <row r="50">
          <cell r="B50" t="str">
            <v>08P99-30A-1F0</v>
          </cell>
          <cell r="C50">
            <v>341</v>
          </cell>
          <cell r="D50">
            <v>568</v>
          </cell>
        </row>
        <row r="51">
          <cell r="B51" t="str">
            <v>08R01-30A-300</v>
          </cell>
          <cell r="C51">
            <v>194</v>
          </cell>
          <cell r="D51">
            <v>323</v>
          </cell>
        </row>
        <row r="52">
          <cell r="B52" t="str">
            <v>08R04-TVA-101</v>
          </cell>
          <cell r="C52">
            <v>194</v>
          </cell>
          <cell r="D52">
            <v>323</v>
          </cell>
        </row>
        <row r="53">
          <cell r="B53" t="str">
            <v>08R06-30A-110</v>
          </cell>
          <cell r="C53">
            <v>204</v>
          </cell>
          <cell r="D53">
            <v>340</v>
          </cell>
        </row>
        <row r="54">
          <cell r="B54" t="str">
            <v>08R06-30A-110A</v>
          </cell>
          <cell r="C54">
            <v>204</v>
          </cell>
          <cell r="D54">
            <v>340</v>
          </cell>
        </row>
        <row r="55">
          <cell r="B55" t="str">
            <v>08R13-30A-100</v>
          </cell>
          <cell r="C55">
            <v>175</v>
          </cell>
          <cell r="D55">
            <v>292</v>
          </cell>
        </row>
        <row r="56">
          <cell r="B56" t="str">
            <v>08T44-30A-300A</v>
          </cell>
          <cell r="C56">
            <v>140</v>
          </cell>
          <cell r="D56">
            <v>233</v>
          </cell>
        </row>
        <row r="57">
          <cell r="B57" t="str">
            <v>08T44-30B-300A</v>
          </cell>
          <cell r="C57">
            <v>166</v>
          </cell>
          <cell r="D57">
            <v>277</v>
          </cell>
        </row>
        <row r="58">
          <cell r="B58" t="str">
            <v>08U45-30A-100</v>
          </cell>
          <cell r="C58">
            <v>125</v>
          </cell>
          <cell r="D58">
            <v>208</v>
          </cell>
        </row>
        <row r="59">
          <cell r="B59" t="str">
            <v>08U58-30A-110A</v>
          </cell>
          <cell r="C59">
            <v>373</v>
          </cell>
          <cell r="D59">
            <v>533</v>
          </cell>
        </row>
        <row r="60">
          <cell r="B60" t="str">
            <v>08U58-30A-110B</v>
          </cell>
          <cell r="C60">
            <v>373</v>
          </cell>
          <cell r="D60">
            <v>533</v>
          </cell>
        </row>
        <row r="61">
          <cell r="B61" t="str">
            <v>08V03-30A-100</v>
          </cell>
          <cell r="C61">
            <v>68</v>
          </cell>
          <cell r="D61">
            <v>113</v>
          </cell>
        </row>
        <row r="62">
          <cell r="B62" t="str">
            <v>08W19-30A-300</v>
          </cell>
          <cell r="C62">
            <v>640</v>
          </cell>
          <cell r="D62">
            <v>914</v>
          </cell>
        </row>
        <row r="63">
          <cell r="B63" t="str">
            <v>08E12-T90-100</v>
          </cell>
          <cell r="C63">
            <v>361</v>
          </cell>
          <cell r="D63">
            <v>555</v>
          </cell>
        </row>
        <row r="64">
          <cell r="B64" t="str">
            <v>08F04-T90-100</v>
          </cell>
          <cell r="C64">
            <v>324</v>
          </cell>
          <cell r="D64">
            <v>540</v>
          </cell>
        </row>
        <row r="65">
          <cell r="B65" t="str">
            <v>08F20-T90-100</v>
          </cell>
          <cell r="C65">
            <v>41</v>
          </cell>
          <cell r="D65">
            <v>68</v>
          </cell>
        </row>
        <row r="66">
          <cell r="B66" t="str">
            <v>08F20-T90-100A</v>
          </cell>
          <cell r="C66">
            <v>35</v>
          </cell>
          <cell r="D66">
            <v>58</v>
          </cell>
        </row>
        <row r="67">
          <cell r="B67" t="str">
            <v>08F20-T90-100C</v>
          </cell>
          <cell r="C67">
            <v>144</v>
          </cell>
          <cell r="D67">
            <v>206</v>
          </cell>
        </row>
        <row r="68">
          <cell r="B68" t="str">
            <v>08F21-T90-100A</v>
          </cell>
          <cell r="C68">
            <v>247</v>
          </cell>
          <cell r="D68">
            <v>412</v>
          </cell>
        </row>
        <row r="69">
          <cell r="B69" t="str">
            <v>08F30-T90-100</v>
          </cell>
          <cell r="C69">
            <v>199</v>
          </cell>
          <cell r="D69">
            <v>284</v>
          </cell>
        </row>
        <row r="70">
          <cell r="B70" t="str">
            <v>08F30-T90-100A</v>
          </cell>
          <cell r="C70">
            <v>229</v>
          </cell>
          <cell r="D70">
            <v>327</v>
          </cell>
        </row>
        <row r="71">
          <cell r="B71" t="str">
            <v>08F30-T90-100B</v>
          </cell>
          <cell r="C71">
            <v>350</v>
          </cell>
          <cell r="D71">
            <v>500</v>
          </cell>
        </row>
        <row r="72">
          <cell r="B72" t="str">
            <v>08L02-T90-100B</v>
          </cell>
          <cell r="C72">
            <v>471</v>
          </cell>
          <cell r="D72">
            <v>785</v>
          </cell>
        </row>
        <row r="73">
          <cell r="B73" t="str">
            <v>08L04-T90-300</v>
          </cell>
          <cell r="C73">
            <v>246</v>
          </cell>
          <cell r="D73">
            <v>410</v>
          </cell>
        </row>
        <row r="74">
          <cell r="B74" t="str">
            <v>08L33-T90-100</v>
          </cell>
          <cell r="C74">
            <v>743</v>
          </cell>
          <cell r="D74">
            <v>1061</v>
          </cell>
        </row>
        <row r="75">
          <cell r="B75" t="str">
            <v>08L33-T90-100B</v>
          </cell>
          <cell r="C75">
            <v>936</v>
          </cell>
          <cell r="D75">
            <v>1337</v>
          </cell>
        </row>
        <row r="76">
          <cell r="B76" t="str">
            <v>08L91-T90-300</v>
          </cell>
          <cell r="C76">
            <v>336</v>
          </cell>
          <cell r="D76">
            <v>560</v>
          </cell>
        </row>
        <row r="77">
          <cell r="B77" t="str">
            <v>08L91-T90-300A</v>
          </cell>
          <cell r="C77">
            <v>327</v>
          </cell>
          <cell r="D77">
            <v>467</v>
          </cell>
        </row>
        <row r="78">
          <cell r="B78" t="str">
            <v>08L92-T90-100</v>
          </cell>
          <cell r="C78">
            <v>432</v>
          </cell>
          <cell r="D78">
            <v>720</v>
          </cell>
        </row>
        <row r="79">
          <cell r="B79" t="str">
            <v>08L92-T90-100A</v>
          </cell>
          <cell r="C79">
            <v>57</v>
          </cell>
          <cell r="D79">
            <v>95</v>
          </cell>
        </row>
        <row r="80">
          <cell r="B80" t="str">
            <v>08L92-T90-300B</v>
          </cell>
          <cell r="C80">
            <v>102</v>
          </cell>
          <cell r="D80">
            <v>170</v>
          </cell>
        </row>
        <row r="81">
          <cell r="B81" t="str">
            <v>08L92-T90-300C</v>
          </cell>
          <cell r="C81">
            <v>102</v>
          </cell>
          <cell r="D81">
            <v>170</v>
          </cell>
        </row>
        <row r="82">
          <cell r="B82" t="str">
            <v>08L96-T90-300</v>
          </cell>
          <cell r="C82">
            <v>57</v>
          </cell>
          <cell r="D82">
            <v>95</v>
          </cell>
        </row>
        <row r="83">
          <cell r="B83" t="str">
            <v>08P04-T90-100</v>
          </cell>
          <cell r="C83">
            <v>124</v>
          </cell>
          <cell r="D83">
            <v>207</v>
          </cell>
        </row>
        <row r="84">
          <cell r="B84" t="str">
            <v>08P05-T90-110</v>
          </cell>
          <cell r="C84">
            <v>224</v>
          </cell>
          <cell r="D84">
            <v>373</v>
          </cell>
        </row>
        <row r="85">
          <cell r="B85" t="str">
            <v>08P17-T90-110</v>
          </cell>
          <cell r="C85">
            <v>215</v>
          </cell>
          <cell r="D85">
            <v>358</v>
          </cell>
        </row>
        <row r="86">
          <cell r="B86" t="str">
            <v>08P17-T90-310C</v>
          </cell>
          <cell r="C86">
            <v>215</v>
          </cell>
          <cell r="D86">
            <v>358</v>
          </cell>
        </row>
        <row r="87">
          <cell r="B87" t="str">
            <v>08P20-T90-100</v>
          </cell>
          <cell r="C87">
            <v>52</v>
          </cell>
          <cell r="D87">
            <v>87</v>
          </cell>
        </row>
        <row r="88">
          <cell r="B88" t="str">
            <v>08P20-T90-110A</v>
          </cell>
          <cell r="C88">
            <v>168</v>
          </cell>
          <cell r="D88">
            <v>280</v>
          </cell>
        </row>
        <row r="89">
          <cell r="B89" t="str">
            <v>08P21-T90-100</v>
          </cell>
          <cell r="C89">
            <v>550</v>
          </cell>
          <cell r="D89">
            <v>917</v>
          </cell>
        </row>
        <row r="90">
          <cell r="B90" t="str">
            <v>08P32-T90-310A</v>
          </cell>
          <cell r="C90">
            <v>535</v>
          </cell>
          <cell r="D90">
            <v>765</v>
          </cell>
        </row>
        <row r="91">
          <cell r="B91" t="str">
            <v>08P32-T90-310C</v>
          </cell>
          <cell r="C91">
            <v>640</v>
          </cell>
          <cell r="D91">
            <v>914</v>
          </cell>
        </row>
        <row r="92">
          <cell r="B92" t="str">
            <v>08P32-T90-310E</v>
          </cell>
          <cell r="C92">
            <v>345.99</v>
          </cell>
          <cell r="D92">
            <v>576.99</v>
          </cell>
        </row>
        <row r="93">
          <cell r="B93" t="str">
            <v>08P32-T90-310F</v>
          </cell>
          <cell r="C93">
            <v>480</v>
          </cell>
          <cell r="D93">
            <v>685</v>
          </cell>
        </row>
        <row r="94">
          <cell r="B94" t="str">
            <v>08P42-T90-100A</v>
          </cell>
          <cell r="C94">
            <v>153</v>
          </cell>
          <cell r="D94">
            <v>255</v>
          </cell>
        </row>
        <row r="95">
          <cell r="B95" t="str">
            <v>08P42-T90-100B</v>
          </cell>
          <cell r="C95">
            <v>123</v>
          </cell>
          <cell r="D95">
            <v>205</v>
          </cell>
        </row>
        <row r="96">
          <cell r="B96" t="str">
            <v>08P42-T90-100C</v>
          </cell>
          <cell r="C96">
            <v>107</v>
          </cell>
          <cell r="D96">
            <v>167</v>
          </cell>
        </row>
        <row r="97">
          <cell r="B97" t="str">
            <v>08P48-T90-100</v>
          </cell>
          <cell r="C97">
            <v>76</v>
          </cell>
          <cell r="D97">
            <v>127</v>
          </cell>
        </row>
        <row r="98">
          <cell r="B98" t="str">
            <v>08P48-T90-100A</v>
          </cell>
          <cell r="C98">
            <v>39</v>
          </cell>
          <cell r="D98">
            <v>65</v>
          </cell>
        </row>
        <row r="99">
          <cell r="B99" t="str">
            <v>08R04-T90-100</v>
          </cell>
          <cell r="C99">
            <v>258</v>
          </cell>
          <cell r="D99">
            <v>430</v>
          </cell>
        </row>
        <row r="100">
          <cell r="B100" t="str">
            <v>08U35-T90-110</v>
          </cell>
          <cell r="C100">
            <v>271</v>
          </cell>
          <cell r="D100">
            <v>452</v>
          </cell>
        </row>
        <row r="101">
          <cell r="B101" t="str">
            <v>08U35-T90-300A</v>
          </cell>
          <cell r="C101">
            <v>765</v>
          </cell>
          <cell r="D101">
            <v>1093</v>
          </cell>
        </row>
        <row r="102">
          <cell r="B102" t="str">
            <v>08U45-T90-100</v>
          </cell>
          <cell r="C102">
            <v>117</v>
          </cell>
          <cell r="D102">
            <v>195</v>
          </cell>
        </row>
        <row r="103">
          <cell r="B103" t="str">
            <v>08V27-T90-100F</v>
          </cell>
          <cell r="C103">
            <v>244</v>
          </cell>
          <cell r="D103">
            <v>407</v>
          </cell>
        </row>
        <row r="104">
          <cell r="B104" t="str">
            <v>08W18-T90-300</v>
          </cell>
          <cell r="C104">
            <v>560</v>
          </cell>
          <cell r="D104">
            <v>825</v>
          </cell>
        </row>
        <row r="105">
          <cell r="B105" t="str">
            <v>08W20-T90-300A</v>
          </cell>
          <cell r="C105">
            <v>200.99</v>
          </cell>
          <cell r="D105">
            <v>330.99</v>
          </cell>
        </row>
        <row r="106">
          <cell r="B106" t="str">
            <v>08W20-T90-300B</v>
          </cell>
          <cell r="C106">
            <v>200.99</v>
          </cell>
          <cell r="D106">
            <v>330.99</v>
          </cell>
        </row>
        <row r="107">
          <cell r="B107" t="str">
            <v>08E12-T60-100</v>
          </cell>
          <cell r="C107">
            <v>280</v>
          </cell>
          <cell r="D107">
            <v>467</v>
          </cell>
        </row>
        <row r="108">
          <cell r="B108" t="str">
            <v>08F02-T60-100</v>
          </cell>
          <cell r="C108">
            <v>2945</v>
          </cell>
          <cell r="D108">
            <v>4908</v>
          </cell>
        </row>
        <row r="109">
          <cell r="B109" t="str">
            <v>08P15-T60-110</v>
          </cell>
          <cell r="C109">
            <v>312</v>
          </cell>
          <cell r="D109">
            <v>520</v>
          </cell>
        </row>
        <row r="110">
          <cell r="B110" t="str">
            <v>08P34-T60-100</v>
          </cell>
          <cell r="C110">
            <v>438</v>
          </cell>
          <cell r="D110">
            <v>730</v>
          </cell>
        </row>
        <row r="111">
          <cell r="B111" t="str">
            <v>08P48-T60-100</v>
          </cell>
          <cell r="C111">
            <v>164</v>
          </cell>
          <cell r="D111">
            <v>273</v>
          </cell>
        </row>
        <row r="112">
          <cell r="B112" t="str">
            <v>08U45-T60-100</v>
          </cell>
          <cell r="C112">
            <v>120</v>
          </cell>
          <cell r="D112">
            <v>200</v>
          </cell>
        </row>
        <row r="113">
          <cell r="B113" t="str">
            <v>08U92-T60-110</v>
          </cell>
          <cell r="C113">
            <v>334</v>
          </cell>
          <cell r="D113">
            <v>514</v>
          </cell>
        </row>
        <row r="114">
          <cell r="B114" t="str">
            <v>08U97-T60-110</v>
          </cell>
          <cell r="C114">
            <v>548</v>
          </cell>
          <cell r="D114">
            <v>843</v>
          </cell>
        </row>
        <row r="115">
          <cell r="B115" t="str">
            <v>08W19-T60-100</v>
          </cell>
          <cell r="C115">
            <v>1136</v>
          </cell>
          <cell r="D115">
            <v>1618</v>
          </cell>
        </row>
        <row r="116">
          <cell r="B116">
            <v>34417</v>
          </cell>
          <cell r="C116">
            <v>203.22</v>
          </cell>
          <cell r="D116">
            <v>245</v>
          </cell>
        </row>
        <row r="117">
          <cell r="B117" t="str">
            <v>08F20-TVA-100C</v>
          </cell>
          <cell r="C117">
            <v>42</v>
          </cell>
          <cell r="D117">
            <v>70</v>
          </cell>
        </row>
        <row r="118">
          <cell r="B118" t="str">
            <v>08F01-T20-130A</v>
          </cell>
          <cell r="C118">
            <v>255</v>
          </cell>
          <cell r="D118">
            <v>425</v>
          </cell>
        </row>
        <row r="119">
          <cell r="B119" t="str">
            <v>08F01-T20-170A</v>
          </cell>
          <cell r="C119">
            <v>255</v>
          </cell>
          <cell r="D119">
            <v>425</v>
          </cell>
        </row>
        <row r="120">
          <cell r="B120" t="str">
            <v>08F01-T20-180A</v>
          </cell>
          <cell r="C120">
            <v>255</v>
          </cell>
          <cell r="D120">
            <v>425</v>
          </cell>
        </row>
        <row r="121">
          <cell r="B121" t="str">
            <v>08F01-T20-190A</v>
          </cell>
          <cell r="C121">
            <v>255</v>
          </cell>
          <cell r="D121">
            <v>425</v>
          </cell>
        </row>
        <row r="122">
          <cell r="B122" t="str">
            <v>08F01-T20-1J0A</v>
          </cell>
          <cell r="C122">
            <v>255</v>
          </cell>
          <cell r="D122">
            <v>425</v>
          </cell>
        </row>
        <row r="123">
          <cell r="B123" t="str">
            <v>08F01-T20-1K0A</v>
          </cell>
          <cell r="C123">
            <v>255</v>
          </cell>
          <cell r="D123">
            <v>425</v>
          </cell>
        </row>
        <row r="124">
          <cell r="B124" t="str">
            <v>08F01-T20-1P0A</v>
          </cell>
          <cell r="C124">
            <v>255</v>
          </cell>
          <cell r="D124">
            <v>425</v>
          </cell>
        </row>
        <row r="125">
          <cell r="B125" t="str">
            <v>08F01-T20-1U0A</v>
          </cell>
          <cell r="C125">
            <v>255</v>
          </cell>
          <cell r="D125">
            <v>425</v>
          </cell>
        </row>
        <row r="126">
          <cell r="B126" t="str">
            <v>08F01-T20-1Z0A</v>
          </cell>
          <cell r="C126">
            <v>255</v>
          </cell>
          <cell r="D126">
            <v>425</v>
          </cell>
        </row>
        <row r="127">
          <cell r="B127" t="str">
            <v>08F20-T20-100B</v>
          </cell>
          <cell r="C127">
            <v>44</v>
          </cell>
          <cell r="D127">
            <v>73</v>
          </cell>
        </row>
        <row r="128">
          <cell r="B128" t="str">
            <v>08P05-T20-1F0</v>
          </cell>
          <cell r="C128">
            <v>209</v>
          </cell>
          <cell r="D128">
            <v>348</v>
          </cell>
        </row>
        <row r="129">
          <cell r="B129" t="str">
            <v>08P05-T20-1G0</v>
          </cell>
          <cell r="C129">
            <v>209</v>
          </cell>
          <cell r="D129">
            <v>348</v>
          </cell>
        </row>
        <row r="130">
          <cell r="B130" t="str">
            <v>08P05-T20-1Z0</v>
          </cell>
          <cell r="C130">
            <v>209</v>
          </cell>
          <cell r="D130">
            <v>348</v>
          </cell>
        </row>
        <row r="131">
          <cell r="B131" t="str">
            <v>08P17-T20-110A</v>
          </cell>
          <cell r="C131">
            <v>145</v>
          </cell>
          <cell r="D131">
            <v>242</v>
          </cell>
        </row>
        <row r="132">
          <cell r="B132" t="str">
            <v>08P20-T20-1J0</v>
          </cell>
          <cell r="C132">
            <v>136</v>
          </cell>
          <cell r="D132">
            <v>194</v>
          </cell>
        </row>
        <row r="133">
          <cell r="B133" t="str">
            <v>08P20-T20-1P0</v>
          </cell>
          <cell r="C133">
            <v>136</v>
          </cell>
          <cell r="D133">
            <v>194</v>
          </cell>
        </row>
        <row r="134">
          <cell r="B134" t="str">
            <v>08P20-T20-1Z0</v>
          </cell>
          <cell r="C134">
            <v>136</v>
          </cell>
          <cell r="D134">
            <v>194</v>
          </cell>
        </row>
        <row r="135">
          <cell r="B135" t="str">
            <v>08W18-T20-100</v>
          </cell>
          <cell r="C135">
            <v>564</v>
          </cell>
          <cell r="D135">
            <v>868</v>
          </cell>
        </row>
        <row r="136">
          <cell r="B136" t="str">
            <v>08W18-TBA-100B</v>
          </cell>
          <cell r="C136">
            <v>564</v>
          </cell>
          <cell r="D136">
            <v>868</v>
          </cell>
        </row>
        <row r="137">
          <cell r="B137" t="str">
            <v>08E12-T20-100B</v>
          </cell>
          <cell r="C137">
            <v>249</v>
          </cell>
          <cell r="D137">
            <v>415</v>
          </cell>
        </row>
        <row r="138">
          <cell r="B138" t="str">
            <v>08F01-T20-100</v>
          </cell>
          <cell r="C138">
            <v>168.99</v>
          </cell>
          <cell r="D138">
            <v>279.99</v>
          </cell>
        </row>
        <row r="139">
          <cell r="B139" t="str">
            <v>08F02-T47-130</v>
          </cell>
          <cell r="C139">
            <v>460</v>
          </cell>
          <cell r="D139">
            <v>767</v>
          </cell>
        </row>
        <row r="140">
          <cell r="B140" t="str">
            <v>08F02-T47-150</v>
          </cell>
          <cell r="C140">
            <v>460</v>
          </cell>
          <cell r="D140">
            <v>767</v>
          </cell>
        </row>
        <row r="141">
          <cell r="B141" t="str">
            <v>08F02-T47-160</v>
          </cell>
          <cell r="C141">
            <v>460</v>
          </cell>
          <cell r="D141">
            <v>767</v>
          </cell>
        </row>
        <row r="142">
          <cell r="B142" t="str">
            <v>08F02-T47-170</v>
          </cell>
          <cell r="C142">
            <v>460</v>
          </cell>
          <cell r="D142">
            <v>767</v>
          </cell>
        </row>
        <row r="143">
          <cell r="B143" t="str">
            <v>08F02-T47-180</v>
          </cell>
          <cell r="C143">
            <v>460</v>
          </cell>
          <cell r="D143">
            <v>767</v>
          </cell>
        </row>
        <row r="144">
          <cell r="B144" t="str">
            <v>08F02-T47-190</v>
          </cell>
          <cell r="C144">
            <v>460</v>
          </cell>
          <cell r="D144">
            <v>767</v>
          </cell>
        </row>
        <row r="145">
          <cell r="B145" t="str">
            <v>08F02-T47-1J0</v>
          </cell>
          <cell r="C145">
            <v>460</v>
          </cell>
          <cell r="D145">
            <v>767</v>
          </cell>
        </row>
        <row r="146">
          <cell r="B146" t="str">
            <v>08F02-T47-1K0</v>
          </cell>
          <cell r="C146">
            <v>460</v>
          </cell>
          <cell r="D146">
            <v>767</v>
          </cell>
        </row>
        <row r="147">
          <cell r="B147" t="str">
            <v>08F02-T47-1U0</v>
          </cell>
          <cell r="C147">
            <v>460</v>
          </cell>
          <cell r="D147">
            <v>767</v>
          </cell>
        </row>
        <row r="148">
          <cell r="B148" t="str">
            <v>08F02-T47-1Y0</v>
          </cell>
          <cell r="C148">
            <v>460</v>
          </cell>
          <cell r="D148">
            <v>767</v>
          </cell>
        </row>
        <row r="149">
          <cell r="B149" t="str">
            <v>08F02-T47-1Z0</v>
          </cell>
          <cell r="C149">
            <v>460</v>
          </cell>
          <cell r="D149">
            <v>767</v>
          </cell>
        </row>
        <row r="150">
          <cell r="B150" t="str">
            <v>08F04-T20-100</v>
          </cell>
          <cell r="C150">
            <v>381</v>
          </cell>
          <cell r="D150">
            <v>635</v>
          </cell>
        </row>
        <row r="151">
          <cell r="B151" t="str">
            <v>08F10-T20-110</v>
          </cell>
          <cell r="C151">
            <v>284</v>
          </cell>
          <cell r="D151">
            <v>473</v>
          </cell>
        </row>
        <row r="152">
          <cell r="B152" t="str">
            <v>08F10-T20-110A</v>
          </cell>
          <cell r="C152">
            <v>284</v>
          </cell>
          <cell r="D152">
            <v>473</v>
          </cell>
        </row>
        <row r="153">
          <cell r="B153" t="str">
            <v>08F20-T20-100</v>
          </cell>
          <cell r="C153">
            <v>102</v>
          </cell>
          <cell r="D153">
            <v>170</v>
          </cell>
        </row>
        <row r="154">
          <cell r="B154" t="str">
            <v>08F20-T20-100D</v>
          </cell>
          <cell r="C154">
            <v>44</v>
          </cell>
          <cell r="D154">
            <v>73</v>
          </cell>
        </row>
        <row r="155">
          <cell r="B155" t="str">
            <v>08F20-T20-100E</v>
          </cell>
          <cell r="C155">
            <v>83</v>
          </cell>
          <cell r="D155">
            <v>120</v>
          </cell>
        </row>
        <row r="156">
          <cell r="B156" t="str">
            <v>08F20-T47-100A</v>
          </cell>
          <cell r="C156">
            <v>86</v>
          </cell>
          <cell r="D156">
            <v>125</v>
          </cell>
        </row>
        <row r="157">
          <cell r="B157" t="str">
            <v>08F24-T20-100</v>
          </cell>
          <cell r="C157">
            <v>224</v>
          </cell>
          <cell r="D157">
            <v>373</v>
          </cell>
        </row>
        <row r="158">
          <cell r="B158" t="str">
            <v>08L02-T47-300</v>
          </cell>
          <cell r="C158">
            <v>485</v>
          </cell>
          <cell r="D158">
            <v>808</v>
          </cell>
        </row>
        <row r="159">
          <cell r="B159" t="str">
            <v>08L20-E09-100D</v>
          </cell>
          <cell r="C159">
            <v>16</v>
          </cell>
          <cell r="D159">
            <v>26</v>
          </cell>
        </row>
        <row r="160">
          <cell r="B160" t="str">
            <v>08L96-T20-300</v>
          </cell>
          <cell r="C160">
            <v>57</v>
          </cell>
          <cell r="D160">
            <v>95</v>
          </cell>
        </row>
        <row r="161">
          <cell r="B161" t="str">
            <v>08L96-T47-100</v>
          </cell>
          <cell r="C161">
            <v>54</v>
          </cell>
          <cell r="D161">
            <v>77</v>
          </cell>
        </row>
        <row r="162">
          <cell r="B162" t="str">
            <v>08P01-T47-100</v>
          </cell>
          <cell r="C162">
            <v>56</v>
          </cell>
          <cell r="D162">
            <v>80</v>
          </cell>
        </row>
        <row r="163">
          <cell r="B163" t="str">
            <v>08P04-T20-100</v>
          </cell>
          <cell r="C163">
            <v>100</v>
          </cell>
          <cell r="D163">
            <v>167</v>
          </cell>
        </row>
        <row r="164">
          <cell r="B164" t="str">
            <v>08P05-T20-130</v>
          </cell>
          <cell r="C164">
            <v>209</v>
          </cell>
          <cell r="D164">
            <v>348</v>
          </cell>
        </row>
        <row r="165">
          <cell r="B165" t="str">
            <v>08P05-T20-150</v>
          </cell>
          <cell r="C165">
            <v>209</v>
          </cell>
          <cell r="D165">
            <v>348</v>
          </cell>
        </row>
        <row r="166">
          <cell r="B166" t="str">
            <v>08P05-T20-160</v>
          </cell>
          <cell r="C166">
            <v>209</v>
          </cell>
          <cell r="D166">
            <v>348</v>
          </cell>
        </row>
        <row r="167">
          <cell r="B167" t="str">
            <v>08P05-T20-170</v>
          </cell>
          <cell r="C167">
            <v>209</v>
          </cell>
          <cell r="D167">
            <v>348</v>
          </cell>
        </row>
        <row r="168">
          <cell r="B168" t="str">
            <v>08P05-T20-180</v>
          </cell>
          <cell r="C168">
            <v>209</v>
          </cell>
          <cell r="D168">
            <v>348</v>
          </cell>
        </row>
        <row r="169">
          <cell r="B169" t="str">
            <v>08P05-T20-190</v>
          </cell>
          <cell r="C169">
            <v>209</v>
          </cell>
          <cell r="D169">
            <v>348</v>
          </cell>
        </row>
        <row r="170">
          <cell r="B170" t="str">
            <v>08P05-T20-1E0</v>
          </cell>
          <cell r="C170">
            <v>209</v>
          </cell>
          <cell r="D170">
            <v>348</v>
          </cell>
        </row>
        <row r="171">
          <cell r="B171" t="str">
            <v>08P05-T20-1H0</v>
          </cell>
          <cell r="C171">
            <v>209</v>
          </cell>
          <cell r="D171">
            <v>348</v>
          </cell>
        </row>
        <row r="172">
          <cell r="B172" t="str">
            <v>08P05-T20-1Q0</v>
          </cell>
          <cell r="C172">
            <v>209</v>
          </cell>
          <cell r="D172">
            <v>348</v>
          </cell>
        </row>
        <row r="173">
          <cell r="B173" t="str">
            <v>08P05-T20-1U0</v>
          </cell>
          <cell r="C173">
            <v>209</v>
          </cell>
          <cell r="D173">
            <v>348</v>
          </cell>
        </row>
        <row r="174">
          <cell r="B174" t="str">
            <v>08P05-T20-1V0</v>
          </cell>
          <cell r="C174">
            <v>209</v>
          </cell>
          <cell r="D174">
            <v>348</v>
          </cell>
        </row>
        <row r="175">
          <cell r="B175" t="str">
            <v>08P09-T20-300</v>
          </cell>
          <cell r="C175">
            <v>61</v>
          </cell>
          <cell r="D175">
            <v>102</v>
          </cell>
        </row>
        <row r="176">
          <cell r="B176" t="str">
            <v>08P09-T47-300</v>
          </cell>
          <cell r="C176">
            <v>61</v>
          </cell>
          <cell r="D176">
            <v>102</v>
          </cell>
        </row>
        <row r="177">
          <cell r="B177" t="str">
            <v>08P15-T20-110</v>
          </cell>
          <cell r="C177">
            <v>231</v>
          </cell>
          <cell r="D177">
            <v>385</v>
          </cell>
        </row>
        <row r="178">
          <cell r="B178" t="str">
            <v>08P17-T20-110</v>
          </cell>
          <cell r="C178">
            <v>145</v>
          </cell>
          <cell r="D178">
            <v>242</v>
          </cell>
        </row>
        <row r="179">
          <cell r="B179" t="str">
            <v>08P20-T20-100A</v>
          </cell>
          <cell r="C179">
            <v>65</v>
          </cell>
          <cell r="D179">
            <v>108</v>
          </cell>
        </row>
        <row r="180">
          <cell r="B180" t="str">
            <v>08P20-T20-130</v>
          </cell>
          <cell r="C180">
            <v>136</v>
          </cell>
          <cell r="D180">
            <v>194</v>
          </cell>
        </row>
        <row r="181">
          <cell r="B181" t="str">
            <v>08P20-T20-150</v>
          </cell>
          <cell r="C181">
            <v>136</v>
          </cell>
          <cell r="D181">
            <v>194</v>
          </cell>
        </row>
        <row r="182">
          <cell r="B182" t="str">
            <v>08P20-T20-160</v>
          </cell>
          <cell r="C182">
            <v>136</v>
          </cell>
          <cell r="D182">
            <v>194</v>
          </cell>
        </row>
        <row r="183">
          <cell r="B183" t="str">
            <v>08P20-T20-170</v>
          </cell>
          <cell r="C183">
            <v>48.99</v>
          </cell>
          <cell r="D183">
            <v>73.989999999999995</v>
          </cell>
        </row>
        <row r="184">
          <cell r="B184" t="str">
            <v>08P20-T20-180</v>
          </cell>
          <cell r="C184">
            <v>136</v>
          </cell>
          <cell r="D184">
            <v>194</v>
          </cell>
        </row>
        <row r="185">
          <cell r="B185" t="str">
            <v>08P20-T20-190</v>
          </cell>
          <cell r="C185">
            <v>136</v>
          </cell>
          <cell r="D185">
            <v>194</v>
          </cell>
        </row>
        <row r="186">
          <cell r="B186" t="str">
            <v>08P20-T20-1H0</v>
          </cell>
          <cell r="C186">
            <v>136</v>
          </cell>
          <cell r="D186">
            <v>194</v>
          </cell>
        </row>
        <row r="187">
          <cell r="B187" t="str">
            <v>08P20-T20-1Q0</v>
          </cell>
          <cell r="C187">
            <v>136</v>
          </cell>
          <cell r="D187">
            <v>194</v>
          </cell>
        </row>
        <row r="188">
          <cell r="B188" t="str">
            <v>08P20-T20-1U0</v>
          </cell>
          <cell r="C188">
            <v>136</v>
          </cell>
          <cell r="D188">
            <v>194</v>
          </cell>
        </row>
        <row r="189">
          <cell r="B189" t="str">
            <v>08P20-T20-1V0</v>
          </cell>
          <cell r="C189">
            <v>136</v>
          </cell>
          <cell r="D189">
            <v>194</v>
          </cell>
        </row>
        <row r="190">
          <cell r="B190" t="str">
            <v>08P30-T47-100</v>
          </cell>
          <cell r="C190">
            <v>153</v>
          </cell>
          <cell r="D190">
            <v>219</v>
          </cell>
        </row>
        <row r="191">
          <cell r="B191" t="str">
            <v>08P47-T20-300</v>
          </cell>
          <cell r="C191">
            <v>215</v>
          </cell>
          <cell r="D191">
            <v>358</v>
          </cell>
        </row>
        <row r="192">
          <cell r="B192" t="str">
            <v>08P48-T20-100</v>
          </cell>
          <cell r="C192">
            <v>48</v>
          </cell>
          <cell r="D192">
            <v>80</v>
          </cell>
        </row>
        <row r="193">
          <cell r="B193" t="str">
            <v>08P48-T20-100A</v>
          </cell>
          <cell r="C193">
            <v>66</v>
          </cell>
          <cell r="D193">
            <v>110</v>
          </cell>
        </row>
        <row r="194">
          <cell r="B194" t="str">
            <v>08R01-T20-300</v>
          </cell>
          <cell r="C194">
            <v>169</v>
          </cell>
          <cell r="D194">
            <v>282</v>
          </cell>
        </row>
        <row r="195">
          <cell r="B195" t="str">
            <v>08R04-T20-100</v>
          </cell>
          <cell r="C195">
            <v>201</v>
          </cell>
          <cell r="D195">
            <v>335</v>
          </cell>
        </row>
        <row r="196">
          <cell r="B196" t="str">
            <v>08R04-T20-100A</v>
          </cell>
          <cell r="C196">
            <v>201</v>
          </cell>
          <cell r="D196">
            <v>335</v>
          </cell>
        </row>
        <row r="197">
          <cell r="B197" t="str">
            <v>08R04-T47-100</v>
          </cell>
          <cell r="C197">
            <v>201</v>
          </cell>
          <cell r="D197">
            <v>335</v>
          </cell>
        </row>
        <row r="198">
          <cell r="B198" t="str">
            <v>08R04-T47-100A</v>
          </cell>
          <cell r="C198">
            <v>201</v>
          </cell>
          <cell r="D198">
            <v>335</v>
          </cell>
        </row>
        <row r="199">
          <cell r="B199" t="str">
            <v>08R13-T20-300</v>
          </cell>
          <cell r="C199">
            <v>163</v>
          </cell>
          <cell r="D199">
            <v>268</v>
          </cell>
        </row>
        <row r="200">
          <cell r="B200" t="str">
            <v>08R13-T47-100</v>
          </cell>
          <cell r="C200">
            <v>203</v>
          </cell>
          <cell r="D200">
            <v>312</v>
          </cell>
        </row>
        <row r="201">
          <cell r="B201" t="str">
            <v>08U45-T20-100</v>
          </cell>
          <cell r="C201">
            <v>115</v>
          </cell>
          <cell r="D201">
            <v>192</v>
          </cell>
        </row>
        <row r="202">
          <cell r="B202" t="str">
            <v>08U45-T20-300A</v>
          </cell>
          <cell r="C202">
            <v>75</v>
          </cell>
          <cell r="D202">
            <v>125</v>
          </cell>
        </row>
        <row r="203">
          <cell r="B203" t="str">
            <v>08U45-T47-100</v>
          </cell>
          <cell r="C203">
            <v>115</v>
          </cell>
          <cell r="D203">
            <v>192</v>
          </cell>
        </row>
        <row r="204">
          <cell r="B204" t="str">
            <v>08U45-T47-100B</v>
          </cell>
          <cell r="C204">
            <v>115</v>
          </cell>
          <cell r="D204">
            <v>192</v>
          </cell>
        </row>
        <row r="205">
          <cell r="B205" t="str">
            <v>08L96-TLA-100</v>
          </cell>
          <cell r="C205">
            <v>57</v>
          </cell>
          <cell r="D205">
            <v>95</v>
          </cell>
        </row>
        <row r="206">
          <cell r="B206" t="str">
            <v>08U57-3A0-100</v>
          </cell>
          <cell r="C206">
            <v>103</v>
          </cell>
          <cell r="D206">
            <v>172</v>
          </cell>
        </row>
        <row r="207">
          <cell r="B207" t="str">
            <v>06558</v>
          </cell>
          <cell r="C207">
            <v>232.26</v>
          </cell>
          <cell r="D207">
            <v>280</v>
          </cell>
        </row>
        <row r="208">
          <cell r="B208" t="str">
            <v>42700-3A0-A01</v>
          </cell>
          <cell r="C208">
            <v>89.28</v>
          </cell>
          <cell r="D208">
            <v>148.81</v>
          </cell>
        </row>
        <row r="209">
          <cell r="B209" t="str">
            <v>08E10-3A0-100</v>
          </cell>
          <cell r="C209">
            <v>48.99</v>
          </cell>
          <cell r="D209">
            <v>81.99</v>
          </cell>
        </row>
        <row r="210">
          <cell r="B210" t="str">
            <v>08E12-3A0-100</v>
          </cell>
          <cell r="C210">
            <v>202</v>
          </cell>
          <cell r="D210">
            <v>337</v>
          </cell>
        </row>
        <row r="211">
          <cell r="B211" t="str">
            <v>08E17-3A0-310A</v>
          </cell>
          <cell r="C211">
            <v>98.99</v>
          </cell>
          <cell r="D211">
            <v>164.99</v>
          </cell>
        </row>
        <row r="212">
          <cell r="B212" t="str">
            <v>08E17-3A0-310B</v>
          </cell>
          <cell r="C212">
            <v>242</v>
          </cell>
          <cell r="D212">
            <v>403</v>
          </cell>
        </row>
        <row r="213">
          <cell r="B213" t="str">
            <v>08F02-3A0-1D0</v>
          </cell>
          <cell r="C213">
            <v>403</v>
          </cell>
          <cell r="D213">
            <v>672</v>
          </cell>
        </row>
        <row r="214">
          <cell r="B214" t="str">
            <v>08F20-3A0-100</v>
          </cell>
          <cell r="C214">
            <v>102</v>
          </cell>
          <cell r="D214">
            <v>170</v>
          </cell>
        </row>
        <row r="215">
          <cell r="B215" t="str">
            <v>08F20-3A0-100A</v>
          </cell>
          <cell r="C215">
            <v>42</v>
          </cell>
          <cell r="D215">
            <v>70</v>
          </cell>
        </row>
        <row r="216">
          <cell r="B216" t="str">
            <v>08F20-3A0-100B</v>
          </cell>
          <cell r="C216">
            <v>68</v>
          </cell>
          <cell r="D216">
            <v>113</v>
          </cell>
        </row>
        <row r="217">
          <cell r="B217" t="str">
            <v>08F20-3A0-100C</v>
          </cell>
          <cell r="C217">
            <v>42</v>
          </cell>
          <cell r="D217">
            <v>70</v>
          </cell>
        </row>
        <row r="218">
          <cell r="B218" t="str">
            <v xml:space="preserve">08F20-3V0-100D </v>
          </cell>
          <cell r="C218">
            <v>111</v>
          </cell>
          <cell r="D218">
            <v>184</v>
          </cell>
        </row>
        <row r="219">
          <cell r="B219" t="str">
            <v>08F23-3A0-100A</v>
          </cell>
          <cell r="C219">
            <v>366</v>
          </cell>
          <cell r="D219">
            <v>610</v>
          </cell>
        </row>
        <row r="220">
          <cell r="B220" t="str">
            <v xml:space="preserve">08F23-3V0-100  </v>
          </cell>
          <cell r="C220">
            <v>221</v>
          </cell>
          <cell r="D220">
            <v>368</v>
          </cell>
        </row>
        <row r="221">
          <cell r="B221" t="str">
            <v xml:space="preserve">08F24-3V0-100  </v>
          </cell>
          <cell r="C221">
            <v>230</v>
          </cell>
          <cell r="D221">
            <v>383</v>
          </cell>
        </row>
        <row r="222">
          <cell r="B222" t="str">
            <v>08F30-3A0-100</v>
          </cell>
          <cell r="C222">
            <v>180.99</v>
          </cell>
          <cell r="D222">
            <v>299.99</v>
          </cell>
        </row>
        <row r="223">
          <cell r="B223" t="str">
            <v>08F30-3V0-100</v>
          </cell>
          <cell r="C223">
            <v>328</v>
          </cell>
          <cell r="D223">
            <v>546</v>
          </cell>
        </row>
        <row r="224">
          <cell r="B224" t="str">
            <v>08F57-3A0-110</v>
          </cell>
          <cell r="C224">
            <v>460</v>
          </cell>
          <cell r="D224">
            <v>767</v>
          </cell>
        </row>
        <row r="225">
          <cell r="B225" t="str">
            <v>08F59-3A0-100</v>
          </cell>
          <cell r="C225">
            <v>141</v>
          </cell>
          <cell r="D225">
            <v>201</v>
          </cell>
        </row>
        <row r="226">
          <cell r="B226" t="str">
            <v>08L02-3A0-100</v>
          </cell>
          <cell r="C226">
            <v>515</v>
          </cell>
          <cell r="D226">
            <v>858</v>
          </cell>
        </row>
        <row r="227">
          <cell r="B227" t="str">
            <v>08L04-3A0-100</v>
          </cell>
          <cell r="C227">
            <v>281</v>
          </cell>
          <cell r="D227">
            <v>468</v>
          </cell>
        </row>
        <row r="228">
          <cell r="B228" t="str">
            <v>08L33-3A0-100</v>
          </cell>
          <cell r="C228">
            <v>761</v>
          </cell>
          <cell r="D228">
            <v>1087</v>
          </cell>
        </row>
        <row r="229">
          <cell r="B229" t="str">
            <v>08L91-3A0-300</v>
          </cell>
          <cell r="C229">
            <v>258</v>
          </cell>
          <cell r="D229">
            <v>430</v>
          </cell>
        </row>
        <row r="230">
          <cell r="B230" t="str">
            <v>08L92-3A0-300</v>
          </cell>
          <cell r="C230">
            <v>540</v>
          </cell>
          <cell r="D230">
            <v>831</v>
          </cell>
        </row>
        <row r="231">
          <cell r="B231" t="str">
            <v>08P04-3A0-100</v>
          </cell>
          <cell r="C231">
            <v>112</v>
          </cell>
          <cell r="D231">
            <v>160</v>
          </cell>
        </row>
        <row r="232">
          <cell r="B232" t="str">
            <v>08P05-3A0-110</v>
          </cell>
          <cell r="C232">
            <v>223</v>
          </cell>
          <cell r="D232">
            <v>372</v>
          </cell>
        </row>
        <row r="233">
          <cell r="B233" t="str">
            <v>08P05-3A0-120</v>
          </cell>
          <cell r="C233">
            <v>223</v>
          </cell>
          <cell r="D233">
            <v>372</v>
          </cell>
        </row>
        <row r="234">
          <cell r="B234" t="str">
            <v>08P05-3A0-130</v>
          </cell>
          <cell r="C234">
            <v>223</v>
          </cell>
          <cell r="D234">
            <v>372</v>
          </cell>
        </row>
        <row r="235">
          <cell r="B235" t="str">
            <v>08P05-3A0-140</v>
          </cell>
          <cell r="C235">
            <v>223</v>
          </cell>
          <cell r="D235">
            <v>372</v>
          </cell>
        </row>
        <row r="236">
          <cell r="B236" t="str">
            <v>08P05-3A0-150</v>
          </cell>
          <cell r="C236">
            <v>223</v>
          </cell>
          <cell r="D236">
            <v>372</v>
          </cell>
        </row>
        <row r="237">
          <cell r="B237" t="str">
            <v>08P05-3A0-160</v>
          </cell>
          <cell r="C237">
            <v>223</v>
          </cell>
          <cell r="D237">
            <v>372</v>
          </cell>
        </row>
        <row r="238">
          <cell r="B238" t="str">
            <v>08P05-3A0-170</v>
          </cell>
          <cell r="C238">
            <v>223</v>
          </cell>
          <cell r="D238">
            <v>372</v>
          </cell>
        </row>
        <row r="239">
          <cell r="B239" t="str">
            <v>08P05-3A0-180</v>
          </cell>
          <cell r="C239">
            <v>223</v>
          </cell>
          <cell r="D239">
            <v>372</v>
          </cell>
        </row>
        <row r="240">
          <cell r="B240" t="str">
            <v>08P17-3A0-110A</v>
          </cell>
          <cell r="C240">
            <v>180</v>
          </cell>
          <cell r="D240">
            <v>300</v>
          </cell>
        </row>
        <row r="241">
          <cell r="B241" t="str">
            <v>08P20-3A0-100A</v>
          </cell>
          <cell r="C241">
            <v>57</v>
          </cell>
          <cell r="D241">
            <v>95</v>
          </cell>
        </row>
        <row r="242">
          <cell r="B242" t="str">
            <v>08P20-3A0-110</v>
          </cell>
          <cell r="C242">
            <v>196</v>
          </cell>
          <cell r="D242">
            <v>327</v>
          </cell>
        </row>
        <row r="243">
          <cell r="B243" t="str">
            <v>08P20-3A0-120</v>
          </cell>
          <cell r="C243">
            <v>196</v>
          </cell>
          <cell r="D243">
            <v>327</v>
          </cell>
        </row>
        <row r="244">
          <cell r="B244" t="str">
            <v>08P20-3A0-130</v>
          </cell>
          <cell r="C244">
            <v>196</v>
          </cell>
          <cell r="D244">
            <v>327</v>
          </cell>
        </row>
        <row r="245">
          <cell r="B245" t="str">
            <v>08P20-3A0-140</v>
          </cell>
          <cell r="C245">
            <v>196</v>
          </cell>
          <cell r="D245">
            <v>327</v>
          </cell>
        </row>
        <row r="246">
          <cell r="B246" t="str">
            <v>08P20-3A0-150</v>
          </cell>
          <cell r="C246">
            <v>196</v>
          </cell>
          <cell r="D246">
            <v>327</v>
          </cell>
        </row>
        <row r="247">
          <cell r="B247" t="str">
            <v>08P20-3A0-160</v>
          </cell>
          <cell r="C247">
            <v>196</v>
          </cell>
          <cell r="D247">
            <v>327</v>
          </cell>
        </row>
        <row r="248">
          <cell r="B248" t="str">
            <v>08P20-3A0-170</v>
          </cell>
          <cell r="C248">
            <v>196</v>
          </cell>
          <cell r="D248">
            <v>327</v>
          </cell>
        </row>
        <row r="249">
          <cell r="B249" t="str">
            <v>08P20-3A0-180</v>
          </cell>
          <cell r="C249">
            <v>196</v>
          </cell>
          <cell r="D249">
            <v>327</v>
          </cell>
        </row>
        <row r="250">
          <cell r="B250" t="str">
            <v>08P21-3A0-100</v>
          </cell>
          <cell r="C250">
            <v>496</v>
          </cell>
          <cell r="D250">
            <v>827</v>
          </cell>
        </row>
        <row r="251">
          <cell r="B251" t="str">
            <v>08P30-3A0-100</v>
          </cell>
          <cell r="C251">
            <v>156</v>
          </cell>
          <cell r="D251">
            <v>260</v>
          </cell>
        </row>
        <row r="252">
          <cell r="B252" t="str">
            <v>08P30-3A0-100A</v>
          </cell>
          <cell r="C252">
            <v>156</v>
          </cell>
          <cell r="D252">
            <v>260</v>
          </cell>
        </row>
        <row r="253">
          <cell r="B253" t="str">
            <v>08P47-3A0-300</v>
          </cell>
          <cell r="C253">
            <v>251</v>
          </cell>
          <cell r="D253">
            <v>405</v>
          </cell>
        </row>
        <row r="254">
          <cell r="B254" t="str">
            <v>08P48-3A0-100</v>
          </cell>
          <cell r="C254">
            <v>38</v>
          </cell>
          <cell r="D254">
            <v>63</v>
          </cell>
        </row>
        <row r="255">
          <cell r="B255" t="str">
            <v>08R01-3A0-300</v>
          </cell>
          <cell r="C255">
            <v>207</v>
          </cell>
          <cell r="D255">
            <v>345</v>
          </cell>
        </row>
        <row r="256">
          <cell r="B256" t="str">
            <v>08R04-3A0-100</v>
          </cell>
          <cell r="C256">
            <v>203</v>
          </cell>
          <cell r="D256">
            <v>338</v>
          </cell>
        </row>
        <row r="257">
          <cell r="B257" t="str">
            <v>08R13-3A0-300</v>
          </cell>
          <cell r="C257">
            <v>242</v>
          </cell>
          <cell r="D257">
            <v>403</v>
          </cell>
        </row>
        <row r="258">
          <cell r="B258" t="str">
            <v>08U45-3A0-100A</v>
          </cell>
          <cell r="C258">
            <v>115</v>
          </cell>
          <cell r="D258">
            <v>192</v>
          </cell>
        </row>
        <row r="259">
          <cell r="B259" t="str">
            <v>08U45-3A0-300</v>
          </cell>
          <cell r="C259">
            <v>115</v>
          </cell>
          <cell r="D259">
            <v>192</v>
          </cell>
        </row>
        <row r="260">
          <cell r="B260" t="str">
            <v>08U58-3A0-110</v>
          </cell>
          <cell r="C260">
            <v>275.99</v>
          </cell>
          <cell r="D260">
            <v>459.99</v>
          </cell>
        </row>
        <row r="261">
          <cell r="B261" t="str">
            <v>08U59-3A0-100</v>
          </cell>
          <cell r="C261">
            <v>258</v>
          </cell>
          <cell r="D261">
            <v>416</v>
          </cell>
        </row>
        <row r="262">
          <cell r="B262" t="str">
            <v>08U97-3A0-110A</v>
          </cell>
          <cell r="C262">
            <v>529</v>
          </cell>
          <cell r="D262">
            <v>814</v>
          </cell>
        </row>
        <row r="263">
          <cell r="B263" t="str">
            <v>08V03-3A0-100</v>
          </cell>
          <cell r="C263">
            <v>315</v>
          </cell>
          <cell r="D263">
            <v>450</v>
          </cell>
        </row>
        <row r="264">
          <cell r="B264" t="str">
            <v>08V67-3A0-300A</v>
          </cell>
          <cell r="C264">
            <v>99.99</v>
          </cell>
          <cell r="D264">
            <v>166.99</v>
          </cell>
        </row>
        <row r="265">
          <cell r="B265" t="str">
            <v>08V67-T7A-110J</v>
          </cell>
          <cell r="C265">
            <v>247</v>
          </cell>
          <cell r="D265">
            <v>412</v>
          </cell>
        </row>
        <row r="266">
          <cell r="B266" t="str">
            <v>08V67-T7A-120J</v>
          </cell>
          <cell r="C266">
            <v>247</v>
          </cell>
          <cell r="D266">
            <v>412</v>
          </cell>
        </row>
        <row r="267">
          <cell r="B267" t="str">
            <v>08V67-T7A-130J</v>
          </cell>
          <cell r="C267">
            <v>247</v>
          </cell>
          <cell r="D267">
            <v>412</v>
          </cell>
        </row>
        <row r="268">
          <cell r="B268" t="str">
            <v>08V67-T7A-140J</v>
          </cell>
          <cell r="C268">
            <v>247</v>
          </cell>
          <cell r="D268">
            <v>412</v>
          </cell>
        </row>
        <row r="269">
          <cell r="B269" t="str">
            <v>08V67-T7A-150J</v>
          </cell>
          <cell r="C269">
            <v>247</v>
          </cell>
          <cell r="D269">
            <v>412</v>
          </cell>
        </row>
        <row r="270">
          <cell r="B270" t="str">
            <v>08V67-T7A-160J</v>
          </cell>
          <cell r="C270">
            <v>247</v>
          </cell>
          <cell r="D270">
            <v>412</v>
          </cell>
        </row>
        <row r="271">
          <cell r="B271" t="str">
            <v>08V67-T7A-1E0J</v>
          </cell>
          <cell r="C271">
            <v>247</v>
          </cell>
          <cell r="D271">
            <v>412</v>
          </cell>
        </row>
        <row r="272">
          <cell r="B272" t="str">
            <v>08V67-T7A-1Q0J</v>
          </cell>
          <cell r="C272">
            <v>247</v>
          </cell>
          <cell r="D272">
            <v>412</v>
          </cell>
        </row>
        <row r="273">
          <cell r="B273" t="str">
            <v>08W17-3V0-100A</v>
          </cell>
          <cell r="C273">
            <v>170.99</v>
          </cell>
          <cell r="D273">
            <v>280.99</v>
          </cell>
        </row>
        <row r="274">
          <cell r="B274" t="str">
            <v>08W18-3A0-300</v>
          </cell>
          <cell r="C274">
            <v>180.99</v>
          </cell>
          <cell r="D274">
            <v>299.99</v>
          </cell>
        </row>
        <row r="275">
          <cell r="B275" t="str">
            <v>08W18-3A0-300A</v>
          </cell>
          <cell r="C275">
            <v>502</v>
          </cell>
          <cell r="D275">
            <v>725</v>
          </cell>
        </row>
        <row r="276">
          <cell r="B276" t="str">
            <v>08W42-PL4-100</v>
          </cell>
          <cell r="C276">
            <v>165</v>
          </cell>
          <cell r="D276">
            <v>275</v>
          </cell>
        </row>
        <row r="277">
          <cell r="B277" t="str">
            <v>08Z07-3A0-310</v>
          </cell>
          <cell r="C277">
            <v>236</v>
          </cell>
          <cell r="D277">
            <v>393</v>
          </cell>
        </row>
        <row r="278">
          <cell r="B278" t="str">
            <v>08P05-3A0-1H0</v>
          </cell>
          <cell r="C278">
            <v>223</v>
          </cell>
          <cell r="D278">
            <v>372</v>
          </cell>
        </row>
        <row r="279">
          <cell r="B279" t="str">
            <v>08P20-3A0-1H0</v>
          </cell>
          <cell r="C279">
            <v>196</v>
          </cell>
          <cell r="D279">
            <v>327</v>
          </cell>
        </row>
        <row r="280">
          <cell r="B280" t="str">
            <v>08V67-T7A-170J</v>
          </cell>
          <cell r="C280">
            <v>247</v>
          </cell>
          <cell r="D280">
            <v>412</v>
          </cell>
        </row>
        <row r="281">
          <cell r="B281" t="str">
            <v>08DEF-410747</v>
          </cell>
          <cell r="C281">
            <v>204</v>
          </cell>
          <cell r="D281">
            <v>291</v>
          </cell>
        </row>
        <row r="282">
          <cell r="B282" t="str">
            <v>08DEF-419004</v>
          </cell>
          <cell r="C282">
            <v>19</v>
          </cell>
          <cell r="D282">
            <v>27</v>
          </cell>
        </row>
        <row r="283">
          <cell r="B283" t="str">
            <v>08DEF-452080</v>
          </cell>
          <cell r="C283">
            <v>145</v>
          </cell>
          <cell r="D283">
            <v>207</v>
          </cell>
        </row>
        <row r="284">
          <cell r="B284" t="str">
            <v>08DEF-461007</v>
          </cell>
          <cell r="C284">
            <v>78</v>
          </cell>
          <cell r="D284">
            <v>111</v>
          </cell>
        </row>
        <row r="285">
          <cell r="B285" t="str">
            <v>08DEF-463113</v>
          </cell>
          <cell r="C285">
            <v>47</v>
          </cell>
          <cell r="D285">
            <v>67</v>
          </cell>
        </row>
        <row r="286">
          <cell r="B286" t="str">
            <v>08DEF-463114</v>
          </cell>
          <cell r="C286">
            <v>63</v>
          </cell>
          <cell r="D286">
            <v>90</v>
          </cell>
        </row>
        <row r="287">
          <cell r="B287" t="str">
            <v>08DEF-463115</v>
          </cell>
          <cell r="C287">
            <v>97</v>
          </cell>
          <cell r="D287">
            <v>139</v>
          </cell>
        </row>
        <row r="288">
          <cell r="B288" t="str">
            <v>08DEF-463303</v>
          </cell>
          <cell r="C288">
            <v>39</v>
          </cell>
          <cell r="D288">
            <v>56</v>
          </cell>
        </row>
        <row r="289">
          <cell r="B289" t="str">
            <v>08DEF-472015</v>
          </cell>
          <cell r="C289">
            <v>475</v>
          </cell>
          <cell r="D289">
            <v>679</v>
          </cell>
        </row>
        <row r="290">
          <cell r="B290" t="str">
            <v>475-880-1250BH</v>
          </cell>
          <cell r="C290">
            <v>282</v>
          </cell>
          <cell r="D290">
            <v>370</v>
          </cell>
        </row>
        <row r="291">
          <cell r="B291" t="str">
            <v>475-880-1250GH</v>
          </cell>
          <cell r="C291">
            <v>282</v>
          </cell>
          <cell r="D291">
            <v>370</v>
          </cell>
        </row>
        <row r="292">
          <cell r="B292" t="str">
            <v>475-880-1250SHN</v>
          </cell>
          <cell r="C292">
            <v>273</v>
          </cell>
          <cell r="D292">
            <v>358</v>
          </cell>
        </row>
        <row r="293">
          <cell r="B293" t="str">
            <v>475-880-6540GH</v>
          </cell>
          <cell r="C293">
            <v>282</v>
          </cell>
          <cell r="D293">
            <v>370</v>
          </cell>
        </row>
        <row r="294">
          <cell r="B294" t="str">
            <v>480-670-6545GB</v>
          </cell>
          <cell r="C294">
            <v>186</v>
          </cell>
          <cell r="D294">
            <v>250</v>
          </cell>
        </row>
        <row r="295">
          <cell r="B295" t="str">
            <v>480-670-6545SP</v>
          </cell>
          <cell r="C295">
            <v>186</v>
          </cell>
          <cell r="D295">
            <v>250</v>
          </cell>
        </row>
        <row r="296">
          <cell r="B296" t="str">
            <v>502-775-6549BH</v>
          </cell>
          <cell r="C296">
            <v>223</v>
          </cell>
          <cell r="D296">
            <v>297</v>
          </cell>
        </row>
        <row r="297">
          <cell r="B297" t="str">
            <v>502-775-6549SH</v>
          </cell>
          <cell r="C297">
            <v>223</v>
          </cell>
          <cell r="D297">
            <v>297</v>
          </cell>
        </row>
        <row r="298">
          <cell r="B298" t="str">
            <v>509-775-6545BH</v>
          </cell>
          <cell r="C298">
            <v>208</v>
          </cell>
          <cell r="D298">
            <v>279</v>
          </cell>
        </row>
        <row r="299">
          <cell r="B299" t="str">
            <v>509-775-6545SH</v>
          </cell>
          <cell r="C299">
            <v>208</v>
          </cell>
          <cell r="D299">
            <v>279</v>
          </cell>
        </row>
        <row r="300">
          <cell r="B300" t="str">
            <v>517-880-6545AH</v>
          </cell>
          <cell r="C300">
            <v>244</v>
          </cell>
          <cell r="D300">
            <v>324</v>
          </cell>
        </row>
        <row r="301">
          <cell r="B301" t="str">
            <v>517-880-6545BH</v>
          </cell>
          <cell r="C301">
            <v>244</v>
          </cell>
          <cell r="D301">
            <v>324</v>
          </cell>
        </row>
        <row r="302">
          <cell r="B302" t="str">
            <v>08F02-3V0-1Q0</v>
          </cell>
          <cell r="C302">
            <v>388</v>
          </cell>
          <cell r="D302">
            <v>647</v>
          </cell>
        </row>
        <row r="303">
          <cell r="B303" t="str">
            <v>08F04-3V0-100</v>
          </cell>
          <cell r="C303">
            <v>268</v>
          </cell>
          <cell r="D303">
            <v>447</v>
          </cell>
        </row>
        <row r="304">
          <cell r="B304" t="str">
            <v>08F20-3V0-100</v>
          </cell>
          <cell r="C304">
            <v>103</v>
          </cell>
          <cell r="D304">
            <v>172</v>
          </cell>
        </row>
        <row r="305">
          <cell r="B305" t="str">
            <v>08F20-3V0-100B</v>
          </cell>
          <cell r="C305">
            <v>42</v>
          </cell>
          <cell r="D305">
            <v>70</v>
          </cell>
        </row>
        <row r="306">
          <cell r="B306" t="str">
            <v>08F20-3V0-100D</v>
          </cell>
          <cell r="C306">
            <v>115</v>
          </cell>
          <cell r="D306">
            <v>191</v>
          </cell>
        </row>
        <row r="307">
          <cell r="B307" t="str">
            <v>08F23-3V0-100</v>
          </cell>
          <cell r="C307">
            <v>221</v>
          </cell>
          <cell r="D307">
            <v>368</v>
          </cell>
        </row>
        <row r="308">
          <cell r="B308" t="str">
            <v>08F23-3V0-100A</v>
          </cell>
          <cell r="C308">
            <v>225</v>
          </cell>
          <cell r="D308">
            <v>375</v>
          </cell>
        </row>
        <row r="309">
          <cell r="B309" t="str">
            <v>08F24-3V0-100</v>
          </cell>
          <cell r="C309">
            <v>222</v>
          </cell>
          <cell r="D309">
            <v>370</v>
          </cell>
        </row>
        <row r="310">
          <cell r="B310" t="str">
            <v>08F30-3V0-100</v>
          </cell>
          <cell r="C310">
            <v>328</v>
          </cell>
          <cell r="D310">
            <v>546</v>
          </cell>
        </row>
        <row r="311">
          <cell r="B311" t="str">
            <v>08F57-3V0-100</v>
          </cell>
          <cell r="C311">
            <v>288</v>
          </cell>
          <cell r="D311">
            <v>480</v>
          </cell>
        </row>
        <row r="312">
          <cell r="B312" t="str">
            <v>08L02-3V0-301</v>
          </cell>
          <cell r="C312">
            <v>517</v>
          </cell>
          <cell r="D312">
            <v>862</v>
          </cell>
        </row>
        <row r="313">
          <cell r="B313" t="str">
            <v>08L96-3V0-300</v>
          </cell>
          <cell r="C313">
            <v>58</v>
          </cell>
          <cell r="D313">
            <v>97</v>
          </cell>
        </row>
        <row r="314">
          <cell r="B314" t="str">
            <v>08P04-3V0-100</v>
          </cell>
          <cell r="C314">
            <v>102</v>
          </cell>
          <cell r="D314">
            <v>170</v>
          </cell>
        </row>
        <row r="315">
          <cell r="B315" t="str">
            <v>08P05-3V0-110</v>
          </cell>
          <cell r="C315">
            <v>214</v>
          </cell>
          <cell r="D315">
            <v>357</v>
          </cell>
        </row>
        <row r="316">
          <cell r="B316" t="str">
            <v>08P05-3V0-120</v>
          </cell>
          <cell r="C316">
            <v>214</v>
          </cell>
          <cell r="D316">
            <v>357</v>
          </cell>
        </row>
        <row r="317">
          <cell r="B317" t="str">
            <v>08P05-3V0-130</v>
          </cell>
          <cell r="C317">
            <v>214</v>
          </cell>
          <cell r="D317">
            <v>357</v>
          </cell>
        </row>
        <row r="318">
          <cell r="B318" t="str">
            <v>08P05-3V0-140</v>
          </cell>
          <cell r="C318">
            <v>214</v>
          </cell>
          <cell r="D318">
            <v>357</v>
          </cell>
        </row>
        <row r="319">
          <cell r="B319" t="str">
            <v>08P05-3V0-150</v>
          </cell>
          <cell r="C319">
            <v>214</v>
          </cell>
          <cell r="D319">
            <v>357</v>
          </cell>
        </row>
        <row r="320">
          <cell r="B320" t="str">
            <v>08P05-3V0-160</v>
          </cell>
          <cell r="C320">
            <v>214</v>
          </cell>
          <cell r="D320">
            <v>357</v>
          </cell>
        </row>
        <row r="321">
          <cell r="B321" t="str">
            <v>08P05-3V0-180</v>
          </cell>
          <cell r="C321">
            <v>214</v>
          </cell>
          <cell r="D321">
            <v>357</v>
          </cell>
        </row>
        <row r="322">
          <cell r="B322" t="str">
            <v>08P05-3V0-1A0</v>
          </cell>
          <cell r="C322">
            <v>220</v>
          </cell>
          <cell r="D322">
            <v>367</v>
          </cell>
        </row>
        <row r="323">
          <cell r="B323" t="str">
            <v>08P15-3V0-110</v>
          </cell>
          <cell r="C323">
            <v>229</v>
          </cell>
          <cell r="D323">
            <v>380</v>
          </cell>
        </row>
        <row r="324">
          <cell r="B324" t="str">
            <v>08P17-3V0-110</v>
          </cell>
          <cell r="C324">
            <v>168</v>
          </cell>
          <cell r="D324">
            <v>280</v>
          </cell>
        </row>
        <row r="325">
          <cell r="B325" t="str">
            <v>08P20-3V0-110A</v>
          </cell>
          <cell r="C325">
            <v>147</v>
          </cell>
          <cell r="D325">
            <v>245</v>
          </cell>
        </row>
        <row r="326">
          <cell r="B326" t="str">
            <v>08P20-3V0-120A</v>
          </cell>
          <cell r="C326">
            <v>147</v>
          </cell>
          <cell r="D326">
            <v>245</v>
          </cell>
        </row>
        <row r="327">
          <cell r="B327" t="str">
            <v>08P20-3V0-130A</v>
          </cell>
          <cell r="C327">
            <v>147</v>
          </cell>
          <cell r="D327">
            <v>245</v>
          </cell>
        </row>
        <row r="328">
          <cell r="B328" t="str">
            <v>08P20-3V0-140A</v>
          </cell>
          <cell r="C328">
            <v>147</v>
          </cell>
          <cell r="D328">
            <v>245</v>
          </cell>
        </row>
        <row r="329">
          <cell r="B329" t="str">
            <v>08P20-3V0-150A</v>
          </cell>
          <cell r="C329">
            <v>147</v>
          </cell>
          <cell r="D329">
            <v>245</v>
          </cell>
        </row>
        <row r="330">
          <cell r="B330" t="str">
            <v>08P20-3V0-160A</v>
          </cell>
          <cell r="C330">
            <v>147</v>
          </cell>
          <cell r="D330">
            <v>245</v>
          </cell>
        </row>
        <row r="331">
          <cell r="B331" t="str">
            <v>08P20-3V0-180A</v>
          </cell>
          <cell r="C331">
            <v>147</v>
          </cell>
          <cell r="D331">
            <v>245</v>
          </cell>
        </row>
        <row r="332">
          <cell r="B332" t="str">
            <v>08P21-3V0-100</v>
          </cell>
          <cell r="C332">
            <v>438</v>
          </cell>
          <cell r="D332">
            <v>730</v>
          </cell>
        </row>
        <row r="333">
          <cell r="B333" t="str">
            <v>08P30-3V0-100</v>
          </cell>
          <cell r="C333">
            <v>138</v>
          </cell>
          <cell r="D333">
            <v>197</v>
          </cell>
        </row>
        <row r="334">
          <cell r="B334" t="str">
            <v>08R04-3V0-100A</v>
          </cell>
          <cell r="C334">
            <v>248</v>
          </cell>
          <cell r="D334">
            <v>413</v>
          </cell>
        </row>
        <row r="335">
          <cell r="B335" t="str">
            <v>08R04-3V0-100B</v>
          </cell>
          <cell r="C335">
            <v>248</v>
          </cell>
          <cell r="D335">
            <v>413</v>
          </cell>
        </row>
        <row r="336">
          <cell r="B336" t="str">
            <v>08U35-3V0-310</v>
          </cell>
          <cell r="C336">
            <v>140</v>
          </cell>
          <cell r="D336">
            <v>233</v>
          </cell>
        </row>
        <row r="337">
          <cell r="B337" t="str">
            <v>08U45-3V0-100</v>
          </cell>
          <cell r="C337">
            <v>113</v>
          </cell>
          <cell r="D337">
            <v>188</v>
          </cell>
        </row>
        <row r="338">
          <cell r="B338" t="str">
            <v>08W17-3V0-100</v>
          </cell>
          <cell r="C338">
            <v>417</v>
          </cell>
          <cell r="D338">
            <v>596</v>
          </cell>
        </row>
        <row r="339">
          <cell r="B339" t="str">
            <v>08W17-3V0-100A</v>
          </cell>
          <cell r="C339">
            <v>170.99</v>
          </cell>
          <cell r="D339">
            <v>280.99</v>
          </cell>
        </row>
        <row r="340">
          <cell r="B340" t="str">
            <v>08E10-THR-100</v>
          </cell>
          <cell r="C340">
            <v>98</v>
          </cell>
          <cell r="D340">
            <v>163</v>
          </cell>
        </row>
        <row r="341">
          <cell r="B341" t="str">
            <v>08E12-THR-100</v>
          </cell>
          <cell r="C341">
            <v>45.99</v>
          </cell>
          <cell r="D341">
            <v>76.989999999999995</v>
          </cell>
        </row>
        <row r="342">
          <cell r="B342" t="str">
            <v>08E12-THR-100A</v>
          </cell>
          <cell r="C342">
            <v>19.989999999999998</v>
          </cell>
          <cell r="D342">
            <v>32.99</v>
          </cell>
        </row>
        <row r="343">
          <cell r="B343" t="str">
            <v>08E12-THR-100B</v>
          </cell>
          <cell r="C343">
            <v>20.99</v>
          </cell>
          <cell r="D343">
            <v>34.99</v>
          </cell>
        </row>
        <row r="344">
          <cell r="B344" t="str">
            <v>08F20-T7S-100C</v>
          </cell>
          <cell r="C344">
            <v>41</v>
          </cell>
          <cell r="D344">
            <v>68</v>
          </cell>
        </row>
        <row r="345">
          <cell r="B345" t="str">
            <v>08F20-TG7-100G</v>
          </cell>
          <cell r="C345">
            <v>70</v>
          </cell>
          <cell r="D345">
            <v>117</v>
          </cell>
        </row>
        <row r="346">
          <cell r="B346" t="str">
            <v>08F20-THR-100</v>
          </cell>
          <cell r="C346">
            <v>69</v>
          </cell>
          <cell r="D346">
            <v>115</v>
          </cell>
        </row>
        <row r="347">
          <cell r="B347" t="str">
            <v>08F20-THR-100G</v>
          </cell>
          <cell r="C347">
            <v>42</v>
          </cell>
          <cell r="D347">
            <v>70</v>
          </cell>
        </row>
        <row r="348">
          <cell r="B348" t="str">
            <v>08F46-THR-100</v>
          </cell>
          <cell r="C348">
            <v>3.99</v>
          </cell>
          <cell r="D348">
            <v>5.99</v>
          </cell>
        </row>
        <row r="349">
          <cell r="B349" t="str">
            <v>08F46-THR-100A</v>
          </cell>
          <cell r="C349">
            <v>3.99</v>
          </cell>
          <cell r="D349">
            <v>5.99</v>
          </cell>
        </row>
        <row r="350">
          <cell r="B350" t="str">
            <v>08F57-THR-101</v>
          </cell>
          <cell r="C350">
            <v>9.99</v>
          </cell>
          <cell r="D350">
            <v>16.989999999999998</v>
          </cell>
        </row>
        <row r="351">
          <cell r="B351" t="str">
            <v>08F59-THR-100</v>
          </cell>
          <cell r="C351">
            <v>5.99</v>
          </cell>
          <cell r="D351">
            <v>9.99</v>
          </cell>
        </row>
        <row r="352">
          <cell r="B352" t="str">
            <v>08F59-THR-100A</v>
          </cell>
          <cell r="C352">
            <v>138</v>
          </cell>
          <cell r="D352">
            <v>197</v>
          </cell>
        </row>
        <row r="353">
          <cell r="B353" t="str">
            <v>08L02-THR-102</v>
          </cell>
          <cell r="C353">
            <v>460</v>
          </cell>
          <cell r="D353">
            <v>767</v>
          </cell>
        </row>
        <row r="354">
          <cell r="B354" t="str">
            <v>08L02-THR-102A</v>
          </cell>
          <cell r="C354">
            <v>655</v>
          </cell>
          <cell r="D354">
            <v>999</v>
          </cell>
        </row>
        <row r="355">
          <cell r="B355" t="str">
            <v>08L04-THR-100</v>
          </cell>
          <cell r="C355">
            <v>216</v>
          </cell>
          <cell r="D355">
            <v>360</v>
          </cell>
        </row>
        <row r="356">
          <cell r="B356" t="str">
            <v>08L91-THR-300</v>
          </cell>
          <cell r="C356">
            <v>162</v>
          </cell>
          <cell r="D356">
            <v>270</v>
          </cell>
        </row>
        <row r="357">
          <cell r="B357" t="str">
            <v>08L91-THR-300A</v>
          </cell>
          <cell r="C357">
            <v>238</v>
          </cell>
          <cell r="D357">
            <v>397</v>
          </cell>
        </row>
        <row r="358">
          <cell r="B358" t="str">
            <v>08L92-THR-300</v>
          </cell>
          <cell r="C358">
            <v>490</v>
          </cell>
          <cell r="D358">
            <v>817</v>
          </cell>
        </row>
        <row r="359">
          <cell r="B359" t="str">
            <v>08L92-THR-300A</v>
          </cell>
          <cell r="C359">
            <v>576</v>
          </cell>
          <cell r="D359">
            <v>960</v>
          </cell>
        </row>
        <row r="360">
          <cell r="B360" t="str">
            <v>08L96-THR-100</v>
          </cell>
          <cell r="C360">
            <v>9.99</v>
          </cell>
          <cell r="D360">
            <v>16.989999999999998</v>
          </cell>
        </row>
        <row r="361">
          <cell r="B361" t="str">
            <v>08P01-THR-100</v>
          </cell>
          <cell r="C361">
            <v>22.99</v>
          </cell>
          <cell r="D361">
            <v>37.99</v>
          </cell>
        </row>
        <row r="362">
          <cell r="B362" t="str">
            <v>08P05-THR-111</v>
          </cell>
          <cell r="C362">
            <v>37.99</v>
          </cell>
          <cell r="D362">
            <v>61.99</v>
          </cell>
        </row>
        <row r="363">
          <cell r="B363" t="str">
            <v>08P05-THR-121</v>
          </cell>
          <cell r="C363">
            <v>231</v>
          </cell>
          <cell r="D363">
            <v>385</v>
          </cell>
        </row>
        <row r="364">
          <cell r="B364" t="str">
            <v>08P05-THR-131</v>
          </cell>
          <cell r="C364">
            <v>231</v>
          </cell>
          <cell r="D364">
            <v>385</v>
          </cell>
        </row>
        <row r="365">
          <cell r="B365" t="str">
            <v>08P05-THR-141</v>
          </cell>
          <cell r="C365">
            <v>231</v>
          </cell>
          <cell r="D365">
            <v>385</v>
          </cell>
        </row>
        <row r="366">
          <cell r="B366" t="str">
            <v>08P05-THR-161</v>
          </cell>
          <cell r="C366">
            <v>231</v>
          </cell>
          <cell r="D366">
            <v>385</v>
          </cell>
        </row>
        <row r="367">
          <cell r="B367" t="str">
            <v>08P05-THR-170</v>
          </cell>
          <cell r="C367">
            <v>29.99</v>
          </cell>
          <cell r="D367">
            <v>49.99</v>
          </cell>
        </row>
        <row r="368">
          <cell r="B368" t="str">
            <v>08P05-THR-180</v>
          </cell>
          <cell r="C368">
            <v>19.989999999999998</v>
          </cell>
          <cell r="D368">
            <v>32.99</v>
          </cell>
        </row>
        <row r="369">
          <cell r="B369" t="str">
            <v>08P05-THR-191</v>
          </cell>
          <cell r="C369">
            <v>231</v>
          </cell>
          <cell r="D369">
            <v>385</v>
          </cell>
        </row>
        <row r="370">
          <cell r="B370" t="str">
            <v>08P05-THR-1A1</v>
          </cell>
          <cell r="C370">
            <v>231</v>
          </cell>
          <cell r="D370">
            <v>385</v>
          </cell>
        </row>
        <row r="371">
          <cell r="B371" t="str">
            <v>08P05-THR-1B1</v>
          </cell>
          <cell r="C371">
            <v>231</v>
          </cell>
          <cell r="D371">
            <v>385</v>
          </cell>
        </row>
        <row r="372">
          <cell r="B372" t="str">
            <v>08P05-THR-1C1</v>
          </cell>
          <cell r="C372">
            <v>231</v>
          </cell>
          <cell r="D372">
            <v>385</v>
          </cell>
        </row>
        <row r="373">
          <cell r="B373" t="str">
            <v>08P05-THR-1D1</v>
          </cell>
          <cell r="C373">
            <v>231</v>
          </cell>
          <cell r="D373">
            <v>385</v>
          </cell>
        </row>
        <row r="374">
          <cell r="B374" t="str">
            <v>08P09-THR-300</v>
          </cell>
          <cell r="C374">
            <v>82</v>
          </cell>
          <cell r="D374">
            <v>137</v>
          </cell>
        </row>
        <row r="375">
          <cell r="B375" t="str">
            <v>08P09-THR-300A</v>
          </cell>
          <cell r="C375">
            <v>82</v>
          </cell>
          <cell r="D375">
            <v>137</v>
          </cell>
        </row>
        <row r="376">
          <cell r="B376" t="str">
            <v>08P17-THR-110A</v>
          </cell>
          <cell r="C376">
            <v>195</v>
          </cell>
          <cell r="D376">
            <v>325</v>
          </cell>
        </row>
        <row r="377">
          <cell r="B377" t="str">
            <v>08P20-THR-100</v>
          </cell>
          <cell r="C377">
            <v>5.99</v>
          </cell>
          <cell r="D377">
            <v>9.99</v>
          </cell>
        </row>
        <row r="378">
          <cell r="B378" t="str">
            <v>08P20-THR-110A</v>
          </cell>
          <cell r="C378">
            <v>87</v>
          </cell>
          <cell r="D378">
            <v>145</v>
          </cell>
        </row>
        <row r="379">
          <cell r="B379" t="str">
            <v>08P20-THR-120A</v>
          </cell>
          <cell r="C379">
            <v>87</v>
          </cell>
          <cell r="D379">
            <v>145</v>
          </cell>
        </row>
        <row r="380">
          <cell r="B380" t="str">
            <v>08P20-THR-130A</v>
          </cell>
          <cell r="C380">
            <v>87</v>
          </cell>
          <cell r="D380">
            <v>145</v>
          </cell>
        </row>
        <row r="381">
          <cell r="B381" t="str">
            <v>08P20-THR-140A</v>
          </cell>
          <cell r="C381">
            <v>87</v>
          </cell>
          <cell r="D381">
            <v>145</v>
          </cell>
        </row>
        <row r="382">
          <cell r="B382" t="str">
            <v>08P20-THR-160A</v>
          </cell>
          <cell r="C382">
            <v>87</v>
          </cell>
          <cell r="D382">
            <v>145</v>
          </cell>
        </row>
        <row r="383">
          <cell r="B383" t="str">
            <v>08P20-THR-170A</v>
          </cell>
          <cell r="C383">
            <v>85</v>
          </cell>
          <cell r="D383">
            <v>142</v>
          </cell>
        </row>
        <row r="384">
          <cell r="B384" t="str">
            <v>08P20-THR-180A</v>
          </cell>
          <cell r="C384">
            <v>23.99</v>
          </cell>
          <cell r="D384">
            <v>39.99</v>
          </cell>
        </row>
        <row r="385">
          <cell r="B385" t="str">
            <v>08P20-THR-190A</v>
          </cell>
          <cell r="C385">
            <v>87</v>
          </cell>
          <cell r="D385">
            <v>145</v>
          </cell>
        </row>
        <row r="386">
          <cell r="B386" t="str">
            <v>08P20-THR-1A0A</v>
          </cell>
          <cell r="C386">
            <v>23.99</v>
          </cell>
          <cell r="D386">
            <v>39.99</v>
          </cell>
        </row>
        <row r="387">
          <cell r="B387" t="str">
            <v>08P20-THR-1B0A</v>
          </cell>
          <cell r="C387">
            <v>87</v>
          </cell>
          <cell r="D387">
            <v>145</v>
          </cell>
        </row>
        <row r="388">
          <cell r="B388" t="str">
            <v>08P20-THR-1C0A</v>
          </cell>
          <cell r="C388">
            <v>87</v>
          </cell>
          <cell r="D388">
            <v>145</v>
          </cell>
        </row>
        <row r="389">
          <cell r="B389" t="str">
            <v>08P20-THR-1D0A</v>
          </cell>
          <cell r="C389">
            <v>87</v>
          </cell>
          <cell r="D389">
            <v>145</v>
          </cell>
        </row>
        <row r="390">
          <cell r="B390" t="str">
            <v>08P32-THR-310</v>
          </cell>
          <cell r="C390">
            <v>486</v>
          </cell>
          <cell r="D390">
            <v>694</v>
          </cell>
        </row>
        <row r="391">
          <cell r="B391" t="str">
            <v>08P32-THR-310A</v>
          </cell>
          <cell r="C391">
            <v>24.99</v>
          </cell>
          <cell r="D391">
            <v>41.99</v>
          </cell>
        </row>
        <row r="392">
          <cell r="B392" t="str">
            <v>08P32-THR-310B</v>
          </cell>
          <cell r="C392">
            <v>279</v>
          </cell>
          <cell r="D392">
            <v>465</v>
          </cell>
        </row>
        <row r="393">
          <cell r="B393" t="str">
            <v>08P32-THR-310D</v>
          </cell>
          <cell r="C393">
            <v>394</v>
          </cell>
          <cell r="D393">
            <v>563</v>
          </cell>
        </row>
        <row r="394">
          <cell r="B394" t="str">
            <v>08P32-THR-310F</v>
          </cell>
          <cell r="C394">
            <v>304</v>
          </cell>
          <cell r="D394">
            <v>434</v>
          </cell>
        </row>
        <row r="395">
          <cell r="B395" t="str">
            <v>08P42-THR-100</v>
          </cell>
          <cell r="C395">
            <v>295</v>
          </cell>
          <cell r="D395">
            <v>421</v>
          </cell>
        </row>
        <row r="396">
          <cell r="B396" t="str">
            <v>08P47-THR-301</v>
          </cell>
          <cell r="C396">
            <v>204</v>
          </cell>
          <cell r="D396">
            <v>340</v>
          </cell>
        </row>
        <row r="397">
          <cell r="B397" t="str">
            <v>08R01-THR-301</v>
          </cell>
          <cell r="C397">
            <v>171</v>
          </cell>
          <cell r="D397">
            <v>285</v>
          </cell>
        </row>
        <row r="398">
          <cell r="B398" t="str">
            <v>08R04-THR-102</v>
          </cell>
          <cell r="C398">
            <v>234</v>
          </cell>
          <cell r="D398">
            <v>390</v>
          </cell>
        </row>
        <row r="399">
          <cell r="B399" t="str">
            <v>08U45-THR-100A</v>
          </cell>
          <cell r="C399">
            <v>140</v>
          </cell>
          <cell r="D399">
            <v>233</v>
          </cell>
        </row>
        <row r="400">
          <cell r="B400" t="str">
            <v>08U45-THR-100B</v>
          </cell>
          <cell r="C400">
            <v>160</v>
          </cell>
          <cell r="D400">
            <v>267</v>
          </cell>
        </row>
        <row r="401">
          <cell r="B401" t="str">
            <v>08U45-THR-300</v>
          </cell>
          <cell r="C401">
            <v>413</v>
          </cell>
          <cell r="D401">
            <v>688</v>
          </cell>
        </row>
        <row r="402">
          <cell r="B402" t="str">
            <v>08U58-THR-110A</v>
          </cell>
          <cell r="C402">
            <v>38</v>
          </cell>
          <cell r="D402">
            <v>63</v>
          </cell>
        </row>
        <row r="403">
          <cell r="B403" t="str">
            <v>08U58-THR-301</v>
          </cell>
          <cell r="C403">
            <v>30.99</v>
          </cell>
          <cell r="D403">
            <v>51.99</v>
          </cell>
        </row>
        <row r="404">
          <cell r="B404" t="str">
            <v>08U59-THR-101</v>
          </cell>
          <cell r="C404">
            <v>273</v>
          </cell>
          <cell r="D404">
            <v>390</v>
          </cell>
        </row>
        <row r="405">
          <cell r="B405" t="str">
            <v>08U59-THR-300A</v>
          </cell>
          <cell r="C405">
            <v>126</v>
          </cell>
          <cell r="D405">
            <v>210</v>
          </cell>
        </row>
        <row r="406">
          <cell r="B406" t="str">
            <v>08U59-THR-300B</v>
          </cell>
          <cell r="C406">
            <v>126</v>
          </cell>
          <cell r="D406">
            <v>210</v>
          </cell>
        </row>
        <row r="407">
          <cell r="B407" t="str">
            <v>08U97-THR-100B</v>
          </cell>
          <cell r="C407">
            <v>142</v>
          </cell>
          <cell r="D407">
            <v>218</v>
          </cell>
        </row>
        <row r="408">
          <cell r="B408" t="str">
            <v>08U97-THR-100C</v>
          </cell>
          <cell r="C408">
            <v>9.99</v>
          </cell>
          <cell r="D408">
            <v>16.989999999999998</v>
          </cell>
        </row>
        <row r="409">
          <cell r="B409" t="str">
            <v>08U97-THR-100E</v>
          </cell>
          <cell r="C409">
            <v>9.99</v>
          </cell>
          <cell r="D409">
            <v>16.989999999999998</v>
          </cell>
        </row>
        <row r="410">
          <cell r="B410" t="str">
            <v>08U97-THR-111A</v>
          </cell>
          <cell r="C410">
            <v>787</v>
          </cell>
          <cell r="D410">
            <v>1124</v>
          </cell>
        </row>
        <row r="411">
          <cell r="B411" t="str">
            <v>08V27-THR-100</v>
          </cell>
          <cell r="C411">
            <v>9.99</v>
          </cell>
          <cell r="D411">
            <v>16.989999999999998</v>
          </cell>
        </row>
        <row r="412">
          <cell r="B412" t="str">
            <v>08V27-THR-100A</v>
          </cell>
          <cell r="C412">
            <v>263</v>
          </cell>
          <cell r="D412">
            <v>376</v>
          </cell>
        </row>
        <row r="413">
          <cell r="B413" t="str">
            <v>08V67-THR-110K</v>
          </cell>
          <cell r="C413">
            <v>271</v>
          </cell>
          <cell r="D413">
            <v>452</v>
          </cell>
        </row>
        <row r="414">
          <cell r="B414" t="str">
            <v>08V67-THR-120K</v>
          </cell>
          <cell r="C414">
            <v>271</v>
          </cell>
          <cell r="D414">
            <v>452</v>
          </cell>
        </row>
        <row r="415">
          <cell r="B415" t="str">
            <v>08V67-THR-130K</v>
          </cell>
          <cell r="C415">
            <v>271</v>
          </cell>
          <cell r="D415">
            <v>452</v>
          </cell>
        </row>
        <row r="416">
          <cell r="B416" t="str">
            <v>08V67-THR-140K</v>
          </cell>
          <cell r="C416">
            <v>271</v>
          </cell>
          <cell r="D416">
            <v>452</v>
          </cell>
        </row>
        <row r="417">
          <cell r="B417" t="str">
            <v>08V67-THR-160K</v>
          </cell>
          <cell r="C417">
            <v>271</v>
          </cell>
          <cell r="D417">
            <v>452</v>
          </cell>
        </row>
        <row r="418">
          <cell r="B418" t="str">
            <v>08V67-THR-170K</v>
          </cell>
          <cell r="C418">
            <v>271</v>
          </cell>
          <cell r="D418">
            <v>452</v>
          </cell>
        </row>
        <row r="419">
          <cell r="B419" t="str">
            <v>08V67-THR-180K</v>
          </cell>
          <cell r="C419">
            <v>271</v>
          </cell>
          <cell r="D419">
            <v>452</v>
          </cell>
        </row>
        <row r="420">
          <cell r="B420" t="str">
            <v>08V67-THR-190K</v>
          </cell>
          <cell r="C420">
            <v>271</v>
          </cell>
          <cell r="D420">
            <v>452</v>
          </cell>
        </row>
        <row r="421">
          <cell r="B421" t="str">
            <v>08V67-THR-1B0K</v>
          </cell>
          <cell r="C421">
            <v>271</v>
          </cell>
          <cell r="D421">
            <v>452</v>
          </cell>
        </row>
        <row r="422">
          <cell r="B422" t="str">
            <v>08V67-THR-300A</v>
          </cell>
          <cell r="C422">
            <v>271</v>
          </cell>
          <cell r="D422">
            <v>452</v>
          </cell>
        </row>
        <row r="423">
          <cell r="B423" t="str">
            <v>08W19-THR-301</v>
          </cell>
          <cell r="C423">
            <v>454</v>
          </cell>
          <cell r="D423">
            <v>572</v>
          </cell>
        </row>
        <row r="424">
          <cell r="B424" t="str">
            <v>08E10-TG7-100</v>
          </cell>
          <cell r="C424">
            <v>97</v>
          </cell>
          <cell r="D424">
            <v>162</v>
          </cell>
        </row>
        <row r="425">
          <cell r="B425" t="str">
            <v>08E11-TGS-110</v>
          </cell>
          <cell r="C425">
            <v>96</v>
          </cell>
          <cell r="D425">
            <v>160</v>
          </cell>
        </row>
        <row r="426">
          <cell r="B426" t="str">
            <v>08E12-TGS-100</v>
          </cell>
          <cell r="C426">
            <v>138.99</v>
          </cell>
          <cell r="D426">
            <v>231.99</v>
          </cell>
        </row>
        <row r="427">
          <cell r="B427" t="str">
            <v>08F01-TGS-110</v>
          </cell>
          <cell r="C427">
            <v>26.99</v>
          </cell>
          <cell r="D427">
            <v>45.99</v>
          </cell>
        </row>
        <row r="428">
          <cell r="B428" t="str">
            <v>08F01-TGS-120</v>
          </cell>
          <cell r="C428">
            <v>26.99</v>
          </cell>
          <cell r="D428">
            <v>44.99</v>
          </cell>
        </row>
        <row r="429">
          <cell r="B429" t="str">
            <v>08F01-TGS-130</v>
          </cell>
          <cell r="C429">
            <v>14.99</v>
          </cell>
          <cell r="D429">
            <v>24.99</v>
          </cell>
        </row>
        <row r="430">
          <cell r="B430" t="str">
            <v>08F01-TGS-140</v>
          </cell>
          <cell r="C430">
            <v>354</v>
          </cell>
          <cell r="D430">
            <v>590</v>
          </cell>
        </row>
        <row r="431">
          <cell r="B431" t="str">
            <v>08F01-TGS-150</v>
          </cell>
          <cell r="C431">
            <v>75.989999999999995</v>
          </cell>
          <cell r="D431">
            <v>106.99</v>
          </cell>
        </row>
        <row r="432">
          <cell r="B432" t="str">
            <v>08F01-TGS-160</v>
          </cell>
          <cell r="C432">
            <v>354</v>
          </cell>
          <cell r="D432">
            <v>590</v>
          </cell>
        </row>
        <row r="433">
          <cell r="B433" t="str">
            <v>08F01-TGS-170</v>
          </cell>
          <cell r="C433">
            <v>75.989999999999995</v>
          </cell>
          <cell r="D433">
            <v>125.99</v>
          </cell>
        </row>
        <row r="434">
          <cell r="B434" t="str">
            <v>08F01-TGS-190</v>
          </cell>
          <cell r="C434">
            <v>354</v>
          </cell>
          <cell r="D434">
            <v>590</v>
          </cell>
        </row>
        <row r="435">
          <cell r="B435" t="str">
            <v>08F01-TGS-1A0</v>
          </cell>
          <cell r="C435">
            <v>354</v>
          </cell>
          <cell r="D435">
            <v>590</v>
          </cell>
        </row>
        <row r="436">
          <cell r="B436" t="str">
            <v>08F03-TGS-110</v>
          </cell>
          <cell r="C436">
            <v>28.99</v>
          </cell>
          <cell r="D436">
            <v>48.99</v>
          </cell>
        </row>
        <row r="437">
          <cell r="B437" t="str">
            <v>08F03-TGS-110A</v>
          </cell>
          <cell r="C437">
            <v>15.99</v>
          </cell>
          <cell r="D437">
            <v>25.99</v>
          </cell>
        </row>
        <row r="438">
          <cell r="B438" t="str">
            <v>08F03-TGS-120</v>
          </cell>
          <cell r="C438">
            <v>28.99</v>
          </cell>
          <cell r="D438">
            <v>47.99</v>
          </cell>
        </row>
        <row r="439">
          <cell r="B439" t="str">
            <v>08F03-TGS-120A</v>
          </cell>
          <cell r="C439">
            <v>234</v>
          </cell>
          <cell r="D439">
            <v>390</v>
          </cell>
        </row>
        <row r="440">
          <cell r="B440" t="str">
            <v>08F03-TGS-130</v>
          </cell>
          <cell r="C440">
            <v>14.99</v>
          </cell>
          <cell r="D440">
            <v>24.99</v>
          </cell>
        </row>
        <row r="441">
          <cell r="B441" t="str">
            <v>08F03-TGS-130A</v>
          </cell>
          <cell r="C441">
            <v>48.99</v>
          </cell>
          <cell r="D441">
            <v>80.989999999999995</v>
          </cell>
        </row>
        <row r="442">
          <cell r="B442" t="str">
            <v>08F03-TGS-140</v>
          </cell>
          <cell r="C442">
            <v>363</v>
          </cell>
          <cell r="D442">
            <v>605</v>
          </cell>
        </row>
        <row r="443">
          <cell r="B443" t="str">
            <v>08F03-TGS-140A</v>
          </cell>
          <cell r="C443">
            <v>234</v>
          </cell>
          <cell r="D443">
            <v>390</v>
          </cell>
        </row>
        <row r="444">
          <cell r="B444" t="str">
            <v>08F03-TGS-150</v>
          </cell>
          <cell r="C444">
            <v>79.989999999999995</v>
          </cell>
          <cell r="D444">
            <v>130.99</v>
          </cell>
        </row>
        <row r="445">
          <cell r="B445" t="str">
            <v>08F03-TGS-150A</v>
          </cell>
          <cell r="C445">
            <v>234</v>
          </cell>
          <cell r="D445">
            <v>390</v>
          </cell>
        </row>
        <row r="446">
          <cell r="B446" t="str">
            <v>08F03-TGS-160</v>
          </cell>
          <cell r="C446">
            <v>363</v>
          </cell>
          <cell r="D446">
            <v>605</v>
          </cell>
        </row>
        <row r="447">
          <cell r="B447" t="str">
            <v>08F03-TGS-160A</v>
          </cell>
          <cell r="C447">
            <v>234</v>
          </cell>
          <cell r="D447">
            <v>390</v>
          </cell>
        </row>
        <row r="448">
          <cell r="B448" t="str">
            <v>08F03-TGS-170</v>
          </cell>
          <cell r="C448">
            <v>79.989999999999995</v>
          </cell>
          <cell r="D448">
            <v>130.99</v>
          </cell>
        </row>
        <row r="449">
          <cell r="B449" t="str">
            <v>08F03-TGS-170A</v>
          </cell>
          <cell r="C449">
            <v>234</v>
          </cell>
          <cell r="D449">
            <v>390</v>
          </cell>
        </row>
        <row r="450">
          <cell r="B450" t="str">
            <v>08F03-TGS-190</v>
          </cell>
          <cell r="C450">
            <v>363</v>
          </cell>
          <cell r="D450">
            <v>605</v>
          </cell>
        </row>
        <row r="451">
          <cell r="B451" t="str">
            <v>08F03-TGS-190A</v>
          </cell>
          <cell r="C451">
            <v>234</v>
          </cell>
          <cell r="D451">
            <v>390</v>
          </cell>
        </row>
        <row r="452">
          <cell r="B452" t="str">
            <v>08F03-TGS-1A0</v>
          </cell>
          <cell r="C452">
            <v>363</v>
          </cell>
          <cell r="D452">
            <v>605</v>
          </cell>
        </row>
        <row r="453">
          <cell r="B453" t="str">
            <v>08F03-TGS-1A0A</v>
          </cell>
          <cell r="C453">
            <v>234</v>
          </cell>
          <cell r="D453">
            <v>390</v>
          </cell>
        </row>
        <row r="454">
          <cell r="B454" t="str">
            <v>08F20-TGS-100</v>
          </cell>
          <cell r="C454">
            <v>102</v>
          </cell>
          <cell r="D454">
            <v>170</v>
          </cell>
        </row>
        <row r="455">
          <cell r="B455" t="str">
            <v>08F20-TGS-100B</v>
          </cell>
          <cell r="C455">
            <v>35</v>
          </cell>
          <cell r="D455">
            <v>58</v>
          </cell>
        </row>
        <row r="456">
          <cell r="B456" t="str">
            <v>08F21-TGS-100A</v>
          </cell>
          <cell r="C456">
            <v>13</v>
          </cell>
          <cell r="D456">
            <v>22</v>
          </cell>
        </row>
        <row r="457">
          <cell r="B457" t="str">
            <v>08L33-TGS-100</v>
          </cell>
          <cell r="C457">
            <v>734</v>
          </cell>
          <cell r="D457">
            <v>1129</v>
          </cell>
        </row>
        <row r="458">
          <cell r="B458" t="str">
            <v>08L33-TGS-100A</v>
          </cell>
          <cell r="C458">
            <v>39.99</v>
          </cell>
          <cell r="D458">
            <v>66.989999999999995</v>
          </cell>
        </row>
        <row r="459">
          <cell r="B459" t="str">
            <v>08L33-TGS-100D</v>
          </cell>
          <cell r="C459">
            <v>632</v>
          </cell>
          <cell r="D459">
            <v>1053</v>
          </cell>
        </row>
        <row r="460">
          <cell r="B460" t="str">
            <v>08L33-TGS-100E</v>
          </cell>
          <cell r="C460">
            <v>735</v>
          </cell>
          <cell r="D460">
            <v>1225</v>
          </cell>
        </row>
        <row r="461">
          <cell r="B461" t="str">
            <v>08L33-TGS-100F</v>
          </cell>
          <cell r="C461">
            <v>999</v>
          </cell>
          <cell r="D461">
            <v>1660</v>
          </cell>
        </row>
        <row r="462">
          <cell r="B462" t="str">
            <v>08L91-TGS-300</v>
          </cell>
          <cell r="C462">
            <v>291</v>
          </cell>
          <cell r="D462">
            <v>485</v>
          </cell>
        </row>
        <row r="463">
          <cell r="B463" t="str">
            <v>08L91-TGS-300A</v>
          </cell>
          <cell r="C463">
            <v>23.99</v>
          </cell>
          <cell r="D463">
            <v>39.99</v>
          </cell>
        </row>
        <row r="464">
          <cell r="B464" t="str">
            <v>08L91-TGS-300B</v>
          </cell>
          <cell r="C464">
            <v>171</v>
          </cell>
          <cell r="D464">
            <v>285</v>
          </cell>
        </row>
        <row r="465">
          <cell r="B465" t="str">
            <v>08L92-TGS-100A</v>
          </cell>
          <cell r="C465">
            <v>52</v>
          </cell>
          <cell r="D465">
            <v>87</v>
          </cell>
        </row>
        <row r="466">
          <cell r="B466" t="str">
            <v>08L92-TGS-300</v>
          </cell>
          <cell r="C466">
            <v>44.99</v>
          </cell>
          <cell r="D466">
            <v>74.989999999999995</v>
          </cell>
        </row>
        <row r="467">
          <cell r="B467" t="str">
            <v>08L92-TGS-300B</v>
          </cell>
          <cell r="C467">
            <v>435</v>
          </cell>
          <cell r="D467">
            <v>725</v>
          </cell>
        </row>
        <row r="468">
          <cell r="B468" t="str">
            <v>08L96-TGS-100</v>
          </cell>
          <cell r="C468">
            <v>52</v>
          </cell>
          <cell r="D468">
            <v>87</v>
          </cell>
        </row>
        <row r="469">
          <cell r="B469" t="str">
            <v>08P04-TGS-100</v>
          </cell>
          <cell r="C469">
            <v>115</v>
          </cell>
          <cell r="D469">
            <v>164</v>
          </cell>
        </row>
        <row r="470">
          <cell r="B470" t="str">
            <v>08P05-TG7-1E1</v>
          </cell>
          <cell r="C470">
            <v>216</v>
          </cell>
          <cell r="D470">
            <v>360</v>
          </cell>
        </row>
        <row r="471">
          <cell r="B471" t="str">
            <v>08P17-TGS-100</v>
          </cell>
          <cell r="C471">
            <v>9.99</v>
          </cell>
          <cell r="D471">
            <v>15.99</v>
          </cell>
        </row>
        <row r="472">
          <cell r="B472" t="str">
            <v>08P17-TGS-110A</v>
          </cell>
          <cell r="C472">
            <v>135.99</v>
          </cell>
          <cell r="D472">
            <v>226.99</v>
          </cell>
        </row>
        <row r="473">
          <cell r="B473" t="str">
            <v>08P17-TGS-310B</v>
          </cell>
          <cell r="C473">
            <v>202</v>
          </cell>
          <cell r="D473">
            <v>337</v>
          </cell>
        </row>
        <row r="474">
          <cell r="B474" t="str">
            <v>08P20-TG7-101</v>
          </cell>
          <cell r="C474">
            <v>58</v>
          </cell>
          <cell r="D474">
            <v>97</v>
          </cell>
        </row>
        <row r="475">
          <cell r="B475" t="str">
            <v>08P20-TG7-1D0A</v>
          </cell>
          <cell r="C475">
            <v>168</v>
          </cell>
          <cell r="D475">
            <v>280</v>
          </cell>
        </row>
        <row r="476">
          <cell r="B476" t="str">
            <v>08P21-TG7-100</v>
          </cell>
          <cell r="C476">
            <v>520</v>
          </cell>
          <cell r="D476">
            <v>865</v>
          </cell>
        </row>
        <row r="477">
          <cell r="B477" t="str">
            <v>08P21-TGS-100</v>
          </cell>
          <cell r="C477">
            <v>28.99</v>
          </cell>
          <cell r="D477">
            <v>47.99</v>
          </cell>
        </row>
        <row r="478">
          <cell r="B478" t="str">
            <v>08P21-TGS-100B</v>
          </cell>
          <cell r="C478">
            <v>537</v>
          </cell>
          <cell r="D478">
            <v>895</v>
          </cell>
        </row>
        <row r="479">
          <cell r="B479" t="str">
            <v>08P32-TGS-310A</v>
          </cell>
          <cell r="C479">
            <v>363</v>
          </cell>
          <cell r="D479">
            <v>558</v>
          </cell>
        </row>
        <row r="480">
          <cell r="B480" t="str">
            <v>08P42-TGS-100A</v>
          </cell>
          <cell r="C480">
            <v>105</v>
          </cell>
          <cell r="D480">
            <v>175</v>
          </cell>
        </row>
        <row r="481">
          <cell r="B481" t="str">
            <v>08P42-TGS-100B</v>
          </cell>
          <cell r="C481">
            <v>77.989999999999995</v>
          </cell>
          <cell r="D481">
            <v>129.99</v>
          </cell>
        </row>
        <row r="482">
          <cell r="B482" t="str">
            <v>08P48-TGS-100</v>
          </cell>
          <cell r="C482">
            <v>12.99</v>
          </cell>
          <cell r="D482">
            <v>20.99</v>
          </cell>
        </row>
        <row r="483">
          <cell r="B483" t="str">
            <v>08P48-TGS-100A</v>
          </cell>
          <cell r="C483">
            <v>77</v>
          </cell>
          <cell r="D483">
            <v>128</v>
          </cell>
        </row>
        <row r="484">
          <cell r="B484" t="str">
            <v>08U35-TGS-110</v>
          </cell>
          <cell r="C484">
            <v>310</v>
          </cell>
          <cell r="D484">
            <v>517</v>
          </cell>
        </row>
        <row r="485">
          <cell r="B485" t="str">
            <v>08U45-TGS-100</v>
          </cell>
          <cell r="C485">
            <v>115</v>
          </cell>
          <cell r="D485">
            <v>192</v>
          </cell>
        </row>
        <row r="486">
          <cell r="B486" t="str">
            <v>08U45-TGS-100A</v>
          </cell>
          <cell r="C486">
            <v>121</v>
          </cell>
          <cell r="D486">
            <v>202</v>
          </cell>
        </row>
        <row r="487">
          <cell r="B487" t="str">
            <v>08U58-TGS-110</v>
          </cell>
          <cell r="C487">
            <v>88.99</v>
          </cell>
          <cell r="D487">
            <v>147.99</v>
          </cell>
        </row>
        <row r="488">
          <cell r="B488" t="str">
            <v>08U59-TGS-100A</v>
          </cell>
          <cell r="C488">
            <v>22.99</v>
          </cell>
          <cell r="D488">
            <v>36.99</v>
          </cell>
        </row>
        <row r="489">
          <cell r="B489" t="str">
            <v>08U59-TGS-300</v>
          </cell>
          <cell r="C489">
            <v>89.99</v>
          </cell>
          <cell r="D489">
            <v>149.99</v>
          </cell>
        </row>
        <row r="490">
          <cell r="B490" t="str">
            <v>08V27-TGS-100A</v>
          </cell>
          <cell r="C490">
            <v>29.99</v>
          </cell>
          <cell r="D490">
            <v>48.99</v>
          </cell>
        </row>
        <row r="491">
          <cell r="B491" t="str">
            <v>08V67-TGS-110J</v>
          </cell>
          <cell r="C491">
            <v>207</v>
          </cell>
          <cell r="D491">
            <v>345</v>
          </cell>
        </row>
        <row r="492">
          <cell r="B492" t="str">
            <v>08V67-TGS-300B</v>
          </cell>
          <cell r="C492">
            <v>207</v>
          </cell>
          <cell r="D492">
            <v>345</v>
          </cell>
        </row>
        <row r="493">
          <cell r="B493" t="str">
            <v>08W20-TGS-301</v>
          </cell>
          <cell r="C493">
            <v>188.99</v>
          </cell>
          <cell r="D493">
            <v>314.99</v>
          </cell>
        </row>
        <row r="494">
          <cell r="B494" t="str">
            <v>08F20-3BM-100</v>
          </cell>
          <cell r="C494">
            <v>145</v>
          </cell>
          <cell r="D494">
            <v>242</v>
          </cell>
        </row>
        <row r="495">
          <cell r="B495" t="str">
            <v>08F20-3BM-100B</v>
          </cell>
          <cell r="C495">
            <v>63</v>
          </cell>
          <cell r="D495">
            <v>105</v>
          </cell>
        </row>
        <row r="496">
          <cell r="B496" t="str">
            <v>08L04-3BM-300</v>
          </cell>
          <cell r="C496">
            <v>258</v>
          </cell>
          <cell r="D496">
            <v>430</v>
          </cell>
        </row>
        <row r="497">
          <cell r="B497" t="str">
            <v>08L08-3BM-100</v>
          </cell>
          <cell r="C497">
            <v>932</v>
          </cell>
          <cell r="D497">
            <v>1331</v>
          </cell>
        </row>
        <row r="498">
          <cell r="B498" t="str">
            <v>08L33-3BM-100</v>
          </cell>
          <cell r="C498">
            <v>936</v>
          </cell>
          <cell r="D498">
            <v>1337</v>
          </cell>
        </row>
        <row r="499">
          <cell r="B499" t="str">
            <v>08L33-3BM-100A</v>
          </cell>
          <cell r="C499">
            <v>1191</v>
          </cell>
          <cell r="D499">
            <v>1832</v>
          </cell>
        </row>
        <row r="500">
          <cell r="B500" t="str">
            <v>08L92-3BM-100</v>
          </cell>
          <cell r="C500">
            <v>310</v>
          </cell>
          <cell r="D500">
            <v>515</v>
          </cell>
        </row>
        <row r="501">
          <cell r="B501" t="str">
            <v>08L92-3BM-100A</v>
          </cell>
          <cell r="C501">
            <v>91</v>
          </cell>
          <cell r="D501">
            <v>152</v>
          </cell>
        </row>
        <row r="502">
          <cell r="B502" t="str">
            <v>08L92-3BM-100C</v>
          </cell>
          <cell r="C502">
            <v>129</v>
          </cell>
          <cell r="D502">
            <v>215</v>
          </cell>
        </row>
        <row r="503">
          <cell r="B503" t="str">
            <v>08L96-3BM-300</v>
          </cell>
          <cell r="C503">
            <v>58</v>
          </cell>
          <cell r="D503">
            <v>97</v>
          </cell>
        </row>
        <row r="504">
          <cell r="B504" t="str">
            <v>08P00-3BM-100</v>
          </cell>
          <cell r="C504">
            <v>114</v>
          </cell>
          <cell r="D504">
            <v>190</v>
          </cell>
        </row>
        <row r="505">
          <cell r="B505" t="str">
            <v>08P04-3BM-100</v>
          </cell>
          <cell r="C505">
            <v>115</v>
          </cell>
          <cell r="D505">
            <v>192</v>
          </cell>
        </row>
        <row r="506">
          <cell r="B506" t="str">
            <v>08P05-3BM-100</v>
          </cell>
          <cell r="C506">
            <v>124</v>
          </cell>
          <cell r="D506">
            <v>207</v>
          </cell>
        </row>
        <row r="507">
          <cell r="B507" t="str">
            <v>08P17-3BM-120A</v>
          </cell>
          <cell r="C507">
            <v>210</v>
          </cell>
          <cell r="D507">
            <v>350</v>
          </cell>
        </row>
        <row r="508">
          <cell r="B508" t="str">
            <v>08P42-3BM-100</v>
          </cell>
          <cell r="C508">
            <v>123</v>
          </cell>
          <cell r="D508">
            <v>205</v>
          </cell>
        </row>
        <row r="509">
          <cell r="B509" t="str">
            <v>08P46-3BM-100</v>
          </cell>
          <cell r="C509">
            <v>389</v>
          </cell>
          <cell r="D509">
            <v>617</v>
          </cell>
        </row>
        <row r="510">
          <cell r="B510" t="str">
            <v>08U08-3BM-100</v>
          </cell>
          <cell r="C510">
            <v>105</v>
          </cell>
          <cell r="D510">
            <v>175</v>
          </cell>
        </row>
        <row r="511">
          <cell r="B511" t="str">
            <v>08U25-S5D-106</v>
          </cell>
          <cell r="C511">
            <v>39</v>
          </cell>
          <cell r="D511">
            <v>65</v>
          </cell>
        </row>
        <row r="512">
          <cell r="B512" t="str">
            <v>08U35-3BM-300A</v>
          </cell>
          <cell r="C512">
            <v>621</v>
          </cell>
          <cell r="D512">
            <v>1035</v>
          </cell>
        </row>
        <row r="513">
          <cell r="B513" t="str">
            <v>08U35-3BM-310</v>
          </cell>
          <cell r="C513">
            <v>273</v>
          </cell>
          <cell r="D513">
            <v>455</v>
          </cell>
        </row>
        <row r="514">
          <cell r="B514" t="str">
            <v>08U45-3BM-100</v>
          </cell>
          <cell r="C514">
            <v>120</v>
          </cell>
          <cell r="D514">
            <v>200</v>
          </cell>
        </row>
        <row r="515">
          <cell r="B515" t="str">
            <v>08U97-3BM-110</v>
          </cell>
          <cell r="C515">
            <v>517</v>
          </cell>
          <cell r="D515">
            <v>739</v>
          </cell>
        </row>
        <row r="516">
          <cell r="B516" t="str">
            <v>08V30-3BM-300</v>
          </cell>
          <cell r="C516">
            <v>83</v>
          </cell>
          <cell r="D516">
            <v>138</v>
          </cell>
        </row>
        <row r="517">
          <cell r="B517" t="str">
            <v>08W18-3BM-100</v>
          </cell>
          <cell r="C517">
            <v>518</v>
          </cell>
          <cell r="D517">
            <v>822</v>
          </cell>
        </row>
        <row r="518">
          <cell r="B518" t="str">
            <v>08Z03-3BM-100</v>
          </cell>
          <cell r="C518">
            <v>171</v>
          </cell>
          <cell r="D518">
            <v>285</v>
          </cell>
        </row>
        <row r="519">
          <cell r="B519" t="str">
            <v>08Z03-3BM-300</v>
          </cell>
          <cell r="C519">
            <v>171</v>
          </cell>
          <cell r="D519">
            <v>285</v>
          </cell>
        </row>
        <row r="520">
          <cell r="B520" t="str">
            <v>08Z05-3BM-100</v>
          </cell>
          <cell r="C520">
            <v>575</v>
          </cell>
          <cell r="D520">
            <v>958</v>
          </cell>
        </row>
        <row r="521">
          <cell r="B521" t="str">
            <v>76400-T90-A01</v>
          </cell>
          <cell r="C521">
            <v>343.03</v>
          </cell>
          <cell r="D521">
            <v>571.71</v>
          </cell>
        </row>
        <row r="522">
          <cell r="B522" t="str">
            <v xml:space="preserve">08F30-TGS-100A </v>
          </cell>
          <cell r="C522">
            <v>524</v>
          </cell>
          <cell r="D522">
            <v>746</v>
          </cell>
        </row>
        <row r="523">
          <cell r="B523" t="str">
            <v xml:space="preserve">08F57-TGS-100 </v>
          </cell>
          <cell r="C523">
            <v>225.99</v>
          </cell>
          <cell r="D523">
            <v>376.99</v>
          </cell>
        </row>
        <row r="524">
          <cell r="B524" t="str">
            <v xml:space="preserve">08P00-TGS-100 </v>
          </cell>
          <cell r="C524">
            <v>47</v>
          </cell>
          <cell r="D524">
            <v>76</v>
          </cell>
        </row>
        <row r="525">
          <cell r="B525" t="str">
            <v>08P05-T90-110</v>
          </cell>
          <cell r="C525">
            <v>224</v>
          </cell>
          <cell r="D525">
            <v>373</v>
          </cell>
        </row>
        <row r="526">
          <cell r="B526" t="str">
            <v>08P05-T90-120</v>
          </cell>
          <cell r="C526">
            <v>224</v>
          </cell>
          <cell r="D526">
            <v>373</v>
          </cell>
        </row>
        <row r="527">
          <cell r="B527" t="str">
            <v>08P05-T90-130</v>
          </cell>
          <cell r="C527">
            <v>224</v>
          </cell>
          <cell r="D527">
            <v>373</v>
          </cell>
        </row>
        <row r="528">
          <cell r="B528" t="str">
            <v>08P05-T90-140</v>
          </cell>
          <cell r="C528">
            <v>224</v>
          </cell>
          <cell r="D528">
            <v>373</v>
          </cell>
        </row>
        <row r="529">
          <cell r="B529" t="str">
            <v>08P05-T90-150</v>
          </cell>
          <cell r="C529">
            <v>224</v>
          </cell>
          <cell r="D529">
            <v>373</v>
          </cell>
        </row>
        <row r="530">
          <cell r="B530" t="str">
            <v>08P05-T90-160</v>
          </cell>
          <cell r="C530">
            <v>224</v>
          </cell>
          <cell r="D530">
            <v>373</v>
          </cell>
        </row>
        <row r="531">
          <cell r="B531" t="str">
            <v>08P05-T90-170</v>
          </cell>
          <cell r="C531">
            <v>224</v>
          </cell>
          <cell r="D531">
            <v>373</v>
          </cell>
        </row>
        <row r="532">
          <cell r="B532" t="str">
            <v>08P05-T90-180</v>
          </cell>
          <cell r="C532">
            <v>224</v>
          </cell>
          <cell r="D532">
            <v>373</v>
          </cell>
        </row>
        <row r="533">
          <cell r="B533" t="str">
            <v>08P20-T90-110A</v>
          </cell>
          <cell r="C533">
            <v>168</v>
          </cell>
          <cell r="D533">
            <v>280</v>
          </cell>
        </row>
        <row r="534">
          <cell r="B534" t="str">
            <v>08P20-T90-120A</v>
          </cell>
          <cell r="C534">
            <v>168</v>
          </cell>
          <cell r="D534">
            <v>280</v>
          </cell>
        </row>
        <row r="535">
          <cell r="B535" t="str">
            <v>08P20-T90-130A</v>
          </cell>
          <cell r="C535">
            <v>168</v>
          </cell>
          <cell r="D535">
            <v>280</v>
          </cell>
        </row>
        <row r="536">
          <cell r="B536" t="str">
            <v>08P20-T90-140A</v>
          </cell>
          <cell r="C536">
            <v>168</v>
          </cell>
          <cell r="D536">
            <v>280</v>
          </cell>
        </row>
        <row r="537">
          <cell r="B537" t="str">
            <v>08P20-T90-150A</v>
          </cell>
          <cell r="C537">
            <v>168</v>
          </cell>
          <cell r="D537">
            <v>280</v>
          </cell>
        </row>
        <row r="538">
          <cell r="B538" t="str">
            <v>08P20-T90-160A</v>
          </cell>
          <cell r="C538">
            <v>168</v>
          </cell>
          <cell r="D538">
            <v>280</v>
          </cell>
        </row>
        <row r="539">
          <cell r="B539" t="str">
            <v>08P20-T90-170A</v>
          </cell>
          <cell r="C539">
            <v>168</v>
          </cell>
          <cell r="D539">
            <v>280</v>
          </cell>
        </row>
        <row r="540">
          <cell r="B540" t="str">
            <v>08P20-T90-180A</v>
          </cell>
          <cell r="C540">
            <v>168</v>
          </cell>
          <cell r="D540">
            <v>280</v>
          </cell>
        </row>
        <row r="541">
          <cell r="B541" t="str">
            <v xml:space="preserve">08W20-TGS-300B </v>
          </cell>
          <cell r="C541">
            <v>200.99</v>
          </cell>
          <cell r="D541">
            <v>330.99</v>
          </cell>
        </row>
        <row r="542">
          <cell r="B542" t="str">
            <v>08F21-T6Z-100B</v>
          </cell>
          <cell r="C542">
            <v>229.99</v>
          </cell>
          <cell r="D542">
            <v>379.99</v>
          </cell>
        </row>
        <row r="543">
          <cell r="B543" t="str">
            <v>08F47-TGS-100A</v>
          </cell>
          <cell r="C543">
            <v>193</v>
          </cell>
          <cell r="D543">
            <v>322</v>
          </cell>
        </row>
        <row r="544">
          <cell r="B544" t="str">
            <v>08P17-TGS-110C</v>
          </cell>
          <cell r="C544">
            <v>202</v>
          </cell>
          <cell r="D544">
            <v>337</v>
          </cell>
        </row>
        <row r="545">
          <cell r="B545" t="str">
            <v>08P42-TGS-100C</v>
          </cell>
          <cell r="C545">
            <v>107</v>
          </cell>
          <cell r="D545">
            <v>178</v>
          </cell>
        </row>
        <row r="546">
          <cell r="B546" t="str">
            <v>08P46-T6Z-300A</v>
          </cell>
          <cell r="C546">
            <v>358</v>
          </cell>
          <cell r="D546">
            <v>597</v>
          </cell>
        </row>
        <row r="547">
          <cell r="B547" t="str">
            <v>08U45-TGS-100B</v>
          </cell>
          <cell r="C547">
            <v>115</v>
          </cell>
          <cell r="D547">
            <v>192</v>
          </cell>
        </row>
        <row r="548">
          <cell r="B548" t="str">
            <v>08P05-TG7-111</v>
          </cell>
          <cell r="C548">
            <v>216</v>
          </cell>
          <cell r="D548">
            <v>360</v>
          </cell>
        </row>
        <row r="549">
          <cell r="B549" t="str">
            <v>08P05-TG7-121</v>
          </cell>
          <cell r="C549">
            <v>216</v>
          </cell>
          <cell r="D549">
            <v>360</v>
          </cell>
        </row>
        <row r="550">
          <cell r="B550" t="str">
            <v>08P05-TG7-131</v>
          </cell>
          <cell r="C550">
            <v>216</v>
          </cell>
          <cell r="D550">
            <v>360</v>
          </cell>
        </row>
        <row r="551">
          <cell r="B551" t="str">
            <v>08P05-TG7-141</v>
          </cell>
          <cell r="C551">
            <v>216</v>
          </cell>
          <cell r="D551">
            <v>360</v>
          </cell>
        </row>
        <row r="552">
          <cell r="B552" t="str">
            <v>08P05-TG7-151</v>
          </cell>
          <cell r="C552">
            <v>216</v>
          </cell>
          <cell r="D552">
            <v>360</v>
          </cell>
        </row>
        <row r="553">
          <cell r="B553" t="str">
            <v>08P05-TG7-161</v>
          </cell>
          <cell r="C553">
            <v>216</v>
          </cell>
          <cell r="D553">
            <v>360</v>
          </cell>
        </row>
        <row r="554">
          <cell r="B554" t="str">
            <v>08P05-TG7-170</v>
          </cell>
          <cell r="C554">
            <v>216</v>
          </cell>
          <cell r="D554">
            <v>360</v>
          </cell>
        </row>
        <row r="555">
          <cell r="B555" t="str">
            <v>08P05-TG7-181</v>
          </cell>
          <cell r="C555">
            <v>216</v>
          </cell>
          <cell r="D555">
            <v>360</v>
          </cell>
        </row>
        <row r="556">
          <cell r="B556" t="str">
            <v>08P05-TG7-191</v>
          </cell>
          <cell r="C556">
            <v>216</v>
          </cell>
          <cell r="D556">
            <v>360</v>
          </cell>
        </row>
        <row r="557">
          <cell r="B557" t="str">
            <v>08P05-TG7-1B1</v>
          </cell>
          <cell r="C557">
            <v>216</v>
          </cell>
          <cell r="D557">
            <v>360</v>
          </cell>
        </row>
        <row r="558">
          <cell r="B558" t="str">
            <v>08P05-TG7-1C1</v>
          </cell>
          <cell r="C558">
            <v>216</v>
          </cell>
          <cell r="D558">
            <v>360</v>
          </cell>
        </row>
        <row r="559">
          <cell r="B559" t="str">
            <v>08P05-TG7-1D1</v>
          </cell>
          <cell r="C559">
            <v>216</v>
          </cell>
          <cell r="D559">
            <v>360</v>
          </cell>
        </row>
        <row r="560">
          <cell r="B560" t="str">
            <v>08P20-TG7-110A</v>
          </cell>
          <cell r="C560">
            <v>145</v>
          </cell>
          <cell r="D560">
            <v>207</v>
          </cell>
        </row>
        <row r="561">
          <cell r="B561" t="str">
            <v>08P20-TG7-120A</v>
          </cell>
          <cell r="C561">
            <v>145</v>
          </cell>
          <cell r="D561">
            <v>207</v>
          </cell>
        </row>
        <row r="562">
          <cell r="B562" t="str">
            <v>08P20-TG7-130A</v>
          </cell>
          <cell r="C562">
            <v>145</v>
          </cell>
          <cell r="D562">
            <v>207</v>
          </cell>
        </row>
        <row r="563">
          <cell r="B563" t="str">
            <v>08P20-TG7-140A</v>
          </cell>
          <cell r="C563">
            <v>145</v>
          </cell>
          <cell r="D563">
            <v>207</v>
          </cell>
        </row>
        <row r="564">
          <cell r="B564" t="str">
            <v>08P20-TG7-150A</v>
          </cell>
          <cell r="C564">
            <v>145</v>
          </cell>
          <cell r="D564">
            <v>207</v>
          </cell>
        </row>
        <row r="565">
          <cell r="B565" t="str">
            <v>08P20-TG7-160A</v>
          </cell>
          <cell r="C565">
            <v>145</v>
          </cell>
          <cell r="D565">
            <v>207</v>
          </cell>
        </row>
        <row r="566">
          <cell r="B566" t="str">
            <v>08P20-TG7-170A</v>
          </cell>
          <cell r="C566">
            <v>145</v>
          </cell>
          <cell r="D566">
            <v>207</v>
          </cell>
        </row>
        <row r="567">
          <cell r="B567" t="str">
            <v>08P20-TG7-180A</v>
          </cell>
          <cell r="C567">
            <v>145</v>
          </cell>
          <cell r="D567">
            <v>207</v>
          </cell>
        </row>
        <row r="568">
          <cell r="B568" t="str">
            <v>08P20-TG7-190A</v>
          </cell>
          <cell r="C568">
            <v>145</v>
          </cell>
          <cell r="D568">
            <v>207</v>
          </cell>
        </row>
        <row r="569">
          <cell r="B569" t="str">
            <v>08P20-TG7-1A0A</v>
          </cell>
          <cell r="C569">
            <v>145</v>
          </cell>
          <cell r="D569">
            <v>207</v>
          </cell>
        </row>
        <row r="570">
          <cell r="B570" t="str">
            <v>08P20-TG7-1B0A</v>
          </cell>
          <cell r="C570">
            <v>30.99</v>
          </cell>
          <cell r="D570">
            <v>50.99</v>
          </cell>
        </row>
        <row r="571">
          <cell r="B571" t="str">
            <v>08P20-TG7-1C0A</v>
          </cell>
          <cell r="C571">
            <v>145</v>
          </cell>
          <cell r="D571">
            <v>207</v>
          </cell>
        </row>
        <row r="572">
          <cell r="B572" t="str">
            <v>08P47-T6Z-301</v>
          </cell>
          <cell r="C572">
            <v>155</v>
          </cell>
          <cell r="D572">
            <v>258</v>
          </cell>
        </row>
        <row r="573">
          <cell r="B573" t="str">
            <v>08P47-TG7-302</v>
          </cell>
          <cell r="C573">
            <v>210</v>
          </cell>
          <cell r="D573">
            <v>323</v>
          </cell>
        </row>
        <row r="574">
          <cell r="B574" t="str">
            <v>08P48-TG7-100C</v>
          </cell>
          <cell r="C574">
            <v>40</v>
          </cell>
          <cell r="D574">
            <v>67</v>
          </cell>
        </row>
        <row r="575">
          <cell r="B575" t="str">
            <v>08P48-TG7-101</v>
          </cell>
          <cell r="C575">
            <v>75</v>
          </cell>
          <cell r="D575">
            <v>125</v>
          </cell>
        </row>
        <row r="576">
          <cell r="B576" t="str">
            <v>08R01-TG7-302</v>
          </cell>
          <cell r="C576">
            <v>186</v>
          </cell>
          <cell r="D576">
            <v>310</v>
          </cell>
        </row>
        <row r="577">
          <cell r="B577" t="str">
            <v>08R04-TG7-100A</v>
          </cell>
          <cell r="C577">
            <v>165</v>
          </cell>
          <cell r="D577">
            <v>275</v>
          </cell>
        </row>
        <row r="578">
          <cell r="B578" t="str">
            <v>08R04-TG7-101</v>
          </cell>
          <cell r="C578">
            <v>165</v>
          </cell>
          <cell r="D578">
            <v>275</v>
          </cell>
        </row>
        <row r="579">
          <cell r="B579" t="str">
            <v>08R06-TG7-100</v>
          </cell>
          <cell r="C579">
            <v>110</v>
          </cell>
          <cell r="D579">
            <v>183</v>
          </cell>
        </row>
        <row r="580">
          <cell r="B580" t="str">
            <v>08U97-TG7-114</v>
          </cell>
          <cell r="C580">
            <v>635</v>
          </cell>
          <cell r="D580">
            <v>1058</v>
          </cell>
        </row>
        <row r="581">
          <cell r="B581" t="str">
            <v>08V27-TG7-100</v>
          </cell>
          <cell r="C581">
            <v>297</v>
          </cell>
          <cell r="D581">
            <v>424</v>
          </cell>
        </row>
        <row r="582">
          <cell r="B582" t="str">
            <v>08W20-T90-300D</v>
          </cell>
          <cell r="C582">
            <v>733</v>
          </cell>
          <cell r="D582">
            <v>1040</v>
          </cell>
        </row>
        <row r="583">
          <cell r="B583">
            <v>84933501</v>
          </cell>
          <cell r="C583">
            <v>1050</v>
          </cell>
          <cell r="D583">
            <v>1750</v>
          </cell>
        </row>
        <row r="584">
          <cell r="B584">
            <v>85039001</v>
          </cell>
          <cell r="C584">
            <v>222</v>
          </cell>
          <cell r="D584">
            <v>370</v>
          </cell>
        </row>
        <row r="585">
          <cell r="B585">
            <v>85105297</v>
          </cell>
          <cell r="C585">
            <v>410</v>
          </cell>
          <cell r="D585">
            <v>683</v>
          </cell>
        </row>
        <row r="586">
          <cell r="B586">
            <v>85548789</v>
          </cell>
          <cell r="C586">
            <v>164</v>
          </cell>
          <cell r="D586">
            <v>273</v>
          </cell>
        </row>
        <row r="587">
          <cell r="B587" t="str">
            <v>08E70-PT9-300</v>
          </cell>
          <cell r="C587">
            <v>0.01</v>
          </cell>
          <cell r="D587">
            <v>0.01</v>
          </cell>
        </row>
        <row r="588">
          <cell r="B588" t="str">
            <v>08E70-PT9-300CP</v>
          </cell>
          <cell r="C588">
            <v>513</v>
          </cell>
          <cell r="D588">
            <v>855</v>
          </cell>
        </row>
        <row r="589">
          <cell r="B589" t="str">
            <v>08F20-PS2-100</v>
          </cell>
          <cell r="C589">
            <v>97</v>
          </cell>
          <cell r="D589">
            <v>162</v>
          </cell>
        </row>
        <row r="590">
          <cell r="B590" t="str">
            <v>08F20-PS2-100A</v>
          </cell>
          <cell r="C590">
            <v>47</v>
          </cell>
          <cell r="D590">
            <v>78</v>
          </cell>
        </row>
        <row r="591">
          <cell r="B591" t="str">
            <v>08F20-PS2-100C</v>
          </cell>
          <cell r="C591">
            <v>33</v>
          </cell>
          <cell r="D591">
            <v>55</v>
          </cell>
        </row>
        <row r="592">
          <cell r="B592" t="str">
            <v>08F20-PS2-100D</v>
          </cell>
          <cell r="C592">
            <v>33</v>
          </cell>
          <cell r="D592">
            <v>55</v>
          </cell>
        </row>
        <row r="593">
          <cell r="B593" t="str">
            <v>08F21-PS2-100</v>
          </cell>
          <cell r="C593">
            <v>273</v>
          </cell>
          <cell r="D593">
            <v>455</v>
          </cell>
        </row>
        <row r="594">
          <cell r="B594" t="str">
            <v>08F23-PS2-110A</v>
          </cell>
          <cell r="C594">
            <v>364</v>
          </cell>
          <cell r="D594">
            <v>607</v>
          </cell>
        </row>
        <row r="595">
          <cell r="B595" t="str">
            <v>08F24-PS2-110</v>
          </cell>
          <cell r="C595">
            <v>228</v>
          </cell>
          <cell r="D595">
            <v>380</v>
          </cell>
        </row>
        <row r="596">
          <cell r="B596" t="str">
            <v>08F24-PS2-310A</v>
          </cell>
          <cell r="C596">
            <v>115</v>
          </cell>
          <cell r="D596">
            <v>190</v>
          </cell>
        </row>
        <row r="597">
          <cell r="B597" t="str">
            <v>08F57-PS2-100A</v>
          </cell>
          <cell r="C597">
            <v>204</v>
          </cell>
          <cell r="D597">
            <v>340</v>
          </cell>
        </row>
        <row r="598">
          <cell r="B598" t="str">
            <v>08F57-PS2-110</v>
          </cell>
          <cell r="C598">
            <v>364</v>
          </cell>
          <cell r="D598">
            <v>607</v>
          </cell>
        </row>
        <row r="599">
          <cell r="B599" t="str">
            <v>08L04-PS2-300</v>
          </cell>
          <cell r="C599">
            <v>509</v>
          </cell>
          <cell r="D599">
            <v>848</v>
          </cell>
        </row>
        <row r="600">
          <cell r="B600" t="str">
            <v>08L92-PS2-100A</v>
          </cell>
          <cell r="C600">
            <v>55</v>
          </cell>
          <cell r="D600">
            <v>92</v>
          </cell>
        </row>
        <row r="601">
          <cell r="B601" t="str">
            <v>08P04-PS2-100</v>
          </cell>
          <cell r="C601">
            <v>124</v>
          </cell>
          <cell r="D601">
            <v>207</v>
          </cell>
        </row>
        <row r="602">
          <cell r="B602" t="str">
            <v>08P17-PS2-110</v>
          </cell>
          <cell r="C602">
            <v>215</v>
          </cell>
          <cell r="D602">
            <v>358</v>
          </cell>
        </row>
        <row r="603">
          <cell r="B603" t="str">
            <v>08P20-PS2-100</v>
          </cell>
          <cell r="C603">
            <v>55</v>
          </cell>
          <cell r="D603">
            <v>92</v>
          </cell>
        </row>
        <row r="604">
          <cell r="B604" t="str">
            <v>08P20-PS2-110A</v>
          </cell>
          <cell r="C604">
            <v>159</v>
          </cell>
          <cell r="D604">
            <v>265</v>
          </cell>
        </row>
        <row r="605">
          <cell r="B605" t="str">
            <v>08P20-PS2-120A</v>
          </cell>
          <cell r="C605">
            <v>159</v>
          </cell>
          <cell r="D605">
            <v>265</v>
          </cell>
        </row>
        <row r="606">
          <cell r="B606" t="str">
            <v>08P20-PS2-130A</v>
          </cell>
          <cell r="C606">
            <v>159</v>
          </cell>
          <cell r="D606">
            <v>265</v>
          </cell>
        </row>
        <row r="607">
          <cell r="B607" t="str">
            <v>08P20-PS2-140A</v>
          </cell>
          <cell r="C607">
            <v>159</v>
          </cell>
          <cell r="D607">
            <v>265</v>
          </cell>
        </row>
        <row r="608">
          <cell r="B608" t="str">
            <v>08P20-PS2-150A</v>
          </cell>
          <cell r="C608">
            <v>159</v>
          </cell>
          <cell r="D608">
            <v>265</v>
          </cell>
        </row>
        <row r="609">
          <cell r="B609" t="str">
            <v>08P20-PS2-160A</v>
          </cell>
          <cell r="C609">
            <v>159</v>
          </cell>
          <cell r="D609">
            <v>265</v>
          </cell>
        </row>
        <row r="610">
          <cell r="B610" t="str">
            <v>08P20-PS2-170A</v>
          </cell>
          <cell r="C610">
            <v>159</v>
          </cell>
          <cell r="D610">
            <v>265</v>
          </cell>
        </row>
        <row r="611">
          <cell r="B611" t="str">
            <v>08P21-PS2-100</v>
          </cell>
          <cell r="C611">
            <v>590</v>
          </cell>
          <cell r="D611">
            <v>983</v>
          </cell>
        </row>
        <row r="612">
          <cell r="B612" t="str">
            <v>08P30-PS2-100</v>
          </cell>
          <cell r="C612">
            <v>124</v>
          </cell>
          <cell r="D612">
            <v>207</v>
          </cell>
        </row>
        <row r="613">
          <cell r="B613" t="str">
            <v>08P48-PS2-100</v>
          </cell>
          <cell r="C613">
            <v>47</v>
          </cell>
          <cell r="D613">
            <v>78</v>
          </cell>
        </row>
        <row r="614">
          <cell r="B614" t="str">
            <v>08P48-PS2-100A</v>
          </cell>
          <cell r="C614">
            <v>84</v>
          </cell>
          <cell r="D614">
            <v>140</v>
          </cell>
        </row>
        <row r="615">
          <cell r="B615" t="str">
            <v>08R04-PS2-100</v>
          </cell>
          <cell r="C615">
            <v>196</v>
          </cell>
          <cell r="D615">
            <v>327</v>
          </cell>
        </row>
        <row r="616">
          <cell r="B616" t="str">
            <v>08R13-PS2-100</v>
          </cell>
          <cell r="C616">
            <v>204</v>
          </cell>
          <cell r="D616">
            <v>340</v>
          </cell>
        </row>
        <row r="617">
          <cell r="B617" t="str">
            <v>08U45-PS2-100</v>
          </cell>
          <cell r="C617">
            <v>120</v>
          </cell>
          <cell r="D617">
            <v>200</v>
          </cell>
        </row>
        <row r="618">
          <cell r="B618" t="str">
            <v>08W19-PS2-100</v>
          </cell>
          <cell r="C618">
            <v>499</v>
          </cell>
          <cell r="D618">
            <v>799</v>
          </cell>
        </row>
        <row r="619">
          <cell r="B619" t="str">
            <v>08Z07-PS2-310</v>
          </cell>
          <cell r="C619">
            <v>279</v>
          </cell>
          <cell r="D619">
            <v>465</v>
          </cell>
        </row>
        <row r="620">
          <cell r="B620" t="str">
            <v>08E12-T6Z-100B</v>
          </cell>
          <cell r="C620">
            <v>363</v>
          </cell>
          <cell r="D620">
            <v>605</v>
          </cell>
        </row>
        <row r="621">
          <cell r="B621" t="str">
            <v>08E12-T6Z-100C</v>
          </cell>
          <cell r="C621">
            <v>363</v>
          </cell>
          <cell r="D621">
            <v>605</v>
          </cell>
        </row>
        <row r="622">
          <cell r="B622" t="str">
            <v>08E12-T6Z-101</v>
          </cell>
          <cell r="C622">
            <v>211</v>
          </cell>
          <cell r="D622">
            <v>352</v>
          </cell>
        </row>
        <row r="623">
          <cell r="B623" t="str">
            <v>08F20-T6Z-100</v>
          </cell>
          <cell r="C623">
            <v>71</v>
          </cell>
          <cell r="D623">
            <v>118</v>
          </cell>
        </row>
        <row r="624">
          <cell r="B624" t="str">
            <v>08F20-T6Z-100A</v>
          </cell>
          <cell r="C624">
            <v>36</v>
          </cell>
          <cell r="D624">
            <v>60</v>
          </cell>
        </row>
        <row r="625">
          <cell r="B625" t="str">
            <v xml:space="preserve">08F20-T6Z-100B </v>
          </cell>
          <cell r="C625">
            <v>115</v>
          </cell>
          <cell r="D625">
            <v>192</v>
          </cell>
        </row>
        <row r="626">
          <cell r="B626" t="str">
            <v>08F20-TGS-100A</v>
          </cell>
          <cell r="C626">
            <v>42</v>
          </cell>
          <cell r="D626">
            <v>70</v>
          </cell>
        </row>
        <row r="627">
          <cell r="B627" t="str">
            <v>08F21-T6Z-100</v>
          </cell>
          <cell r="C627">
            <v>23.99</v>
          </cell>
          <cell r="D627">
            <v>39.99</v>
          </cell>
        </row>
        <row r="628">
          <cell r="B628" t="str">
            <v>08F21-T6Z-100A</v>
          </cell>
          <cell r="C628">
            <v>291</v>
          </cell>
          <cell r="D628">
            <v>485</v>
          </cell>
        </row>
        <row r="629">
          <cell r="B629" t="str">
            <v>08F30-T6Z-100</v>
          </cell>
          <cell r="C629">
            <v>335</v>
          </cell>
          <cell r="D629">
            <v>558</v>
          </cell>
        </row>
        <row r="630">
          <cell r="B630" t="str">
            <v>08F57-T6Z-100</v>
          </cell>
          <cell r="C630">
            <v>278</v>
          </cell>
          <cell r="D630">
            <v>463</v>
          </cell>
        </row>
        <row r="631">
          <cell r="B631" t="str">
            <v>08L02-T6Z-102</v>
          </cell>
          <cell r="C631">
            <v>496</v>
          </cell>
          <cell r="D631">
            <v>827</v>
          </cell>
        </row>
        <row r="632">
          <cell r="B632" t="str">
            <v>08L02-T6Z-102A</v>
          </cell>
          <cell r="C632">
            <v>496</v>
          </cell>
          <cell r="D632">
            <v>827</v>
          </cell>
        </row>
        <row r="633">
          <cell r="B633" t="str">
            <v>08L04-TGS-300</v>
          </cell>
          <cell r="C633">
            <v>258</v>
          </cell>
          <cell r="D633">
            <v>430</v>
          </cell>
        </row>
        <row r="634">
          <cell r="B634" t="str">
            <v>08L26-T6Z-301</v>
          </cell>
          <cell r="C634">
            <v>477</v>
          </cell>
          <cell r="D634">
            <v>757</v>
          </cell>
        </row>
        <row r="635">
          <cell r="B635" t="str">
            <v>08L26-T6Z-301A</v>
          </cell>
          <cell r="C635">
            <v>569</v>
          </cell>
          <cell r="D635">
            <v>813</v>
          </cell>
        </row>
        <row r="636">
          <cell r="B636" t="str">
            <v>08L33-T6Z-100</v>
          </cell>
          <cell r="C636">
            <v>998</v>
          </cell>
          <cell r="D636">
            <v>1663</v>
          </cell>
        </row>
        <row r="637">
          <cell r="B637" t="str">
            <v>08L33-T6Z-101A</v>
          </cell>
          <cell r="C637">
            <v>646</v>
          </cell>
          <cell r="D637">
            <v>1077</v>
          </cell>
        </row>
        <row r="638">
          <cell r="B638" t="str">
            <v>08L33-T6Z-101B</v>
          </cell>
          <cell r="C638">
            <v>838</v>
          </cell>
          <cell r="D638">
            <v>1397</v>
          </cell>
        </row>
        <row r="639">
          <cell r="B639" t="str">
            <v>08L91-T6Z-101</v>
          </cell>
          <cell r="C639">
            <v>182</v>
          </cell>
          <cell r="D639">
            <v>303</v>
          </cell>
        </row>
        <row r="640">
          <cell r="B640" t="str">
            <v>08L92-T6Z-300</v>
          </cell>
          <cell r="C640">
            <v>144</v>
          </cell>
          <cell r="D640">
            <v>240</v>
          </cell>
        </row>
        <row r="641">
          <cell r="B641" t="str">
            <v>08L96-T6Z-100A</v>
          </cell>
          <cell r="C641">
            <v>155</v>
          </cell>
          <cell r="D641">
            <v>258</v>
          </cell>
        </row>
        <row r="642">
          <cell r="B642" t="str">
            <v>08L96-T6Z-300</v>
          </cell>
          <cell r="C642">
            <v>58</v>
          </cell>
          <cell r="D642">
            <v>97</v>
          </cell>
        </row>
        <row r="643">
          <cell r="B643" t="str">
            <v>08P04-T6Z-100</v>
          </cell>
          <cell r="C643">
            <v>124</v>
          </cell>
          <cell r="D643">
            <v>207</v>
          </cell>
        </row>
        <row r="644">
          <cell r="B644" t="str">
            <v>08P05-T6Z-111</v>
          </cell>
          <cell r="C644">
            <v>203</v>
          </cell>
          <cell r="D644">
            <v>338</v>
          </cell>
        </row>
        <row r="645">
          <cell r="B645" t="str">
            <v>08P05-T6Z-121</v>
          </cell>
          <cell r="C645">
            <v>203</v>
          </cell>
          <cell r="D645">
            <v>338</v>
          </cell>
        </row>
        <row r="646">
          <cell r="B646" t="str">
            <v>08P05-T6Z-131</v>
          </cell>
          <cell r="C646">
            <v>203</v>
          </cell>
          <cell r="D646">
            <v>338</v>
          </cell>
        </row>
        <row r="647">
          <cell r="B647" t="str">
            <v>08P05-T6Z-141</v>
          </cell>
          <cell r="C647">
            <v>203</v>
          </cell>
          <cell r="D647">
            <v>338</v>
          </cell>
        </row>
        <row r="648">
          <cell r="B648" t="str">
            <v>08P05-T6Z-151</v>
          </cell>
          <cell r="C648">
            <v>203</v>
          </cell>
          <cell r="D648">
            <v>338</v>
          </cell>
        </row>
        <row r="649">
          <cell r="B649" t="str">
            <v>08P05-T6Z-160</v>
          </cell>
          <cell r="C649">
            <v>203</v>
          </cell>
          <cell r="D649">
            <v>338</v>
          </cell>
        </row>
        <row r="650">
          <cell r="B650" t="str">
            <v>08P05-T6Z-171</v>
          </cell>
          <cell r="C650">
            <v>203</v>
          </cell>
          <cell r="D650">
            <v>338</v>
          </cell>
        </row>
        <row r="651">
          <cell r="B651" t="str">
            <v>08P05-T6Z-181</v>
          </cell>
          <cell r="C651">
            <v>203</v>
          </cell>
          <cell r="D651">
            <v>338</v>
          </cell>
        </row>
        <row r="652">
          <cell r="B652" t="str">
            <v>08P05-T6Z-1A1</v>
          </cell>
          <cell r="C652">
            <v>203</v>
          </cell>
          <cell r="D652">
            <v>338</v>
          </cell>
        </row>
        <row r="653">
          <cell r="B653" t="str">
            <v>08P05-T6Z-1B1</v>
          </cell>
          <cell r="C653">
            <v>203</v>
          </cell>
          <cell r="D653">
            <v>338</v>
          </cell>
        </row>
        <row r="654">
          <cell r="B654" t="str">
            <v>08P17-T6Z-110A</v>
          </cell>
          <cell r="C654">
            <v>182</v>
          </cell>
          <cell r="D654">
            <v>303</v>
          </cell>
        </row>
        <row r="655">
          <cell r="B655" t="str">
            <v>08P20-T6Z-101</v>
          </cell>
          <cell r="C655">
            <v>59</v>
          </cell>
          <cell r="D655">
            <v>98</v>
          </cell>
        </row>
        <row r="656">
          <cell r="B656" t="str">
            <v>08P20-T6Z-110A</v>
          </cell>
          <cell r="C656">
            <v>158</v>
          </cell>
          <cell r="D656">
            <v>263</v>
          </cell>
        </row>
        <row r="657">
          <cell r="B657" t="str">
            <v>08P20-T6Z-120A</v>
          </cell>
          <cell r="C657">
            <v>158</v>
          </cell>
          <cell r="D657">
            <v>263</v>
          </cell>
        </row>
        <row r="658">
          <cell r="B658" t="str">
            <v>08P20-T6Z-130A</v>
          </cell>
          <cell r="C658">
            <v>158</v>
          </cell>
          <cell r="D658">
            <v>263</v>
          </cell>
        </row>
        <row r="659">
          <cell r="B659" t="str">
            <v>08P20-T6Z-140A</v>
          </cell>
          <cell r="C659">
            <v>158</v>
          </cell>
          <cell r="D659">
            <v>263</v>
          </cell>
        </row>
        <row r="660">
          <cell r="B660" t="str">
            <v>08P20-T6Z-150A</v>
          </cell>
          <cell r="C660">
            <v>158</v>
          </cell>
          <cell r="D660">
            <v>263</v>
          </cell>
        </row>
        <row r="661">
          <cell r="B661" t="str">
            <v>08P20-T6Z-160A</v>
          </cell>
          <cell r="C661">
            <v>158</v>
          </cell>
          <cell r="D661">
            <v>263</v>
          </cell>
        </row>
        <row r="662">
          <cell r="B662" t="str">
            <v>08P20-T6Z-170A</v>
          </cell>
          <cell r="C662">
            <v>158</v>
          </cell>
          <cell r="D662">
            <v>263</v>
          </cell>
        </row>
        <row r="663">
          <cell r="B663" t="str">
            <v>08P20-T6Z-180A</v>
          </cell>
          <cell r="C663">
            <v>158</v>
          </cell>
          <cell r="D663">
            <v>263</v>
          </cell>
        </row>
        <row r="664">
          <cell r="B664" t="str">
            <v>08P20-T6Z-1A0A</v>
          </cell>
          <cell r="C664">
            <v>158</v>
          </cell>
          <cell r="D664">
            <v>263</v>
          </cell>
        </row>
        <row r="665">
          <cell r="B665" t="str">
            <v>08P20-T6Z-1B0A</v>
          </cell>
          <cell r="C665">
            <v>158</v>
          </cell>
          <cell r="D665">
            <v>263</v>
          </cell>
        </row>
        <row r="666">
          <cell r="B666" t="str">
            <v>08P21-T6Z-100</v>
          </cell>
          <cell r="C666">
            <v>354</v>
          </cell>
          <cell r="D666">
            <v>590</v>
          </cell>
        </row>
        <row r="667">
          <cell r="B667" t="str">
            <v>08P21-T6Z-100A</v>
          </cell>
          <cell r="C667">
            <v>561</v>
          </cell>
          <cell r="D667">
            <v>935</v>
          </cell>
        </row>
        <row r="668">
          <cell r="B668" t="str">
            <v>08P32-T6Z-310</v>
          </cell>
          <cell r="C668">
            <v>368</v>
          </cell>
          <cell r="D668">
            <v>526</v>
          </cell>
        </row>
        <row r="669">
          <cell r="B669" t="str">
            <v>08P35-T6Z-100</v>
          </cell>
          <cell r="C669">
            <v>196</v>
          </cell>
          <cell r="D669">
            <v>327</v>
          </cell>
        </row>
        <row r="670">
          <cell r="B670" t="str">
            <v>08P46-T6Z-100</v>
          </cell>
          <cell r="C670">
            <v>586</v>
          </cell>
          <cell r="D670">
            <v>977</v>
          </cell>
        </row>
        <row r="671">
          <cell r="B671" t="str">
            <v>08P47-T6Z-300A</v>
          </cell>
          <cell r="C671">
            <v>181</v>
          </cell>
          <cell r="D671">
            <v>302</v>
          </cell>
        </row>
        <row r="672">
          <cell r="B672" t="str">
            <v>08R04-T6Z-101</v>
          </cell>
          <cell r="C672">
            <v>203</v>
          </cell>
          <cell r="D672">
            <v>338</v>
          </cell>
        </row>
        <row r="673">
          <cell r="B673" t="str">
            <v>08U35-T6Z-100</v>
          </cell>
          <cell r="C673">
            <v>50</v>
          </cell>
          <cell r="D673">
            <v>83</v>
          </cell>
        </row>
        <row r="674">
          <cell r="B674" t="str">
            <v>08U43-T6Z-100</v>
          </cell>
          <cell r="C674">
            <v>190</v>
          </cell>
          <cell r="D674">
            <v>317</v>
          </cell>
        </row>
        <row r="675">
          <cell r="B675" t="str">
            <v>08U45-T6Z-100</v>
          </cell>
          <cell r="C675">
            <v>51</v>
          </cell>
          <cell r="D675">
            <v>85</v>
          </cell>
        </row>
        <row r="676">
          <cell r="B676" t="str">
            <v>08U45-T6Z-100A</v>
          </cell>
          <cell r="C676">
            <v>51</v>
          </cell>
          <cell r="D676">
            <v>85</v>
          </cell>
        </row>
        <row r="677">
          <cell r="B677" t="str">
            <v>08V31-T6Z-100A</v>
          </cell>
          <cell r="C677">
            <v>280</v>
          </cell>
          <cell r="D677">
            <v>466</v>
          </cell>
        </row>
        <row r="678">
          <cell r="B678" t="str">
            <v>08V67-T6Z-110K</v>
          </cell>
          <cell r="C678">
            <v>174</v>
          </cell>
          <cell r="D678">
            <v>290</v>
          </cell>
        </row>
        <row r="679">
          <cell r="B679" t="str">
            <v>08V67-T6Z-300A</v>
          </cell>
          <cell r="C679">
            <v>248</v>
          </cell>
          <cell r="D679">
            <v>413</v>
          </cell>
        </row>
        <row r="680">
          <cell r="B680" t="str">
            <v>08W18-T6Z-100</v>
          </cell>
          <cell r="C680">
            <v>469</v>
          </cell>
          <cell r="D680">
            <v>782</v>
          </cell>
        </row>
        <row r="681">
          <cell r="B681" t="str">
            <v>08W18-T6Z-300A</v>
          </cell>
          <cell r="C681">
            <v>678</v>
          </cell>
          <cell r="D681">
            <v>1130</v>
          </cell>
        </row>
        <row r="682">
          <cell r="B682" t="str">
            <v xml:space="preserve">08W18-T6Z-300E </v>
          </cell>
          <cell r="C682">
            <v>180.99</v>
          </cell>
          <cell r="D682">
            <v>299.99</v>
          </cell>
        </row>
        <row r="683">
          <cell r="B683" t="str">
            <v>08Z04-T6Z-300A</v>
          </cell>
          <cell r="C683">
            <v>517</v>
          </cell>
          <cell r="D683">
            <v>862</v>
          </cell>
        </row>
        <row r="684">
          <cell r="B684" t="str">
            <v>08Z07-T6Z-100B</v>
          </cell>
          <cell r="C684">
            <v>28</v>
          </cell>
          <cell r="D684">
            <v>47</v>
          </cell>
        </row>
        <row r="685">
          <cell r="B685" t="str">
            <v>08Z07-T6Z-110E</v>
          </cell>
          <cell r="C685">
            <v>68</v>
          </cell>
          <cell r="D685">
            <v>85</v>
          </cell>
        </row>
        <row r="686">
          <cell r="B686" t="str">
            <v>08Z07-T6Z-120E</v>
          </cell>
          <cell r="C686">
            <v>68</v>
          </cell>
          <cell r="D686">
            <v>85</v>
          </cell>
        </row>
        <row r="687">
          <cell r="B687" t="str">
            <v>08Z07-T6Z-130E</v>
          </cell>
          <cell r="C687">
            <v>68</v>
          </cell>
          <cell r="D687">
            <v>85</v>
          </cell>
        </row>
        <row r="688">
          <cell r="B688" t="str">
            <v>08Z07-T6Z-140E</v>
          </cell>
          <cell r="C688">
            <v>68</v>
          </cell>
          <cell r="D688">
            <v>85</v>
          </cell>
        </row>
        <row r="689">
          <cell r="B689" t="str">
            <v>08Z07-T6Z-150E</v>
          </cell>
          <cell r="C689">
            <v>68</v>
          </cell>
          <cell r="D689">
            <v>85</v>
          </cell>
        </row>
        <row r="690">
          <cell r="B690" t="str">
            <v>08Z07-T6Z-160E</v>
          </cell>
          <cell r="C690">
            <v>68</v>
          </cell>
          <cell r="D690">
            <v>85</v>
          </cell>
        </row>
        <row r="691">
          <cell r="B691" t="str">
            <v>08Z07-T6Z-170E</v>
          </cell>
          <cell r="C691">
            <v>68</v>
          </cell>
          <cell r="D691">
            <v>85</v>
          </cell>
        </row>
        <row r="692">
          <cell r="B692" t="str">
            <v>08Z07-T6Z-180E</v>
          </cell>
          <cell r="C692">
            <v>68</v>
          </cell>
          <cell r="D692">
            <v>85</v>
          </cell>
        </row>
        <row r="693">
          <cell r="B693" t="str">
            <v>08Z07-T6Z-300D</v>
          </cell>
          <cell r="C693">
            <v>76</v>
          </cell>
          <cell r="D693">
            <v>95</v>
          </cell>
        </row>
        <row r="694">
          <cell r="B694" t="str">
            <v>08Z07-T6Z-301F</v>
          </cell>
          <cell r="C694">
            <v>1720</v>
          </cell>
          <cell r="D694">
            <v>2457</v>
          </cell>
        </row>
        <row r="695">
          <cell r="B695" t="str">
            <v>08F20-T6Z-100C</v>
          </cell>
          <cell r="C695">
            <v>140</v>
          </cell>
          <cell r="D695">
            <v>233</v>
          </cell>
        </row>
        <row r="696">
          <cell r="B696" t="str">
            <v>08F20-T6Z-100D</v>
          </cell>
          <cell r="C696">
            <v>45</v>
          </cell>
          <cell r="D696">
            <v>75</v>
          </cell>
        </row>
        <row r="697">
          <cell r="B697" t="str">
            <v>08F30-T6Z-100A</v>
          </cell>
          <cell r="C697">
            <v>270</v>
          </cell>
          <cell r="D697">
            <v>450</v>
          </cell>
        </row>
        <row r="698">
          <cell r="B698" t="str">
            <v>08F57-T6Z-100A</v>
          </cell>
          <cell r="C698">
            <v>350</v>
          </cell>
          <cell r="D698">
            <v>583</v>
          </cell>
        </row>
        <row r="699">
          <cell r="B699" t="str">
            <v>08L33-T6Z-100C</v>
          </cell>
          <cell r="C699">
            <v>821</v>
          </cell>
          <cell r="D699">
            <v>1368</v>
          </cell>
        </row>
        <row r="700">
          <cell r="B700" t="str">
            <v>08L33-T6Z-100D</v>
          </cell>
          <cell r="C700">
            <v>1040</v>
          </cell>
          <cell r="D700">
            <v>1733</v>
          </cell>
        </row>
        <row r="701">
          <cell r="B701" t="str">
            <v>08L96-T6Z-100B</v>
          </cell>
          <cell r="C701">
            <v>58</v>
          </cell>
          <cell r="D701">
            <v>97</v>
          </cell>
        </row>
        <row r="702">
          <cell r="B702" t="str">
            <v>08P00-T6Z-100</v>
          </cell>
          <cell r="C702">
            <v>41</v>
          </cell>
          <cell r="D702">
            <v>68</v>
          </cell>
        </row>
        <row r="703">
          <cell r="B703" t="str">
            <v>08P04-T6Z-100A</v>
          </cell>
          <cell r="C703">
            <v>129</v>
          </cell>
          <cell r="D703">
            <v>215</v>
          </cell>
        </row>
        <row r="704">
          <cell r="B704" t="str">
            <v>08P05-T6Z-1C1</v>
          </cell>
          <cell r="C704">
            <v>160</v>
          </cell>
          <cell r="D704">
            <v>267</v>
          </cell>
        </row>
        <row r="705">
          <cell r="B705" t="str">
            <v>08P05-T6Z-1D1</v>
          </cell>
          <cell r="C705">
            <v>183</v>
          </cell>
          <cell r="D705">
            <v>305</v>
          </cell>
        </row>
        <row r="706">
          <cell r="B706" t="str">
            <v>08P11-T6Z-100A</v>
          </cell>
          <cell r="C706">
            <v>65</v>
          </cell>
          <cell r="D706">
            <v>108</v>
          </cell>
        </row>
        <row r="707">
          <cell r="B707" t="str">
            <v>08P17-T6Z-110B</v>
          </cell>
          <cell r="C707">
            <v>187</v>
          </cell>
          <cell r="D707">
            <v>312</v>
          </cell>
        </row>
        <row r="708">
          <cell r="B708" t="str">
            <v>08P17-T6Z-310B</v>
          </cell>
          <cell r="C708">
            <v>170</v>
          </cell>
          <cell r="D708">
            <v>283</v>
          </cell>
        </row>
        <row r="709">
          <cell r="B709" t="str">
            <v>08P20-T6Z-1C0A</v>
          </cell>
          <cell r="C709">
            <v>158</v>
          </cell>
          <cell r="D709">
            <v>263</v>
          </cell>
        </row>
        <row r="710">
          <cell r="B710" t="str">
            <v>08P20-T6Z-1D0A</v>
          </cell>
          <cell r="C710">
            <v>158</v>
          </cell>
          <cell r="D710">
            <v>263</v>
          </cell>
        </row>
        <row r="711">
          <cell r="B711" t="str">
            <v>08P21-T6Z-100B</v>
          </cell>
          <cell r="C711">
            <v>602</v>
          </cell>
          <cell r="D711">
            <v>1003</v>
          </cell>
        </row>
        <row r="712">
          <cell r="B712" t="str">
            <v>08P32-T6Z-310A</v>
          </cell>
          <cell r="C712">
            <v>350</v>
          </cell>
          <cell r="D712">
            <v>583</v>
          </cell>
        </row>
        <row r="713">
          <cell r="B713" t="str">
            <v>08P46-T6Z-300A</v>
          </cell>
          <cell r="C713">
            <v>358</v>
          </cell>
          <cell r="D713">
            <v>597</v>
          </cell>
        </row>
        <row r="714">
          <cell r="B714" t="str">
            <v>08P48-T6Z-100A</v>
          </cell>
          <cell r="C714">
            <v>59</v>
          </cell>
          <cell r="D714">
            <v>98</v>
          </cell>
        </row>
        <row r="715">
          <cell r="B715" t="str">
            <v>08U45-T6Z-100B</v>
          </cell>
          <cell r="C715">
            <v>28.99</v>
          </cell>
          <cell r="D715">
            <v>47.99</v>
          </cell>
        </row>
        <row r="716">
          <cell r="B716" t="str">
            <v>08U45-T6Z-100C</v>
          </cell>
          <cell r="C716">
            <v>51</v>
          </cell>
          <cell r="D716">
            <v>85</v>
          </cell>
        </row>
        <row r="717">
          <cell r="B717" t="str">
            <v>TUCAB504PA1</v>
          </cell>
          <cell r="C717">
            <v>13</v>
          </cell>
          <cell r="D717">
            <v>21.5</v>
          </cell>
        </row>
        <row r="718">
          <cell r="B718" t="str">
            <v>TUCAB507PA1</v>
          </cell>
          <cell r="C718">
            <v>13</v>
          </cell>
          <cell r="D718">
            <v>21.5</v>
          </cell>
        </row>
        <row r="719">
          <cell r="B719" t="str">
            <v>TUCAB518PA1</v>
          </cell>
          <cell r="C719">
            <v>13</v>
          </cell>
          <cell r="D719">
            <v>21.5</v>
          </cell>
        </row>
        <row r="720">
          <cell r="B720" t="str">
            <v>TUCAB527PA1</v>
          </cell>
          <cell r="C720">
            <v>13</v>
          </cell>
          <cell r="D720">
            <v>21.5</v>
          </cell>
        </row>
        <row r="721">
          <cell r="B721" t="str">
            <v>TUCAB529PA1</v>
          </cell>
          <cell r="C721">
            <v>13</v>
          </cell>
          <cell r="D721">
            <v>21.5</v>
          </cell>
        </row>
        <row r="722">
          <cell r="B722" t="str">
            <v>TUCAB532PA1</v>
          </cell>
          <cell r="C722">
            <v>13</v>
          </cell>
          <cell r="D722">
            <v>21.5</v>
          </cell>
        </row>
        <row r="723">
          <cell r="B723" t="str">
            <v>TUCAB533MA1</v>
          </cell>
          <cell r="C723">
            <v>13</v>
          </cell>
          <cell r="D723">
            <v>21.5</v>
          </cell>
        </row>
        <row r="724">
          <cell r="B724" t="str">
            <v>TUCAB536PA1</v>
          </cell>
          <cell r="C724">
            <v>13</v>
          </cell>
          <cell r="D724">
            <v>21.5</v>
          </cell>
        </row>
        <row r="725">
          <cell r="B725" t="str">
            <v>TUCAB537MA1</v>
          </cell>
          <cell r="C725">
            <v>13</v>
          </cell>
          <cell r="D725">
            <v>21.5</v>
          </cell>
        </row>
        <row r="726">
          <cell r="B726" t="str">
            <v>TUCAB538MA1</v>
          </cell>
          <cell r="C726">
            <v>13</v>
          </cell>
          <cell r="D726">
            <v>21.5</v>
          </cell>
        </row>
        <row r="727">
          <cell r="B727" t="str">
            <v>TUCAB546PA1</v>
          </cell>
          <cell r="C727">
            <v>13</v>
          </cell>
          <cell r="D727">
            <v>21.5</v>
          </cell>
        </row>
        <row r="728">
          <cell r="B728" t="str">
            <v>TUCAB552PA1</v>
          </cell>
          <cell r="C728">
            <v>13</v>
          </cell>
          <cell r="D728">
            <v>21.5</v>
          </cell>
        </row>
        <row r="729">
          <cell r="B729" t="str">
            <v>TUCAB559PA1</v>
          </cell>
          <cell r="C729">
            <v>13</v>
          </cell>
          <cell r="D729">
            <v>21.5</v>
          </cell>
        </row>
        <row r="730">
          <cell r="B730" t="str">
            <v>TUCAB561PA1</v>
          </cell>
          <cell r="C730">
            <v>13</v>
          </cell>
          <cell r="D730">
            <v>21.5</v>
          </cell>
        </row>
        <row r="731">
          <cell r="B731" t="str">
            <v>TUCAB575PA1</v>
          </cell>
          <cell r="C731">
            <v>13</v>
          </cell>
          <cell r="D731">
            <v>21.5</v>
          </cell>
        </row>
        <row r="732">
          <cell r="B732" t="str">
            <v>TUCAB576PA1</v>
          </cell>
          <cell r="C732">
            <v>13</v>
          </cell>
          <cell r="D732">
            <v>21.5</v>
          </cell>
        </row>
        <row r="733">
          <cell r="B733" t="str">
            <v>TUCAB588PA1</v>
          </cell>
          <cell r="C733">
            <v>13</v>
          </cell>
          <cell r="D733">
            <v>21.5</v>
          </cell>
        </row>
        <row r="734">
          <cell r="B734" t="str">
            <v>TUCAB612PA1</v>
          </cell>
          <cell r="C734">
            <v>13</v>
          </cell>
          <cell r="D734">
            <v>21.5</v>
          </cell>
        </row>
        <row r="735">
          <cell r="B735" t="str">
            <v>TUCAB621PA1</v>
          </cell>
          <cell r="C735">
            <v>13</v>
          </cell>
          <cell r="D735">
            <v>21.5</v>
          </cell>
        </row>
        <row r="736">
          <cell r="B736" t="str">
            <v>TUCAB92PA1</v>
          </cell>
          <cell r="C736">
            <v>13</v>
          </cell>
          <cell r="D736">
            <v>21.5</v>
          </cell>
        </row>
        <row r="737">
          <cell r="B737" t="str">
            <v>TUCAB93P</v>
          </cell>
          <cell r="C737">
            <v>13</v>
          </cell>
          <cell r="D737">
            <v>21.5</v>
          </cell>
        </row>
        <row r="738">
          <cell r="B738" t="str">
            <v>TUCAB96PA1</v>
          </cell>
          <cell r="C738">
            <v>13</v>
          </cell>
          <cell r="D738">
            <v>21.5</v>
          </cell>
        </row>
        <row r="739">
          <cell r="B739" t="str">
            <v>TUCABP92PA1</v>
          </cell>
          <cell r="C739">
            <v>13</v>
          </cell>
          <cell r="D739">
            <v>21.5</v>
          </cell>
        </row>
        <row r="740">
          <cell r="B740" t="str">
            <v>TUCAG504M</v>
          </cell>
          <cell r="C740">
            <v>13</v>
          </cell>
          <cell r="D740">
            <v>21.5</v>
          </cell>
        </row>
        <row r="741">
          <cell r="B741" t="str">
            <v>TUCAG525MA1</v>
          </cell>
          <cell r="C741">
            <v>13</v>
          </cell>
          <cell r="D741">
            <v>21.5</v>
          </cell>
        </row>
        <row r="742">
          <cell r="B742" t="str">
            <v>TUCAG537MA1</v>
          </cell>
          <cell r="C742">
            <v>13</v>
          </cell>
          <cell r="D742">
            <v>21.5</v>
          </cell>
        </row>
        <row r="743">
          <cell r="B743" t="str">
            <v>TUCAG87PA1</v>
          </cell>
          <cell r="C743">
            <v>13</v>
          </cell>
          <cell r="D743">
            <v>21.5</v>
          </cell>
        </row>
        <row r="744">
          <cell r="B744" t="str">
            <v>TUCAG91MA1</v>
          </cell>
          <cell r="C744">
            <v>13</v>
          </cell>
          <cell r="D744">
            <v>21.5</v>
          </cell>
        </row>
        <row r="745">
          <cell r="B745" t="str">
            <v>TUCAG97PA1</v>
          </cell>
          <cell r="C745">
            <v>13</v>
          </cell>
          <cell r="D745">
            <v>21.5</v>
          </cell>
        </row>
        <row r="746">
          <cell r="B746" t="str">
            <v>TUCANH578A1</v>
          </cell>
          <cell r="C746">
            <v>13</v>
          </cell>
          <cell r="D746">
            <v>21.5</v>
          </cell>
        </row>
        <row r="747">
          <cell r="B747" t="str">
            <v>TUCANH603PA1</v>
          </cell>
          <cell r="C747">
            <v>13</v>
          </cell>
          <cell r="D747">
            <v>21.5</v>
          </cell>
        </row>
        <row r="748">
          <cell r="B748" t="str">
            <v>TUCANH623MA1</v>
          </cell>
          <cell r="C748">
            <v>13</v>
          </cell>
          <cell r="D748">
            <v>21.5</v>
          </cell>
        </row>
        <row r="749">
          <cell r="B749" t="str">
            <v>TUCANH624PA1</v>
          </cell>
          <cell r="C749">
            <v>13</v>
          </cell>
          <cell r="D749">
            <v>21.5</v>
          </cell>
        </row>
        <row r="750">
          <cell r="B750" t="str">
            <v>TUCANH638MA1</v>
          </cell>
          <cell r="C750">
            <v>13</v>
          </cell>
          <cell r="D750">
            <v>21.5</v>
          </cell>
        </row>
        <row r="751">
          <cell r="B751" t="str">
            <v>TUCANH643MA1</v>
          </cell>
          <cell r="C751">
            <v>13</v>
          </cell>
          <cell r="D751">
            <v>21.5</v>
          </cell>
        </row>
        <row r="752">
          <cell r="B752" t="str">
            <v>TUCANH658PA1</v>
          </cell>
          <cell r="C752">
            <v>13</v>
          </cell>
          <cell r="D752">
            <v>21.5</v>
          </cell>
        </row>
        <row r="753">
          <cell r="B753" t="str">
            <v>TUCANH662PA1</v>
          </cell>
          <cell r="C753">
            <v>13</v>
          </cell>
          <cell r="D753">
            <v>21.5</v>
          </cell>
        </row>
        <row r="754">
          <cell r="B754" t="str">
            <v>TUCANH675MA1</v>
          </cell>
          <cell r="C754">
            <v>13</v>
          </cell>
          <cell r="D754">
            <v>21.5</v>
          </cell>
        </row>
        <row r="755">
          <cell r="B755" t="str">
            <v>TUCANH677PA1</v>
          </cell>
          <cell r="C755">
            <v>13</v>
          </cell>
          <cell r="D755">
            <v>21.5</v>
          </cell>
        </row>
        <row r="756">
          <cell r="B756" t="str">
            <v>TUCANH685MA1</v>
          </cell>
          <cell r="C756">
            <v>13</v>
          </cell>
          <cell r="D756">
            <v>21.5</v>
          </cell>
        </row>
        <row r="757">
          <cell r="B757" t="str">
            <v>TUCANH686M</v>
          </cell>
          <cell r="C757">
            <v>13</v>
          </cell>
          <cell r="D757">
            <v>21.5</v>
          </cell>
        </row>
        <row r="758">
          <cell r="B758" t="str">
            <v>TUCANH689MA1</v>
          </cell>
          <cell r="C758">
            <v>13</v>
          </cell>
          <cell r="D758">
            <v>21.5</v>
          </cell>
        </row>
        <row r="759">
          <cell r="B759" t="str">
            <v>TUCANH700MA1</v>
          </cell>
          <cell r="C759">
            <v>13</v>
          </cell>
          <cell r="D759">
            <v>21.5</v>
          </cell>
        </row>
        <row r="760">
          <cell r="B760" t="str">
            <v>TUCANH701MA1</v>
          </cell>
          <cell r="C760">
            <v>13</v>
          </cell>
          <cell r="D760">
            <v>21.5</v>
          </cell>
        </row>
        <row r="761">
          <cell r="B761" t="str">
            <v>TUCANH705MA1</v>
          </cell>
          <cell r="C761">
            <v>13</v>
          </cell>
          <cell r="D761">
            <v>21.5</v>
          </cell>
        </row>
        <row r="762">
          <cell r="B762" t="str">
            <v>TUCANH707A1</v>
          </cell>
          <cell r="C762">
            <v>13</v>
          </cell>
          <cell r="D762">
            <v>21.5</v>
          </cell>
        </row>
        <row r="763">
          <cell r="B763" t="str">
            <v>TUCANH717PA1</v>
          </cell>
          <cell r="C763">
            <v>13</v>
          </cell>
          <cell r="D763">
            <v>21.5</v>
          </cell>
        </row>
        <row r="764">
          <cell r="B764" t="str">
            <v>TUCANH727MA1</v>
          </cell>
          <cell r="C764">
            <v>13</v>
          </cell>
          <cell r="D764">
            <v>21.5</v>
          </cell>
        </row>
        <row r="765">
          <cell r="B765" t="str">
            <v>TUCANH731PA1</v>
          </cell>
          <cell r="C765">
            <v>13</v>
          </cell>
          <cell r="D765">
            <v>21.5</v>
          </cell>
        </row>
        <row r="766">
          <cell r="B766" t="str">
            <v>TUCANH736MA1</v>
          </cell>
          <cell r="C766">
            <v>13</v>
          </cell>
          <cell r="D766">
            <v>21.5</v>
          </cell>
        </row>
        <row r="767">
          <cell r="B767" t="str">
            <v>TUCANH737MA1</v>
          </cell>
          <cell r="C767">
            <v>13</v>
          </cell>
          <cell r="D767">
            <v>21.5</v>
          </cell>
        </row>
        <row r="768">
          <cell r="B768" t="str">
            <v>TUCANH741MA1</v>
          </cell>
          <cell r="C768">
            <v>13</v>
          </cell>
          <cell r="D768">
            <v>21.5</v>
          </cell>
        </row>
        <row r="769">
          <cell r="B769" t="str">
            <v>TUCANH743MA1</v>
          </cell>
          <cell r="C769">
            <v>13</v>
          </cell>
          <cell r="D769">
            <v>21.5</v>
          </cell>
        </row>
        <row r="770">
          <cell r="B770" t="str">
            <v>TUCANH750MA1</v>
          </cell>
          <cell r="C770">
            <v>13</v>
          </cell>
          <cell r="D770">
            <v>21.5</v>
          </cell>
        </row>
        <row r="771">
          <cell r="B771" t="str">
            <v>TUCANH754MA1</v>
          </cell>
          <cell r="C771">
            <v>13</v>
          </cell>
          <cell r="D771">
            <v>21.5</v>
          </cell>
        </row>
        <row r="772">
          <cell r="B772" t="str">
            <v>TUCANH782MA1</v>
          </cell>
          <cell r="C772">
            <v>13</v>
          </cell>
          <cell r="D772">
            <v>21.5</v>
          </cell>
        </row>
        <row r="773">
          <cell r="B773" t="str">
            <v>TUCANH788PA1</v>
          </cell>
          <cell r="C773">
            <v>13</v>
          </cell>
          <cell r="D773">
            <v>21.5</v>
          </cell>
        </row>
        <row r="774">
          <cell r="B774" t="str">
            <v>TUCANH789MA1</v>
          </cell>
          <cell r="C774">
            <v>13</v>
          </cell>
          <cell r="D774">
            <v>21.5</v>
          </cell>
        </row>
        <row r="775">
          <cell r="B775" t="str">
            <v>TUCANH797MA1</v>
          </cell>
          <cell r="C775">
            <v>13</v>
          </cell>
          <cell r="D775">
            <v>21.5</v>
          </cell>
        </row>
        <row r="776">
          <cell r="B776" t="str">
            <v>TUCANH814PA1</v>
          </cell>
          <cell r="C776">
            <v>13</v>
          </cell>
          <cell r="D776">
            <v>21.5</v>
          </cell>
        </row>
        <row r="777">
          <cell r="B777" t="str">
            <v>TUCANH829MA1</v>
          </cell>
          <cell r="C777">
            <v>13</v>
          </cell>
          <cell r="D777">
            <v>21.5</v>
          </cell>
        </row>
        <row r="778">
          <cell r="B778" t="str">
            <v>TUCANH883PA1</v>
          </cell>
          <cell r="C778">
            <v>13</v>
          </cell>
          <cell r="D778">
            <v>21.5</v>
          </cell>
        </row>
        <row r="779">
          <cell r="B779" t="str">
            <v>TUCANH885MA1</v>
          </cell>
          <cell r="C779">
            <v>13</v>
          </cell>
          <cell r="D779">
            <v>21.5</v>
          </cell>
        </row>
        <row r="780">
          <cell r="B780" t="str">
            <v>TUCANH893PA1</v>
          </cell>
          <cell r="C780">
            <v>13</v>
          </cell>
          <cell r="D780">
            <v>21.5</v>
          </cell>
        </row>
        <row r="781">
          <cell r="B781" t="str">
            <v>TUCAPB88MA1</v>
          </cell>
          <cell r="C781">
            <v>13</v>
          </cell>
          <cell r="D781">
            <v>21.5</v>
          </cell>
        </row>
        <row r="782">
          <cell r="B782" t="str">
            <v>TUCAPB92PA1</v>
          </cell>
          <cell r="C782">
            <v>13</v>
          </cell>
          <cell r="D782">
            <v>21.5</v>
          </cell>
        </row>
        <row r="783">
          <cell r="B783" t="str">
            <v>TUCAR525PA1</v>
          </cell>
          <cell r="C783">
            <v>13</v>
          </cell>
          <cell r="D783">
            <v>21.5</v>
          </cell>
        </row>
        <row r="784">
          <cell r="B784" t="str">
            <v>TUCAR528PA1</v>
          </cell>
          <cell r="C784">
            <v>13</v>
          </cell>
          <cell r="D784">
            <v>21.5</v>
          </cell>
        </row>
        <row r="785">
          <cell r="B785" t="str">
            <v>TUCAR529PA1</v>
          </cell>
          <cell r="C785">
            <v>13</v>
          </cell>
          <cell r="D785">
            <v>21.5</v>
          </cell>
        </row>
        <row r="786">
          <cell r="B786" t="str">
            <v>TUCAR530PA1</v>
          </cell>
          <cell r="C786">
            <v>13</v>
          </cell>
          <cell r="D786">
            <v>21.5</v>
          </cell>
        </row>
        <row r="787">
          <cell r="B787" t="str">
            <v>TUCAR540PA1</v>
          </cell>
          <cell r="C787">
            <v>13</v>
          </cell>
          <cell r="D787">
            <v>21.5</v>
          </cell>
        </row>
        <row r="788">
          <cell r="B788" t="str">
            <v>TUCAR543PA1</v>
          </cell>
          <cell r="C788">
            <v>13</v>
          </cell>
          <cell r="D788">
            <v>21.5</v>
          </cell>
        </row>
        <row r="789">
          <cell r="B789" t="str">
            <v>TUCAR548PA1</v>
          </cell>
          <cell r="C789">
            <v>13</v>
          </cell>
          <cell r="D789">
            <v>21.5</v>
          </cell>
        </row>
        <row r="790">
          <cell r="B790" t="str">
            <v>TUCAR557P</v>
          </cell>
          <cell r="C790">
            <v>13</v>
          </cell>
          <cell r="D790">
            <v>21.5</v>
          </cell>
        </row>
        <row r="791">
          <cell r="B791" t="str">
            <v>TUCAR565MA1</v>
          </cell>
          <cell r="C791">
            <v>13</v>
          </cell>
          <cell r="D791">
            <v>21.5</v>
          </cell>
        </row>
        <row r="792">
          <cell r="B792" t="str">
            <v>TUCAR568PA1</v>
          </cell>
          <cell r="C792">
            <v>13</v>
          </cell>
          <cell r="D792">
            <v>21.5</v>
          </cell>
        </row>
        <row r="793">
          <cell r="B793" t="str">
            <v>TUCAR81A1</v>
          </cell>
          <cell r="C793">
            <v>13</v>
          </cell>
          <cell r="D793">
            <v>21.5</v>
          </cell>
        </row>
        <row r="794">
          <cell r="B794" t="str">
            <v>TUCAR94A1</v>
          </cell>
          <cell r="C794">
            <v>13</v>
          </cell>
          <cell r="D794">
            <v>21.5</v>
          </cell>
        </row>
        <row r="795">
          <cell r="B795" t="str">
            <v>TUCARP32P</v>
          </cell>
          <cell r="C795">
            <v>13</v>
          </cell>
          <cell r="D795">
            <v>21.5</v>
          </cell>
        </row>
        <row r="796">
          <cell r="B796" t="str">
            <v>TUCAY56</v>
          </cell>
          <cell r="C796">
            <v>13</v>
          </cell>
          <cell r="D796">
            <v>21.5</v>
          </cell>
        </row>
        <row r="797">
          <cell r="B797" t="str">
            <v>TUCAYR520M</v>
          </cell>
          <cell r="C797">
            <v>13</v>
          </cell>
          <cell r="D797">
            <v>21.5</v>
          </cell>
        </row>
        <row r="798">
          <cell r="B798" t="str">
            <v>TUCAYR524MA1</v>
          </cell>
          <cell r="C798">
            <v>13</v>
          </cell>
          <cell r="D798">
            <v>21.5</v>
          </cell>
        </row>
        <row r="799">
          <cell r="B799" t="str">
            <v>TUCAYR525MA1</v>
          </cell>
          <cell r="C799">
            <v>13</v>
          </cell>
          <cell r="D799">
            <v>21.5</v>
          </cell>
        </row>
        <row r="800">
          <cell r="B800" t="str">
            <v>TUCAYR528MA1</v>
          </cell>
          <cell r="C800">
            <v>13</v>
          </cell>
          <cell r="D800">
            <v>21.5</v>
          </cell>
        </row>
        <row r="801">
          <cell r="B801" t="str">
            <v>TUCAYR529PA1</v>
          </cell>
          <cell r="C801">
            <v>13</v>
          </cell>
          <cell r="D801">
            <v>21.5</v>
          </cell>
        </row>
        <row r="802">
          <cell r="B802" t="str">
            <v>TUCAYR530PA1</v>
          </cell>
          <cell r="C802">
            <v>13</v>
          </cell>
          <cell r="D802">
            <v>21.5</v>
          </cell>
        </row>
        <row r="803">
          <cell r="B803" t="str">
            <v>TUCAYR534MA1</v>
          </cell>
          <cell r="C803">
            <v>13</v>
          </cell>
          <cell r="D803">
            <v>21.5</v>
          </cell>
        </row>
        <row r="804">
          <cell r="B804" t="str">
            <v>TUCAYR537PA1</v>
          </cell>
          <cell r="C804">
            <v>13</v>
          </cell>
          <cell r="D804">
            <v>21.5</v>
          </cell>
        </row>
        <row r="805">
          <cell r="B805" t="str">
            <v>TUCAYR538MA1</v>
          </cell>
          <cell r="C805">
            <v>13</v>
          </cell>
          <cell r="D805">
            <v>21.5</v>
          </cell>
        </row>
        <row r="806">
          <cell r="B806" t="str">
            <v>TUCAYR545MA1</v>
          </cell>
          <cell r="C806">
            <v>13</v>
          </cell>
          <cell r="D806">
            <v>21.5</v>
          </cell>
        </row>
        <row r="807">
          <cell r="B807" t="str">
            <v>TUCAYR574M</v>
          </cell>
          <cell r="C807">
            <v>13</v>
          </cell>
          <cell r="D807">
            <v>21.5</v>
          </cell>
        </row>
        <row r="808">
          <cell r="B808" t="str">
            <v>TUCAYR575M</v>
          </cell>
          <cell r="C808">
            <v>13</v>
          </cell>
          <cell r="D808">
            <v>21.5</v>
          </cell>
        </row>
        <row r="809">
          <cell r="B809" t="str">
            <v>TUCAYR632MA1</v>
          </cell>
          <cell r="C809">
            <v>13</v>
          </cell>
          <cell r="D809">
            <v>21.5</v>
          </cell>
        </row>
        <row r="810">
          <cell r="B810" t="str">
            <v>TUCHB513M</v>
          </cell>
          <cell r="C810">
            <v>13</v>
          </cell>
          <cell r="D810">
            <v>21.5</v>
          </cell>
        </row>
        <row r="811">
          <cell r="B811" t="str">
            <v>TUCH-B575P-A1</v>
          </cell>
          <cell r="C811">
            <v>13</v>
          </cell>
          <cell r="D811">
            <v>21.5</v>
          </cell>
        </row>
        <row r="812">
          <cell r="B812" t="str">
            <v>TUCH-B588P-A1</v>
          </cell>
          <cell r="C812">
            <v>13</v>
          </cell>
          <cell r="D812">
            <v>21.5</v>
          </cell>
        </row>
        <row r="813">
          <cell r="B813" t="str">
            <v>TUCH-B593M-A1</v>
          </cell>
          <cell r="C813">
            <v>13</v>
          </cell>
          <cell r="D813">
            <v>21.5</v>
          </cell>
        </row>
        <row r="814">
          <cell r="B814" t="str">
            <v>TUCHB600MA1</v>
          </cell>
          <cell r="C814">
            <v>13</v>
          </cell>
          <cell r="D814">
            <v>21.5</v>
          </cell>
        </row>
        <row r="815">
          <cell r="B815" t="str">
            <v>TUCHB607MA1</v>
          </cell>
          <cell r="C815">
            <v>13</v>
          </cell>
          <cell r="D815">
            <v>21.5</v>
          </cell>
        </row>
        <row r="816">
          <cell r="B816" t="str">
            <v>TUCHB637PA1</v>
          </cell>
          <cell r="C816">
            <v>13</v>
          </cell>
          <cell r="D816">
            <v>21.5</v>
          </cell>
        </row>
        <row r="817">
          <cell r="B817" t="str">
            <v>TUCH-B640M-A1</v>
          </cell>
          <cell r="C817">
            <v>13</v>
          </cell>
          <cell r="D817">
            <v>21.5</v>
          </cell>
        </row>
        <row r="818">
          <cell r="B818" t="str">
            <v>TUCH-B643M-A1</v>
          </cell>
          <cell r="C818">
            <v>13</v>
          </cell>
          <cell r="D818">
            <v>21.5</v>
          </cell>
        </row>
        <row r="819">
          <cell r="B819" t="str">
            <v>TUCHB98M</v>
          </cell>
          <cell r="C819">
            <v>13</v>
          </cell>
          <cell r="D819">
            <v>21.5</v>
          </cell>
        </row>
        <row r="820">
          <cell r="B820" t="str">
            <v>TUCH-BG66P-A1</v>
          </cell>
          <cell r="C820">
            <v>13</v>
          </cell>
          <cell r="D820">
            <v>21.5</v>
          </cell>
        </row>
        <row r="821">
          <cell r="B821" t="str">
            <v>TUCHG530P</v>
          </cell>
          <cell r="C821">
            <v>13</v>
          </cell>
          <cell r="D821">
            <v>21.5</v>
          </cell>
        </row>
        <row r="822">
          <cell r="B822" t="str">
            <v>TUCH-G553P-A1</v>
          </cell>
          <cell r="C822">
            <v>13</v>
          </cell>
          <cell r="D822">
            <v>21.5</v>
          </cell>
        </row>
        <row r="823">
          <cell r="B823" t="str">
            <v>TUCH-G537M-A1</v>
          </cell>
          <cell r="C823">
            <v>13</v>
          </cell>
          <cell r="D823">
            <v>21.5</v>
          </cell>
        </row>
        <row r="824">
          <cell r="B824" t="str">
            <v>TUCH-G542P-A1</v>
          </cell>
          <cell r="C824">
            <v>13</v>
          </cell>
          <cell r="D824">
            <v>21.5</v>
          </cell>
        </row>
        <row r="825">
          <cell r="B825" t="str">
            <v>TUCH-G546M-A1</v>
          </cell>
          <cell r="C825">
            <v>13</v>
          </cell>
          <cell r="D825">
            <v>21.5</v>
          </cell>
        </row>
        <row r="826">
          <cell r="B826" t="str">
            <v>TUCHGY30PA1</v>
          </cell>
          <cell r="C826">
            <v>13</v>
          </cell>
          <cell r="D826">
            <v>21.5</v>
          </cell>
        </row>
        <row r="827">
          <cell r="B827" t="str">
            <v>TUCH-NEEDLES</v>
          </cell>
          <cell r="C827">
            <v>9.5</v>
          </cell>
          <cell r="D827">
            <v>15.75</v>
          </cell>
        </row>
        <row r="828">
          <cell r="B828" t="str">
            <v>TUCH-NH0-A1</v>
          </cell>
          <cell r="C828">
            <v>13</v>
          </cell>
          <cell r="D828">
            <v>21.5</v>
          </cell>
        </row>
        <row r="829">
          <cell r="B829" t="str">
            <v>TUCH-NH578-A1</v>
          </cell>
          <cell r="C829">
            <v>13</v>
          </cell>
          <cell r="D829">
            <v>21.5</v>
          </cell>
        </row>
        <row r="830">
          <cell r="B830" t="str">
            <v>TUCH-NH603-PA1</v>
          </cell>
          <cell r="C830">
            <v>13</v>
          </cell>
          <cell r="D830">
            <v>21.5</v>
          </cell>
        </row>
        <row r="831">
          <cell r="B831" t="str">
            <v>TUCH-NH731P-A1</v>
          </cell>
          <cell r="C831">
            <v>13</v>
          </cell>
          <cell r="D831">
            <v>21.5</v>
          </cell>
        </row>
        <row r="832">
          <cell r="B832" t="str">
            <v>TUCH-NH737M-A1</v>
          </cell>
          <cell r="C832">
            <v>13</v>
          </cell>
          <cell r="D832">
            <v>21.5</v>
          </cell>
        </row>
        <row r="833">
          <cell r="B833" t="str">
            <v>TUCH-NH788P-A1</v>
          </cell>
          <cell r="C833">
            <v>13</v>
          </cell>
          <cell r="D833">
            <v>21.5</v>
          </cell>
        </row>
        <row r="834">
          <cell r="B834" t="str">
            <v>TUCH-NH797M-A1</v>
          </cell>
          <cell r="C834">
            <v>13</v>
          </cell>
          <cell r="D834">
            <v>21.5</v>
          </cell>
        </row>
        <row r="835">
          <cell r="B835" t="str">
            <v>TUCH-NH830M-A1</v>
          </cell>
          <cell r="C835">
            <v>13</v>
          </cell>
          <cell r="D835">
            <v>21.5</v>
          </cell>
        </row>
        <row r="836">
          <cell r="B836" t="str">
            <v>TUCH-NH877P-A1</v>
          </cell>
          <cell r="C836">
            <v>13</v>
          </cell>
          <cell r="D836">
            <v>21.5</v>
          </cell>
        </row>
        <row r="837">
          <cell r="B837" t="str">
            <v>TUCH-NH883P-A1</v>
          </cell>
          <cell r="C837">
            <v>13</v>
          </cell>
          <cell r="D837">
            <v>21.5</v>
          </cell>
        </row>
        <row r="838">
          <cell r="B838" t="str">
            <v>TUCH-NH904M-A1</v>
          </cell>
          <cell r="C838">
            <v>13</v>
          </cell>
          <cell r="D838">
            <v>21.5</v>
          </cell>
        </row>
        <row r="839">
          <cell r="B839" t="str">
            <v>TUCH-NH932M-A1</v>
          </cell>
          <cell r="C839">
            <v>13</v>
          </cell>
          <cell r="D839">
            <v>21.5</v>
          </cell>
        </row>
        <row r="840">
          <cell r="B840" t="str">
            <v>TUCH-NH912P-A1</v>
          </cell>
          <cell r="C840">
            <v>13</v>
          </cell>
          <cell r="D840">
            <v>21.5</v>
          </cell>
        </row>
        <row r="841">
          <cell r="B841" t="str">
            <v>TUCHPB88MA1</v>
          </cell>
          <cell r="C841">
            <v>13</v>
          </cell>
          <cell r="D841">
            <v>21.5</v>
          </cell>
        </row>
        <row r="842">
          <cell r="B842" t="str">
            <v>TUCHR513A1</v>
          </cell>
          <cell r="C842">
            <v>13</v>
          </cell>
          <cell r="D842">
            <v>21.5</v>
          </cell>
        </row>
        <row r="843">
          <cell r="B843" t="str">
            <v>TUCHR522PA1</v>
          </cell>
          <cell r="C843">
            <v>13</v>
          </cell>
          <cell r="D843">
            <v>21.5</v>
          </cell>
        </row>
        <row r="844">
          <cell r="B844" t="str">
            <v>TUCHR539PA1</v>
          </cell>
          <cell r="C844">
            <v>13</v>
          </cell>
          <cell r="D844">
            <v>21.5</v>
          </cell>
        </row>
        <row r="845">
          <cell r="B845" t="str">
            <v>TUCHR543PA1</v>
          </cell>
          <cell r="C845">
            <v>13</v>
          </cell>
          <cell r="D845">
            <v>21.5</v>
          </cell>
        </row>
        <row r="846">
          <cell r="B846" t="str">
            <v>TUCHR557P</v>
          </cell>
          <cell r="C846">
            <v>13</v>
          </cell>
          <cell r="D846">
            <v>21.5</v>
          </cell>
        </row>
        <row r="847">
          <cell r="B847" t="str">
            <v>TUCHR560PA1</v>
          </cell>
          <cell r="C847">
            <v>13</v>
          </cell>
          <cell r="D847">
            <v>21.5</v>
          </cell>
        </row>
        <row r="848">
          <cell r="B848" t="str">
            <v>TUCHR561PA1</v>
          </cell>
          <cell r="C848">
            <v>13</v>
          </cell>
          <cell r="D848">
            <v>21.5</v>
          </cell>
        </row>
        <row r="849">
          <cell r="B849" t="str">
            <v>TUCH-R569M-A1</v>
          </cell>
          <cell r="C849">
            <v>13</v>
          </cell>
          <cell r="D849">
            <v>21.5</v>
          </cell>
        </row>
        <row r="850">
          <cell r="B850" t="str">
            <v>TUCHR580MA1</v>
          </cell>
          <cell r="C850">
            <v>13</v>
          </cell>
          <cell r="D850">
            <v>21.5</v>
          </cell>
        </row>
        <row r="851">
          <cell r="B851" t="str">
            <v>TUCH-R81-A1</v>
          </cell>
          <cell r="C851">
            <v>13</v>
          </cell>
          <cell r="D851">
            <v>21.5</v>
          </cell>
        </row>
        <row r="852">
          <cell r="B852" t="str">
            <v>TUCH-R94-A1</v>
          </cell>
          <cell r="C852">
            <v>13</v>
          </cell>
          <cell r="D852">
            <v>21.5</v>
          </cell>
        </row>
        <row r="853">
          <cell r="B853" t="str">
            <v>TUCH-STICKS</v>
          </cell>
          <cell r="C853">
            <v>2.4500000000000002</v>
          </cell>
          <cell r="D853">
            <v>4</v>
          </cell>
        </row>
        <row r="854">
          <cell r="B854" t="str">
            <v>TUCH-TIPS</v>
          </cell>
          <cell r="C854">
            <v>13.75</v>
          </cell>
          <cell r="D854">
            <v>23</v>
          </cell>
        </row>
        <row r="855">
          <cell r="B855" t="str">
            <v>TUCHY62P</v>
          </cell>
          <cell r="C855">
            <v>13</v>
          </cell>
          <cell r="D855">
            <v>21.5</v>
          </cell>
        </row>
        <row r="856">
          <cell r="B856" t="str">
            <v>TUCHY78PA1</v>
          </cell>
          <cell r="C856">
            <v>13</v>
          </cell>
          <cell r="D856">
            <v>21.5</v>
          </cell>
        </row>
        <row r="857">
          <cell r="B857" t="str">
            <v>TUCHY82A1</v>
          </cell>
          <cell r="C857">
            <v>13</v>
          </cell>
          <cell r="D857">
            <v>21.5</v>
          </cell>
        </row>
        <row r="858">
          <cell r="B858" t="str">
            <v>TUCHYR579M</v>
          </cell>
          <cell r="C858">
            <v>13</v>
          </cell>
          <cell r="D858">
            <v>21.5</v>
          </cell>
        </row>
        <row r="859">
          <cell r="B859" t="str">
            <v>TUCHYR585A1</v>
          </cell>
          <cell r="C859">
            <v>13</v>
          </cell>
          <cell r="D859">
            <v>21.5</v>
          </cell>
        </row>
        <row r="860">
          <cell r="B860" t="str">
            <v>TUCHYR592MA1</v>
          </cell>
          <cell r="C860">
            <v>13</v>
          </cell>
          <cell r="D860">
            <v>21.5</v>
          </cell>
        </row>
        <row r="861">
          <cell r="B861" t="str">
            <v>TUCHYR659PA1</v>
          </cell>
          <cell r="C861">
            <v>13</v>
          </cell>
          <cell r="D861">
            <v>21.5</v>
          </cell>
        </row>
        <row r="862">
          <cell r="B862" t="str">
            <v>TUCH-121J-A1</v>
          </cell>
          <cell r="C862">
            <v>13</v>
          </cell>
          <cell r="D862">
            <v>21.5</v>
          </cell>
        </row>
        <row r="863">
          <cell r="B863" t="str">
            <v>TUCH-130H-A1</v>
          </cell>
          <cell r="C863">
            <v>13</v>
          </cell>
          <cell r="D863">
            <v>21.5</v>
          </cell>
        </row>
        <row r="864">
          <cell r="B864" t="str">
            <v>TUCH-138P-A1</v>
          </cell>
          <cell r="C864">
            <v>13</v>
          </cell>
          <cell r="D864">
            <v>21.5</v>
          </cell>
        </row>
        <row r="865">
          <cell r="B865" t="str">
            <v>TUCH-140X-A1</v>
          </cell>
          <cell r="C865">
            <v>13</v>
          </cell>
          <cell r="D865">
            <v>21.5</v>
          </cell>
        </row>
        <row r="866">
          <cell r="B866" t="str">
            <v>TUCH-170H-A1</v>
          </cell>
          <cell r="C866">
            <v>13</v>
          </cell>
          <cell r="D866">
            <v>21.5</v>
          </cell>
        </row>
        <row r="867">
          <cell r="B867" t="str">
            <v>TUCH-8555-A1</v>
          </cell>
          <cell r="C867">
            <v>13</v>
          </cell>
          <cell r="D867">
            <v>21.5</v>
          </cell>
        </row>
        <row r="868">
          <cell r="B868" t="str">
            <v>08F20-TZ3-200A</v>
          </cell>
          <cell r="C868">
            <v>58</v>
          </cell>
          <cell r="D868">
            <v>97</v>
          </cell>
        </row>
        <row r="869">
          <cell r="B869" t="str">
            <v>08F20-TZ5-200B</v>
          </cell>
          <cell r="C869">
            <v>275</v>
          </cell>
          <cell r="D869">
            <v>458</v>
          </cell>
        </row>
        <row r="870">
          <cell r="B870" t="str">
            <v>08L03-E09-300C</v>
          </cell>
          <cell r="C870">
            <v>415</v>
          </cell>
          <cell r="D870">
            <v>692</v>
          </cell>
        </row>
        <row r="871">
          <cell r="B871" t="str">
            <v>08L03-E09-400C</v>
          </cell>
          <cell r="C871">
            <v>415</v>
          </cell>
          <cell r="D871">
            <v>692</v>
          </cell>
        </row>
        <row r="872">
          <cell r="B872" t="str">
            <v>08L05-E09-100</v>
          </cell>
          <cell r="C872">
            <v>207</v>
          </cell>
          <cell r="D872">
            <v>345</v>
          </cell>
        </row>
        <row r="873">
          <cell r="B873" t="str">
            <v>08L05-E09-200</v>
          </cell>
          <cell r="C873">
            <v>207</v>
          </cell>
          <cell r="D873">
            <v>345</v>
          </cell>
        </row>
        <row r="874">
          <cell r="B874" t="str">
            <v>08L07-E09-101</v>
          </cell>
          <cell r="C874">
            <v>383</v>
          </cell>
          <cell r="D874">
            <v>547</v>
          </cell>
        </row>
        <row r="875">
          <cell r="B875" t="str">
            <v>08L07-E09-300A</v>
          </cell>
          <cell r="C875">
            <v>292</v>
          </cell>
          <cell r="D875">
            <v>487</v>
          </cell>
        </row>
        <row r="876">
          <cell r="B876" t="str">
            <v>08L07-E09-300C</v>
          </cell>
          <cell r="C876">
            <v>278</v>
          </cell>
          <cell r="D876">
            <v>463</v>
          </cell>
        </row>
        <row r="877">
          <cell r="B877" t="str">
            <v>08L07-E09-400</v>
          </cell>
          <cell r="C877">
            <v>226</v>
          </cell>
          <cell r="D877">
            <v>377</v>
          </cell>
        </row>
        <row r="878">
          <cell r="B878" t="str">
            <v>08L07-E09-400A</v>
          </cell>
          <cell r="C878">
            <v>292</v>
          </cell>
          <cell r="D878">
            <v>487</v>
          </cell>
        </row>
        <row r="879">
          <cell r="B879" t="str">
            <v>08L09-E09-101</v>
          </cell>
          <cell r="C879">
            <v>430</v>
          </cell>
          <cell r="D879">
            <v>717</v>
          </cell>
        </row>
        <row r="880">
          <cell r="B880" t="str">
            <v>08L20-E09-101C</v>
          </cell>
          <cell r="C880">
            <v>571</v>
          </cell>
          <cell r="D880">
            <v>952</v>
          </cell>
        </row>
        <row r="881">
          <cell r="B881" t="str">
            <v>08L20-E09-200C</v>
          </cell>
          <cell r="C881">
            <v>571</v>
          </cell>
          <cell r="D881">
            <v>952</v>
          </cell>
        </row>
        <row r="882">
          <cell r="B882" t="str">
            <v>08L20-E09-300A</v>
          </cell>
          <cell r="C882">
            <v>875</v>
          </cell>
          <cell r="D882">
            <v>1458</v>
          </cell>
        </row>
        <row r="883">
          <cell r="B883" t="str">
            <v>08L20-E09-300B</v>
          </cell>
          <cell r="C883">
            <v>799</v>
          </cell>
          <cell r="D883">
            <v>1332</v>
          </cell>
        </row>
        <row r="884">
          <cell r="B884" t="str">
            <v>08L20-E09-400A</v>
          </cell>
          <cell r="C884">
            <v>875</v>
          </cell>
          <cell r="D884">
            <v>1458</v>
          </cell>
        </row>
        <row r="885">
          <cell r="B885" t="str">
            <v>08L20-E09-400B</v>
          </cell>
          <cell r="C885">
            <v>799</v>
          </cell>
          <cell r="D885">
            <v>1332</v>
          </cell>
        </row>
        <row r="886">
          <cell r="B886" t="str">
            <v>08L92-S9V-300G</v>
          </cell>
          <cell r="C886">
            <v>28</v>
          </cell>
          <cell r="D886">
            <v>47</v>
          </cell>
        </row>
        <row r="887">
          <cell r="B887" t="str">
            <v>08L92-S9V-300H</v>
          </cell>
          <cell r="C887">
            <v>28</v>
          </cell>
          <cell r="D887">
            <v>47</v>
          </cell>
        </row>
        <row r="888">
          <cell r="B888" t="str">
            <v>08L92-SCV-100B</v>
          </cell>
          <cell r="C888">
            <v>28</v>
          </cell>
          <cell r="D888">
            <v>47</v>
          </cell>
        </row>
        <row r="889">
          <cell r="B889" t="str">
            <v>08L92-SCV-300A</v>
          </cell>
          <cell r="C889">
            <v>28</v>
          </cell>
          <cell r="D889">
            <v>47</v>
          </cell>
        </row>
        <row r="890">
          <cell r="B890" t="str">
            <v>08L92-SJC-300A</v>
          </cell>
          <cell r="C890">
            <v>106</v>
          </cell>
          <cell r="D890">
            <v>163</v>
          </cell>
        </row>
        <row r="891">
          <cell r="B891" t="str">
            <v>08P99-UNA-400A</v>
          </cell>
          <cell r="C891" t="e">
            <v>#N/A</v>
          </cell>
          <cell r="D891" t="e">
            <v>#N/A</v>
          </cell>
        </row>
        <row r="892">
          <cell r="B892" t="str">
            <v>08P99-UNH-300A</v>
          </cell>
          <cell r="C892" t="e">
            <v>#N/A</v>
          </cell>
          <cell r="D892" t="e">
            <v>#N/A</v>
          </cell>
        </row>
        <row r="893">
          <cell r="B893" t="str">
            <v>08R79-PS8-300A</v>
          </cell>
          <cell r="C893">
            <v>55</v>
          </cell>
          <cell r="D893">
            <v>92</v>
          </cell>
        </row>
        <row r="894">
          <cell r="B894" t="str">
            <v>08R79-PS8-300B</v>
          </cell>
          <cell r="C894">
            <v>55</v>
          </cell>
          <cell r="D894">
            <v>92</v>
          </cell>
        </row>
        <row r="895">
          <cell r="B895" t="str">
            <v>08T44-SJA-401A</v>
          </cell>
          <cell r="C895">
            <v>145</v>
          </cell>
          <cell r="D895">
            <v>242</v>
          </cell>
        </row>
        <row r="896">
          <cell r="B896" t="str">
            <v>08T44-SNA-302</v>
          </cell>
          <cell r="C896">
            <v>145</v>
          </cell>
          <cell r="D896">
            <v>242</v>
          </cell>
        </row>
        <row r="897">
          <cell r="B897" t="str">
            <v>08T44-SVB-301</v>
          </cell>
          <cell r="C897">
            <v>155</v>
          </cell>
          <cell r="D897">
            <v>258</v>
          </cell>
        </row>
        <row r="898">
          <cell r="B898" t="str">
            <v>08T44-TGH-300</v>
          </cell>
          <cell r="C898">
            <v>193</v>
          </cell>
          <cell r="D898">
            <v>322</v>
          </cell>
        </row>
        <row r="899">
          <cell r="B899" t="str">
            <v>08T44-TJB-400</v>
          </cell>
          <cell r="C899">
            <v>259</v>
          </cell>
          <cell r="D899">
            <v>432</v>
          </cell>
        </row>
        <row r="900">
          <cell r="B900" t="str">
            <v>08T44-TLA-300A</v>
          </cell>
          <cell r="C900">
            <v>130</v>
          </cell>
          <cell r="D900">
            <v>217</v>
          </cell>
        </row>
        <row r="901">
          <cell r="B901" t="str">
            <v>08T44-TLA-300B</v>
          </cell>
          <cell r="C901">
            <v>113</v>
          </cell>
          <cell r="D901">
            <v>188</v>
          </cell>
        </row>
        <row r="902">
          <cell r="B902" t="str">
            <v>08T44-TLA-300C</v>
          </cell>
          <cell r="C902">
            <v>115</v>
          </cell>
          <cell r="D902">
            <v>192</v>
          </cell>
        </row>
        <row r="903">
          <cell r="B903" t="str">
            <v>08U20-S9V-101</v>
          </cell>
          <cell r="C903">
            <v>86</v>
          </cell>
          <cell r="D903">
            <v>143</v>
          </cell>
        </row>
        <row r="904">
          <cell r="B904" t="str">
            <v>08U20-STK-200</v>
          </cell>
          <cell r="C904">
            <v>86</v>
          </cell>
          <cell r="D904">
            <v>143</v>
          </cell>
        </row>
        <row r="905">
          <cell r="B905" t="str">
            <v>08U25-S3Y-305</v>
          </cell>
          <cell r="C905">
            <v>39</v>
          </cell>
          <cell r="D905">
            <v>65</v>
          </cell>
        </row>
        <row r="906">
          <cell r="B906" t="str">
            <v>08U25-S5D-116</v>
          </cell>
          <cell r="C906">
            <v>39</v>
          </cell>
          <cell r="D906">
            <v>65</v>
          </cell>
        </row>
        <row r="907">
          <cell r="B907" t="str">
            <v>08U25-STK-413</v>
          </cell>
          <cell r="C907">
            <v>39</v>
          </cell>
          <cell r="D907">
            <v>65</v>
          </cell>
        </row>
        <row r="908">
          <cell r="B908" t="str">
            <v>08U51-TJB-200</v>
          </cell>
          <cell r="C908">
            <v>19.989999999999998</v>
          </cell>
          <cell r="D908">
            <v>32.99</v>
          </cell>
        </row>
        <row r="909">
          <cell r="B909" t="str">
            <v>08W17-PC4-300</v>
          </cell>
          <cell r="C909">
            <v>92.25</v>
          </cell>
          <cell r="D909">
            <v>153.75</v>
          </cell>
        </row>
        <row r="910">
          <cell r="B910" t="str">
            <v>08W42-S2A-101</v>
          </cell>
          <cell r="C910">
            <v>59</v>
          </cell>
          <cell r="D910">
            <v>98</v>
          </cell>
        </row>
        <row r="911">
          <cell r="B911" t="str">
            <v>08W42-S6M-402</v>
          </cell>
          <cell r="C911">
            <v>52</v>
          </cell>
          <cell r="D911">
            <v>87</v>
          </cell>
        </row>
        <row r="912">
          <cell r="B912" t="str">
            <v>08W42-SCV-302</v>
          </cell>
          <cell r="C912">
            <v>52</v>
          </cell>
          <cell r="D912">
            <v>87</v>
          </cell>
        </row>
        <row r="913">
          <cell r="B913" t="str">
            <v>08W42-SNA-301</v>
          </cell>
          <cell r="C913">
            <v>42</v>
          </cell>
          <cell r="D913">
            <v>70</v>
          </cell>
        </row>
        <row r="914">
          <cell r="B914" t="str">
            <v>08W42-TG7-301A</v>
          </cell>
          <cell r="C914">
            <v>85</v>
          </cell>
          <cell r="D914">
            <v>140</v>
          </cell>
        </row>
        <row r="915">
          <cell r="B915" t="str">
            <v>08W42-TGG-100</v>
          </cell>
          <cell r="C915">
            <v>55</v>
          </cell>
          <cell r="D915">
            <v>88</v>
          </cell>
        </row>
        <row r="916">
          <cell r="B916" t="str">
            <v>08W42-TGG-301</v>
          </cell>
          <cell r="C916">
            <v>59</v>
          </cell>
          <cell r="D916">
            <v>98</v>
          </cell>
        </row>
        <row r="917">
          <cell r="B917" t="str">
            <v>08W42-TK4-301</v>
          </cell>
          <cell r="C917">
            <v>91</v>
          </cell>
          <cell r="D917">
            <v>152</v>
          </cell>
        </row>
        <row r="918">
          <cell r="B918" t="str">
            <v>08W42-TK4-401</v>
          </cell>
          <cell r="C918">
            <v>91</v>
          </cell>
          <cell r="D918">
            <v>152</v>
          </cell>
        </row>
        <row r="919">
          <cell r="B919" t="str">
            <v>08W42-TZ3-201A</v>
          </cell>
          <cell r="C919">
            <v>61</v>
          </cell>
          <cell r="D919">
            <v>82</v>
          </cell>
        </row>
        <row r="920">
          <cell r="B920" t="str">
            <v>08W42-TZ3-401</v>
          </cell>
          <cell r="C920">
            <v>90</v>
          </cell>
          <cell r="D920">
            <v>150</v>
          </cell>
        </row>
        <row r="921">
          <cell r="B921" t="str">
            <v>08W42-TZ5-200B</v>
          </cell>
          <cell r="C921">
            <v>78</v>
          </cell>
          <cell r="D921">
            <v>120</v>
          </cell>
        </row>
        <row r="922">
          <cell r="B922" t="str">
            <v>08W42-TZ5-401</v>
          </cell>
          <cell r="C922">
            <v>90</v>
          </cell>
          <cell r="D922">
            <v>150</v>
          </cell>
        </row>
        <row r="923">
          <cell r="B923" t="str">
            <v>08Z04-SCV-110B</v>
          </cell>
          <cell r="C923">
            <v>477</v>
          </cell>
          <cell r="D923">
            <v>681</v>
          </cell>
        </row>
        <row r="924">
          <cell r="B924" t="str">
            <v>31670-BMS-004A</v>
          </cell>
          <cell r="C924">
            <v>91</v>
          </cell>
          <cell r="D924">
            <v>152</v>
          </cell>
        </row>
        <row r="925">
          <cell r="B925" t="str">
            <v>31670-BMS-004H</v>
          </cell>
          <cell r="C925">
            <v>91</v>
          </cell>
          <cell r="D925">
            <v>152</v>
          </cell>
        </row>
        <row r="926">
          <cell r="B926" t="str">
            <v>442-770-6545BH</v>
          </cell>
          <cell r="C926">
            <v>182</v>
          </cell>
          <cell r="D926">
            <v>228</v>
          </cell>
        </row>
        <row r="927">
          <cell r="B927" t="str">
            <v>06255-5EZ-317</v>
          </cell>
          <cell r="C927">
            <v>801.55</v>
          </cell>
          <cell r="D927">
            <v>1233.07</v>
          </cell>
        </row>
        <row r="928">
          <cell r="B928" t="str">
            <v>08W42-PL4-100A</v>
          </cell>
          <cell r="C928">
            <v>165</v>
          </cell>
          <cell r="D928">
            <v>275</v>
          </cell>
        </row>
        <row r="929">
          <cell r="B929" t="str">
            <v>31670-BMS-LEAD</v>
          </cell>
          <cell r="C929">
            <v>18</v>
          </cell>
          <cell r="D929">
            <v>26</v>
          </cell>
        </row>
        <row r="930">
          <cell r="B930" t="str">
            <v>42700-TBA-A12</v>
          </cell>
          <cell r="C930">
            <v>77.900000000000006</v>
          </cell>
          <cell r="D930">
            <v>128.12</v>
          </cell>
        </row>
        <row r="931">
          <cell r="B931" t="str">
            <v>42753-T3R-A04</v>
          </cell>
          <cell r="C931">
            <v>26.39</v>
          </cell>
          <cell r="D931">
            <v>43.29</v>
          </cell>
        </row>
        <row r="932">
          <cell r="B932" t="str">
            <v>08DEF-410738</v>
          </cell>
          <cell r="C932">
            <v>158</v>
          </cell>
          <cell r="D932">
            <v>220</v>
          </cell>
        </row>
        <row r="933">
          <cell r="B933" t="str">
            <v>08V67-3A0-301A</v>
          </cell>
          <cell r="C933">
            <v>425</v>
          </cell>
          <cell r="D933">
            <v>563</v>
          </cell>
        </row>
        <row r="934">
          <cell r="B934" t="str">
            <v>08V67-3A0-301B</v>
          </cell>
          <cell r="C934">
            <v>425</v>
          </cell>
          <cell r="D934">
            <v>563</v>
          </cell>
        </row>
        <row r="935">
          <cell r="B935" t="str">
            <v>08W18-3A0-300B</v>
          </cell>
          <cell r="C935">
            <v>502</v>
          </cell>
          <cell r="D935">
            <v>725</v>
          </cell>
        </row>
        <row r="936">
          <cell r="B936" t="str">
            <v>08F20-3A0-100D</v>
          </cell>
          <cell r="C936">
            <v>42</v>
          </cell>
          <cell r="D936">
            <v>70</v>
          </cell>
        </row>
        <row r="937">
          <cell r="B937" t="str">
            <v>08R04-3A0-100B</v>
          </cell>
          <cell r="C937">
            <v>203</v>
          </cell>
          <cell r="D937">
            <v>338</v>
          </cell>
        </row>
        <row r="938">
          <cell r="B938" t="str">
            <v>08L91-3A0-300A</v>
          </cell>
          <cell r="C938">
            <v>258</v>
          </cell>
          <cell r="D938">
            <v>430</v>
          </cell>
        </row>
        <row r="939">
          <cell r="B939" t="str">
            <v>08V67-T7A-180J</v>
          </cell>
          <cell r="C939">
            <v>247</v>
          </cell>
          <cell r="D939">
            <v>412</v>
          </cell>
        </row>
        <row r="940">
          <cell r="B940" t="str">
            <v>TUCH-G545M-A1</v>
          </cell>
          <cell r="C940">
            <v>13</v>
          </cell>
          <cell r="D940">
            <v>21.5</v>
          </cell>
        </row>
        <row r="941">
          <cell r="B941" t="str">
            <v xml:space="preserve">TUCH-B640M-A1 </v>
          </cell>
          <cell r="C941">
            <v>13</v>
          </cell>
          <cell r="D941">
            <v>21.5</v>
          </cell>
        </row>
        <row r="942">
          <cell r="B942" t="str">
            <v>08P05-3A0-1J0 </v>
          </cell>
          <cell r="C942">
            <v>223</v>
          </cell>
          <cell r="D942">
            <v>372</v>
          </cell>
        </row>
        <row r="943">
          <cell r="B943" t="str">
            <v>08P00-PS2-100</v>
          </cell>
          <cell r="C943">
            <v>113</v>
          </cell>
          <cell r="D943">
            <v>187</v>
          </cell>
        </row>
        <row r="944">
          <cell r="B944" t="str">
            <v>08P00-PS3-210</v>
          </cell>
          <cell r="C944">
            <v>169.97</v>
          </cell>
          <cell r="D944">
            <v>283.27999999999997</v>
          </cell>
        </row>
        <row r="945">
          <cell r="B945" t="str">
            <v>08P00-PS3-220</v>
          </cell>
          <cell r="C945">
            <v>175.07</v>
          </cell>
          <cell r="D945">
            <v>291.77999999999997</v>
          </cell>
        </row>
        <row r="946">
          <cell r="B946" t="str">
            <v>08F20-T47-100E</v>
          </cell>
          <cell r="C946">
            <v>196</v>
          </cell>
          <cell r="D946">
            <v>327</v>
          </cell>
        </row>
        <row r="947">
          <cell r="B947" t="str">
            <v xml:space="preserve">08DEF-452080  </v>
          </cell>
          <cell r="C947">
            <v>145</v>
          </cell>
          <cell r="D947">
            <v>207</v>
          </cell>
        </row>
        <row r="948">
          <cell r="B948" t="str">
            <v>08P20-3A0-1J0 </v>
          </cell>
          <cell r="C948">
            <v>170.99</v>
          </cell>
          <cell r="D948">
            <v>280.99</v>
          </cell>
        </row>
        <row r="949">
          <cell r="B949" t="str">
            <v xml:space="preserve">08F30-3V0-100  </v>
          </cell>
          <cell r="C949">
            <v>328</v>
          </cell>
          <cell r="D949">
            <v>546</v>
          </cell>
        </row>
        <row r="950">
          <cell r="B950" t="str">
            <v xml:space="preserve">08W17-3V0-100A </v>
          </cell>
          <cell r="C950">
            <v>170.99</v>
          </cell>
          <cell r="D950">
            <v>280.99</v>
          </cell>
        </row>
        <row r="951">
          <cell r="B951">
            <v>86275140</v>
          </cell>
          <cell r="C951">
            <v>321</v>
          </cell>
          <cell r="D951">
            <v>400</v>
          </cell>
        </row>
        <row r="952">
          <cell r="B952" t="str">
            <v>08W42-TG7-100</v>
          </cell>
          <cell r="C952">
            <v>62.9</v>
          </cell>
          <cell r="D952">
            <v>101.27</v>
          </cell>
        </row>
        <row r="953">
          <cell r="B953" t="str">
            <v>08P00-T90-100</v>
          </cell>
          <cell r="C953">
            <v>0</v>
          </cell>
          <cell r="D953">
            <v>0</v>
          </cell>
        </row>
        <row r="954">
          <cell r="B954" t="str">
            <v>08W19-36W-100</v>
          </cell>
          <cell r="C954">
            <v>480</v>
          </cell>
          <cell r="D954">
            <v>795</v>
          </cell>
        </row>
        <row r="955">
          <cell r="B955" t="str">
            <v>08F20-36W-100</v>
          </cell>
          <cell r="C955">
            <v>215</v>
          </cell>
          <cell r="D955">
            <v>358</v>
          </cell>
        </row>
        <row r="956">
          <cell r="B956" t="str">
            <v>08F01-36W-160</v>
          </cell>
          <cell r="C956">
            <v>321</v>
          </cell>
          <cell r="D956">
            <v>535</v>
          </cell>
        </row>
        <row r="957">
          <cell r="B957" t="str">
            <v>08F02-36W-160</v>
          </cell>
          <cell r="C957">
            <v>465</v>
          </cell>
          <cell r="D957">
            <v>775</v>
          </cell>
        </row>
        <row r="958">
          <cell r="B958" t="str">
            <v>08R06-36W-110</v>
          </cell>
          <cell r="C958">
            <v>73</v>
          </cell>
          <cell r="D958">
            <v>120</v>
          </cell>
        </row>
        <row r="959">
          <cell r="B959" t="str">
            <v>08R04-36W-100</v>
          </cell>
          <cell r="C959">
            <v>201</v>
          </cell>
          <cell r="D959">
            <v>335</v>
          </cell>
        </row>
        <row r="960">
          <cell r="B960" t="str">
            <v>08P00-36W-100</v>
          </cell>
          <cell r="C960">
            <v>105</v>
          </cell>
          <cell r="D960">
            <v>175</v>
          </cell>
        </row>
        <row r="961">
          <cell r="B961" t="str">
            <v>08P48-36W-100A</v>
          </cell>
          <cell r="C961">
            <v>71</v>
          </cell>
          <cell r="D961">
            <v>118</v>
          </cell>
        </row>
        <row r="962">
          <cell r="B962" t="str">
            <v>08P48-36W-100</v>
          </cell>
          <cell r="C962">
            <v>185</v>
          </cell>
          <cell r="D962">
            <v>308</v>
          </cell>
        </row>
        <row r="963">
          <cell r="B963" t="str">
            <v>08P34-36W-100</v>
          </cell>
          <cell r="C963">
            <v>305</v>
          </cell>
          <cell r="D963">
            <v>510</v>
          </cell>
        </row>
        <row r="964">
          <cell r="B964" t="str">
            <v>08P17-36W-110</v>
          </cell>
          <cell r="C964">
            <v>152</v>
          </cell>
          <cell r="D964">
            <v>255</v>
          </cell>
        </row>
        <row r="965">
          <cell r="B965" t="str">
            <v>08U45-36W-100</v>
          </cell>
          <cell r="C965">
            <v>115</v>
          </cell>
          <cell r="D965">
            <v>192</v>
          </cell>
        </row>
        <row r="966">
          <cell r="B966" t="str">
            <v>08U35-36W-100</v>
          </cell>
          <cell r="C966">
            <v>156</v>
          </cell>
          <cell r="D966">
            <v>260</v>
          </cell>
        </row>
        <row r="967">
          <cell r="B967" t="str">
            <v>08P30-36W-100</v>
          </cell>
          <cell r="C967">
            <v>172</v>
          </cell>
          <cell r="D967">
            <v>285</v>
          </cell>
        </row>
        <row r="968">
          <cell r="B968" t="str">
            <v>08E12-36W-100</v>
          </cell>
          <cell r="C968">
            <v>280</v>
          </cell>
          <cell r="D968">
            <v>467</v>
          </cell>
        </row>
        <row r="969">
          <cell r="B969" t="str">
            <v>08E16-36W-100</v>
          </cell>
          <cell r="C969">
            <v>200</v>
          </cell>
          <cell r="D969">
            <v>330</v>
          </cell>
        </row>
        <row r="970">
          <cell r="B970" t="str">
            <v>08V27-36W-100</v>
          </cell>
          <cell r="C970">
            <v>183</v>
          </cell>
          <cell r="D970">
            <v>305</v>
          </cell>
        </row>
        <row r="971">
          <cell r="B971" t="str">
            <v>08T44-36W-300</v>
          </cell>
          <cell r="C971">
            <v>193</v>
          </cell>
          <cell r="D971">
            <v>322</v>
          </cell>
        </row>
        <row r="972">
          <cell r="B972" t="str">
            <v>TUCH-NH937P-A1</v>
          </cell>
          <cell r="C972">
            <v>13</v>
          </cell>
          <cell r="D972">
            <v>21.5</v>
          </cell>
        </row>
      </sheetData>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40625" defaultRowHeight="12.75" outlineLevelRow="1"/>
  <cols>
    <col min="1" max="1" width="9.140625" style="3"/>
    <col min="2" max="2" width="32" style="3" bestFit="1" customWidth="1"/>
    <col min="3" max="3" width="30.5703125" style="3" bestFit="1" customWidth="1"/>
    <col min="4" max="16384" width="9.140625" style="3"/>
  </cols>
  <sheetData>
    <row r="1" spans="1:4">
      <c r="A1" s="4"/>
      <c r="B1" s="4"/>
      <c r="C1" s="4"/>
      <c r="D1" s="4"/>
    </row>
    <row r="2" spans="1:4" ht="15">
      <c r="A2" s="4"/>
      <c r="B2" s="1" t="s">
        <v>32</v>
      </c>
      <c r="C2" s="10">
        <v>6.9900000000000004E-2</v>
      </c>
      <c r="D2" s="14" t="s">
        <v>51</v>
      </c>
    </row>
    <row r="3" spans="1:4" ht="15">
      <c r="A3" s="4"/>
      <c r="B3" s="1" t="s">
        <v>33</v>
      </c>
      <c r="C3" s="11">
        <v>52</v>
      </c>
      <c r="D3" s="14" t="s">
        <v>51</v>
      </c>
    </row>
    <row r="4" spans="1:4" ht="15">
      <c r="A4" s="4"/>
      <c r="B4" s="1" t="s">
        <v>34</v>
      </c>
      <c r="C4" s="12">
        <v>5</v>
      </c>
      <c r="D4" s="14" t="s">
        <v>51</v>
      </c>
    </row>
    <row r="5" spans="1:4" ht="15">
      <c r="A5" s="4"/>
      <c r="B5" s="1" t="s">
        <v>35</v>
      </c>
      <c r="C5" s="5">
        <v>10000</v>
      </c>
      <c r="D5" s="14" t="s">
        <v>52</v>
      </c>
    </row>
    <row r="6" spans="1:4" ht="15">
      <c r="A6" s="4"/>
      <c r="B6" s="1"/>
      <c r="C6" s="1"/>
      <c r="D6" s="4"/>
    </row>
    <row r="7" spans="1:4" ht="15">
      <c r="A7" s="4"/>
      <c r="B7" s="1" t="s">
        <v>36</v>
      </c>
      <c r="C7" s="6" t="s">
        <v>37</v>
      </c>
      <c r="D7" s="4"/>
    </row>
    <row r="8" spans="1:4">
      <c r="A8" s="4"/>
      <c r="B8" s="4"/>
      <c r="C8" s="7">
        <f>-PMT(C2/C3,C4*C3,C5)</f>
        <v>45.598988283683823</v>
      </c>
      <c r="D8" s="13" t="s">
        <v>50</v>
      </c>
    </row>
    <row r="9" spans="1:4">
      <c r="A9" s="4"/>
      <c r="C9" s="4"/>
      <c r="D9" s="4"/>
    </row>
    <row r="10" spans="1:4">
      <c r="A10" s="4"/>
      <c r="B10" s="84" t="s">
        <v>101</v>
      </c>
      <c r="C10" s="4"/>
      <c r="D10" s="4"/>
    </row>
    <row r="11" spans="1:4">
      <c r="A11" s="4"/>
      <c r="B11" s="4"/>
      <c r="C11" s="4"/>
      <c r="D11" s="4"/>
    </row>
    <row r="13" spans="1:4">
      <c r="B13" s="3" t="s">
        <v>38</v>
      </c>
    </row>
    <row r="15" spans="1:4">
      <c r="B15" s="9" t="s">
        <v>39</v>
      </c>
    </row>
    <row r="16" spans="1:4">
      <c r="B16" s="9" t="s">
        <v>40</v>
      </c>
    </row>
    <row r="19" spans="2:11">
      <c r="B19" s="3" t="s">
        <v>41</v>
      </c>
    </row>
    <row r="21" spans="2:11" ht="76.5" hidden="1" customHeight="1" outlineLevel="1">
      <c r="B21" s="352" t="s">
        <v>43</v>
      </c>
      <c r="C21" s="352"/>
      <c r="D21" s="352"/>
      <c r="E21" s="352"/>
      <c r="F21" s="352"/>
      <c r="G21" s="352"/>
      <c r="H21" s="352"/>
      <c r="I21" s="352"/>
      <c r="J21" s="352"/>
      <c r="K21" s="352"/>
    </row>
    <row r="22" spans="2:11" ht="86.25" hidden="1" customHeight="1" outlineLevel="1">
      <c r="B22" s="353" t="s">
        <v>45</v>
      </c>
      <c r="C22" s="353"/>
      <c r="D22" s="353"/>
      <c r="E22" s="353"/>
      <c r="F22" s="353"/>
      <c r="G22" s="353"/>
      <c r="H22" s="353"/>
      <c r="I22" s="353"/>
      <c r="J22" s="353"/>
      <c r="K22" s="353"/>
    </row>
    <row r="23" spans="2:11" hidden="1" outlineLevel="1">
      <c r="B23" s="3" t="s">
        <v>29</v>
      </c>
    </row>
    <row r="24" spans="2:11" hidden="1" outlineLevel="1">
      <c r="B24" s="3" t="s">
        <v>46</v>
      </c>
    </row>
    <row r="25" spans="2:11" hidden="1" outlineLevel="1"/>
    <row r="26" spans="2:11" hidden="1" outlineLevel="1">
      <c r="B26" s="3" t="s">
        <v>30</v>
      </c>
    </row>
    <row r="27" spans="2:11" hidden="1" outlineLevel="1">
      <c r="B27" s="3" t="s">
        <v>31</v>
      </c>
    </row>
    <row r="28" spans="2:11" hidden="1" outlineLevel="1">
      <c r="B28" s="3" t="s">
        <v>44</v>
      </c>
    </row>
    <row r="29" spans="2:11" hidden="1" outlineLevel="1"/>
    <row r="30" spans="2:11" hidden="1" outlineLevel="1">
      <c r="B30" s="3" t="s">
        <v>47</v>
      </c>
    </row>
    <row r="31" spans="2:11" hidden="1" outlineLevel="1">
      <c r="B31" s="3" t="s">
        <v>48</v>
      </c>
    </row>
    <row r="32" spans="2:11" hidden="1" outlineLevel="1">
      <c r="B32" s="3" t="s">
        <v>49</v>
      </c>
    </row>
    <row r="33" spans="2:2" collapsed="1"/>
    <row r="35" spans="2:2">
      <c r="B35" s="85" t="s">
        <v>42</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0"/>
  <sheetViews>
    <sheetView workbookViewId="0">
      <pane ySplit="1" topLeftCell="A2" activePane="bottomLeft" state="frozen"/>
      <selection activeCell="B35" sqref="B35"/>
      <selection pane="bottomLeft" activeCell="G2" sqref="G2"/>
    </sheetView>
  </sheetViews>
  <sheetFormatPr defaultColWidth="8.7109375" defaultRowHeight="12.75" outlineLevelCol="1"/>
  <cols>
    <col min="1" max="1" width="22.42578125" style="3" customWidth="1" outlineLevel="1"/>
    <col min="2" max="2" width="3.85546875" style="3" customWidth="1" outlineLevel="1"/>
    <col min="3" max="3" width="21.5703125" style="3" customWidth="1" outlineLevel="1"/>
    <col min="4" max="4" width="39.42578125" style="3" bestFit="1" customWidth="1"/>
    <col min="5" max="5" width="2.85546875" style="3" bestFit="1" customWidth="1"/>
    <col min="6" max="16384" width="8.7109375" style="3"/>
  </cols>
  <sheetData>
    <row r="1" spans="1:13" ht="48">
      <c r="A1" s="218" t="s">
        <v>155</v>
      </c>
      <c r="B1" s="214"/>
      <c r="C1" s="213"/>
      <c r="D1" s="162" t="s">
        <v>153</v>
      </c>
      <c r="E1" s="215" t="s">
        <v>154</v>
      </c>
      <c r="F1" s="162" t="s">
        <v>121</v>
      </c>
      <c r="G1" s="162" t="s">
        <v>507</v>
      </c>
      <c r="H1" s="162" t="s">
        <v>122</v>
      </c>
      <c r="I1" s="162" t="s">
        <v>123</v>
      </c>
      <c r="J1" s="162" t="s">
        <v>124</v>
      </c>
      <c r="K1" s="162" t="s">
        <v>125</v>
      </c>
      <c r="L1" s="162" t="s">
        <v>126</v>
      </c>
      <c r="M1" s="162" t="s">
        <v>127</v>
      </c>
    </row>
    <row r="2" spans="1:13">
      <c r="A2" s="354" t="s">
        <v>150</v>
      </c>
      <c r="B2" s="216">
        <v>1</v>
      </c>
      <c r="C2" s="217" t="s">
        <v>293</v>
      </c>
      <c r="D2" s="3" t="s">
        <v>293</v>
      </c>
      <c r="G2" s="3" t="s">
        <v>285</v>
      </c>
    </row>
    <row r="3" spans="1:13">
      <c r="A3" s="355"/>
      <c r="B3" s="216">
        <v>2</v>
      </c>
      <c r="C3" s="217" t="s">
        <v>191</v>
      </c>
      <c r="D3" s="3" t="s">
        <v>191</v>
      </c>
      <c r="G3" s="3" t="s">
        <v>283</v>
      </c>
    </row>
    <row r="4" spans="1:13">
      <c r="A4" s="355"/>
      <c r="B4" s="216">
        <v>3</v>
      </c>
      <c r="C4" s="217" t="s">
        <v>180</v>
      </c>
      <c r="D4" s="3" t="s">
        <v>180</v>
      </c>
    </row>
    <row r="5" spans="1:13">
      <c r="A5" s="355"/>
      <c r="B5" s="216">
        <v>4</v>
      </c>
      <c r="C5" s="217" t="s">
        <v>208</v>
      </c>
      <c r="D5" s="3" t="s">
        <v>208</v>
      </c>
    </row>
    <row r="6" spans="1:13">
      <c r="A6" s="355"/>
      <c r="B6" s="216">
        <v>5</v>
      </c>
      <c r="C6" s="217" t="s">
        <v>298</v>
      </c>
      <c r="D6" s="3" t="s">
        <v>298</v>
      </c>
    </row>
    <row r="7" spans="1:13">
      <c r="A7" s="355"/>
      <c r="B7" s="216">
        <v>6</v>
      </c>
      <c r="C7" s="217" t="s">
        <v>299</v>
      </c>
      <c r="D7" s="3" t="s">
        <v>299</v>
      </c>
    </row>
    <row r="8" spans="1:13">
      <c r="A8" s="356" t="s">
        <v>139</v>
      </c>
      <c r="B8" s="216">
        <v>7</v>
      </c>
      <c r="C8" s="217" t="s">
        <v>295</v>
      </c>
      <c r="D8" s="3" t="s">
        <v>295</v>
      </c>
    </row>
    <row r="9" spans="1:13">
      <c r="A9" s="356"/>
      <c r="B9" s="216">
        <v>8</v>
      </c>
      <c r="C9" s="217" t="s">
        <v>167</v>
      </c>
      <c r="D9" s="3" t="s">
        <v>167</v>
      </c>
    </row>
    <row r="10" spans="1:13">
      <c r="A10" s="354" t="s">
        <v>161</v>
      </c>
      <c r="B10" s="216">
        <v>9</v>
      </c>
      <c r="C10" s="217" t="s">
        <v>303</v>
      </c>
      <c r="D10" s="3" t="s">
        <v>303</v>
      </c>
    </row>
    <row r="11" spans="1:13">
      <c r="A11" s="355"/>
      <c r="B11" s="216">
        <v>10</v>
      </c>
      <c r="C11" s="217" t="s">
        <v>95</v>
      </c>
      <c r="D11" s="3" t="s">
        <v>95</v>
      </c>
    </row>
    <row r="12" spans="1:13">
      <c r="A12" s="355"/>
      <c r="B12" s="216">
        <v>11</v>
      </c>
      <c r="C12" s="217" t="s">
        <v>96</v>
      </c>
      <c r="D12" s="3" t="s">
        <v>96</v>
      </c>
    </row>
    <row r="13" spans="1:13">
      <c r="A13" s="355"/>
      <c r="B13" s="216">
        <v>12</v>
      </c>
      <c r="C13" s="217" t="s">
        <v>201</v>
      </c>
      <c r="D13" s="3" t="s">
        <v>201</v>
      </c>
    </row>
    <row r="14" spans="1:13">
      <c r="A14" s="357" t="s">
        <v>140</v>
      </c>
      <c r="B14" s="216">
        <v>13</v>
      </c>
      <c r="C14" s="217" t="s">
        <v>237</v>
      </c>
      <c r="D14" s="3" t="s">
        <v>237</v>
      </c>
    </row>
    <row r="15" spans="1:13">
      <c r="A15" s="357"/>
      <c r="B15" s="216">
        <v>14</v>
      </c>
      <c r="C15" s="217" t="s">
        <v>235</v>
      </c>
      <c r="D15" s="3" t="s">
        <v>235</v>
      </c>
    </row>
    <row r="16" spans="1:13">
      <c r="A16" s="357"/>
      <c r="B16" s="216">
        <v>15</v>
      </c>
      <c r="C16" s="217" t="s">
        <v>255</v>
      </c>
      <c r="D16" s="3" t="s">
        <v>255</v>
      </c>
    </row>
    <row r="17" spans="1:4">
      <c r="A17" s="357"/>
      <c r="B17" s="216">
        <v>16</v>
      </c>
      <c r="C17" s="217" t="s">
        <v>243</v>
      </c>
      <c r="D17" s="3" t="s">
        <v>243</v>
      </c>
    </row>
    <row r="18" spans="1:4">
      <c r="A18" s="357"/>
      <c r="B18" s="216">
        <v>17</v>
      </c>
      <c r="C18" s="217" t="s">
        <v>274</v>
      </c>
      <c r="D18" s="3" t="s">
        <v>274</v>
      </c>
    </row>
    <row r="19" spans="1:4">
      <c r="A19" s="357"/>
      <c r="B19" s="216">
        <v>18</v>
      </c>
      <c r="C19" s="217" t="s">
        <v>230</v>
      </c>
      <c r="D19" s="3" t="s">
        <v>230</v>
      </c>
    </row>
    <row r="20" spans="1:4">
      <c r="A20" s="354" t="s">
        <v>485</v>
      </c>
      <c r="B20" s="216">
        <v>19</v>
      </c>
      <c r="C20" s="217" t="s">
        <v>312</v>
      </c>
      <c r="D20" s="3" t="s">
        <v>312</v>
      </c>
    </row>
    <row r="21" spans="1:4">
      <c r="A21" s="355"/>
      <c r="B21" s="216">
        <v>20</v>
      </c>
      <c r="C21" s="217" t="s">
        <v>199</v>
      </c>
      <c r="D21" s="3" t="s">
        <v>199</v>
      </c>
    </row>
    <row r="22" spans="1:4">
      <c r="A22" s="355"/>
      <c r="B22" s="216">
        <v>21</v>
      </c>
      <c r="C22" s="217" t="s">
        <v>275</v>
      </c>
      <c r="D22" s="3" t="s">
        <v>275</v>
      </c>
    </row>
    <row r="23" spans="1:4">
      <c r="A23" s="355"/>
      <c r="B23" s="216">
        <v>22</v>
      </c>
      <c r="C23" s="217" t="s">
        <v>277</v>
      </c>
      <c r="D23" s="3" t="s">
        <v>277</v>
      </c>
    </row>
    <row r="24" spans="1:4">
      <c r="A24" s="357" t="s">
        <v>141</v>
      </c>
      <c r="B24" s="216">
        <v>23</v>
      </c>
      <c r="C24" s="217" t="s">
        <v>257</v>
      </c>
      <c r="D24" s="3" t="s">
        <v>257</v>
      </c>
    </row>
    <row r="25" spans="1:4">
      <c r="A25" s="356"/>
      <c r="B25" s="216">
        <v>24</v>
      </c>
      <c r="C25" s="217" t="s">
        <v>94</v>
      </c>
      <c r="D25" s="3" t="s">
        <v>94</v>
      </c>
    </row>
    <row r="26" spans="1:4">
      <c r="A26" s="358" t="s">
        <v>486</v>
      </c>
      <c r="B26" s="216">
        <v>25</v>
      </c>
      <c r="C26" s="217" t="s">
        <v>193</v>
      </c>
      <c r="D26" s="3" t="s">
        <v>193</v>
      </c>
    </row>
    <row r="27" spans="1:4">
      <c r="A27" s="359"/>
      <c r="B27" s="216">
        <v>26</v>
      </c>
      <c r="C27" s="217" t="s">
        <v>227</v>
      </c>
      <c r="D27" s="3" t="s">
        <v>227</v>
      </c>
    </row>
    <row r="28" spans="1:4">
      <c r="A28" s="359"/>
      <c r="B28" s="216">
        <v>27</v>
      </c>
      <c r="C28" s="217" t="s">
        <v>304</v>
      </c>
      <c r="D28" s="3" t="s">
        <v>304</v>
      </c>
    </row>
    <row r="29" spans="1:4">
      <c r="A29" s="359"/>
      <c r="B29" s="216">
        <v>28</v>
      </c>
      <c r="C29" s="217" t="s">
        <v>305</v>
      </c>
      <c r="D29" s="3" t="s">
        <v>305</v>
      </c>
    </row>
    <row r="30" spans="1:4">
      <c r="A30" s="359"/>
      <c r="B30" s="216">
        <v>29</v>
      </c>
      <c r="C30" s="217" t="s">
        <v>173</v>
      </c>
      <c r="D30" s="3" t="s">
        <v>173</v>
      </c>
    </row>
    <row r="31" spans="1:4">
      <c r="A31" s="359"/>
      <c r="B31" s="216">
        <v>30</v>
      </c>
      <c r="C31" s="217" t="s">
        <v>310</v>
      </c>
      <c r="D31" s="3" t="s">
        <v>310</v>
      </c>
    </row>
    <row r="32" spans="1:4">
      <c r="A32" s="359"/>
      <c r="B32" s="216">
        <v>31</v>
      </c>
      <c r="C32" s="217" t="s">
        <v>172</v>
      </c>
      <c r="D32" s="3" t="s">
        <v>172</v>
      </c>
    </row>
    <row r="33" spans="1:4">
      <c r="A33" s="359"/>
      <c r="B33" s="216">
        <v>32</v>
      </c>
      <c r="C33" s="217" t="s">
        <v>306</v>
      </c>
      <c r="D33" s="3" t="s">
        <v>306</v>
      </c>
    </row>
    <row r="34" spans="1:4">
      <c r="A34" s="359"/>
      <c r="B34" s="216">
        <v>33</v>
      </c>
      <c r="C34" s="217" t="s">
        <v>308</v>
      </c>
      <c r="D34" s="3" t="s">
        <v>308</v>
      </c>
    </row>
    <row r="35" spans="1:4">
      <c r="A35" s="359"/>
      <c r="B35" s="216">
        <v>34</v>
      </c>
      <c r="C35" s="217" t="s">
        <v>171</v>
      </c>
      <c r="D35" s="3" t="s">
        <v>171</v>
      </c>
    </row>
    <row r="36" spans="1:4">
      <c r="A36" s="356" t="s">
        <v>142</v>
      </c>
      <c r="B36" s="216">
        <v>35</v>
      </c>
      <c r="C36" s="217" t="s">
        <v>186</v>
      </c>
      <c r="D36" s="3" t="s">
        <v>186</v>
      </c>
    </row>
    <row r="37" spans="1:4">
      <c r="A37" s="356"/>
      <c r="B37" s="216">
        <v>36</v>
      </c>
      <c r="C37" s="217" t="s">
        <v>233</v>
      </c>
      <c r="D37" s="3" t="s">
        <v>233</v>
      </c>
    </row>
    <row r="38" spans="1:4">
      <c r="A38" s="356"/>
      <c r="B38" s="216">
        <v>37</v>
      </c>
      <c r="C38" s="217" t="s">
        <v>174</v>
      </c>
      <c r="D38" s="3" t="s">
        <v>174</v>
      </c>
    </row>
    <row r="39" spans="1:4">
      <c r="A39" s="357" t="s">
        <v>143</v>
      </c>
      <c r="B39" s="216">
        <v>38</v>
      </c>
      <c r="C39" s="217" t="s">
        <v>190</v>
      </c>
      <c r="D39" s="3" t="s">
        <v>190</v>
      </c>
    </row>
    <row r="40" spans="1:4">
      <c r="A40" s="357"/>
      <c r="B40" s="216">
        <v>39</v>
      </c>
      <c r="C40" s="217" t="s">
        <v>168</v>
      </c>
      <c r="D40" s="3" t="s">
        <v>168</v>
      </c>
    </row>
    <row r="41" spans="1:4">
      <c r="A41" s="357"/>
      <c r="B41" s="216">
        <v>40</v>
      </c>
      <c r="C41" s="217" t="s">
        <v>254</v>
      </c>
      <c r="D41" s="3" t="s">
        <v>254</v>
      </c>
    </row>
    <row r="42" spans="1:4">
      <c r="A42" s="357"/>
      <c r="B42" s="216">
        <v>41</v>
      </c>
      <c r="C42" s="217" t="s">
        <v>482</v>
      </c>
      <c r="D42" s="3" t="s">
        <v>482</v>
      </c>
    </row>
    <row r="43" spans="1:4">
      <c r="A43" s="356"/>
      <c r="B43" s="216">
        <v>42</v>
      </c>
      <c r="C43" s="217" t="s">
        <v>256</v>
      </c>
      <c r="D43" s="3" t="s">
        <v>256</v>
      </c>
    </row>
    <row r="44" spans="1:4">
      <c r="A44" s="356"/>
      <c r="B44" s="216">
        <v>43</v>
      </c>
      <c r="C44" s="217" t="s">
        <v>93</v>
      </c>
      <c r="D44" s="3" t="s">
        <v>93</v>
      </c>
    </row>
    <row r="45" spans="1:4">
      <c r="A45" s="356"/>
      <c r="B45" s="216">
        <v>44</v>
      </c>
      <c r="C45" s="217" t="s">
        <v>25</v>
      </c>
      <c r="D45" s="3" t="s">
        <v>25</v>
      </c>
    </row>
    <row r="46" spans="1:4">
      <c r="A46" s="356" t="s">
        <v>487</v>
      </c>
      <c r="B46" s="216">
        <v>45</v>
      </c>
      <c r="C46" s="217" t="s">
        <v>252</v>
      </c>
      <c r="D46" s="3" t="s">
        <v>252</v>
      </c>
    </row>
    <row r="47" spans="1:4">
      <c r="A47" s="356"/>
      <c r="B47" s="216">
        <v>46</v>
      </c>
      <c r="C47" s="217" t="s">
        <v>92</v>
      </c>
      <c r="D47" s="3" t="s">
        <v>92</v>
      </c>
    </row>
    <row r="48" spans="1:4">
      <c r="A48" s="356"/>
      <c r="B48" s="216">
        <v>47</v>
      </c>
      <c r="C48" s="217" t="s">
        <v>266</v>
      </c>
      <c r="D48" s="3" t="s">
        <v>266</v>
      </c>
    </row>
    <row r="49" spans="1:4">
      <c r="A49" s="356"/>
      <c r="B49" s="216">
        <v>48</v>
      </c>
      <c r="C49" s="217" t="s">
        <v>281</v>
      </c>
      <c r="D49" s="3" t="s">
        <v>281</v>
      </c>
    </row>
    <row r="50" spans="1:4">
      <c r="A50" s="356"/>
      <c r="B50" s="216">
        <v>49</v>
      </c>
      <c r="C50" s="217" t="s">
        <v>267</v>
      </c>
      <c r="D50" s="3" t="s">
        <v>267</v>
      </c>
    </row>
    <row r="51" spans="1:4">
      <c r="A51" s="356" t="s">
        <v>144</v>
      </c>
      <c r="B51" s="216">
        <v>50</v>
      </c>
      <c r="C51" s="217" t="s">
        <v>311</v>
      </c>
      <c r="D51" s="3" t="s">
        <v>311</v>
      </c>
    </row>
    <row r="52" spans="1:4">
      <c r="A52" s="356"/>
      <c r="B52" s="216">
        <v>51</v>
      </c>
      <c r="C52" s="217" t="s">
        <v>99</v>
      </c>
      <c r="D52" s="3" t="s">
        <v>99</v>
      </c>
    </row>
    <row r="53" spans="1:4">
      <c r="A53" s="356"/>
      <c r="B53" s="216">
        <v>52</v>
      </c>
      <c r="C53" s="217" t="s">
        <v>130</v>
      </c>
      <c r="D53" s="3" t="s">
        <v>130</v>
      </c>
    </row>
    <row r="54" spans="1:4">
      <c r="A54" s="356"/>
      <c r="B54" s="216">
        <v>53</v>
      </c>
      <c r="C54" s="217"/>
    </row>
    <row r="55" spans="1:4">
      <c r="A55" s="356"/>
      <c r="B55" s="216">
        <v>54</v>
      </c>
      <c r="C55" s="217"/>
    </row>
    <row r="56" spans="1:4">
      <c r="A56" s="356"/>
      <c r="B56" s="216"/>
      <c r="C56" s="217"/>
    </row>
    <row r="57" spans="1:4">
      <c r="B57" s="216"/>
    </row>
    <row r="58" spans="1:4">
      <c r="B58" s="216"/>
    </row>
    <row r="59" spans="1:4">
      <c r="B59" s="216"/>
    </row>
    <row r="60" spans="1:4">
      <c r="B60" s="216"/>
    </row>
  </sheetData>
  <autoFilter ref="A1:M60" xr:uid="{C3A489A4-4D2E-4B2C-B2F4-E0E07CC0C5CD}"/>
  <mergeCells count="11">
    <mergeCell ref="A2:A7"/>
    <mergeCell ref="A46:A50"/>
    <mergeCell ref="A51:A56"/>
    <mergeCell ref="A8:A9"/>
    <mergeCell ref="A14:A19"/>
    <mergeCell ref="A24:A25"/>
    <mergeCell ref="A36:A38"/>
    <mergeCell ref="A39:A45"/>
    <mergeCell ref="A10:A13"/>
    <mergeCell ref="A20:A23"/>
    <mergeCell ref="A26:A35"/>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S87"/>
  <sheetViews>
    <sheetView zoomScale="66" zoomScaleNormal="100" zoomScaleSheetLayoutView="100" workbookViewId="0">
      <pane ySplit="7" topLeftCell="A8" activePane="bottomLeft" state="frozen"/>
      <selection pane="bottomLeft" activeCell="AH11" sqref="AH11"/>
    </sheetView>
  </sheetViews>
  <sheetFormatPr defaultColWidth="9.140625" defaultRowHeight="15" outlineLevelRow="1"/>
  <cols>
    <col min="1" max="1" width="9.5703125" style="51" bestFit="1" customWidth="1"/>
    <col min="2" max="2" width="16.28515625" style="51" customWidth="1"/>
    <col min="3" max="3" width="19.5703125" style="51" customWidth="1"/>
    <col min="4" max="4" width="30.85546875" style="109" customWidth="1"/>
    <col min="5" max="5" width="33.5703125" style="109" hidden="1" customWidth="1"/>
    <col min="6" max="6" width="25.140625" style="113" hidden="1" customWidth="1"/>
    <col min="7" max="7" width="38.28515625" style="113" hidden="1" customWidth="1"/>
    <col min="8" max="8" width="5.140625" style="80" hidden="1" customWidth="1"/>
    <col min="9" max="9" width="8.42578125" style="51" hidden="1" customWidth="1"/>
    <col min="10" max="11" width="7.85546875" style="51" hidden="1" customWidth="1"/>
    <col min="12" max="12" width="11.5703125" style="51" hidden="1" customWidth="1"/>
    <col min="13" max="20" width="8.85546875" style="51" hidden="1" customWidth="1"/>
    <col min="21" max="21" width="43.7109375" style="51" hidden="1" customWidth="1"/>
    <col min="22" max="22" width="53" style="51" hidden="1" customWidth="1"/>
    <col min="23" max="23" width="8.5703125" style="80" customWidth="1"/>
    <col min="24" max="24" width="5.85546875" style="123" customWidth="1"/>
    <col min="25" max="32" width="5.42578125" customWidth="1"/>
    <col min="33" max="35" width="7.85546875" style="80" customWidth="1"/>
    <col min="36" max="42" width="8.85546875" style="97" customWidth="1"/>
    <col min="43" max="43" width="27.42578125" style="97" customWidth="1"/>
    <col min="44" max="44" width="34.85546875" style="97" customWidth="1"/>
    <col min="45" max="45" width="6.5703125" style="51" customWidth="1"/>
    <col min="46" max="16384" width="9.140625" style="51"/>
  </cols>
  <sheetData>
    <row r="1" spans="2:45" s="197" customFormat="1" ht="11.25">
      <c r="B1" s="221">
        <v>1</v>
      </c>
      <c r="C1" s="221">
        <v>2</v>
      </c>
      <c r="D1" s="221">
        <v>3</v>
      </c>
      <c r="E1" s="221">
        <v>4</v>
      </c>
      <c r="F1" s="221">
        <v>5</v>
      </c>
      <c r="G1" s="221">
        <v>6</v>
      </c>
      <c r="H1" s="221">
        <v>23</v>
      </c>
      <c r="I1" s="221">
        <v>24</v>
      </c>
      <c r="J1" s="221">
        <v>25</v>
      </c>
      <c r="K1" s="221">
        <v>26</v>
      </c>
      <c r="L1" s="221">
        <v>27</v>
      </c>
      <c r="M1" s="221">
        <v>28</v>
      </c>
      <c r="N1" s="221"/>
      <c r="O1" s="221">
        <v>29</v>
      </c>
      <c r="P1" s="221">
        <v>30</v>
      </c>
      <c r="Q1" s="221"/>
      <c r="R1" s="221">
        <v>31</v>
      </c>
      <c r="S1" s="221">
        <v>32</v>
      </c>
      <c r="T1" s="221">
        <v>33</v>
      </c>
      <c r="U1" s="221">
        <v>34</v>
      </c>
      <c r="V1" s="221">
        <v>35</v>
      </c>
      <c r="W1" s="221"/>
      <c r="X1" s="221"/>
      <c r="Y1" s="221"/>
      <c r="Z1" s="221"/>
      <c r="AA1" s="221"/>
      <c r="AB1" s="221"/>
      <c r="AC1" s="221"/>
      <c r="AD1" s="221"/>
      <c r="AE1" s="221"/>
      <c r="AF1" s="221"/>
      <c r="AG1" s="221"/>
      <c r="AH1" s="221"/>
      <c r="AI1" s="221"/>
      <c r="AJ1" s="221"/>
      <c r="AK1" s="221"/>
      <c r="AL1" s="221"/>
      <c r="AM1" s="221"/>
      <c r="AN1" s="221"/>
      <c r="AO1" s="221"/>
      <c r="AP1" s="221"/>
      <c r="AQ1" s="221"/>
      <c r="AR1" s="221"/>
      <c r="AS1" s="221"/>
    </row>
    <row r="2" spans="2:45" ht="26.25">
      <c r="B2" s="104" t="s">
        <v>15</v>
      </c>
      <c r="C2" s="212" t="s">
        <v>273</v>
      </c>
      <c r="D2" s="106"/>
      <c r="E2" s="92"/>
      <c r="F2" s="111"/>
      <c r="G2" s="111"/>
      <c r="H2" s="89"/>
      <c r="I2" s="89"/>
      <c r="J2" s="89"/>
      <c r="K2" s="89"/>
      <c r="L2" s="89"/>
      <c r="M2" s="121" t="s">
        <v>136</v>
      </c>
      <c r="N2" s="121"/>
      <c r="O2" s="121"/>
      <c r="P2" s="122" t="s">
        <v>19</v>
      </c>
      <c r="Q2" s="122"/>
      <c r="R2" s="122" t="s">
        <v>135</v>
      </c>
      <c r="S2" s="122" t="s">
        <v>20</v>
      </c>
      <c r="T2" s="122" t="s">
        <v>100</v>
      </c>
      <c r="U2" s="94"/>
      <c r="W2" s="120"/>
      <c r="X2" s="120"/>
      <c r="Y2" s="120"/>
      <c r="Z2" s="120"/>
      <c r="AA2" s="120"/>
      <c r="AB2" s="120"/>
      <c r="AC2" s="120"/>
      <c r="AD2" s="120"/>
      <c r="AE2" s="120"/>
      <c r="AF2" s="120"/>
      <c r="AG2" s="89"/>
      <c r="AH2" s="89"/>
      <c r="AI2" s="89"/>
      <c r="AJ2" s="91"/>
      <c r="AK2" s="91"/>
      <c r="AL2" s="91"/>
      <c r="AM2" s="91"/>
      <c r="AN2" s="91"/>
      <c r="AO2" s="91"/>
      <c r="AP2" s="91"/>
      <c r="AQ2" s="91"/>
      <c r="AR2" s="91"/>
    </row>
    <row r="3" spans="2:45" ht="20.25" customHeight="1">
      <c r="B3" s="104" t="s">
        <v>16</v>
      </c>
      <c r="C3" s="212">
        <v>2026</v>
      </c>
      <c r="D3" s="106"/>
      <c r="E3" s="92"/>
      <c r="F3" s="111"/>
      <c r="G3" s="111"/>
      <c r="H3" s="89"/>
      <c r="I3" s="89"/>
      <c r="J3" s="89"/>
      <c r="K3" s="89"/>
      <c r="L3" s="89"/>
      <c r="M3" s="89"/>
      <c r="N3" s="89"/>
      <c r="O3" s="89"/>
      <c r="P3" s="89"/>
      <c r="Q3" s="89"/>
      <c r="R3" s="90"/>
      <c r="S3" s="90"/>
      <c r="T3" s="93"/>
      <c r="U3" s="94"/>
      <c r="W3" s="120"/>
      <c r="X3" s="120" t="s">
        <v>134</v>
      </c>
      <c r="Y3" s="120" t="s">
        <v>134</v>
      </c>
      <c r="Z3" s="120"/>
      <c r="AA3" s="120"/>
      <c r="AB3" s="120"/>
      <c r="AC3" s="120"/>
      <c r="AD3" s="120"/>
      <c r="AE3" s="120"/>
      <c r="AF3" s="120"/>
      <c r="AG3" s="89"/>
      <c r="AH3" s="89"/>
      <c r="AI3" s="89"/>
      <c r="AJ3" s="91"/>
      <c r="AK3" s="91"/>
      <c r="AL3" s="91"/>
      <c r="AM3" s="91"/>
      <c r="AN3" s="91"/>
      <c r="AO3" s="91"/>
      <c r="AP3" s="91"/>
      <c r="AQ3" s="91"/>
      <c r="AR3" s="91"/>
    </row>
    <row r="4" spans="2:45" ht="16.5" customHeight="1">
      <c r="B4" s="104" t="s">
        <v>156</v>
      </c>
      <c r="C4" s="219">
        <v>45953</v>
      </c>
      <c r="D4" s="106"/>
      <c r="E4" s="92"/>
      <c r="F4" s="111"/>
      <c r="G4"/>
      <c r="H4" s="89"/>
      <c r="I4" s="89"/>
      <c r="J4" s="89"/>
      <c r="K4" s="89"/>
      <c r="L4" s="89"/>
      <c r="M4" s="366" t="s">
        <v>128</v>
      </c>
      <c r="N4" s="366"/>
      <c r="O4" s="366"/>
      <c r="P4" s="366"/>
      <c r="Q4" s="366"/>
      <c r="R4" s="366"/>
      <c r="S4" s="366"/>
      <c r="T4" s="366"/>
      <c r="U4" s="94"/>
      <c r="W4" s="120"/>
      <c r="X4" s="120" t="s">
        <v>176</v>
      </c>
      <c r="Y4" s="120" t="s">
        <v>176</v>
      </c>
      <c r="Z4" s="120"/>
      <c r="AA4" s="120"/>
      <c r="AB4" s="120"/>
      <c r="AC4" s="120"/>
      <c r="AD4" s="120"/>
      <c r="AE4" s="120"/>
      <c r="AF4" s="120"/>
      <c r="AG4" s="89"/>
      <c r="AH4" s="89"/>
      <c r="AI4" s="89"/>
      <c r="AJ4" s="91"/>
      <c r="AK4" s="91"/>
      <c r="AM4" s="91"/>
      <c r="AN4" s="91"/>
      <c r="AO4" s="91"/>
      <c r="AP4" s="91"/>
      <c r="AQ4" s="91"/>
      <c r="AR4" s="91"/>
    </row>
    <row r="5" spans="2:45" s="95" customFormat="1" ht="26.25">
      <c r="D5" s="107"/>
      <c r="E5" s="110"/>
      <c r="F5" s="112"/>
      <c r="G5" s="112"/>
      <c r="H5" s="116"/>
      <c r="I5" s="96"/>
      <c r="J5" s="96"/>
      <c r="K5" s="96"/>
      <c r="L5" s="89"/>
      <c r="M5" s="367" t="s">
        <v>129</v>
      </c>
      <c r="N5" s="367"/>
      <c r="O5" s="367"/>
      <c r="P5" s="367"/>
      <c r="Q5" s="367"/>
      <c r="R5" s="367"/>
      <c r="S5" s="367"/>
      <c r="T5" s="367"/>
      <c r="U5" s="117"/>
      <c r="V5" s="117"/>
      <c r="W5" s="116"/>
      <c r="X5" s="124"/>
      <c r="AG5" s="286"/>
      <c r="AH5" s="286"/>
      <c r="AI5" s="286"/>
      <c r="AJ5" s="287"/>
      <c r="AK5" s="117"/>
      <c r="AL5" s="117"/>
      <c r="AM5" s="117"/>
      <c r="AN5" s="117"/>
      <c r="AO5" s="117"/>
      <c r="AP5" s="117"/>
      <c r="AQ5" s="244"/>
      <c r="AR5" s="244"/>
      <c r="AS5" s="117"/>
    </row>
    <row r="6" spans="2:45" s="97" customFormat="1" ht="18.75" customHeight="1">
      <c r="B6" s="98" t="s">
        <v>114</v>
      </c>
      <c r="C6" s="98" t="s">
        <v>115</v>
      </c>
      <c r="D6" s="100"/>
      <c r="E6" s="100"/>
      <c r="F6" s="113"/>
      <c r="G6" s="113"/>
      <c r="H6" s="116"/>
      <c r="L6" s="171" t="str">
        <f>prov_cd</f>
        <v>ON</v>
      </c>
      <c r="M6" s="170"/>
      <c r="N6" s="170"/>
      <c r="O6" s="170" t="s">
        <v>211</v>
      </c>
      <c r="P6" s="170" t="s">
        <v>474</v>
      </c>
      <c r="Q6" s="170"/>
      <c r="R6" s="170"/>
      <c r="S6" s="170" t="s">
        <v>212</v>
      </c>
      <c r="T6" s="170" t="s">
        <v>475</v>
      </c>
      <c r="W6" s="99"/>
      <c r="X6" s="365" t="s">
        <v>505</v>
      </c>
      <c r="Y6" s="365"/>
      <c r="Z6" s="341"/>
      <c r="AA6" s="341"/>
      <c r="AB6" s="341"/>
      <c r="AC6" s="341"/>
      <c r="AD6" s="341"/>
      <c r="AE6" s="341"/>
      <c r="AF6" s="341"/>
      <c r="AG6" s="368" t="s">
        <v>205</v>
      </c>
      <c r="AH6" s="369" t="s">
        <v>203</v>
      </c>
      <c r="AI6" s="360" t="s">
        <v>121</v>
      </c>
      <c r="AJ6" s="362" t="s">
        <v>204</v>
      </c>
      <c r="AK6" s="363"/>
      <c r="AL6" s="363"/>
      <c r="AM6" s="363"/>
      <c r="AN6" s="363"/>
      <c r="AO6" s="363"/>
      <c r="AP6" s="364"/>
      <c r="AQ6" s="244"/>
      <c r="AR6" s="244"/>
    </row>
    <row r="7" spans="2:45" s="100" customFormat="1" ht="36">
      <c r="B7" s="101" t="s">
        <v>109</v>
      </c>
      <c r="C7" s="101" t="s">
        <v>10</v>
      </c>
      <c r="D7" s="102" t="s">
        <v>111</v>
      </c>
      <c r="E7" s="102" t="s">
        <v>112</v>
      </c>
      <c r="F7" s="114" t="s">
        <v>113</v>
      </c>
      <c r="G7" s="114" t="s">
        <v>110</v>
      </c>
      <c r="H7" s="168" t="s">
        <v>12</v>
      </c>
      <c r="I7" s="169" t="s">
        <v>166</v>
      </c>
      <c r="J7" s="168" t="s">
        <v>17</v>
      </c>
      <c r="K7" s="168" t="s">
        <v>116</v>
      </c>
      <c r="L7" s="168" t="s">
        <v>118</v>
      </c>
      <c r="M7" s="170"/>
      <c r="N7" s="170"/>
      <c r="O7" s="170" t="s">
        <v>211</v>
      </c>
      <c r="P7" s="170" t="s">
        <v>474</v>
      </c>
      <c r="Q7" s="170"/>
      <c r="R7" s="170"/>
      <c r="S7" s="170" t="s">
        <v>212</v>
      </c>
      <c r="T7" s="170" t="s">
        <v>475</v>
      </c>
      <c r="U7" s="172" t="s">
        <v>119</v>
      </c>
      <c r="V7" s="172" t="s">
        <v>120</v>
      </c>
      <c r="W7" s="245" t="s">
        <v>117</v>
      </c>
      <c r="X7" s="340" t="s">
        <v>506</v>
      </c>
      <c r="Y7" s="340" t="s">
        <v>523</v>
      </c>
      <c r="Z7" s="340" t="s">
        <v>524</v>
      </c>
      <c r="AA7" s="340" t="s">
        <v>525</v>
      </c>
      <c r="AB7" s="340" t="s">
        <v>526</v>
      </c>
      <c r="AC7" s="340" t="s">
        <v>527</v>
      </c>
      <c r="AD7" s="340" t="s">
        <v>528</v>
      </c>
      <c r="AE7" s="340" t="s">
        <v>529</v>
      </c>
      <c r="AF7" s="340" t="s">
        <v>530</v>
      </c>
      <c r="AG7" s="368"/>
      <c r="AH7" s="370"/>
      <c r="AI7" s="361"/>
      <c r="AJ7" s="290" t="s">
        <v>122</v>
      </c>
      <c r="AK7" s="290" t="s">
        <v>123</v>
      </c>
      <c r="AL7" s="290" t="s">
        <v>124</v>
      </c>
      <c r="AM7" s="290" t="s">
        <v>125</v>
      </c>
      <c r="AN7" s="290" t="s">
        <v>126</v>
      </c>
      <c r="AO7" s="290" t="s">
        <v>127</v>
      </c>
      <c r="AP7" s="288"/>
      <c r="AQ7" s="248" t="s">
        <v>151</v>
      </c>
      <c r="AR7" s="161" t="s">
        <v>152</v>
      </c>
    </row>
    <row r="8" spans="2:45" ht="45">
      <c r="B8" s="283" t="s">
        <v>286</v>
      </c>
      <c r="C8" s="108" t="str">
        <f t="shared" ref="C8:C14" si="0">B8</f>
        <v>26PAS-PROPK</v>
      </c>
      <c r="D8" s="281" t="s">
        <v>191</v>
      </c>
      <c r="E8" s="108" t="s">
        <v>179</v>
      </c>
      <c r="F8" s="282" t="s">
        <v>542</v>
      </c>
      <c r="G8" s="311" t="s">
        <v>539</v>
      </c>
      <c r="H8" s="164">
        <f>H55+H56</f>
        <v>0.2</v>
      </c>
      <c r="I8" s="164"/>
      <c r="J8" s="164">
        <f>(J55+J56)*0.9</f>
        <v>297</v>
      </c>
      <c r="K8" s="164">
        <f t="shared" ref="K8" si="1">K55+K56</f>
        <v>550</v>
      </c>
      <c r="L8" s="163">
        <f t="shared" ref="L8:L14" si="2">K8+(H8*VLOOKUP(prov_cd,rate_table,2,FALSE))</f>
        <v>580</v>
      </c>
      <c r="M8" s="188"/>
      <c r="N8" s="188"/>
      <c r="O8" s="188" t="s">
        <v>18</v>
      </c>
      <c r="P8" s="188" t="s">
        <v>18</v>
      </c>
      <c r="Q8" s="188"/>
      <c r="R8" s="188"/>
      <c r="S8" s="188" t="s">
        <v>18</v>
      </c>
      <c r="T8" s="188" t="s">
        <v>18</v>
      </c>
      <c r="U8" s="115"/>
      <c r="V8" s="115"/>
      <c r="W8" s="246">
        <v>1</v>
      </c>
      <c r="X8" s="125"/>
      <c r="Y8" s="125" t="s">
        <v>133</v>
      </c>
      <c r="Z8" s="125"/>
      <c r="AA8" s="125"/>
      <c r="AB8" s="125"/>
      <c r="AC8" s="125"/>
      <c r="AD8" s="125"/>
      <c r="AE8" s="125"/>
      <c r="AF8" s="125"/>
      <c r="AG8" s="336"/>
      <c r="AH8" s="337"/>
      <c r="AI8" s="188" t="s">
        <v>18</v>
      </c>
      <c r="AJ8" s="289"/>
      <c r="AK8" s="188"/>
      <c r="AL8" s="188" t="s">
        <v>18</v>
      </c>
      <c r="AM8" s="289"/>
      <c r="AN8" s="289"/>
      <c r="AO8" s="289"/>
      <c r="AP8" s="289"/>
      <c r="AQ8" s="323"/>
      <c r="AR8" s="322" t="s">
        <v>491</v>
      </c>
    </row>
    <row r="9" spans="2:45" ht="56.25">
      <c r="B9" s="283" t="s">
        <v>287</v>
      </c>
      <c r="C9" s="108" t="str">
        <f t="shared" si="0"/>
        <v>26PAS-PROPKA</v>
      </c>
      <c r="D9" s="281" t="s">
        <v>180</v>
      </c>
      <c r="E9" s="108" t="s">
        <v>192</v>
      </c>
      <c r="F9" s="282" t="s">
        <v>541</v>
      </c>
      <c r="G9" s="311" t="s">
        <v>540</v>
      </c>
      <c r="H9" s="164">
        <f>H55+H56+H27+H57</f>
        <v>0.79999999999999993</v>
      </c>
      <c r="I9" s="164"/>
      <c r="J9" s="164">
        <f>(J55+J56+J57+J27)*0.9</f>
        <v>645.30000000000007</v>
      </c>
      <c r="K9" s="164">
        <f>(K55+K56+K57+K27)*0.9</f>
        <v>1075.5</v>
      </c>
      <c r="L9" s="163">
        <f t="shared" si="2"/>
        <v>1195.5</v>
      </c>
      <c r="M9" s="188"/>
      <c r="N9" s="188"/>
      <c r="O9" s="188" t="s">
        <v>18</v>
      </c>
      <c r="P9" s="188" t="s">
        <v>18</v>
      </c>
      <c r="Q9" s="188"/>
      <c r="R9" s="188"/>
      <c r="S9" s="188" t="s">
        <v>18</v>
      </c>
      <c r="T9" s="188" t="s">
        <v>18</v>
      </c>
      <c r="U9" s="115" t="s">
        <v>206</v>
      </c>
      <c r="V9" s="115" t="s">
        <v>207</v>
      </c>
      <c r="W9" s="246">
        <v>2</v>
      </c>
      <c r="X9" s="125"/>
      <c r="Y9" s="125" t="s">
        <v>133</v>
      </c>
      <c r="Z9" s="125"/>
      <c r="AA9" s="125"/>
      <c r="AB9" s="125"/>
      <c r="AC9" s="125"/>
      <c r="AD9" s="125"/>
      <c r="AE9" s="125"/>
      <c r="AF9" s="125"/>
      <c r="AG9" s="338"/>
      <c r="AH9" s="339"/>
      <c r="AI9" s="188" t="s">
        <v>18</v>
      </c>
      <c r="AJ9" s="188"/>
      <c r="AK9" s="188"/>
      <c r="AL9" s="188" t="s">
        <v>18</v>
      </c>
      <c r="AM9" s="188"/>
      <c r="AN9" s="188"/>
      <c r="AO9" s="188"/>
      <c r="AP9" s="188"/>
      <c r="AQ9" s="323"/>
      <c r="AR9" s="322" t="s">
        <v>494</v>
      </c>
    </row>
    <row r="10" spans="2:45" ht="22.5">
      <c r="B10" s="283" t="s">
        <v>291</v>
      </c>
      <c r="C10" s="108" t="str">
        <f t="shared" si="0"/>
        <v>26PAS-BLK-EMB</v>
      </c>
      <c r="D10" s="281" t="s">
        <v>208</v>
      </c>
      <c r="E10" s="108" t="s">
        <v>209</v>
      </c>
      <c r="F10" s="282" t="s">
        <v>513</v>
      </c>
      <c r="G10" s="311" t="s">
        <v>514</v>
      </c>
      <c r="H10" s="164">
        <f>H36+H37</f>
        <v>0.89999999999999991</v>
      </c>
      <c r="I10" s="164"/>
      <c r="J10" s="164">
        <f>(J36+J37)*0.9</f>
        <v>187.20000000000002</v>
      </c>
      <c r="K10" s="164">
        <f>(K36+K37)*0.9</f>
        <v>312.3</v>
      </c>
      <c r="L10" s="163">
        <f t="shared" si="2"/>
        <v>447.3</v>
      </c>
      <c r="M10" s="188"/>
      <c r="N10" s="188"/>
      <c r="O10" s="188" t="s">
        <v>18</v>
      </c>
      <c r="P10" s="188" t="s">
        <v>135</v>
      </c>
      <c r="Q10" s="188"/>
      <c r="R10" s="188"/>
      <c r="S10" s="188" t="s">
        <v>18</v>
      </c>
      <c r="T10" s="188" t="s">
        <v>135</v>
      </c>
      <c r="U10" s="115" t="s">
        <v>206</v>
      </c>
      <c r="V10" s="115" t="s">
        <v>207</v>
      </c>
      <c r="W10" s="246">
        <v>3</v>
      </c>
      <c r="X10" s="125"/>
      <c r="Y10" s="125" t="s">
        <v>133</v>
      </c>
      <c r="Z10" s="125"/>
      <c r="AA10" s="125"/>
      <c r="AB10" s="125"/>
      <c r="AC10" s="125"/>
      <c r="AD10" s="125"/>
      <c r="AE10" s="125"/>
      <c r="AF10" s="125"/>
      <c r="AG10" s="338"/>
      <c r="AH10" s="339"/>
      <c r="AI10" s="188" t="s">
        <v>18</v>
      </c>
      <c r="AJ10" s="188"/>
      <c r="AK10" s="188"/>
      <c r="AL10" s="188"/>
      <c r="AM10" s="188" t="s">
        <v>18</v>
      </c>
      <c r="AN10" s="188"/>
      <c r="AO10" s="188"/>
      <c r="AP10" s="188"/>
      <c r="AQ10" s="323"/>
      <c r="AR10" s="322" t="s">
        <v>512</v>
      </c>
    </row>
    <row r="11" spans="2:45" ht="56.25">
      <c r="B11" s="283" t="s">
        <v>296</v>
      </c>
      <c r="C11" s="108" t="str">
        <f t="shared" si="0"/>
        <v>26PAS-TOW-PK1</v>
      </c>
      <c r="D11" s="281" t="s">
        <v>298</v>
      </c>
      <c r="E11" s="108" t="s">
        <v>313</v>
      </c>
      <c r="F11" s="282" t="s">
        <v>327</v>
      </c>
      <c r="G11" s="311" t="s">
        <v>355</v>
      </c>
      <c r="H11" s="164">
        <f>H39+H40+H41</f>
        <v>0</v>
      </c>
      <c r="I11" s="164"/>
      <c r="J11" s="164">
        <f>(J39+J40+J41)*0.95</f>
        <v>213.75</v>
      </c>
      <c r="K11" s="164">
        <f>(K39+K40+K41)*0.95</f>
        <v>343.9</v>
      </c>
      <c r="L11" s="163">
        <f t="shared" si="2"/>
        <v>343.9</v>
      </c>
      <c r="M11" s="188"/>
      <c r="N11" s="188"/>
      <c r="O11" s="188" t="s">
        <v>18</v>
      </c>
      <c r="P11" s="188" t="s">
        <v>18</v>
      </c>
      <c r="Q11" s="188"/>
      <c r="R11" s="188"/>
      <c r="S11" s="188" t="s">
        <v>18</v>
      </c>
      <c r="T11" s="188" t="s">
        <v>18</v>
      </c>
      <c r="U11" s="115" t="s">
        <v>472</v>
      </c>
      <c r="V11" s="115" t="s">
        <v>473</v>
      </c>
      <c r="W11" s="246">
        <v>4</v>
      </c>
      <c r="X11" s="125"/>
      <c r="Y11" s="125" t="s">
        <v>133</v>
      </c>
      <c r="Z11" s="125"/>
      <c r="AA11" s="125"/>
      <c r="AB11" s="125"/>
      <c r="AC11" s="125"/>
      <c r="AD11" s="125"/>
      <c r="AE11" s="125"/>
      <c r="AF11" s="125"/>
      <c r="AG11" s="338"/>
      <c r="AH11" s="339"/>
      <c r="AI11" s="188" t="s">
        <v>18</v>
      </c>
      <c r="AJ11" s="188"/>
      <c r="AK11" s="188"/>
      <c r="AL11" s="188" t="s">
        <v>18</v>
      </c>
      <c r="AM11" s="188"/>
      <c r="AN11" s="188"/>
      <c r="AO11" s="188"/>
      <c r="AP11" s="188"/>
      <c r="AQ11" s="323"/>
      <c r="AR11" s="322" t="s">
        <v>489</v>
      </c>
    </row>
    <row r="12" spans="2:45" ht="56.25">
      <c r="B12" s="283" t="s">
        <v>297</v>
      </c>
      <c r="C12" s="108" t="str">
        <f t="shared" si="0"/>
        <v>26PAS-TOW-PK2</v>
      </c>
      <c r="D12" s="281" t="s">
        <v>299</v>
      </c>
      <c r="E12" s="108" t="s">
        <v>314</v>
      </c>
      <c r="F12" s="282" t="s">
        <v>326</v>
      </c>
      <c r="G12" s="311" t="s">
        <v>356</v>
      </c>
      <c r="H12" s="164">
        <f>H39+H40+H42</f>
        <v>0</v>
      </c>
      <c r="I12" s="164"/>
      <c r="J12" s="164">
        <f>(J39+J40+J42)*0.95</f>
        <v>213.75</v>
      </c>
      <c r="K12" s="164">
        <f>(K39+K40+K42)*0.95</f>
        <v>343.9</v>
      </c>
      <c r="L12" s="163">
        <f t="shared" si="2"/>
        <v>343.9</v>
      </c>
      <c r="M12" s="188"/>
      <c r="N12" s="188"/>
      <c r="O12" s="188" t="s">
        <v>18</v>
      </c>
      <c r="P12" s="188" t="s">
        <v>18</v>
      </c>
      <c r="Q12" s="188"/>
      <c r="R12" s="188"/>
      <c r="S12" s="188" t="s">
        <v>18</v>
      </c>
      <c r="T12" s="188" t="s">
        <v>18</v>
      </c>
      <c r="U12" s="115" t="s">
        <v>472</v>
      </c>
      <c r="V12" s="115" t="s">
        <v>473</v>
      </c>
      <c r="W12" s="246">
        <v>5</v>
      </c>
      <c r="X12" s="125"/>
      <c r="Y12" s="125" t="s">
        <v>133</v>
      </c>
      <c r="Z12" s="125"/>
      <c r="AA12" s="125"/>
      <c r="AB12" s="125"/>
      <c r="AC12" s="125"/>
      <c r="AD12" s="125"/>
      <c r="AE12" s="125"/>
      <c r="AF12" s="125"/>
      <c r="AG12" s="338"/>
      <c r="AH12" s="339"/>
      <c r="AI12" s="188" t="s">
        <v>18</v>
      </c>
      <c r="AJ12" s="188"/>
      <c r="AK12" s="188"/>
      <c r="AL12" s="188" t="s">
        <v>18</v>
      </c>
      <c r="AM12" s="188"/>
      <c r="AN12" s="188"/>
      <c r="AO12" s="188"/>
      <c r="AP12" s="188"/>
      <c r="AQ12" s="323"/>
      <c r="AR12" s="322" t="s">
        <v>490</v>
      </c>
    </row>
    <row r="13" spans="2:45" ht="90">
      <c r="B13" s="283" t="s">
        <v>292</v>
      </c>
      <c r="C13" s="108" t="str">
        <f t="shared" si="0"/>
        <v>26PAS-RUGPK</v>
      </c>
      <c r="D13" s="281" t="s">
        <v>293</v>
      </c>
      <c r="E13" s="310" t="s">
        <v>471</v>
      </c>
      <c r="F13" s="282" t="s">
        <v>509</v>
      </c>
      <c r="G13" s="311" t="s">
        <v>515</v>
      </c>
      <c r="H13" s="164">
        <f>H55+H56+H27+H24+H25</f>
        <v>1.9</v>
      </c>
      <c r="I13" s="164"/>
      <c r="J13" s="164">
        <f>ROUNDUP((J55+J56+J27+J24+J25)*0.8,0)</f>
        <v>1620</v>
      </c>
      <c r="K13" s="164">
        <f>ROUNDUP((K55+K56+K27+K24+K25)*0.8,0)</f>
        <v>2552</v>
      </c>
      <c r="L13" s="163">
        <f t="shared" si="2"/>
        <v>2837</v>
      </c>
      <c r="M13" s="188"/>
      <c r="N13" s="188"/>
      <c r="O13" s="188" t="s">
        <v>18</v>
      </c>
      <c r="P13" s="188" t="s">
        <v>18</v>
      </c>
      <c r="Q13" s="188"/>
      <c r="R13" s="188"/>
      <c r="S13" s="188" t="s">
        <v>18</v>
      </c>
      <c r="T13" s="188" t="s">
        <v>18</v>
      </c>
      <c r="U13" s="115" t="s">
        <v>508</v>
      </c>
      <c r="V13" s="115" t="s">
        <v>510</v>
      </c>
      <c r="W13" s="246">
        <v>6</v>
      </c>
      <c r="X13" s="125"/>
      <c r="Y13" s="125" t="s">
        <v>133</v>
      </c>
      <c r="Z13" s="125"/>
      <c r="AA13" s="125"/>
      <c r="AB13" s="125"/>
      <c r="AC13" s="125"/>
      <c r="AD13" s="125"/>
      <c r="AE13" s="125"/>
      <c r="AF13" s="125"/>
      <c r="AG13" s="338"/>
      <c r="AH13" s="339"/>
      <c r="AI13" s="188" t="s">
        <v>18</v>
      </c>
      <c r="AJ13" s="188"/>
      <c r="AL13" s="188" t="s">
        <v>18</v>
      </c>
      <c r="AM13" s="188"/>
      <c r="AN13" s="188"/>
      <c r="AO13" s="188"/>
      <c r="AP13" s="188"/>
      <c r="AQ13" s="323"/>
      <c r="AR13" s="322" t="s">
        <v>536</v>
      </c>
    </row>
    <row r="14" spans="2:45" ht="33.75">
      <c r="B14" s="108" t="s">
        <v>497</v>
      </c>
      <c r="C14" s="108" t="str">
        <f t="shared" si="0"/>
        <v>26PAS-COLD</v>
      </c>
      <c r="D14" s="108" t="s">
        <v>498</v>
      </c>
      <c r="E14" s="108" t="s">
        <v>499</v>
      </c>
      <c r="F14" s="115" t="s">
        <v>500</v>
      </c>
      <c r="G14" s="115" t="s">
        <v>501</v>
      </c>
      <c r="H14" s="164">
        <f>(H70+H71)</f>
        <v>1.2</v>
      </c>
      <c r="I14" s="164"/>
      <c r="J14" s="164">
        <f>(J70+J71)*0.95</f>
        <v>224.2</v>
      </c>
      <c r="K14" s="164">
        <f>K70+K71</f>
        <v>394</v>
      </c>
      <c r="L14" s="163">
        <f t="shared" si="2"/>
        <v>574</v>
      </c>
      <c r="M14" s="188"/>
      <c r="N14" s="188"/>
      <c r="O14" s="188" t="s">
        <v>18</v>
      </c>
      <c r="P14" s="188" t="s">
        <v>18</v>
      </c>
      <c r="Q14" s="188"/>
      <c r="R14" s="188"/>
      <c r="S14" s="188" t="s">
        <v>18</v>
      </c>
      <c r="T14" s="188" t="s">
        <v>18</v>
      </c>
      <c r="U14" s="115" t="s">
        <v>472</v>
      </c>
      <c r="V14" s="115" t="s">
        <v>473</v>
      </c>
      <c r="W14" s="246">
        <v>7</v>
      </c>
      <c r="X14" s="125"/>
      <c r="Y14" s="125" t="s">
        <v>133</v>
      </c>
      <c r="Z14" s="125"/>
      <c r="AA14" s="125"/>
      <c r="AB14" s="125"/>
      <c r="AC14" s="125"/>
      <c r="AD14" s="125"/>
      <c r="AE14" s="125"/>
      <c r="AF14" s="125"/>
      <c r="AG14" s="338"/>
      <c r="AH14" s="339"/>
      <c r="AI14" s="339"/>
      <c r="AJ14" s="188"/>
      <c r="AK14" s="188" t="s">
        <v>18</v>
      </c>
      <c r="AL14" s="188"/>
      <c r="AM14" s="188"/>
      <c r="AN14" s="188"/>
      <c r="AO14" s="188"/>
      <c r="AP14" s="188"/>
      <c r="AQ14" s="323"/>
      <c r="AR14" s="322" t="s">
        <v>502</v>
      </c>
    </row>
    <row r="15" spans="2:45" ht="15.75" hidden="1">
      <c r="B15" s="108"/>
      <c r="C15" s="108"/>
      <c r="D15" s="108"/>
      <c r="E15" s="108"/>
      <c r="F15" s="115"/>
      <c r="G15" s="115"/>
      <c r="H15" s="164"/>
      <c r="I15" s="103"/>
      <c r="J15" s="164"/>
      <c r="K15" s="164"/>
      <c r="L15" s="163"/>
      <c r="M15" s="188"/>
      <c r="N15" s="188"/>
      <c r="O15" s="188"/>
      <c r="P15" s="188"/>
      <c r="Q15" s="188"/>
      <c r="R15" s="188"/>
      <c r="S15" s="188"/>
      <c r="T15" s="173"/>
      <c r="U15" s="115"/>
      <c r="V15" s="115"/>
      <c r="W15" s="246"/>
      <c r="X15" s="125"/>
      <c r="Y15" s="125"/>
      <c r="Z15" s="125"/>
      <c r="AA15" s="125"/>
      <c r="AB15" s="125"/>
      <c r="AC15" s="125"/>
      <c r="AD15" s="125"/>
      <c r="AE15" s="125"/>
      <c r="AF15" s="125"/>
      <c r="AG15" s="338"/>
      <c r="AH15" s="339"/>
      <c r="AI15" s="339"/>
      <c r="AJ15" s="188"/>
      <c r="AK15" s="188"/>
      <c r="AL15" s="188"/>
      <c r="AM15" s="188"/>
      <c r="AN15" s="188"/>
      <c r="AO15" s="188"/>
      <c r="AP15" s="188"/>
      <c r="AQ15" s="323"/>
      <c r="AR15" s="323"/>
    </row>
    <row r="16" spans="2:45" ht="15.75" hidden="1">
      <c r="B16" s="108"/>
      <c r="C16" s="108"/>
      <c r="D16" s="108"/>
      <c r="E16" s="108"/>
      <c r="F16" s="115"/>
      <c r="G16" s="115"/>
      <c r="H16" s="164"/>
      <c r="I16" s="103"/>
      <c r="J16" s="164"/>
      <c r="K16" s="164"/>
      <c r="L16" s="163"/>
      <c r="M16" s="188"/>
      <c r="N16" s="188"/>
      <c r="O16" s="188"/>
      <c r="P16" s="188"/>
      <c r="Q16" s="188"/>
      <c r="R16" s="188"/>
      <c r="S16" s="188"/>
      <c r="T16" s="173"/>
      <c r="U16" s="115"/>
      <c r="V16" s="115"/>
      <c r="W16" s="246"/>
      <c r="X16" s="125"/>
      <c r="Y16" s="125"/>
      <c r="Z16" s="125"/>
      <c r="AA16" s="125"/>
      <c r="AB16" s="125"/>
      <c r="AC16" s="125"/>
      <c r="AD16" s="125"/>
      <c r="AE16" s="125"/>
      <c r="AF16" s="125"/>
      <c r="AG16" s="338"/>
      <c r="AH16" s="339"/>
      <c r="AI16" s="339"/>
      <c r="AJ16" s="188"/>
      <c r="AK16" s="188"/>
      <c r="AL16" s="188"/>
      <c r="AM16" s="188"/>
      <c r="AN16" s="188"/>
      <c r="AO16" s="188"/>
      <c r="AP16" s="188"/>
      <c r="AQ16" s="323"/>
      <c r="AR16" s="323"/>
    </row>
    <row r="17" spans="1:45" ht="10.5" hidden="1" customHeight="1">
      <c r="B17" s="205"/>
      <c r="C17" s="205"/>
      <c r="D17" s="207"/>
      <c r="E17" s="207"/>
      <c r="F17" s="208"/>
      <c r="G17" s="208"/>
      <c r="H17" s="209"/>
      <c r="I17" s="206"/>
      <c r="J17" s="210"/>
      <c r="K17" s="206"/>
      <c r="L17" s="211"/>
      <c r="M17" s="206"/>
      <c r="N17" s="206"/>
      <c r="O17" s="206"/>
      <c r="P17" s="206"/>
      <c r="Q17" s="206"/>
      <c r="R17" s="206"/>
      <c r="S17" s="206"/>
      <c r="T17" s="206"/>
      <c r="U17" s="208"/>
      <c r="V17" s="208"/>
      <c r="W17" s="208"/>
      <c r="X17" s="208"/>
      <c r="Y17" s="208"/>
      <c r="Z17" s="208"/>
      <c r="AA17" s="208"/>
      <c r="AB17" s="208"/>
      <c r="AC17" s="208"/>
      <c r="AD17" s="208"/>
      <c r="AE17" s="208"/>
      <c r="AF17" s="208"/>
      <c r="AG17" s="247"/>
      <c r="AH17" s="247"/>
      <c r="AI17" s="247"/>
      <c r="AJ17" s="209"/>
      <c r="AK17" s="209"/>
      <c r="AL17" s="209"/>
      <c r="AM17" s="209"/>
      <c r="AN17" s="209"/>
      <c r="AO17" s="209"/>
      <c r="AP17" s="209"/>
      <c r="AQ17" s="324"/>
      <c r="AR17" s="324"/>
      <c r="AS17" s="205"/>
    </row>
    <row r="18" spans="1:45" ht="15.75" hidden="1">
      <c r="B18" s="103"/>
      <c r="C18" s="103"/>
      <c r="D18" s="103"/>
      <c r="E18" s="103"/>
      <c r="F18" s="115"/>
      <c r="G18" s="115"/>
      <c r="H18" s="105"/>
      <c r="I18" s="103"/>
      <c r="J18" s="160"/>
      <c r="K18" s="163"/>
      <c r="L18" s="163"/>
      <c r="M18" s="188"/>
      <c r="N18" s="188"/>
      <c r="O18" s="188"/>
      <c r="P18" s="188"/>
      <c r="Q18" s="188"/>
      <c r="R18" s="188"/>
      <c r="S18" s="188"/>
      <c r="T18" s="188"/>
      <c r="U18" s="115"/>
      <c r="V18" s="115"/>
      <c r="W18" s="246"/>
      <c r="X18" s="125"/>
      <c r="Y18" s="125"/>
      <c r="Z18" s="125"/>
      <c r="AA18" s="125"/>
      <c r="AB18" s="125"/>
      <c r="AC18" s="125"/>
      <c r="AD18" s="125"/>
      <c r="AE18" s="125"/>
      <c r="AF18" s="125"/>
      <c r="AG18" s="188"/>
      <c r="AH18" s="188"/>
      <c r="AI18" s="188"/>
      <c r="AJ18" s="188"/>
      <c r="AK18" s="188"/>
      <c r="AL18" s="188"/>
      <c r="AM18" s="188"/>
      <c r="AN18" s="188"/>
      <c r="AO18" s="188"/>
      <c r="AP18" s="188"/>
      <c r="AQ18" s="323"/>
      <c r="AR18" s="323"/>
    </row>
    <row r="19" spans="1:45" ht="25.5" hidden="1">
      <c r="A19" s="317" t="s">
        <v>302</v>
      </c>
      <c r="B19" s="305" t="s">
        <v>284</v>
      </c>
      <c r="C19" s="305"/>
      <c r="D19" s="305" t="s">
        <v>285</v>
      </c>
      <c r="E19" s="304" t="s">
        <v>374</v>
      </c>
      <c r="F19" s="115"/>
      <c r="G19" s="115"/>
      <c r="H19" s="105">
        <v>0.5</v>
      </c>
      <c r="I19" s="103"/>
      <c r="J19" s="160" t="e">
        <f>VLOOKUP(B19,'[2]MASTER PART LIST'!$B:$C,2,FALSE)</f>
        <v>#N/A</v>
      </c>
      <c r="K19" s="163" t="e">
        <f>VLOOKUP(B19,'[2]MASTER PART LIST'!$B:$D,3,FALSE)</f>
        <v>#N/A</v>
      </c>
      <c r="L19" s="163" t="e">
        <f t="shared" ref="L19" si="3">K19+(H19*VLOOKUP(prov_cd,rate_table,2,FALSE))</f>
        <v>#N/A</v>
      </c>
      <c r="M19" s="188"/>
      <c r="N19" s="188"/>
      <c r="O19" s="188" t="s">
        <v>18</v>
      </c>
      <c r="P19" s="188" t="s">
        <v>18</v>
      </c>
      <c r="Q19" s="188"/>
      <c r="R19" s="188"/>
      <c r="S19" s="188" t="s">
        <v>18</v>
      </c>
      <c r="T19" s="188" t="s">
        <v>18</v>
      </c>
      <c r="U19" s="115"/>
      <c r="V19" s="115"/>
      <c r="W19" s="246"/>
      <c r="X19" s="125"/>
      <c r="Y19" s="125"/>
      <c r="Z19" s="125"/>
      <c r="AA19" s="125"/>
      <c r="AB19" s="125"/>
      <c r="AC19" s="125"/>
      <c r="AD19" s="125"/>
      <c r="AE19" s="125"/>
      <c r="AF19" s="125"/>
      <c r="AG19" s="188"/>
      <c r="AH19" s="188"/>
      <c r="AI19" s="188"/>
      <c r="AJ19" s="188"/>
      <c r="AK19" s="188"/>
      <c r="AL19" s="188"/>
      <c r="AM19" s="188"/>
      <c r="AN19" s="188"/>
      <c r="AO19" s="188"/>
      <c r="AP19" s="188"/>
      <c r="AQ19" s="323"/>
      <c r="AR19" s="323"/>
    </row>
    <row r="20" spans="1:45" ht="33.75">
      <c r="B20" s="103" t="s">
        <v>432</v>
      </c>
      <c r="C20" s="305" t="s">
        <v>470</v>
      </c>
      <c r="D20" s="312" t="s">
        <v>201</v>
      </c>
      <c r="E20" s="310" t="s">
        <v>357</v>
      </c>
      <c r="F20" s="309" t="s">
        <v>202</v>
      </c>
      <c r="G20" s="309" t="s">
        <v>358</v>
      </c>
      <c r="H20" s="105">
        <v>0.3</v>
      </c>
      <c r="I20" s="103"/>
      <c r="J20" s="160">
        <f>VLOOKUP(B20,'[2]MASTER PART LIST'!$B:$C,2,FALSE)</f>
        <v>165</v>
      </c>
      <c r="K20" s="163">
        <f>VLOOKUP(B20,'[2]MASTER PART LIST'!$B:$D,3,FALSE)</f>
        <v>275</v>
      </c>
      <c r="L20" s="163">
        <f t="shared" ref="L20" si="4">K20+(H20*VLOOKUP(prov_cd,rate_table,2,FALSE))</f>
        <v>320</v>
      </c>
      <c r="M20" s="188"/>
      <c r="N20" s="188"/>
      <c r="O20" s="188" t="s">
        <v>18</v>
      </c>
      <c r="P20" s="188" t="s">
        <v>18</v>
      </c>
      <c r="Q20" s="188"/>
      <c r="R20" s="188"/>
      <c r="S20" s="188" t="s">
        <v>18</v>
      </c>
      <c r="T20" s="188" t="s">
        <v>18</v>
      </c>
      <c r="U20" s="115"/>
      <c r="V20" s="115"/>
      <c r="W20" s="246">
        <v>9</v>
      </c>
      <c r="X20" s="125"/>
      <c r="Y20" s="125" t="s">
        <v>133</v>
      </c>
      <c r="Z20" s="125"/>
      <c r="AA20" s="125"/>
      <c r="AB20" s="125"/>
      <c r="AC20" s="125"/>
      <c r="AD20" s="125"/>
      <c r="AE20" s="125"/>
      <c r="AF20" s="125"/>
      <c r="AG20" s="188"/>
      <c r="AH20" s="188"/>
      <c r="AI20" s="188"/>
      <c r="AJ20" s="188"/>
      <c r="AK20" s="188"/>
      <c r="AL20" s="188"/>
      <c r="AM20" s="188"/>
      <c r="AN20" s="188" t="s">
        <v>18</v>
      </c>
      <c r="AO20" s="188"/>
      <c r="AP20" s="188"/>
      <c r="AQ20" s="323"/>
      <c r="AR20" s="323"/>
    </row>
    <row r="21" spans="1:45" ht="67.5">
      <c r="B21" s="103" t="s">
        <v>247</v>
      </c>
      <c r="C21" s="103" t="str">
        <f>B21</f>
        <v>08W18-3BM-100</v>
      </c>
      <c r="D21" s="310" t="s">
        <v>303</v>
      </c>
      <c r="E21" s="310" t="s">
        <v>359</v>
      </c>
      <c r="F21" s="309" t="s">
        <v>353</v>
      </c>
      <c r="G21" s="309" t="s">
        <v>360</v>
      </c>
      <c r="H21" s="105">
        <v>1.6</v>
      </c>
      <c r="I21" s="103"/>
      <c r="J21" s="160">
        <f>VLOOKUP(B21,'[2]MASTER PART LIST'!$B:$C,2,FALSE)*4</f>
        <v>2072</v>
      </c>
      <c r="K21" s="163">
        <f>VLOOKUP(B21,'[2]MASTER PART LIST'!$B:$D,3,FALSE)*4</f>
        <v>3288</v>
      </c>
      <c r="L21" s="163">
        <f t="shared" ref="L21" si="5">K21+(H21*VLOOKUP(prov_cd,rate_table,2,FALSE))</f>
        <v>3528</v>
      </c>
      <c r="M21" s="188"/>
      <c r="N21" s="188"/>
      <c r="O21" s="188" t="s">
        <v>18</v>
      </c>
      <c r="P21" s="188" t="s">
        <v>18</v>
      </c>
      <c r="Q21" s="188"/>
      <c r="R21" s="188"/>
      <c r="S21" s="188" t="s">
        <v>18</v>
      </c>
      <c r="T21" s="188" t="s">
        <v>18</v>
      </c>
      <c r="U21" s="115" t="s">
        <v>177</v>
      </c>
      <c r="V21" s="115" t="s">
        <v>181</v>
      </c>
      <c r="W21" s="246">
        <v>8</v>
      </c>
      <c r="X21" s="125"/>
      <c r="Y21" s="125" t="s">
        <v>133</v>
      </c>
      <c r="Z21" s="125"/>
      <c r="AA21" s="125"/>
      <c r="AB21" s="125"/>
      <c r="AC21" s="125"/>
      <c r="AD21" s="125"/>
      <c r="AE21" s="125"/>
      <c r="AF21" s="125"/>
      <c r="AG21" s="188" t="s">
        <v>18</v>
      </c>
      <c r="AH21" s="188"/>
      <c r="AI21" s="188"/>
      <c r="AJ21" s="188"/>
      <c r="AK21" s="188"/>
      <c r="AL21" s="188"/>
      <c r="AM21" s="188"/>
      <c r="AN21" s="188"/>
      <c r="AO21" s="188"/>
      <c r="AP21" s="188"/>
      <c r="AQ21" s="323"/>
      <c r="AR21" s="323"/>
    </row>
    <row r="22" spans="1:45" ht="33.75">
      <c r="B22" s="103" t="s">
        <v>289</v>
      </c>
      <c r="C22" s="305" t="s">
        <v>468</v>
      </c>
      <c r="D22" s="312" t="s">
        <v>96</v>
      </c>
      <c r="E22" s="310" t="s">
        <v>361</v>
      </c>
      <c r="F22" s="309" t="s">
        <v>200</v>
      </c>
      <c r="G22" s="309" t="s">
        <v>290</v>
      </c>
      <c r="H22" s="105">
        <v>0.2</v>
      </c>
      <c r="I22" s="103"/>
      <c r="J22" s="160">
        <f>VLOOKUP(B22,'[2]MASTER PART LIST'!$B:$C,2,FALSE)</f>
        <v>91</v>
      </c>
      <c r="K22" s="163">
        <f>VLOOKUP(B22,'[2]MASTER PART LIST'!$B:$D,3,FALSE)</f>
        <v>152</v>
      </c>
      <c r="L22" s="163">
        <f t="shared" ref="L22" si="6">K22+(H22*VLOOKUP(prov_cd,rate_table,2,FALSE))</f>
        <v>182</v>
      </c>
      <c r="M22" s="188"/>
      <c r="N22" s="188"/>
      <c r="O22" s="188" t="s">
        <v>18</v>
      </c>
      <c r="P22" s="188" t="s">
        <v>18</v>
      </c>
      <c r="Q22" s="188"/>
      <c r="R22" s="188"/>
      <c r="S22" s="188" t="s">
        <v>18</v>
      </c>
      <c r="T22" s="188" t="s">
        <v>18</v>
      </c>
      <c r="U22" s="115"/>
      <c r="V22" s="115"/>
      <c r="W22" s="246">
        <v>11</v>
      </c>
      <c r="X22" s="125"/>
      <c r="Y22" s="125" t="s">
        <v>133</v>
      </c>
      <c r="Z22" s="125"/>
      <c r="AA22" s="125"/>
      <c r="AB22" s="125"/>
      <c r="AC22" s="125"/>
      <c r="AD22" s="125"/>
      <c r="AE22" s="125"/>
      <c r="AF22" s="125"/>
      <c r="AG22" s="188"/>
      <c r="AH22" s="188"/>
      <c r="AI22" s="188"/>
      <c r="AJ22" s="188" t="s">
        <v>18</v>
      </c>
      <c r="AK22" s="188"/>
      <c r="AL22" s="188"/>
      <c r="AM22" s="188"/>
      <c r="AN22" s="188"/>
      <c r="AO22" s="188"/>
      <c r="AP22" s="188"/>
      <c r="AQ22" s="323"/>
      <c r="AR22" s="323" t="s">
        <v>492</v>
      </c>
    </row>
    <row r="23" spans="1:45" ht="33.75">
      <c r="B23" s="103" t="s">
        <v>288</v>
      </c>
      <c r="C23" s="305" t="s">
        <v>469</v>
      </c>
      <c r="D23" s="312" t="s">
        <v>95</v>
      </c>
      <c r="E23" s="310" t="s">
        <v>362</v>
      </c>
      <c r="F23" s="309" t="s">
        <v>200</v>
      </c>
      <c r="G23" s="309" t="s">
        <v>290</v>
      </c>
      <c r="H23" s="105">
        <v>0.2</v>
      </c>
      <c r="I23" s="103"/>
      <c r="J23" s="160">
        <f>VLOOKUP(B23,'[2]MASTER PART LIST'!$B:$C,2,FALSE)</f>
        <v>85</v>
      </c>
      <c r="K23" s="163">
        <f>VLOOKUP(B23,'[2]MASTER PART LIST'!$B:$D,3,FALSE)</f>
        <v>140</v>
      </c>
      <c r="L23" s="163">
        <f t="shared" ref="L23" si="7">K23+(H23*VLOOKUP(prov_cd,rate_table,2,FALSE))</f>
        <v>170</v>
      </c>
      <c r="M23" s="188"/>
      <c r="N23" s="188"/>
      <c r="O23" s="188" t="s">
        <v>18</v>
      </c>
      <c r="P23" s="188" t="s">
        <v>18</v>
      </c>
      <c r="Q23" s="188"/>
      <c r="R23" s="188"/>
      <c r="S23" s="188" t="s">
        <v>18</v>
      </c>
      <c r="T23" s="188" t="s">
        <v>18</v>
      </c>
      <c r="U23" s="115"/>
      <c r="V23" s="115"/>
      <c r="W23" s="246">
        <v>10</v>
      </c>
      <c r="X23" s="125"/>
      <c r="Y23" s="125" t="s">
        <v>133</v>
      </c>
      <c r="Z23" s="125"/>
      <c r="AA23" s="125"/>
      <c r="AB23" s="125"/>
      <c r="AC23" s="125"/>
      <c r="AD23" s="125"/>
      <c r="AE23" s="125"/>
      <c r="AF23" s="125"/>
      <c r="AG23" s="188"/>
      <c r="AH23" s="188"/>
      <c r="AI23" s="188"/>
      <c r="AJ23" s="188" t="s">
        <v>18</v>
      </c>
      <c r="AK23" s="188"/>
      <c r="AL23" s="188"/>
      <c r="AM23" s="188"/>
      <c r="AN23" s="188"/>
      <c r="AO23" s="188"/>
      <c r="AP23" s="188"/>
      <c r="AQ23" s="323"/>
      <c r="AR23" s="323" t="s">
        <v>493</v>
      </c>
    </row>
    <row r="24" spans="1:45" ht="56.25">
      <c r="B24" s="103" t="s">
        <v>242</v>
      </c>
      <c r="C24" s="103" t="str">
        <f>B24</f>
        <v>08P46-3BM-100</v>
      </c>
      <c r="D24" s="310" t="s">
        <v>243</v>
      </c>
      <c r="E24" s="310" t="s">
        <v>363</v>
      </c>
      <c r="F24" s="309" t="s">
        <v>351</v>
      </c>
      <c r="G24" s="309" t="s">
        <v>364</v>
      </c>
      <c r="H24" s="105">
        <v>0.6</v>
      </c>
      <c r="I24" s="103"/>
      <c r="J24" s="160">
        <f>VLOOKUP(B24,'[2]MASTER PART LIST'!$B:$C,2,FALSE)</f>
        <v>389</v>
      </c>
      <c r="K24" s="163">
        <f>VLOOKUP(B24,'[2]MASTER PART LIST'!$B:$D,3,FALSE)</f>
        <v>617</v>
      </c>
      <c r="L24" s="163">
        <f t="shared" ref="L24:L29" si="8">K24+(H24*VLOOKUP(prov_cd,rate_table,2,FALSE))</f>
        <v>707</v>
      </c>
      <c r="M24" s="188"/>
      <c r="N24" s="188"/>
      <c r="O24" s="188" t="s">
        <v>18</v>
      </c>
      <c r="P24" s="188" t="s">
        <v>18</v>
      </c>
      <c r="Q24" s="188"/>
      <c r="R24" s="188"/>
      <c r="S24" s="188" t="s">
        <v>18</v>
      </c>
      <c r="T24" s="188" t="s">
        <v>18</v>
      </c>
      <c r="U24" s="115"/>
      <c r="V24" s="115"/>
      <c r="W24" s="246">
        <v>12</v>
      </c>
      <c r="X24" s="125"/>
      <c r="Y24" s="125" t="s">
        <v>133</v>
      </c>
      <c r="Z24" s="125"/>
      <c r="AA24" s="125"/>
      <c r="AB24" s="125"/>
      <c r="AC24" s="125"/>
      <c r="AD24" s="125"/>
      <c r="AE24" s="125"/>
      <c r="AF24" s="125"/>
      <c r="AG24" s="188"/>
      <c r="AH24" s="188"/>
      <c r="AI24" s="188"/>
      <c r="AJ24" s="188" t="s">
        <v>18</v>
      </c>
      <c r="AK24" s="188"/>
      <c r="AL24" s="188"/>
      <c r="AM24" s="188"/>
      <c r="AN24" s="188"/>
      <c r="AO24" s="188"/>
      <c r="AP24" s="188"/>
      <c r="AQ24" s="323"/>
      <c r="AR24" s="323" t="s">
        <v>516</v>
      </c>
    </row>
    <row r="25" spans="1:45" ht="56.25">
      <c r="B25" s="103" t="s">
        <v>229</v>
      </c>
      <c r="C25" s="103" t="str">
        <f t="shared" ref="C25:C28" si="9">B25</f>
        <v>08L33-3BM-100A</v>
      </c>
      <c r="D25" s="310" t="s">
        <v>503</v>
      </c>
      <c r="E25" s="310" t="s">
        <v>365</v>
      </c>
      <c r="F25" s="309" t="s">
        <v>352</v>
      </c>
      <c r="G25" s="309" t="s">
        <v>366</v>
      </c>
      <c r="H25" s="105">
        <v>0.6</v>
      </c>
      <c r="I25" s="103"/>
      <c r="J25" s="160">
        <f>VLOOKUP(B25,'[2]MASTER PART LIST'!$B:$C,2,FALSE)</f>
        <v>1191</v>
      </c>
      <c r="K25" s="163">
        <f>VLOOKUP(B25,'[2]MASTER PART LIST'!$B:$D,3,FALSE)</f>
        <v>1832</v>
      </c>
      <c r="L25" s="163">
        <f t="shared" si="8"/>
        <v>1922</v>
      </c>
      <c r="M25" s="188"/>
      <c r="N25" s="188"/>
      <c r="O25" s="188" t="s">
        <v>18</v>
      </c>
      <c r="P25" s="188" t="s">
        <v>18</v>
      </c>
      <c r="Q25" s="188"/>
      <c r="R25" s="188"/>
      <c r="S25" s="188" t="s">
        <v>18</v>
      </c>
      <c r="T25" s="188" t="s">
        <v>18</v>
      </c>
      <c r="U25" s="115" t="s">
        <v>476</v>
      </c>
      <c r="V25" s="115"/>
      <c r="W25" s="246">
        <v>13</v>
      </c>
      <c r="X25" s="125"/>
      <c r="Y25" s="125" t="s">
        <v>133</v>
      </c>
      <c r="Z25" s="125"/>
      <c r="AA25" s="125"/>
      <c r="AB25" s="125"/>
      <c r="AC25" s="125"/>
      <c r="AD25" s="125"/>
      <c r="AE25" s="125"/>
      <c r="AF25" s="125"/>
      <c r="AG25" s="188"/>
      <c r="AH25" s="188"/>
      <c r="AI25" s="188"/>
      <c r="AJ25" s="188" t="s">
        <v>18</v>
      </c>
      <c r="AK25" s="188"/>
      <c r="AL25" s="188"/>
      <c r="AM25" s="188"/>
      <c r="AN25" s="188"/>
      <c r="AO25" s="188"/>
      <c r="AP25" s="188"/>
      <c r="AQ25" s="323"/>
      <c r="AR25" s="322" t="s">
        <v>537</v>
      </c>
    </row>
    <row r="26" spans="1:45" ht="56.25">
      <c r="B26" s="103" t="s">
        <v>228</v>
      </c>
      <c r="C26" s="103" t="str">
        <f t="shared" si="9"/>
        <v>08L33-3BM-100</v>
      </c>
      <c r="D26" s="310" t="s">
        <v>504</v>
      </c>
      <c r="E26" s="310" t="s">
        <v>315</v>
      </c>
      <c r="F26" s="309" t="s">
        <v>350</v>
      </c>
      <c r="G26" s="309" t="s">
        <v>367</v>
      </c>
      <c r="H26" s="105">
        <v>0.6</v>
      </c>
      <c r="I26" s="103"/>
      <c r="J26" s="160">
        <f>VLOOKUP(B26,'[2]MASTER PART LIST'!$B:$C,2,FALSE)</f>
        <v>936</v>
      </c>
      <c r="K26" s="163">
        <f>VLOOKUP(B26,'[2]MASTER PART LIST'!$B:$D,3,FALSE)</f>
        <v>1337</v>
      </c>
      <c r="L26" s="163">
        <f t="shared" si="8"/>
        <v>1427</v>
      </c>
      <c r="M26" s="188"/>
      <c r="N26" s="188"/>
      <c r="O26" s="188" t="s">
        <v>18</v>
      </c>
      <c r="P26" s="188" t="s">
        <v>18</v>
      </c>
      <c r="Q26" s="188"/>
      <c r="R26" s="188"/>
      <c r="S26" s="188" t="s">
        <v>18</v>
      </c>
      <c r="T26" s="188" t="s">
        <v>18</v>
      </c>
      <c r="U26" s="115" t="s">
        <v>477</v>
      </c>
      <c r="V26" s="115"/>
      <c r="W26" s="246">
        <v>14</v>
      </c>
      <c r="X26" s="125"/>
      <c r="Y26" s="125" t="s">
        <v>133</v>
      </c>
      <c r="Z26" s="125"/>
      <c r="AA26" s="125"/>
      <c r="AB26" s="125"/>
      <c r="AC26" s="125"/>
      <c r="AD26" s="125"/>
      <c r="AE26" s="125"/>
      <c r="AF26" s="125"/>
      <c r="AG26" s="188"/>
      <c r="AH26" s="188"/>
      <c r="AI26" s="188"/>
      <c r="AJ26" s="188"/>
      <c r="AK26" s="188"/>
      <c r="AL26" s="188" t="s">
        <v>18</v>
      </c>
      <c r="AM26" s="188"/>
      <c r="AN26" s="188"/>
      <c r="AO26" s="188"/>
      <c r="AP26" s="188"/>
      <c r="AQ26" s="323"/>
      <c r="AR26" s="322" t="s">
        <v>538</v>
      </c>
    </row>
    <row r="27" spans="1:45" ht="56.25">
      <c r="B27" s="103" t="s">
        <v>232</v>
      </c>
      <c r="C27" s="312" t="str">
        <f t="shared" si="9"/>
        <v>08P00-3BM-100</v>
      </c>
      <c r="D27" s="310" t="s">
        <v>233</v>
      </c>
      <c r="E27" s="310" t="s">
        <v>368</v>
      </c>
      <c r="F27" s="309" t="s">
        <v>349</v>
      </c>
      <c r="G27" s="309" t="s">
        <v>369</v>
      </c>
      <c r="H27" s="105">
        <v>0.5</v>
      </c>
      <c r="I27" s="103"/>
      <c r="J27" s="160">
        <f>VLOOKUP(B27,'[2]MASTER PART LIST'!$B:$C,2,FALSE)</f>
        <v>114</v>
      </c>
      <c r="K27" s="163">
        <f>VLOOKUP(B27,'[2]MASTER PART LIST'!$B:$D,3,FALSE)</f>
        <v>190</v>
      </c>
      <c r="L27" s="163">
        <f t="shared" si="8"/>
        <v>265</v>
      </c>
      <c r="M27" s="188"/>
      <c r="N27" s="188"/>
      <c r="O27" s="188" t="s">
        <v>18</v>
      </c>
      <c r="P27" s="188" t="s">
        <v>18</v>
      </c>
      <c r="Q27" s="188"/>
      <c r="R27" s="188"/>
      <c r="S27" s="188" t="s">
        <v>18</v>
      </c>
      <c r="T27" s="188" t="s">
        <v>18</v>
      </c>
      <c r="U27" s="115"/>
      <c r="V27" s="115"/>
      <c r="W27" s="246">
        <v>61</v>
      </c>
      <c r="X27" s="125"/>
      <c r="Y27" s="125" t="s">
        <v>133</v>
      </c>
      <c r="Z27" s="125"/>
      <c r="AA27" s="125"/>
      <c r="AB27" s="125"/>
      <c r="AC27" s="125"/>
      <c r="AD27" s="125"/>
      <c r="AE27" s="125"/>
      <c r="AF27" s="125"/>
      <c r="AG27" s="188"/>
      <c r="AH27" s="188"/>
      <c r="AI27" s="188"/>
      <c r="AJ27" s="188" t="s">
        <v>18</v>
      </c>
      <c r="AK27" s="188"/>
      <c r="AL27" s="188"/>
      <c r="AM27" s="188"/>
      <c r="AN27" s="188"/>
      <c r="AO27" s="188"/>
      <c r="AP27" s="188"/>
      <c r="AQ27" s="323"/>
      <c r="AR27" s="322" t="s">
        <v>517</v>
      </c>
    </row>
    <row r="28" spans="1:45" ht="90">
      <c r="B28" s="103" t="s">
        <v>239</v>
      </c>
      <c r="C28" s="312" t="str">
        <f t="shared" si="9"/>
        <v>08P05-3BM-100</v>
      </c>
      <c r="D28" s="310" t="s">
        <v>174</v>
      </c>
      <c r="E28" s="310" t="s">
        <v>370</v>
      </c>
      <c r="F28" s="309" t="s">
        <v>332</v>
      </c>
      <c r="G28" s="309" t="s">
        <v>371</v>
      </c>
      <c r="H28" s="105">
        <v>0.4</v>
      </c>
      <c r="I28" s="103"/>
      <c r="J28" s="160">
        <f>VLOOKUP(B28,'[2]MASTER PART LIST'!$B:$C,2,FALSE)</f>
        <v>124</v>
      </c>
      <c r="K28" s="163">
        <f>VLOOKUP(B28,'[2]MASTER PART LIST'!$B:$D,3,FALSE)</f>
        <v>207</v>
      </c>
      <c r="L28" s="163">
        <f t="shared" si="8"/>
        <v>267</v>
      </c>
      <c r="M28" s="188"/>
      <c r="N28" s="188"/>
      <c r="O28" s="188" t="s">
        <v>18</v>
      </c>
      <c r="P28" s="188" t="s">
        <v>18</v>
      </c>
      <c r="Q28" s="188"/>
      <c r="R28" s="188"/>
      <c r="S28" s="188" t="s">
        <v>18</v>
      </c>
      <c r="T28" s="188" t="s">
        <v>18</v>
      </c>
      <c r="U28" s="115"/>
      <c r="V28" s="115"/>
      <c r="W28" s="246">
        <v>16</v>
      </c>
      <c r="X28" s="125"/>
      <c r="Y28" s="125" t="s">
        <v>133</v>
      </c>
      <c r="Z28" s="125"/>
      <c r="AA28" s="125"/>
      <c r="AB28" s="125"/>
      <c r="AC28" s="125"/>
      <c r="AD28" s="125"/>
      <c r="AE28" s="125"/>
      <c r="AF28" s="125"/>
      <c r="AG28" s="188"/>
      <c r="AH28" s="188"/>
      <c r="AI28" s="188"/>
      <c r="AJ28" s="188" t="s">
        <v>18</v>
      </c>
      <c r="AK28" s="188"/>
      <c r="AL28" s="188"/>
      <c r="AM28" s="188"/>
      <c r="AN28" s="188"/>
      <c r="AO28" s="188"/>
      <c r="AP28" s="188"/>
      <c r="AQ28" s="323"/>
      <c r="AR28" s="323"/>
    </row>
    <row r="29" spans="1:45" ht="56.25">
      <c r="B29" s="103" t="s">
        <v>269</v>
      </c>
      <c r="C29" s="312" t="s">
        <v>465</v>
      </c>
      <c r="D29" s="310" t="s">
        <v>256</v>
      </c>
      <c r="E29" s="313" t="s">
        <v>333</v>
      </c>
      <c r="F29" s="314" t="s">
        <v>330</v>
      </c>
      <c r="G29" s="309" t="s">
        <v>331</v>
      </c>
      <c r="H29" s="105">
        <v>0.4</v>
      </c>
      <c r="I29" s="103"/>
      <c r="J29" s="160">
        <f>VLOOKUP(B29,'[2]MASTER PART LIST'!$B:$C,2,FALSE)</f>
        <v>39</v>
      </c>
      <c r="K29" s="163">
        <f>VLOOKUP(B29,'[2]MASTER PART LIST'!$B:$D,3,FALSE)</f>
        <v>65</v>
      </c>
      <c r="L29" s="163">
        <f t="shared" si="8"/>
        <v>125</v>
      </c>
      <c r="M29" s="188"/>
      <c r="N29" s="188"/>
      <c r="O29" s="188" t="s">
        <v>18</v>
      </c>
      <c r="P29" s="188" t="s">
        <v>18</v>
      </c>
      <c r="Q29" s="188"/>
      <c r="R29" s="188"/>
      <c r="S29" s="188" t="s">
        <v>18</v>
      </c>
      <c r="T29" s="188" t="s">
        <v>18</v>
      </c>
      <c r="U29" s="115"/>
      <c r="V29" s="115"/>
      <c r="W29" s="246">
        <v>41</v>
      </c>
      <c r="X29" s="125"/>
      <c r="Y29" s="125" t="s">
        <v>133</v>
      </c>
      <c r="Z29" s="125"/>
      <c r="AA29" s="125"/>
      <c r="AB29" s="125"/>
      <c r="AC29" s="125"/>
      <c r="AD29" s="125"/>
      <c r="AE29" s="125"/>
      <c r="AF29" s="125"/>
      <c r="AG29" s="188"/>
      <c r="AH29" s="188"/>
      <c r="AI29" s="188"/>
      <c r="AJ29" s="188" t="s">
        <v>18</v>
      </c>
      <c r="AK29" s="188"/>
      <c r="AL29" s="188"/>
      <c r="AM29" s="188"/>
      <c r="AN29" s="188"/>
      <c r="AO29" s="188"/>
      <c r="AP29" s="188"/>
      <c r="AQ29" s="323"/>
      <c r="AR29" s="323"/>
    </row>
    <row r="30" spans="1:45" ht="56.25">
      <c r="B30" s="103" t="s">
        <v>268</v>
      </c>
      <c r="C30" s="312" t="s">
        <v>466</v>
      </c>
      <c r="D30" s="310" t="s">
        <v>93</v>
      </c>
      <c r="E30" s="310" t="s">
        <v>316</v>
      </c>
      <c r="F30" s="314" t="s">
        <v>330</v>
      </c>
      <c r="G30" s="309" t="s">
        <v>331</v>
      </c>
      <c r="H30" s="105">
        <v>0.4</v>
      </c>
      <c r="I30" s="103"/>
      <c r="J30" s="160">
        <f>VLOOKUP(B30,'[2]MASTER PART LIST'!$B:$C,2,FALSE)</f>
        <v>52</v>
      </c>
      <c r="K30" s="163">
        <f>VLOOKUP(B30,'[2]MASTER PART LIST'!$B:$D,3,FALSE)</f>
        <v>87</v>
      </c>
      <c r="L30" s="163">
        <f t="shared" ref="L30:L31" si="10">K30+(H30*VLOOKUP(prov_cd,rate_table,2,FALSE))</f>
        <v>147</v>
      </c>
      <c r="M30" s="188"/>
      <c r="N30" s="188"/>
      <c r="O30" s="188" t="s">
        <v>18</v>
      </c>
      <c r="P30" s="188" t="s">
        <v>18</v>
      </c>
      <c r="Q30" s="188"/>
      <c r="R30" s="188"/>
      <c r="S30" s="188" t="s">
        <v>18</v>
      </c>
      <c r="T30" s="188" t="s">
        <v>18</v>
      </c>
      <c r="U30" s="115"/>
      <c r="V30" s="115"/>
      <c r="W30" s="246">
        <v>42</v>
      </c>
      <c r="X30" s="125"/>
      <c r="Y30" s="125" t="s">
        <v>133</v>
      </c>
      <c r="Z30" s="125"/>
      <c r="AA30" s="125"/>
      <c r="AB30" s="125"/>
      <c r="AC30" s="125"/>
      <c r="AD30" s="125"/>
      <c r="AE30" s="125"/>
      <c r="AF30" s="125"/>
      <c r="AG30" s="188"/>
      <c r="AH30" s="188"/>
      <c r="AI30" s="188"/>
      <c r="AJ30" s="188" t="s">
        <v>18</v>
      </c>
      <c r="AK30" s="188"/>
      <c r="AL30" s="188"/>
      <c r="AM30" s="188"/>
      <c r="AN30" s="188"/>
      <c r="AO30" s="188"/>
      <c r="AP30" s="188"/>
      <c r="AQ30" s="323"/>
      <c r="AR30" s="323"/>
    </row>
    <row r="31" spans="1:45" ht="56.25">
      <c r="B31" s="103" t="s">
        <v>278</v>
      </c>
      <c r="C31" s="312" t="s">
        <v>467</v>
      </c>
      <c r="D31" s="310" t="s">
        <v>186</v>
      </c>
      <c r="E31" s="310" t="s">
        <v>372</v>
      </c>
      <c r="F31" s="309" t="s">
        <v>279</v>
      </c>
      <c r="G31" s="309" t="s">
        <v>373</v>
      </c>
      <c r="H31" s="105">
        <v>0.6</v>
      </c>
      <c r="I31" s="103"/>
      <c r="J31" s="160">
        <f>VLOOKUP(B31,'[2]MASTER PART LIST'!$B:$C,2,FALSE)</f>
        <v>258</v>
      </c>
      <c r="K31" s="163">
        <f>VLOOKUP(B31,'[2]MASTER PART LIST'!$B:$D,3,FALSE)</f>
        <v>430</v>
      </c>
      <c r="L31" s="163">
        <f t="shared" si="10"/>
        <v>520</v>
      </c>
      <c r="M31" s="188"/>
      <c r="N31" s="188"/>
      <c r="O31" s="188" t="s">
        <v>18</v>
      </c>
      <c r="P31" s="188" t="s">
        <v>18</v>
      </c>
      <c r="Q31" s="188"/>
      <c r="R31" s="188"/>
      <c r="S31" s="188" t="s">
        <v>18</v>
      </c>
      <c r="T31" s="188" t="s">
        <v>18</v>
      </c>
      <c r="U31" s="115"/>
      <c r="V31" s="115"/>
      <c r="W31" s="246">
        <v>15</v>
      </c>
      <c r="X31" s="125"/>
      <c r="Y31" s="125" t="s">
        <v>133</v>
      </c>
      <c r="Z31" s="125"/>
      <c r="AA31" s="125"/>
      <c r="AB31" s="125"/>
      <c r="AC31" s="125"/>
      <c r="AD31" s="125"/>
      <c r="AE31" s="125"/>
      <c r="AF31" s="125"/>
      <c r="AG31" s="188"/>
      <c r="AH31" s="188"/>
      <c r="AI31" s="188"/>
      <c r="AJ31" s="188"/>
      <c r="AK31" s="188"/>
      <c r="AL31" s="188" t="s">
        <v>18</v>
      </c>
      <c r="AM31" s="188"/>
      <c r="AN31" s="188"/>
      <c r="AO31" s="188"/>
      <c r="AP31" s="188"/>
      <c r="AQ31" s="323"/>
      <c r="AR31" s="323"/>
    </row>
    <row r="32" spans="1:45" ht="15.75" hidden="1">
      <c r="B32" s="103"/>
      <c r="C32" s="312"/>
      <c r="D32" s="108"/>
      <c r="E32" s="108"/>
      <c r="F32" s="115"/>
      <c r="G32" s="115"/>
      <c r="H32" s="105"/>
      <c r="I32" s="103"/>
      <c r="J32" s="160" t="e">
        <f>VLOOKUP(B32,'[2]MASTER PART LIST'!$B:$C,2,FALSE)</f>
        <v>#N/A</v>
      </c>
      <c r="K32" s="163" t="e">
        <f>VLOOKUP(B32,'[2]MASTER PART LIST'!$B:$D,3,FALSE)</f>
        <v>#N/A</v>
      </c>
      <c r="L32" s="163" t="e">
        <f t="shared" ref="L32:L34" si="11">K32+(H32*VLOOKUP(prov_cd,rate_table,2,FALSE))</f>
        <v>#N/A</v>
      </c>
      <c r="M32" s="188"/>
      <c r="N32" s="188"/>
      <c r="O32" s="188"/>
      <c r="P32" s="188"/>
      <c r="Q32" s="188"/>
      <c r="R32" s="188"/>
      <c r="S32" s="188"/>
      <c r="T32" s="188"/>
      <c r="U32" s="115"/>
      <c r="V32" s="115"/>
      <c r="W32" s="246"/>
      <c r="X32" s="125"/>
      <c r="Y32" s="125"/>
      <c r="Z32" s="125"/>
      <c r="AA32" s="125"/>
      <c r="AB32" s="125"/>
      <c r="AC32" s="125"/>
      <c r="AD32" s="125"/>
      <c r="AE32" s="125"/>
      <c r="AF32" s="125"/>
      <c r="AG32" s="188"/>
      <c r="AH32" s="188"/>
      <c r="AI32" s="188"/>
      <c r="AJ32" s="188"/>
      <c r="AK32" s="188"/>
      <c r="AL32" s="188"/>
      <c r="AM32" s="188"/>
      <c r="AN32" s="188"/>
      <c r="AO32" s="188"/>
      <c r="AP32" s="188"/>
      <c r="AQ32" s="323"/>
      <c r="AR32" s="323"/>
    </row>
    <row r="33" spans="1:44" ht="15.75" hidden="1">
      <c r="B33" s="103"/>
      <c r="C33" s="312"/>
      <c r="D33" s="108"/>
      <c r="E33" s="108"/>
      <c r="F33" s="115"/>
      <c r="G33" s="115"/>
      <c r="H33" s="105"/>
      <c r="I33" s="103"/>
      <c r="J33" s="160" t="e">
        <f>VLOOKUP(B33,'[2]MASTER PART LIST'!$B:$C,2,FALSE)</f>
        <v>#N/A</v>
      </c>
      <c r="K33" s="163" t="e">
        <f>VLOOKUP(B33,'[2]MASTER PART LIST'!$B:$D,3,FALSE)</f>
        <v>#N/A</v>
      </c>
      <c r="L33" s="163" t="e">
        <f t="shared" si="11"/>
        <v>#N/A</v>
      </c>
      <c r="M33" s="188"/>
      <c r="N33" s="188"/>
      <c r="O33" s="188"/>
      <c r="P33" s="188"/>
      <c r="Q33" s="188"/>
      <c r="R33" s="188"/>
      <c r="S33" s="188"/>
      <c r="T33" s="188"/>
      <c r="U33" s="115"/>
      <c r="V33" s="115"/>
      <c r="W33" s="246"/>
      <c r="X33" s="125"/>
      <c r="Y33" s="125"/>
      <c r="Z33" s="125"/>
      <c r="AA33" s="125"/>
      <c r="AB33" s="125"/>
      <c r="AC33" s="125"/>
      <c r="AD33" s="125"/>
      <c r="AE33" s="125"/>
      <c r="AF33" s="125"/>
      <c r="AG33" s="188"/>
      <c r="AH33" s="188"/>
      <c r="AI33" s="188"/>
      <c r="AJ33" s="188"/>
      <c r="AK33" s="188"/>
      <c r="AL33" s="188"/>
      <c r="AM33" s="188"/>
      <c r="AN33" s="188"/>
      <c r="AO33" s="188"/>
      <c r="AP33" s="188"/>
      <c r="AQ33" s="323"/>
      <c r="AR33" s="323"/>
    </row>
    <row r="34" spans="1:44" ht="15.75" hidden="1">
      <c r="B34" s="103"/>
      <c r="C34" s="103"/>
      <c r="D34" s="108"/>
      <c r="E34" s="108"/>
      <c r="F34" s="115"/>
      <c r="G34" s="115"/>
      <c r="H34" s="105"/>
      <c r="I34" s="103"/>
      <c r="J34" s="160" t="e">
        <f>VLOOKUP(B34,'[2]MASTER PART LIST'!$B:$C,2,FALSE)</f>
        <v>#N/A</v>
      </c>
      <c r="K34" s="163" t="e">
        <f>VLOOKUP(B34,'[2]MASTER PART LIST'!$B:$D,3,FALSE)</f>
        <v>#N/A</v>
      </c>
      <c r="L34" s="163" t="e">
        <f t="shared" si="11"/>
        <v>#N/A</v>
      </c>
      <c r="M34" s="188"/>
      <c r="N34" s="188"/>
      <c r="O34" s="188"/>
      <c r="P34" s="188"/>
      <c r="Q34" s="188"/>
      <c r="R34" s="188"/>
      <c r="S34" s="188"/>
      <c r="T34" s="188"/>
      <c r="U34" s="115"/>
      <c r="V34" s="115"/>
      <c r="W34" s="246"/>
      <c r="X34" s="125"/>
      <c r="Y34" s="125"/>
      <c r="Z34" s="125"/>
      <c r="AA34" s="125"/>
      <c r="AB34" s="125"/>
      <c r="AC34" s="125"/>
      <c r="AD34" s="125"/>
      <c r="AE34" s="125"/>
      <c r="AF34" s="125"/>
      <c r="AG34" s="188"/>
      <c r="AH34" s="188"/>
      <c r="AI34" s="188"/>
      <c r="AJ34" s="188"/>
      <c r="AK34" s="188"/>
      <c r="AL34" s="188"/>
      <c r="AM34" s="188"/>
      <c r="AN34" s="188"/>
      <c r="AO34" s="188"/>
      <c r="AP34" s="188"/>
      <c r="AQ34" s="323"/>
      <c r="AR34" s="323"/>
    </row>
    <row r="35" spans="1:44" ht="15.75" hidden="1">
      <c r="B35" s="269" t="s">
        <v>294</v>
      </c>
      <c r="C35" s="269" t="s">
        <v>178</v>
      </c>
      <c r="D35" s="271" t="s">
        <v>184</v>
      </c>
      <c r="E35" s="271" t="s">
        <v>185</v>
      </c>
      <c r="F35" s="272"/>
      <c r="G35" s="272"/>
      <c r="H35" s="276"/>
      <c r="I35" s="269"/>
      <c r="J35" s="277"/>
      <c r="K35" s="278"/>
      <c r="L35" s="278"/>
      <c r="M35" s="275"/>
      <c r="N35" s="275"/>
      <c r="O35" s="275"/>
      <c r="P35" s="275"/>
      <c r="Q35" s="275"/>
      <c r="R35" s="275"/>
      <c r="S35" s="275"/>
      <c r="T35" s="275"/>
      <c r="U35" s="272"/>
      <c r="V35" s="272"/>
      <c r="W35" s="274"/>
      <c r="X35" s="273"/>
      <c r="Y35" s="273"/>
      <c r="Z35" s="273"/>
      <c r="AA35" s="273"/>
      <c r="AB35" s="273"/>
      <c r="AC35" s="273"/>
      <c r="AD35" s="273"/>
      <c r="AE35" s="273"/>
      <c r="AF35" s="273"/>
      <c r="AG35" s="275"/>
      <c r="AH35" s="275"/>
      <c r="AI35" s="275"/>
      <c r="AJ35" s="275"/>
      <c r="AK35" s="275"/>
      <c r="AL35" s="275"/>
      <c r="AM35" s="275"/>
      <c r="AN35" s="275"/>
      <c r="AO35" s="275"/>
      <c r="AP35" s="275"/>
      <c r="AQ35" s="325"/>
      <c r="AR35" s="325"/>
    </row>
    <row r="36" spans="1:44" ht="56.25">
      <c r="B36" s="103" t="s">
        <v>236</v>
      </c>
      <c r="C36" s="312" t="str">
        <f>B36</f>
        <v>08F20-3BM-100</v>
      </c>
      <c r="D36" s="310" t="s">
        <v>237</v>
      </c>
      <c r="E36" s="310" t="s">
        <v>375</v>
      </c>
      <c r="F36" s="309" t="s">
        <v>346</v>
      </c>
      <c r="G36" s="309" t="s">
        <v>376</v>
      </c>
      <c r="H36" s="105">
        <v>0.3</v>
      </c>
      <c r="I36" s="103"/>
      <c r="J36" s="160">
        <f>VLOOKUP(B36,'[2]MASTER PART LIST'!$B:$C,2,FALSE)</f>
        <v>145</v>
      </c>
      <c r="K36" s="163">
        <f>VLOOKUP(B36,'[2]MASTER PART LIST'!$B:$D,3,FALSE)</f>
        <v>242</v>
      </c>
      <c r="L36" s="163">
        <f t="shared" ref="L36" si="12">K36+(H36*VLOOKUP(prov_cd,rate_table,2,FALSE))</f>
        <v>287</v>
      </c>
      <c r="M36" s="188"/>
      <c r="N36" s="188"/>
      <c r="O36" s="188" t="s">
        <v>18</v>
      </c>
      <c r="P36" s="188" t="s">
        <v>18</v>
      </c>
      <c r="Q36" s="188"/>
      <c r="R36" s="188"/>
      <c r="S36" s="188" t="s">
        <v>18</v>
      </c>
      <c r="T36" s="188" t="s">
        <v>18</v>
      </c>
      <c r="U36" s="115"/>
      <c r="V36" s="115"/>
      <c r="W36" s="246">
        <v>17</v>
      </c>
      <c r="X36" s="125"/>
      <c r="Y36" s="125" t="s">
        <v>133</v>
      </c>
      <c r="Z36" s="125"/>
      <c r="AA36" s="125"/>
      <c r="AB36" s="125"/>
      <c r="AC36" s="125"/>
      <c r="AD36" s="125"/>
      <c r="AE36" s="125"/>
      <c r="AF36" s="125"/>
      <c r="AG36" s="188"/>
      <c r="AH36" s="188"/>
      <c r="AI36" s="188"/>
      <c r="AJ36" s="188"/>
      <c r="AK36" s="188"/>
      <c r="AL36" s="188"/>
      <c r="AM36" s="188"/>
      <c r="AN36" s="188" t="s">
        <v>18</v>
      </c>
      <c r="AO36" s="188"/>
      <c r="AP36" s="188"/>
      <c r="AQ36" s="323"/>
      <c r="AR36" s="323" t="s">
        <v>521</v>
      </c>
    </row>
    <row r="37" spans="1:44" ht="56.25">
      <c r="B37" s="103" t="s">
        <v>234</v>
      </c>
      <c r="C37" s="312" t="str">
        <f>B37</f>
        <v>08F20-3BM-100B</v>
      </c>
      <c r="D37" s="310" t="s">
        <v>235</v>
      </c>
      <c r="E37" s="310" t="s">
        <v>377</v>
      </c>
      <c r="F37" s="309" t="s">
        <v>345</v>
      </c>
      <c r="G37" s="309" t="s">
        <v>378</v>
      </c>
      <c r="H37" s="105">
        <v>0.6</v>
      </c>
      <c r="I37" s="103"/>
      <c r="J37" s="160">
        <f>VLOOKUP(B37,'[2]MASTER PART LIST'!$B:$C,2,FALSE)</f>
        <v>63</v>
      </c>
      <c r="K37" s="163">
        <f>VLOOKUP(B37,'[2]MASTER PART LIST'!$B:$D,3,FALSE)</f>
        <v>105</v>
      </c>
      <c r="L37" s="163">
        <f t="shared" ref="L37" si="13">K37+(H37*VLOOKUP(prov_cd,rate_table,2,FALSE))</f>
        <v>195</v>
      </c>
      <c r="M37" s="188"/>
      <c r="N37" s="188"/>
      <c r="O37" s="188" t="s">
        <v>18</v>
      </c>
      <c r="P37" s="188" t="s">
        <v>135</v>
      </c>
      <c r="Q37" s="188"/>
      <c r="R37" s="188"/>
      <c r="S37" s="188" t="s">
        <v>18</v>
      </c>
      <c r="T37" s="188" t="s">
        <v>135</v>
      </c>
      <c r="U37" s="115"/>
      <c r="V37" s="115"/>
      <c r="W37" s="246">
        <v>18</v>
      </c>
      <c r="X37" s="125"/>
      <c r="Y37" s="125" t="s">
        <v>133</v>
      </c>
      <c r="Z37" s="125"/>
      <c r="AA37" s="125"/>
      <c r="AB37" s="125"/>
      <c r="AC37" s="125"/>
      <c r="AD37" s="125"/>
      <c r="AE37" s="125"/>
      <c r="AF37" s="125"/>
      <c r="AG37" s="188"/>
      <c r="AH37" s="188"/>
      <c r="AI37" s="188"/>
      <c r="AJ37" s="188"/>
      <c r="AK37" s="188"/>
      <c r="AL37" s="188"/>
      <c r="AM37" s="188"/>
      <c r="AN37" s="188" t="s">
        <v>18</v>
      </c>
      <c r="AO37" s="188"/>
      <c r="AP37" s="188"/>
      <c r="AQ37" s="323"/>
      <c r="AR37" s="323" t="s">
        <v>521</v>
      </c>
    </row>
    <row r="38" spans="1:44" ht="56.25">
      <c r="A38" s="51" t="s">
        <v>511</v>
      </c>
      <c r="B38" s="103" t="s">
        <v>270</v>
      </c>
      <c r="C38" s="312" t="s">
        <v>464</v>
      </c>
      <c r="D38" s="310" t="s">
        <v>255</v>
      </c>
      <c r="E38" s="310" t="s">
        <v>379</v>
      </c>
      <c r="F38" s="309" t="s">
        <v>344</v>
      </c>
      <c r="G38" s="309" t="s">
        <v>380</v>
      </c>
      <c r="H38" s="105">
        <v>0.2</v>
      </c>
      <c r="I38" s="103"/>
      <c r="J38" s="160">
        <f>VLOOKUP(B38,'[2]MASTER PART LIST'!$B:$C,2,FALSE)</f>
        <v>35</v>
      </c>
      <c r="K38" s="163">
        <f>VLOOKUP(B38,'[2]MASTER PART LIST'!$B:$D,3,FALSE)</f>
        <v>58</v>
      </c>
      <c r="L38" s="163">
        <f t="shared" ref="L38" si="14">K38+(H38*VLOOKUP(prov_cd,rate_table,2,FALSE))</f>
        <v>88</v>
      </c>
      <c r="M38" s="188"/>
      <c r="N38" s="188"/>
      <c r="O38" s="188" t="s">
        <v>18</v>
      </c>
      <c r="P38" s="188" t="s">
        <v>18</v>
      </c>
      <c r="Q38" s="188"/>
      <c r="R38" s="188"/>
      <c r="S38" s="188" t="s">
        <v>18</v>
      </c>
      <c r="T38" s="188" t="s">
        <v>18</v>
      </c>
      <c r="U38" s="115"/>
      <c r="V38" s="115"/>
      <c r="W38" s="246">
        <v>19</v>
      </c>
      <c r="X38" s="125"/>
      <c r="Y38" s="125" t="s">
        <v>134</v>
      </c>
      <c r="Z38" s="125"/>
      <c r="AA38" s="125"/>
      <c r="AB38" s="125"/>
      <c r="AC38" s="125"/>
      <c r="AD38" s="125"/>
      <c r="AE38" s="125"/>
      <c r="AF38" s="125"/>
      <c r="AG38" s="188"/>
      <c r="AH38" s="188"/>
      <c r="AI38" s="188"/>
      <c r="AJ38" s="188"/>
      <c r="AK38" s="188"/>
      <c r="AL38" s="188"/>
      <c r="AM38" s="188"/>
      <c r="AN38" s="188" t="s">
        <v>18</v>
      </c>
      <c r="AO38" s="188"/>
      <c r="AP38" s="188"/>
      <c r="AQ38" s="323"/>
      <c r="AR38" s="323" t="s">
        <v>521</v>
      </c>
    </row>
    <row r="39" spans="1:44" ht="25.5">
      <c r="B39" s="103" t="s">
        <v>231</v>
      </c>
      <c r="C39" s="312" t="str">
        <f>B39</f>
        <v>08L92-3BM-100A</v>
      </c>
      <c r="D39" s="310" t="s">
        <v>312</v>
      </c>
      <c r="E39" s="310" t="s">
        <v>381</v>
      </c>
      <c r="F39" s="309" t="s">
        <v>312</v>
      </c>
      <c r="G39" s="309" t="s">
        <v>382</v>
      </c>
      <c r="H39" s="105">
        <v>0</v>
      </c>
      <c r="I39" s="103"/>
      <c r="J39" s="160">
        <f>VLOOKUP(B39,'[2]MASTER PART LIST'!$B:$C,2,FALSE)</f>
        <v>91</v>
      </c>
      <c r="K39" s="163">
        <f>VLOOKUP(B39,'[2]MASTER PART LIST'!$B:$D,3,FALSE)</f>
        <v>152</v>
      </c>
      <c r="L39" s="163">
        <f>K39+(H39*VLOOKUP(prov_cd,rate_table,2,FALSE))</f>
        <v>152</v>
      </c>
      <c r="M39" s="188"/>
      <c r="N39" s="188"/>
      <c r="O39" s="188" t="s">
        <v>18</v>
      </c>
      <c r="P39" s="188" t="s">
        <v>18</v>
      </c>
      <c r="Q39" s="188"/>
      <c r="R39" s="188"/>
      <c r="S39" s="188" t="s">
        <v>18</v>
      </c>
      <c r="T39" s="188" t="s">
        <v>18</v>
      </c>
      <c r="U39" s="115"/>
      <c r="V39" s="115"/>
      <c r="W39" s="246">
        <v>21</v>
      </c>
      <c r="X39" s="125"/>
      <c r="Y39" s="125" t="s">
        <v>133</v>
      </c>
      <c r="Z39" s="125"/>
      <c r="AA39" s="125"/>
      <c r="AB39" s="125"/>
      <c r="AC39" s="125"/>
      <c r="AD39" s="125"/>
      <c r="AE39" s="125"/>
      <c r="AF39" s="125"/>
      <c r="AG39" s="188"/>
      <c r="AH39" s="188"/>
      <c r="AI39" s="188"/>
      <c r="AJ39" s="188"/>
      <c r="AK39" s="188"/>
      <c r="AL39" s="188" t="s">
        <v>18</v>
      </c>
      <c r="AM39" s="188"/>
      <c r="AN39" s="188"/>
      <c r="AO39" s="188"/>
      <c r="AP39" s="188"/>
      <c r="AQ39" s="323"/>
      <c r="AR39" s="322" t="s">
        <v>522</v>
      </c>
    </row>
    <row r="40" spans="1:44" ht="56.25">
      <c r="B40" s="103" t="s">
        <v>198</v>
      </c>
      <c r="C40" s="312" t="s">
        <v>461</v>
      </c>
      <c r="D40" s="310" t="s">
        <v>199</v>
      </c>
      <c r="E40" s="310" t="s">
        <v>383</v>
      </c>
      <c r="F40" s="309" t="s">
        <v>347</v>
      </c>
      <c r="G40" s="309" t="s">
        <v>384</v>
      </c>
      <c r="H40" s="105">
        <v>0</v>
      </c>
      <c r="I40" s="103"/>
      <c r="J40" s="160">
        <f>VLOOKUP(B40,'[2]MASTER PART LIST'!$B:$C,2,FALSE)</f>
        <v>106</v>
      </c>
      <c r="K40" s="163">
        <f>VLOOKUP(B40,'[2]MASTER PART LIST'!$B:$D,3,FALSE)</f>
        <v>163</v>
      </c>
      <c r="L40" s="163">
        <f t="shared" ref="L40:L43" si="15">K40+(H40*VLOOKUP(prov_cd,rate_table,2,FALSE))</f>
        <v>163</v>
      </c>
      <c r="M40" s="188"/>
      <c r="N40" s="188"/>
      <c r="O40" s="188" t="s">
        <v>18</v>
      </c>
      <c r="P40" s="188" t="s">
        <v>18</v>
      </c>
      <c r="Q40" s="188"/>
      <c r="R40" s="188"/>
      <c r="S40" s="188" t="s">
        <v>18</v>
      </c>
      <c r="T40" s="188" t="s">
        <v>18</v>
      </c>
      <c r="U40" s="115"/>
      <c r="V40" s="115"/>
      <c r="W40" s="246">
        <v>22</v>
      </c>
      <c r="X40" s="125"/>
      <c r="Y40" s="125" t="s">
        <v>133</v>
      </c>
      <c r="Z40" s="125"/>
      <c r="AA40" s="125"/>
      <c r="AB40" s="125"/>
      <c r="AC40" s="125"/>
      <c r="AD40" s="125"/>
      <c r="AE40" s="125"/>
      <c r="AF40" s="125"/>
      <c r="AG40" s="188"/>
      <c r="AH40" s="188"/>
      <c r="AI40" s="188"/>
      <c r="AJ40" s="188"/>
      <c r="AK40" s="188"/>
      <c r="AL40" s="188" t="s">
        <v>18</v>
      </c>
      <c r="AM40" s="188"/>
      <c r="AN40" s="188"/>
      <c r="AO40" s="188"/>
      <c r="AP40" s="188"/>
      <c r="AQ40" s="323" t="s">
        <v>496</v>
      </c>
      <c r="AR40" s="322" t="s">
        <v>522</v>
      </c>
    </row>
    <row r="41" spans="1:44" ht="25.5">
      <c r="B41" s="103" t="s">
        <v>196</v>
      </c>
      <c r="C41" s="312" t="s">
        <v>462</v>
      </c>
      <c r="D41" s="310" t="s">
        <v>275</v>
      </c>
      <c r="E41" s="310" t="s">
        <v>385</v>
      </c>
      <c r="F41" s="309" t="s">
        <v>276</v>
      </c>
      <c r="G41" s="309" t="s">
        <v>386</v>
      </c>
      <c r="H41" s="105">
        <v>0</v>
      </c>
      <c r="I41" s="103"/>
      <c r="J41" s="160">
        <f>VLOOKUP(B41,'[2]MASTER PART LIST'!$B:$C,2,FALSE)</f>
        <v>28</v>
      </c>
      <c r="K41" s="163">
        <f>VLOOKUP(B41,'[2]MASTER PART LIST'!$B:$D,3,FALSE)</f>
        <v>47</v>
      </c>
      <c r="L41" s="163">
        <f t="shared" ref="L41:L42" si="16">K41+(H41*VLOOKUP(prov_cd,rate_table,2,FALSE))</f>
        <v>47</v>
      </c>
      <c r="M41" s="188"/>
      <c r="N41" s="188"/>
      <c r="O41" s="188" t="s">
        <v>18</v>
      </c>
      <c r="P41" s="188" t="s">
        <v>18</v>
      </c>
      <c r="Q41" s="188"/>
      <c r="R41" s="188"/>
      <c r="S41" s="188" t="s">
        <v>18</v>
      </c>
      <c r="T41" s="188" t="s">
        <v>18</v>
      </c>
      <c r="U41" s="115"/>
      <c r="V41" s="115"/>
      <c r="W41" s="246">
        <v>23</v>
      </c>
      <c r="X41" s="125"/>
      <c r="Y41" s="125" t="s">
        <v>133</v>
      </c>
      <c r="Z41" s="125"/>
      <c r="AA41" s="125"/>
      <c r="AB41" s="125"/>
      <c r="AC41" s="125"/>
      <c r="AD41" s="125"/>
      <c r="AE41" s="125"/>
      <c r="AF41" s="125"/>
      <c r="AG41" s="188"/>
      <c r="AH41" s="188"/>
      <c r="AI41" s="188"/>
      <c r="AJ41" s="188"/>
      <c r="AK41" s="188"/>
      <c r="AL41" s="188" t="s">
        <v>18</v>
      </c>
      <c r="AM41" s="188"/>
      <c r="AN41" s="188"/>
      <c r="AO41" s="188"/>
      <c r="AP41" s="188"/>
      <c r="AQ41" s="323" t="s">
        <v>496</v>
      </c>
      <c r="AR41" s="322" t="s">
        <v>522</v>
      </c>
    </row>
    <row r="42" spans="1:44" ht="25.5">
      <c r="B42" s="103" t="s">
        <v>197</v>
      </c>
      <c r="C42" s="312" t="s">
        <v>463</v>
      </c>
      <c r="D42" s="310" t="s">
        <v>277</v>
      </c>
      <c r="E42" s="310" t="s">
        <v>387</v>
      </c>
      <c r="F42" s="309" t="s">
        <v>276</v>
      </c>
      <c r="G42" s="309" t="s">
        <v>386</v>
      </c>
      <c r="H42" s="105">
        <v>0</v>
      </c>
      <c r="I42" s="103"/>
      <c r="J42" s="160">
        <f>VLOOKUP(B42,'[2]MASTER PART LIST'!$B:$C,2,FALSE)</f>
        <v>28</v>
      </c>
      <c r="K42" s="163">
        <f>VLOOKUP(B42,'[2]MASTER PART LIST'!$B:$D,3,FALSE)</f>
        <v>47</v>
      </c>
      <c r="L42" s="163">
        <f t="shared" si="16"/>
        <v>47</v>
      </c>
      <c r="M42" s="188"/>
      <c r="N42" s="188"/>
      <c r="O42" s="188" t="s">
        <v>18</v>
      </c>
      <c r="P42" s="188" t="s">
        <v>18</v>
      </c>
      <c r="Q42" s="188"/>
      <c r="R42" s="188"/>
      <c r="S42" s="188" t="s">
        <v>18</v>
      </c>
      <c r="T42" s="188" t="s">
        <v>18</v>
      </c>
      <c r="U42" s="115"/>
      <c r="V42" s="115"/>
      <c r="W42" s="246">
        <v>24</v>
      </c>
      <c r="X42" s="125"/>
      <c r="Y42" s="125" t="s">
        <v>133</v>
      </c>
      <c r="Z42" s="125"/>
      <c r="AA42" s="125"/>
      <c r="AB42" s="125"/>
      <c r="AC42" s="125"/>
      <c r="AD42" s="125"/>
      <c r="AE42" s="125"/>
      <c r="AF42" s="125"/>
      <c r="AG42" s="188"/>
      <c r="AH42" s="188"/>
      <c r="AI42" s="188"/>
      <c r="AJ42" s="188"/>
      <c r="AK42" s="188"/>
      <c r="AL42" s="188" t="s">
        <v>18</v>
      </c>
      <c r="AM42" s="188"/>
      <c r="AN42" s="188"/>
      <c r="AO42" s="188"/>
      <c r="AP42" s="188"/>
      <c r="AQ42" s="323" t="s">
        <v>496</v>
      </c>
      <c r="AR42" s="322" t="s">
        <v>522</v>
      </c>
    </row>
    <row r="43" spans="1:44" ht="78.75">
      <c r="B43" s="103" t="s">
        <v>225</v>
      </c>
      <c r="C43" s="312" t="str">
        <f>B43</f>
        <v>08L04-3BM-300</v>
      </c>
      <c r="D43" s="310" t="s">
        <v>193</v>
      </c>
      <c r="E43" s="310" t="s">
        <v>388</v>
      </c>
      <c r="F43" s="307" t="s">
        <v>348</v>
      </c>
      <c r="G43" s="307" t="s">
        <v>389</v>
      </c>
      <c r="H43" s="105">
        <v>0.3</v>
      </c>
      <c r="I43" s="103"/>
      <c r="J43" s="160">
        <f>VLOOKUP(B43,'[2]MASTER PART LIST'!$B:$C,2,FALSE)</f>
        <v>258</v>
      </c>
      <c r="K43" s="163">
        <f>VLOOKUP(B43,'[2]MASTER PART LIST'!$B:$D,3,FALSE)</f>
        <v>430</v>
      </c>
      <c r="L43" s="163">
        <f t="shared" si="15"/>
        <v>475</v>
      </c>
      <c r="M43" s="188"/>
      <c r="N43" s="188"/>
      <c r="O43" s="188" t="s">
        <v>18</v>
      </c>
      <c r="P43" s="188" t="s">
        <v>18</v>
      </c>
      <c r="Q43" s="188"/>
      <c r="R43" s="188"/>
      <c r="S43" s="188" t="s">
        <v>18</v>
      </c>
      <c r="T43" s="188" t="s">
        <v>18</v>
      </c>
      <c r="U43" s="115"/>
      <c r="V43" s="115"/>
      <c r="W43" s="246">
        <v>25</v>
      </c>
      <c r="X43" s="125"/>
      <c r="Y43" s="125" t="s">
        <v>133</v>
      </c>
      <c r="Z43" s="125"/>
      <c r="AA43" s="125"/>
      <c r="AB43" s="125"/>
      <c r="AC43" s="125"/>
      <c r="AD43" s="125"/>
      <c r="AE43" s="125"/>
      <c r="AF43" s="125"/>
      <c r="AG43" s="188"/>
      <c r="AH43" s="188"/>
      <c r="AI43" s="188"/>
      <c r="AJ43" s="188"/>
      <c r="AK43" s="188"/>
      <c r="AL43" s="188" t="s">
        <v>18</v>
      </c>
      <c r="AM43" s="188"/>
      <c r="AN43" s="188"/>
      <c r="AO43" s="188"/>
      <c r="AP43" s="188"/>
      <c r="AQ43" s="323"/>
      <c r="AR43" s="323"/>
    </row>
    <row r="44" spans="1:44" ht="15.75" hidden="1">
      <c r="B44" s="190" t="s">
        <v>175</v>
      </c>
      <c r="C44" s="269" t="s">
        <v>187</v>
      </c>
      <c r="D44" s="271" t="s">
        <v>188</v>
      </c>
      <c r="E44" s="271" t="s">
        <v>189</v>
      </c>
      <c r="F44" s="272"/>
      <c r="G44" s="272"/>
      <c r="H44" s="279"/>
      <c r="I44" s="269"/>
      <c r="J44" s="280"/>
      <c r="K44" s="278"/>
      <c r="L44" s="278"/>
      <c r="M44" s="275"/>
      <c r="N44" s="275"/>
      <c r="O44" s="275"/>
      <c r="P44" s="275"/>
      <c r="Q44" s="275"/>
      <c r="R44" s="275"/>
      <c r="S44" s="275"/>
      <c r="T44" s="275"/>
      <c r="U44" s="272" t="s">
        <v>478</v>
      </c>
      <c r="V44" s="272" t="s">
        <v>479</v>
      </c>
      <c r="W44" s="274"/>
      <c r="X44" s="273"/>
      <c r="Y44" s="273"/>
      <c r="Z44" s="273"/>
      <c r="AA44" s="273"/>
      <c r="AB44" s="273"/>
      <c r="AC44" s="273"/>
      <c r="AD44" s="273"/>
      <c r="AE44" s="273"/>
      <c r="AF44" s="273"/>
      <c r="AG44" s="188"/>
      <c r="AH44" s="188"/>
      <c r="AI44" s="188"/>
      <c r="AJ44" s="275"/>
      <c r="AK44" s="275"/>
      <c r="AL44" s="275"/>
      <c r="AM44" s="275"/>
      <c r="AN44" s="275"/>
      <c r="AO44" s="275"/>
      <c r="AP44" s="275"/>
      <c r="AQ44" s="325"/>
      <c r="AR44" s="326"/>
    </row>
    <row r="45" spans="1:44" ht="67.5">
      <c r="B45" s="103" t="s">
        <v>226</v>
      </c>
      <c r="C45" s="103" t="str">
        <f>B45</f>
        <v>08L08-3BM-100</v>
      </c>
      <c r="D45" s="310" t="s">
        <v>227</v>
      </c>
      <c r="E45" s="310" t="s">
        <v>390</v>
      </c>
      <c r="F45" s="309" t="s">
        <v>354</v>
      </c>
      <c r="G45" s="309" t="s">
        <v>391</v>
      </c>
      <c r="H45" s="164">
        <v>0.6</v>
      </c>
      <c r="I45" s="103"/>
      <c r="J45" s="160">
        <f>VLOOKUP(B45,'[2]MASTER PART LIST'!$B:$C,2,FALSE)</f>
        <v>932</v>
      </c>
      <c r="K45" s="163">
        <f>VLOOKUP(B45,'[2]MASTER PART LIST'!$B:$D,3,FALSE)</f>
        <v>1331</v>
      </c>
      <c r="L45" s="163">
        <f t="shared" ref="L45" si="17">K45+(H45*VLOOKUP(prov_cd,rate_table,2,FALSE))</f>
        <v>1421</v>
      </c>
      <c r="M45" s="188"/>
      <c r="N45" s="188"/>
      <c r="O45" s="188" t="s">
        <v>18</v>
      </c>
      <c r="P45" s="188" t="s">
        <v>18</v>
      </c>
      <c r="Q45" s="188"/>
      <c r="R45" s="188"/>
      <c r="S45" s="188" t="s">
        <v>18</v>
      </c>
      <c r="T45" s="188" t="s">
        <v>18</v>
      </c>
      <c r="U45" s="115"/>
      <c r="V45" s="115"/>
      <c r="W45" s="246">
        <v>26</v>
      </c>
      <c r="X45" s="125"/>
      <c r="Y45" s="125"/>
      <c r="Z45" s="125"/>
      <c r="AA45" s="125"/>
      <c r="AB45" s="125"/>
      <c r="AC45" s="125"/>
      <c r="AD45" s="125"/>
      <c r="AE45" s="125"/>
      <c r="AF45" s="125"/>
      <c r="AG45" s="188"/>
      <c r="AH45" s="173"/>
      <c r="AI45" s="173"/>
      <c r="AJ45" s="188"/>
      <c r="AK45" s="188"/>
      <c r="AL45" s="188" t="s">
        <v>18</v>
      </c>
      <c r="AM45" s="188"/>
      <c r="AN45" s="188"/>
      <c r="AO45" s="188"/>
      <c r="AP45" s="188"/>
      <c r="AQ45" s="323"/>
      <c r="AR45" s="323"/>
    </row>
    <row r="46" spans="1:44" ht="45">
      <c r="B46" s="103" t="s">
        <v>430</v>
      </c>
      <c r="C46" s="312" t="s">
        <v>450</v>
      </c>
      <c r="D46" s="310" t="s">
        <v>304</v>
      </c>
      <c r="E46" s="310" t="s">
        <v>392</v>
      </c>
      <c r="F46" s="307" t="s">
        <v>440</v>
      </c>
      <c r="G46" s="306" t="s">
        <v>441</v>
      </c>
      <c r="H46" s="164">
        <v>0.4</v>
      </c>
      <c r="I46" s="103"/>
      <c r="J46" s="160">
        <f>VLOOKUP(B46,'[2]MASTER PART LIST'!$B:$C,2,FALSE)</f>
        <v>383</v>
      </c>
      <c r="K46" s="163">
        <f>VLOOKUP(B46,'[2]MASTER PART LIST'!$B:$D,3,FALSE)</f>
        <v>547</v>
      </c>
      <c r="L46" s="163">
        <f>K46+(H46*VLOOKUP(prov_cd,rate_table,2,FALSE))</f>
        <v>607</v>
      </c>
      <c r="M46" s="188"/>
      <c r="N46" s="188"/>
      <c r="O46" s="188" t="s">
        <v>18</v>
      </c>
      <c r="P46" s="188" t="s">
        <v>18</v>
      </c>
      <c r="Q46" s="188"/>
      <c r="R46" s="188"/>
      <c r="S46" s="188" t="s">
        <v>18</v>
      </c>
      <c r="T46" s="188" t="s">
        <v>18</v>
      </c>
      <c r="U46" s="115" t="s">
        <v>478</v>
      </c>
      <c r="V46" s="115" t="s">
        <v>479</v>
      </c>
      <c r="W46" s="246">
        <v>27</v>
      </c>
      <c r="X46" s="125"/>
      <c r="Y46" s="125"/>
      <c r="Z46" s="125"/>
      <c r="AA46" s="125"/>
      <c r="AB46" s="125"/>
      <c r="AC46" s="125"/>
      <c r="AD46" s="125"/>
      <c r="AE46" s="125"/>
      <c r="AF46" s="125"/>
      <c r="AG46" s="188"/>
      <c r="AH46" s="173"/>
      <c r="AI46" s="173"/>
      <c r="AJ46" s="188"/>
      <c r="AK46" s="188"/>
      <c r="AL46" s="188" t="s">
        <v>18</v>
      </c>
      <c r="AM46" s="188"/>
      <c r="AN46" s="188"/>
      <c r="AO46" s="188"/>
      <c r="AP46" s="188"/>
      <c r="AQ46" s="323" t="s">
        <v>495</v>
      </c>
      <c r="AR46" s="323"/>
    </row>
    <row r="47" spans="1:44" ht="56.25">
      <c r="B47" s="103" t="s">
        <v>195</v>
      </c>
      <c r="C47" s="312" t="s">
        <v>449</v>
      </c>
      <c r="D47" s="310" t="s">
        <v>305</v>
      </c>
      <c r="E47" s="310" t="s">
        <v>393</v>
      </c>
      <c r="F47" s="307" t="s">
        <v>439</v>
      </c>
      <c r="G47" s="306" t="s">
        <v>442</v>
      </c>
      <c r="H47" s="164">
        <v>0.4</v>
      </c>
      <c r="I47" s="103"/>
      <c r="J47" s="160">
        <f>VLOOKUP(B47,'[2]MASTER PART LIST'!$B:$C,2,FALSE)</f>
        <v>292</v>
      </c>
      <c r="K47" s="163">
        <f>VLOOKUP(B47,'[2]MASTER PART LIST'!$B:$D,3,FALSE)</f>
        <v>487</v>
      </c>
      <c r="L47" s="163">
        <f>K47+(H47*VLOOKUP(prov_cd,rate_table,2,FALSE))</f>
        <v>547</v>
      </c>
      <c r="M47" s="188"/>
      <c r="N47" s="188"/>
      <c r="O47" s="188" t="s">
        <v>18</v>
      </c>
      <c r="P47" s="188" t="s">
        <v>18</v>
      </c>
      <c r="Q47" s="188"/>
      <c r="R47" s="188"/>
      <c r="S47" s="188" t="s">
        <v>18</v>
      </c>
      <c r="T47" s="188" t="s">
        <v>18</v>
      </c>
      <c r="U47" s="115" t="s">
        <v>478</v>
      </c>
      <c r="V47" s="115" t="s">
        <v>479</v>
      </c>
      <c r="W47" s="246">
        <v>44</v>
      </c>
      <c r="X47" s="125"/>
      <c r="Y47" s="125"/>
      <c r="Z47" s="125"/>
      <c r="AA47" s="125"/>
      <c r="AB47" s="125"/>
      <c r="AC47" s="125"/>
      <c r="AD47" s="125"/>
      <c r="AE47" s="125"/>
      <c r="AF47" s="125"/>
      <c r="AG47" s="188"/>
      <c r="AH47" s="173"/>
      <c r="AI47" s="173"/>
      <c r="AJ47" s="188"/>
      <c r="AK47" s="188"/>
      <c r="AL47" s="188" t="s">
        <v>18</v>
      </c>
      <c r="AM47" s="188"/>
      <c r="AN47" s="188"/>
      <c r="AO47" s="188"/>
      <c r="AP47" s="188"/>
      <c r="AQ47" s="323" t="s">
        <v>495</v>
      </c>
      <c r="AR47" s="323"/>
    </row>
    <row r="48" spans="1:44" ht="45">
      <c r="B48" s="103" t="s">
        <v>170</v>
      </c>
      <c r="C48" s="312" t="s">
        <v>451</v>
      </c>
      <c r="D48" s="310" t="s">
        <v>173</v>
      </c>
      <c r="E48" s="310" t="s">
        <v>394</v>
      </c>
      <c r="F48" s="307" t="s">
        <v>438</v>
      </c>
      <c r="G48" s="306" t="s">
        <v>443</v>
      </c>
      <c r="H48" s="164">
        <v>0.2</v>
      </c>
      <c r="I48" s="103"/>
      <c r="J48" s="160">
        <f>VLOOKUP(B48,'[2]MASTER PART LIST'!$B:$C,2,FALSE)</f>
        <v>415</v>
      </c>
      <c r="K48" s="163">
        <f>VLOOKUP(B48,'[2]MASTER PART LIST'!$B:$D,3,FALSE)</f>
        <v>692</v>
      </c>
      <c r="L48" s="163">
        <f>K48+(H48*VLOOKUP(prov_cd,rate_table,2,FALSE))</f>
        <v>722</v>
      </c>
      <c r="M48" s="188"/>
      <c r="N48" s="188"/>
      <c r="O48" s="188" t="s">
        <v>18</v>
      </c>
      <c r="P48" s="188" t="s">
        <v>18</v>
      </c>
      <c r="Q48" s="188"/>
      <c r="R48" s="188"/>
      <c r="S48" s="188" t="s">
        <v>18</v>
      </c>
      <c r="T48" s="188" t="s">
        <v>18</v>
      </c>
      <c r="U48" s="115" t="s">
        <v>478</v>
      </c>
      <c r="V48" s="115" t="s">
        <v>479</v>
      </c>
      <c r="W48" s="246">
        <v>28</v>
      </c>
      <c r="X48" s="125"/>
      <c r="Y48" s="125"/>
      <c r="Z48" s="125"/>
      <c r="AA48" s="125"/>
      <c r="AB48" s="125"/>
      <c r="AC48" s="125"/>
      <c r="AD48" s="125"/>
      <c r="AE48" s="125"/>
      <c r="AF48" s="125"/>
      <c r="AG48" s="188"/>
      <c r="AH48" s="173"/>
      <c r="AI48" s="173"/>
      <c r="AJ48" s="188"/>
      <c r="AK48" s="188"/>
      <c r="AL48" s="188" t="s">
        <v>18</v>
      </c>
      <c r="AM48" s="188"/>
      <c r="AN48" s="188"/>
      <c r="AO48" s="188"/>
      <c r="AP48" s="188"/>
      <c r="AQ48" s="323" t="s">
        <v>495</v>
      </c>
      <c r="AR48" s="323"/>
    </row>
    <row r="49" spans="2:44" ht="101.25">
      <c r="B49" s="103" t="s">
        <v>428</v>
      </c>
      <c r="C49" s="312" t="s">
        <v>452</v>
      </c>
      <c r="D49" s="310" t="s">
        <v>310</v>
      </c>
      <c r="E49" s="310" t="s">
        <v>395</v>
      </c>
      <c r="F49" s="307" t="s">
        <v>437</v>
      </c>
      <c r="G49" s="306" t="s">
        <v>444</v>
      </c>
      <c r="H49" s="164">
        <v>0.4</v>
      </c>
      <c r="I49" s="103"/>
      <c r="J49" s="160">
        <f>VLOOKUP(B49,'[2]MASTER PART LIST'!$B:$C,2,FALSE)</f>
        <v>207</v>
      </c>
      <c r="K49" s="163">
        <f>VLOOKUP(B49,'[2]MASTER PART LIST'!$B:$D,3,FALSE)</f>
        <v>345</v>
      </c>
      <c r="L49" s="163">
        <f>K49+(H49*VLOOKUP(prov_cd,rate_table,2,FALSE))</f>
        <v>405</v>
      </c>
      <c r="M49" s="188"/>
      <c r="N49" s="188"/>
      <c r="O49" s="188" t="s">
        <v>18</v>
      </c>
      <c r="P49" s="188" t="s">
        <v>18</v>
      </c>
      <c r="Q49" s="188"/>
      <c r="R49" s="188"/>
      <c r="S49" s="188" t="s">
        <v>18</v>
      </c>
      <c r="T49" s="188" t="s">
        <v>18</v>
      </c>
      <c r="U49" s="115" t="s">
        <v>478</v>
      </c>
      <c r="V49" s="115" t="s">
        <v>479</v>
      </c>
      <c r="W49" s="246">
        <v>45</v>
      </c>
      <c r="X49" s="125"/>
      <c r="Y49" s="125"/>
      <c r="Z49" s="125"/>
      <c r="AA49" s="125"/>
      <c r="AB49" s="125"/>
      <c r="AC49" s="125"/>
      <c r="AD49" s="125"/>
      <c r="AE49" s="125"/>
      <c r="AF49" s="125"/>
      <c r="AG49" s="188"/>
      <c r="AH49" s="173"/>
      <c r="AI49" s="173"/>
      <c r="AJ49" s="188"/>
      <c r="AK49" s="188"/>
      <c r="AL49" s="188" t="s">
        <v>18</v>
      </c>
      <c r="AM49" s="188"/>
      <c r="AN49" s="188"/>
      <c r="AO49" s="188"/>
      <c r="AP49" s="188"/>
      <c r="AQ49" s="323" t="s">
        <v>495</v>
      </c>
      <c r="AR49" s="323"/>
    </row>
    <row r="50" spans="2:44" ht="101.25">
      <c r="B50" s="103" t="s">
        <v>429</v>
      </c>
      <c r="C50" s="312" t="s">
        <v>453</v>
      </c>
      <c r="D50" s="310" t="s">
        <v>172</v>
      </c>
      <c r="E50" s="310" t="s">
        <v>396</v>
      </c>
      <c r="F50" s="307" t="s">
        <v>436</v>
      </c>
      <c r="G50" s="306" t="s">
        <v>445</v>
      </c>
      <c r="H50" s="164">
        <v>0.4</v>
      </c>
      <c r="I50" s="103"/>
      <c r="J50" s="160">
        <f>VLOOKUP(B50,'[2]MASTER PART LIST'!$B:$C,2,FALSE)</f>
        <v>430</v>
      </c>
      <c r="K50" s="163">
        <f>VLOOKUP(B50,'[2]MASTER PART LIST'!$B:$D,3,FALSE)</f>
        <v>717</v>
      </c>
      <c r="L50" s="163">
        <f t="shared" ref="L50:L58" si="18">K50+(H50*VLOOKUP(prov_cd,rate_table,2,FALSE))</f>
        <v>777</v>
      </c>
      <c r="M50" s="188"/>
      <c r="N50" s="188"/>
      <c r="O50" s="188" t="s">
        <v>18</v>
      </c>
      <c r="P50" s="188" t="s">
        <v>18</v>
      </c>
      <c r="Q50" s="188"/>
      <c r="R50" s="188"/>
      <c r="S50" s="188" t="s">
        <v>18</v>
      </c>
      <c r="T50" s="188" t="s">
        <v>18</v>
      </c>
      <c r="U50" s="115" t="s">
        <v>478</v>
      </c>
      <c r="V50" s="115" t="s">
        <v>479</v>
      </c>
      <c r="W50" s="246">
        <v>46</v>
      </c>
      <c r="X50" s="125"/>
      <c r="Y50" s="125"/>
      <c r="Z50" s="125"/>
      <c r="AA50" s="125"/>
      <c r="AB50" s="125"/>
      <c r="AC50" s="125"/>
      <c r="AD50" s="125"/>
      <c r="AE50" s="125"/>
      <c r="AF50" s="125"/>
      <c r="AG50" s="188"/>
      <c r="AH50" s="173"/>
      <c r="AI50" s="173"/>
      <c r="AJ50" s="188"/>
      <c r="AK50" s="188"/>
      <c r="AL50" s="188" t="s">
        <v>18</v>
      </c>
      <c r="AM50" s="188"/>
      <c r="AN50" s="188"/>
      <c r="AO50" s="188"/>
      <c r="AP50" s="188"/>
      <c r="AQ50" s="323" t="s">
        <v>495</v>
      </c>
      <c r="AR50" s="323"/>
    </row>
    <row r="51" spans="2:44" ht="90">
      <c r="B51" s="103" t="s">
        <v>169</v>
      </c>
      <c r="C51" s="312" t="s">
        <v>454</v>
      </c>
      <c r="D51" s="310" t="s">
        <v>306</v>
      </c>
      <c r="E51" s="310" t="s">
        <v>307</v>
      </c>
      <c r="F51" s="307" t="s">
        <v>433</v>
      </c>
      <c r="G51" s="306" t="s">
        <v>446</v>
      </c>
      <c r="H51" s="164">
        <v>0.2</v>
      </c>
      <c r="I51" s="103"/>
      <c r="J51" s="160">
        <f>VLOOKUP(B51,'[2]MASTER PART LIST'!$B:$C,2,FALSE)</f>
        <v>799</v>
      </c>
      <c r="K51" s="163">
        <f>VLOOKUP(B51,'[2]MASTER PART LIST'!$B:$D,3,FALSE)</f>
        <v>1332</v>
      </c>
      <c r="L51" s="163">
        <f t="shared" si="18"/>
        <v>1362</v>
      </c>
      <c r="M51" s="188"/>
      <c r="N51" s="188"/>
      <c r="O51" s="188" t="s">
        <v>18</v>
      </c>
      <c r="P51" s="188" t="s">
        <v>18</v>
      </c>
      <c r="Q51" s="188"/>
      <c r="R51" s="188"/>
      <c r="S51" s="188" t="s">
        <v>18</v>
      </c>
      <c r="T51" s="188" t="s">
        <v>18</v>
      </c>
      <c r="U51" s="115" t="s">
        <v>478</v>
      </c>
      <c r="V51" s="115" t="s">
        <v>479</v>
      </c>
      <c r="W51" s="246">
        <v>47</v>
      </c>
      <c r="X51" s="125"/>
      <c r="Y51" s="125"/>
      <c r="Z51" s="125"/>
      <c r="AA51" s="125"/>
      <c r="AB51" s="125"/>
      <c r="AC51" s="125"/>
      <c r="AD51" s="125"/>
      <c r="AE51" s="125"/>
      <c r="AF51" s="125"/>
      <c r="AG51" s="188"/>
      <c r="AH51" s="173"/>
      <c r="AI51" s="173"/>
      <c r="AJ51" s="188"/>
      <c r="AK51" s="188"/>
      <c r="AL51" s="188" t="s">
        <v>18</v>
      </c>
      <c r="AM51" s="188"/>
      <c r="AN51" s="188"/>
      <c r="AO51" s="188"/>
      <c r="AP51" s="188"/>
      <c r="AQ51" s="323" t="s">
        <v>495</v>
      </c>
      <c r="AR51" s="323"/>
    </row>
    <row r="52" spans="2:44" ht="101.25">
      <c r="B52" s="103" t="s">
        <v>194</v>
      </c>
      <c r="C52" s="312" t="s">
        <v>455</v>
      </c>
      <c r="D52" s="310" t="s">
        <v>308</v>
      </c>
      <c r="E52" s="310" t="s">
        <v>397</v>
      </c>
      <c r="F52" s="307" t="s">
        <v>434</v>
      </c>
      <c r="G52" s="306" t="s">
        <v>447</v>
      </c>
      <c r="H52" s="164">
        <v>0.2</v>
      </c>
      <c r="I52" s="103"/>
      <c r="J52" s="160">
        <f>VLOOKUP(B52,'[2]MASTER PART LIST'!$B:$C,2,FALSE)</f>
        <v>875</v>
      </c>
      <c r="K52" s="163">
        <f>VLOOKUP(B52,'[2]MASTER PART LIST'!$B:$D,3,FALSE)</f>
        <v>1458</v>
      </c>
      <c r="L52" s="163">
        <f t="shared" si="18"/>
        <v>1488</v>
      </c>
      <c r="M52" s="188"/>
      <c r="N52" s="188"/>
      <c r="O52" s="188" t="s">
        <v>18</v>
      </c>
      <c r="P52" s="188" t="s">
        <v>18</v>
      </c>
      <c r="Q52" s="188"/>
      <c r="R52" s="188"/>
      <c r="S52" s="188" t="s">
        <v>18</v>
      </c>
      <c r="T52" s="188" t="s">
        <v>18</v>
      </c>
      <c r="U52" s="115" t="s">
        <v>478</v>
      </c>
      <c r="V52" s="115" t="s">
        <v>479</v>
      </c>
      <c r="W52" s="246">
        <v>48</v>
      </c>
      <c r="X52" s="125"/>
      <c r="Y52" s="125"/>
      <c r="Z52" s="125"/>
      <c r="AA52" s="125"/>
      <c r="AB52" s="125"/>
      <c r="AC52" s="125"/>
      <c r="AD52" s="125"/>
      <c r="AE52" s="125"/>
      <c r="AF52" s="125"/>
      <c r="AG52" s="188"/>
      <c r="AH52" s="173"/>
      <c r="AI52" s="173"/>
      <c r="AJ52" s="188"/>
      <c r="AK52" s="188"/>
      <c r="AL52" s="188" t="s">
        <v>18</v>
      </c>
      <c r="AM52" s="188"/>
      <c r="AN52" s="188"/>
      <c r="AO52" s="188"/>
      <c r="AP52" s="188"/>
      <c r="AQ52" s="323" t="s">
        <v>495</v>
      </c>
      <c r="AR52" s="323"/>
    </row>
    <row r="53" spans="2:44" ht="112.5">
      <c r="B53" s="103" t="s">
        <v>427</v>
      </c>
      <c r="C53" s="312" t="s">
        <v>456</v>
      </c>
      <c r="D53" s="310" t="s">
        <v>171</v>
      </c>
      <c r="E53" s="310" t="s">
        <v>309</v>
      </c>
      <c r="F53" s="307" t="s">
        <v>435</v>
      </c>
      <c r="G53" s="306" t="s">
        <v>448</v>
      </c>
      <c r="H53" s="164">
        <v>0.4</v>
      </c>
      <c r="I53" s="103"/>
      <c r="J53" s="160">
        <f>VLOOKUP(B53,'[2]MASTER PART LIST'!$B:$C,2,FALSE)</f>
        <v>571</v>
      </c>
      <c r="K53" s="163">
        <f>VLOOKUP(B53,'[2]MASTER PART LIST'!$B:$D,3,FALSE)</f>
        <v>952</v>
      </c>
      <c r="L53" s="163">
        <f t="shared" si="18"/>
        <v>1012</v>
      </c>
      <c r="M53" s="188"/>
      <c r="N53" s="188"/>
      <c r="O53" s="188" t="s">
        <v>18</v>
      </c>
      <c r="P53" s="188" t="s">
        <v>18</v>
      </c>
      <c r="Q53" s="188"/>
      <c r="R53" s="188"/>
      <c r="S53" s="188" t="s">
        <v>18</v>
      </c>
      <c r="T53" s="188" t="s">
        <v>18</v>
      </c>
      <c r="U53" s="115" t="s">
        <v>478</v>
      </c>
      <c r="V53" s="115" t="s">
        <v>479</v>
      </c>
      <c r="W53" s="246">
        <v>49</v>
      </c>
      <c r="X53" s="125"/>
      <c r="Y53" s="125"/>
      <c r="Z53" s="125"/>
      <c r="AA53" s="125"/>
      <c r="AB53" s="125"/>
      <c r="AC53" s="125"/>
      <c r="AD53" s="125"/>
      <c r="AE53" s="125"/>
      <c r="AF53" s="125"/>
      <c r="AG53" s="188"/>
      <c r="AH53" s="173"/>
      <c r="AI53" s="173"/>
      <c r="AJ53" s="188"/>
      <c r="AK53" s="188"/>
      <c r="AL53" s="188" t="s">
        <v>18</v>
      </c>
      <c r="AM53" s="188"/>
      <c r="AN53" s="188"/>
      <c r="AO53" s="188"/>
      <c r="AP53" s="188"/>
      <c r="AQ53" s="323" t="s">
        <v>495</v>
      </c>
      <c r="AR53" s="323"/>
    </row>
    <row r="54" spans="2:44" ht="78.75">
      <c r="B54" s="103" t="s">
        <v>431</v>
      </c>
      <c r="C54" s="312" t="s">
        <v>457</v>
      </c>
      <c r="D54" s="310" t="s">
        <v>311</v>
      </c>
      <c r="E54" s="310" t="s">
        <v>398</v>
      </c>
      <c r="F54" s="309" t="s">
        <v>422</v>
      </c>
      <c r="G54" s="309" t="s">
        <v>423</v>
      </c>
      <c r="H54" s="164">
        <v>0</v>
      </c>
      <c r="I54" s="103"/>
      <c r="J54" s="160">
        <f>VLOOKUP(B54,'[2]MASTER PART LIST'!$B:$C,2,FALSE)</f>
        <v>477</v>
      </c>
      <c r="K54" s="163">
        <f>VLOOKUP(B54,'[2]MASTER PART LIST'!$B:$D,3,FALSE)</f>
        <v>681</v>
      </c>
      <c r="L54" s="163">
        <f t="shared" si="18"/>
        <v>681</v>
      </c>
      <c r="M54" s="188"/>
      <c r="N54" s="188"/>
      <c r="O54" s="188" t="s">
        <v>18</v>
      </c>
      <c r="P54" s="188" t="s">
        <v>18</v>
      </c>
      <c r="Q54" s="188"/>
      <c r="R54" s="188"/>
      <c r="S54" s="188" t="s">
        <v>18</v>
      </c>
      <c r="T54" s="188" t="s">
        <v>18</v>
      </c>
      <c r="U54" s="115"/>
      <c r="V54" s="115"/>
      <c r="W54" s="246">
        <v>60</v>
      </c>
      <c r="X54" s="125"/>
      <c r="Y54" s="125"/>
      <c r="Z54" s="125"/>
      <c r="AA54" s="125"/>
      <c r="AB54" s="125"/>
      <c r="AC54" s="125"/>
      <c r="AD54" s="125"/>
      <c r="AE54" s="125"/>
      <c r="AF54" s="125"/>
      <c r="AG54" s="188"/>
      <c r="AH54" s="173"/>
      <c r="AI54" s="173"/>
      <c r="AJ54" s="188"/>
      <c r="AK54" s="188"/>
      <c r="AL54" s="188" t="s">
        <v>18</v>
      </c>
      <c r="AM54" s="188"/>
      <c r="AN54" s="188"/>
      <c r="AO54" s="188"/>
      <c r="AP54" s="188"/>
      <c r="AQ54" s="323"/>
      <c r="AR54" s="323"/>
    </row>
    <row r="55" spans="2:44" ht="45">
      <c r="B55" s="103" t="s">
        <v>240</v>
      </c>
      <c r="C55" s="103" t="str">
        <f t="shared" ref="C55:C62" si="19">B55</f>
        <v>08P17-3BM-120A</v>
      </c>
      <c r="D55" s="310" t="s">
        <v>295</v>
      </c>
      <c r="E55" s="310" t="s">
        <v>399</v>
      </c>
      <c r="F55" s="309" t="s">
        <v>317</v>
      </c>
      <c r="G55" s="309" t="s">
        <v>400</v>
      </c>
      <c r="H55" s="164">
        <v>0.1</v>
      </c>
      <c r="I55" s="103"/>
      <c r="J55" s="160">
        <f>VLOOKUP(B55,'[2]MASTER PART LIST'!$B:$C,2,FALSE)</f>
        <v>210</v>
      </c>
      <c r="K55" s="163">
        <f>VLOOKUP(B55,'[2]MASTER PART LIST'!$B:$D,3,FALSE)</f>
        <v>350</v>
      </c>
      <c r="L55" s="163">
        <f t="shared" si="18"/>
        <v>365</v>
      </c>
      <c r="M55" s="188"/>
      <c r="N55" s="188"/>
      <c r="O55" s="188" t="s">
        <v>18</v>
      </c>
      <c r="P55" s="188" t="s">
        <v>18</v>
      </c>
      <c r="Q55" s="188"/>
      <c r="R55" s="188"/>
      <c r="S55" s="188" t="s">
        <v>18</v>
      </c>
      <c r="T55" s="188" t="s">
        <v>18</v>
      </c>
      <c r="U55" s="115"/>
      <c r="V55" s="115"/>
      <c r="W55" s="246">
        <v>31</v>
      </c>
      <c r="X55" s="125"/>
      <c r="Y55" s="125"/>
      <c r="Z55" s="125"/>
      <c r="AA55" s="125"/>
      <c r="AB55" s="125"/>
      <c r="AC55" s="125"/>
      <c r="AD55" s="125"/>
      <c r="AE55" s="125"/>
      <c r="AF55" s="125"/>
      <c r="AG55" s="188"/>
      <c r="AH55" s="173"/>
      <c r="AI55" s="173"/>
      <c r="AJ55" s="188"/>
      <c r="AK55" s="188"/>
      <c r="AL55" s="188" t="s">
        <v>18</v>
      </c>
      <c r="AM55" s="188"/>
      <c r="AN55" s="188"/>
      <c r="AO55" s="188"/>
      <c r="AP55" s="188"/>
      <c r="AQ55" s="323"/>
      <c r="AR55" s="322" t="s">
        <v>517</v>
      </c>
    </row>
    <row r="56" spans="2:44" ht="33.75">
      <c r="B56" s="103" t="s">
        <v>244</v>
      </c>
      <c r="C56" s="103" t="str">
        <f t="shared" si="19"/>
        <v>08U45-3BM-100</v>
      </c>
      <c r="D56" s="310" t="s">
        <v>167</v>
      </c>
      <c r="E56" s="310" t="s">
        <v>401</v>
      </c>
      <c r="F56" s="309" t="s">
        <v>318</v>
      </c>
      <c r="G56" s="309" t="s">
        <v>402</v>
      </c>
      <c r="H56" s="164">
        <v>0.1</v>
      </c>
      <c r="I56" s="103"/>
      <c r="J56" s="160">
        <f>VLOOKUP(B56,'[2]MASTER PART LIST'!$B:$C,2,FALSE)</f>
        <v>120</v>
      </c>
      <c r="K56" s="163">
        <f>VLOOKUP(B56,'[2]MASTER PART LIST'!$B:$D,3,FALSE)</f>
        <v>200</v>
      </c>
      <c r="L56" s="163">
        <f t="shared" si="18"/>
        <v>215</v>
      </c>
      <c r="M56" s="188"/>
      <c r="N56" s="188"/>
      <c r="O56" s="188" t="s">
        <v>18</v>
      </c>
      <c r="P56" s="188" t="s">
        <v>18</v>
      </c>
      <c r="Q56" s="188"/>
      <c r="R56" s="188"/>
      <c r="S56" s="188" t="s">
        <v>18</v>
      </c>
      <c r="T56" s="188" t="s">
        <v>18</v>
      </c>
      <c r="U56" s="115"/>
      <c r="V56" s="115"/>
      <c r="W56" s="246">
        <v>32</v>
      </c>
      <c r="X56" s="125"/>
      <c r="Y56" s="125"/>
      <c r="Z56" s="125"/>
      <c r="AA56" s="125"/>
      <c r="AB56" s="125"/>
      <c r="AC56" s="125"/>
      <c r="AD56" s="125"/>
      <c r="AE56" s="125"/>
      <c r="AF56" s="125"/>
      <c r="AG56" s="188"/>
      <c r="AH56" s="173"/>
      <c r="AI56" s="173"/>
      <c r="AJ56" s="188"/>
      <c r="AK56" s="188"/>
      <c r="AL56" s="188" t="s">
        <v>18</v>
      </c>
      <c r="AM56" s="188"/>
      <c r="AN56" s="188"/>
      <c r="AO56" s="188"/>
      <c r="AP56" s="188"/>
      <c r="AQ56" s="323"/>
      <c r="AR56" s="322" t="s">
        <v>517</v>
      </c>
    </row>
    <row r="57" spans="2:44" ht="33.75">
      <c r="B57" s="103" t="s">
        <v>250</v>
      </c>
      <c r="C57" s="103" t="str">
        <f t="shared" si="19"/>
        <v>08U35-3BM-310</v>
      </c>
      <c r="D57" s="310" t="s">
        <v>190</v>
      </c>
      <c r="E57" s="310" t="s">
        <v>403</v>
      </c>
      <c r="F57" s="309" t="s">
        <v>319</v>
      </c>
      <c r="G57" s="309" t="s">
        <v>404</v>
      </c>
      <c r="H57" s="164">
        <v>0.1</v>
      </c>
      <c r="I57" s="103"/>
      <c r="J57" s="160">
        <f>VLOOKUP(B57,'[2]MASTER PART LIST'!$B:$C,2,FALSE)</f>
        <v>273</v>
      </c>
      <c r="K57" s="163">
        <f>VLOOKUP(B57,'[2]MASTER PART LIST'!$B:$D,3,FALSE)</f>
        <v>455</v>
      </c>
      <c r="L57" s="163">
        <f>K57+(H57*VLOOKUP(prov_cd,rate_table,2,FALSE))</f>
        <v>470</v>
      </c>
      <c r="M57" s="188"/>
      <c r="N57" s="188"/>
      <c r="O57" s="188" t="s">
        <v>18</v>
      </c>
      <c r="P57" s="188" t="s">
        <v>18</v>
      </c>
      <c r="Q57" s="188"/>
      <c r="R57" s="188"/>
      <c r="S57" s="188" t="s">
        <v>18</v>
      </c>
      <c r="T57" s="188" t="s">
        <v>18</v>
      </c>
      <c r="U57" s="115" t="s">
        <v>481</v>
      </c>
      <c r="V57" s="115" t="s">
        <v>483</v>
      </c>
      <c r="W57" s="246">
        <v>33</v>
      </c>
      <c r="X57" s="125"/>
      <c r="Y57" s="125"/>
      <c r="Z57" s="125"/>
      <c r="AA57" s="125"/>
      <c r="AB57" s="125"/>
      <c r="AC57" s="125"/>
      <c r="AD57" s="125"/>
      <c r="AE57" s="125"/>
      <c r="AF57" s="125"/>
      <c r="AG57" s="188"/>
      <c r="AH57" s="173"/>
      <c r="AI57" s="173"/>
      <c r="AJ57" s="188"/>
      <c r="AK57" s="188"/>
      <c r="AL57" s="188" t="s">
        <v>18</v>
      </c>
      <c r="AM57" s="188"/>
      <c r="AN57" s="188"/>
      <c r="AO57" s="188"/>
      <c r="AP57" s="188"/>
      <c r="AQ57" s="323"/>
      <c r="AR57" s="322" t="s">
        <v>518</v>
      </c>
    </row>
    <row r="58" spans="2:44" ht="101.25">
      <c r="B58" s="103" t="s">
        <v>241</v>
      </c>
      <c r="C58" s="103" t="str">
        <f t="shared" si="19"/>
        <v>08P42-3BM-100</v>
      </c>
      <c r="D58" s="310" t="s">
        <v>168</v>
      </c>
      <c r="E58" s="310" t="s">
        <v>405</v>
      </c>
      <c r="F58" s="309" t="s">
        <v>320</v>
      </c>
      <c r="G58" s="309" t="s">
        <v>406</v>
      </c>
      <c r="H58" s="164">
        <v>0.2</v>
      </c>
      <c r="I58" s="103"/>
      <c r="J58" s="160">
        <f>VLOOKUP(B58,'[2]MASTER PART LIST'!$B:$C,2,FALSE)</f>
        <v>123</v>
      </c>
      <c r="K58" s="163">
        <f>VLOOKUP(B58,'[2]MASTER PART LIST'!$B:$D,3,FALSE)</f>
        <v>205</v>
      </c>
      <c r="L58" s="163">
        <f t="shared" si="18"/>
        <v>235</v>
      </c>
      <c r="M58" s="188"/>
      <c r="N58" s="188"/>
      <c r="O58" s="188" t="s">
        <v>18</v>
      </c>
      <c r="P58" s="188" t="s">
        <v>18</v>
      </c>
      <c r="Q58" s="188"/>
      <c r="R58" s="188"/>
      <c r="S58" s="188" t="s">
        <v>18</v>
      </c>
      <c r="T58" s="188" t="s">
        <v>18</v>
      </c>
      <c r="U58" s="115"/>
      <c r="V58" s="115"/>
      <c r="W58" s="246">
        <v>34</v>
      </c>
      <c r="X58" s="125"/>
      <c r="Y58" s="125"/>
      <c r="Z58" s="125"/>
      <c r="AA58" s="125"/>
      <c r="AB58" s="125"/>
      <c r="AC58" s="125"/>
      <c r="AD58" s="125"/>
      <c r="AE58" s="125"/>
      <c r="AF58" s="125"/>
      <c r="AG58" s="188"/>
      <c r="AH58" s="173"/>
      <c r="AI58" s="173"/>
      <c r="AJ58" s="188"/>
      <c r="AK58" s="188"/>
      <c r="AL58" s="188" t="s">
        <v>18</v>
      </c>
      <c r="AM58" s="188"/>
      <c r="AN58" s="188"/>
      <c r="AO58" s="188"/>
      <c r="AP58" s="188"/>
      <c r="AQ58" s="323"/>
      <c r="AR58" s="322" t="s">
        <v>519</v>
      </c>
    </row>
    <row r="59" spans="2:44" ht="56.25">
      <c r="B59" s="103" t="s">
        <v>249</v>
      </c>
      <c r="C59" s="103" t="str">
        <f t="shared" si="19"/>
        <v>08U35-3BM-300A</v>
      </c>
      <c r="D59" s="310" t="s">
        <v>254</v>
      </c>
      <c r="E59" s="310" t="s">
        <v>321</v>
      </c>
      <c r="F59" s="309" t="s">
        <v>322</v>
      </c>
      <c r="G59" s="309" t="s">
        <v>323</v>
      </c>
      <c r="H59" s="164">
        <v>0.4</v>
      </c>
      <c r="I59" s="103"/>
      <c r="J59" s="160">
        <f>VLOOKUP(B59,'[2]MASTER PART LIST'!$B:$C,2,FALSE)</f>
        <v>621</v>
      </c>
      <c r="K59" s="163">
        <f>VLOOKUP(B59,'[2]MASTER PART LIST'!$B:$D,3,FALSE)</f>
        <v>1035</v>
      </c>
      <c r="L59" s="163">
        <f>K59+(H59*VLOOKUP(prov_cd,rate_table,2,FALSE))</f>
        <v>1095</v>
      </c>
      <c r="M59" s="188"/>
      <c r="N59" s="188"/>
      <c r="O59" s="188" t="s">
        <v>18</v>
      </c>
      <c r="P59" s="188" t="s">
        <v>18</v>
      </c>
      <c r="Q59" s="188"/>
      <c r="R59" s="188"/>
      <c r="S59" s="188" t="s">
        <v>18</v>
      </c>
      <c r="T59" s="188" t="s">
        <v>18</v>
      </c>
      <c r="U59" s="115"/>
      <c r="V59" s="115"/>
      <c r="W59" s="246">
        <v>35</v>
      </c>
      <c r="X59" s="125"/>
      <c r="Y59" s="125"/>
      <c r="Z59" s="125"/>
      <c r="AA59" s="125"/>
      <c r="AB59" s="125"/>
      <c r="AC59" s="125"/>
      <c r="AD59" s="125"/>
      <c r="AE59" s="125"/>
      <c r="AF59" s="125"/>
      <c r="AG59" s="188"/>
      <c r="AH59" s="173"/>
      <c r="AI59" s="173"/>
      <c r="AJ59" s="188"/>
      <c r="AK59" s="188"/>
      <c r="AL59" s="188" t="s">
        <v>18</v>
      </c>
      <c r="AM59" s="188"/>
      <c r="AN59" s="188"/>
      <c r="AO59" s="188"/>
      <c r="AP59" s="188"/>
      <c r="AQ59" s="323"/>
      <c r="AR59" s="323"/>
    </row>
    <row r="60" spans="2:44" ht="67.5">
      <c r="B60" s="103" t="s">
        <v>253</v>
      </c>
      <c r="C60" s="103" t="str">
        <f t="shared" si="19"/>
        <v>08Z03-3BM-300</v>
      </c>
      <c r="D60" s="310" t="s">
        <v>482</v>
      </c>
      <c r="E60" s="310" t="s">
        <v>407</v>
      </c>
      <c r="F60" s="309" t="s">
        <v>343</v>
      </c>
      <c r="G60" s="309" t="s">
        <v>408</v>
      </c>
      <c r="H60" s="164">
        <v>0.3</v>
      </c>
      <c r="I60" s="103"/>
      <c r="J60" s="160">
        <f>VLOOKUP(B60,'[2]MASTER PART LIST'!$B:$C,2,FALSE)</f>
        <v>171</v>
      </c>
      <c r="K60" s="163">
        <f>VLOOKUP(B60,'[2]MASTER PART LIST'!$B:$D,3,FALSE)</f>
        <v>285</v>
      </c>
      <c r="L60" s="163">
        <f>K60+(H60*VLOOKUP(prov_cd,rate_table,2,FALSE))</f>
        <v>330</v>
      </c>
      <c r="M60" s="188"/>
      <c r="N60" s="188"/>
      <c r="O60" s="188" t="s">
        <v>18</v>
      </c>
      <c r="P60" s="188" t="s">
        <v>18</v>
      </c>
      <c r="Q60" s="188"/>
      <c r="R60" s="188"/>
      <c r="S60" s="188" t="s">
        <v>18</v>
      </c>
      <c r="T60" s="188" t="s">
        <v>18</v>
      </c>
      <c r="U60" s="115"/>
      <c r="V60" s="115"/>
      <c r="W60" s="246">
        <v>36</v>
      </c>
      <c r="X60" s="125"/>
      <c r="Y60" s="125"/>
      <c r="Z60" s="125"/>
      <c r="AA60" s="125"/>
      <c r="AB60" s="125"/>
      <c r="AC60" s="125"/>
      <c r="AD60" s="125"/>
      <c r="AE60" s="125"/>
      <c r="AF60" s="125"/>
      <c r="AG60" s="188"/>
      <c r="AH60" s="173"/>
      <c r="AI60" s="173"/>
      <c r="AJ60" s="188"/>
      <c r="AK60" s="188"/>
      <c r="AL60" s="188" t="s">
        <v>18</v>
      </c>
      <c r="AM60" s="188"/>
      <c r="AN60" s="188"/>
      <c r="AO60" s="188"/>
      <c r="AP60" s="188"/>
      <c r="AQ60" s="323"/>
      <c r="AR60" s="323"/>
    </row>
    <row r="61" spans="2:44" ht="56.25">
      <c r="B61" s="103" t="s">
        <v>248</v>
      </c>
      <c r="C61" s="103" t="str">
        <f t="shared" si="19"/>
        <v>08L96-3BM-300</v>
      </c>
      <c r="D61" s="310" t="s">
        <v>92</v>
      </c>
      <c r="E61" s="310" t="s">
        <v>409</v>
      </c>
      <c r="F61" s="314" t="s">
        <v>335</v>
      </c>
      <c r="G61" s="309" t="s">
        <v>410</v>
      </c>
      <c r="H61" s="164">
        <v>0.1</v>
      </c>
      <c r="I61" s="103"/>
      <c r="J61" s="160">
        <f>VLOOKUP(B61,'[2]MASTER PART LIST'!$B:$C,2,FALSE)</f>
        <v>58</v>
      </c>
      <c r="K61" s="163">
        <f>VLOOKUP(B61,'[2]MASTER PART LIST'!$B:$D,3,FALSE)</f>
        <v>97</v>
      </c>
      <c r="L61" s="163">
        <f>K61+(H61*VLOOKUP(prov_cd,rate_table,2,FALSE))</f>
        <v>112</v>
      </c>
      <c r="M61" s="188"/>
      <c r="N61" s="188"/>
      <c r="O61" s="188" t="s">
        <v>18</v>
      </c>
      <c r="P61" s="188" t="s">
        <v>18</v>
      </c>
      <c r="Q61" s="188"/>
      <c r="R61" s="188"/>
      <c r="S61" s="188" t="s">
        <v>18</v>
      </c>
      <c r="T61" s="188" t="s">
        <v>18</v>
      </c>
      <c r="U61" s="115"/>
      <c r="V61" s="115"/>
      <c r="W61" s="246">
        <v>37</v>
      </c>
      <c r="X61" s="125"/>
      <c r="Y61" s="125"/>
      <c r="Z61" s="125"/>
      <c r="AA61" s="125"/>
      <c r="AB61" s="125"/>
      <c r="AC61" s="125"/>
      <c r="AD61" s="125"/>
      <c r="AE61" s="125"/>
      <c r="AF61" s="125"/>
      <c r="AG61" s="188"/>
      <c r="AH61" s="173"/>
      <c r="AI61" s="173"/>
      <c r="AJ61" s="188"/>
      <c r="AK61" s="188"/>
      <c r="AL61" s="188" t="s">
        <v>18</v>
      </c>
      <c r="AM61" s="188"/>
      <c r="AN61" s="188"/>
      <c r="AO61" s="188"/>
      <c r="AP61" s="188"/>
      <c r="AQ61" s="323"/>
      <c r="AR61" s="323"/>
    </row>
    <row r="62" spans="2:44" ht="56.25">
      <c r="B62" s="103" t="s">
        <v>265</v>
      </c>
      <c r="C62" s="103" t="str">
        <f t="shared" si="19"/>
        <v>08Z05-3BM-100</v>
      </c>
      <c r="D62" s="310" t="s">
        <v>266</v>
      </c>
      <c r="E62" s="310" t="s">
        <v>411</v>
      </c>
      <c r="F62" s="309" t="s">
        <v>338</v>
      </c>
      <c r="G62" s="309" t="s">
        <v>412</v>
      </c>
      <c r="H62" s="164">
        <v>0.5</v>
      </c>
      <c r="I62" s="103"/>
      <c r="J62" s="160">
        <f>VLOOKUP(B62,'[2]MASTER PART LIST'!$B:$C,2,FALSE)</f>
        <v>575</v>
      </c>
      <c r="K62" s="163">
        <f>VLOOKUP(B62,'[2]MASTER PART LIST'!$B:$D,3,FALSE)</f>
        <v>958</v>
      </c>
      <c r="L62" s="163">
        <f t="shared" ref="L62" si="20">K62+(H62*VLOOKUP(prov_cd,rate_table,2,FALSE))</f>
        <v>1033</v>
      </c>
      <c r="M62" s="188"/>
      <c r="N62" s="188"/>
      <c r="O62" s="188" t="s">
        <v>18</v>
      </c>
      <c r="P62" s="188" t="s">
        <v>18</v>
      </c>
      <c r="Q62" s="188"/>
      <c r="R62" s="188"/>
      <c r="S62" s="188" t="s">
        <v>18</v>
      </c>
      <c r="T62" s="188" t="s">
        <v>18</v>
      </c>
      <c r="U62" s="115" t="s">
        <v>480</v>
      </c>
      <c r="V62" s="115" t="s">
        <v>484</v>
      </c>
      <c r="W62" s="246">
        <v>38</v>
      </c>
      <c r="X62" s="125"/>
      <c r="Y62" s="125"/>
      <c r="Z62" s="125"/>
      <c r="AA62" s="125"/>
      <c r="AB62" s="125"/>
      <c r="AC62" s="125"/>
      <c r="AD62" s="125"/>
      <c r="AE62" s="125"/>
      <c r="AF62" s="125"/>
      <c r="AG62" s="188"/>
      <c r="AH62" s="173"/>
      <c r="AI62" s="173"/>
      <c r="AJ62" s="188"/>
      <c r="AK62" s="188"/>
      <c r="AL62" s="188" t="s">
        <v>18</v>
      </c>
      <c r="AM62" s="188"/>
      <c r="AN62" s="188"/>
      <c r="AO62" s="188"/>
      <c r="AP62" s="188"/>
      <c r="AQ62" s="323"/>
      <c r="AR62" s="323" t="s">
        <v>488</v>
      </c>
    </row>
    <row r="63" spans="2:44" ht="56.25">
      <c r="B63" s="103" t="s">
        <v>238</v>
      </c>
      <c r="C63" s="103" t="str">
        <f>B63</f>
        <v>08P04-3BM-100</v>
      </c>
      <c r="D63" s="310" t="s">
        <v>25</v>
      </c>
      <c r="E63" s="310" t="s">
        <v>413</v>
      </c>
      <c r="F63" s="309" t="s">
        <v>339</v>
      </c>
      <c r="G63" s="309" t="s">
        <v>414</v>
      </c>
      <c r="H63" s="105">
        <v>0.4</v>
      </c>
      <c r="I63" s="103"/>
      <c r="J63" s="160">
        <f>VLOOKUP(B63,'[2]MASTER PART LIST'!$B:$C,2,FALSE)</f>
        <v>115</v>
      </c>
      <c r="K63" s="163">
        <f>VLOOKUP(B63,'[2]MASTER PART LIST'!$B:$D,3,FALSE)</f>
        <v>192</v>
      </c>
      <c r="L63" s="163">
        <f>K63+(H63*VLOOKUP(prov_cd,rate_table,2,FALSE))</f>
        <v>252</v>
      </c>
      <c r="M63" s="188"/>
      <c r="N63" s="188"/>
      <c r="O63" s="188" t="s">
        <v>18</v>
      </c>
      <c r="P63" s="188" t="s">
        <v>18</v>
      </c>
      <c r="Q63" s="188"/>
      <c r="R63" s="188"/>
      <c r="S63" s="188" t="s">
        <v>18</v>
      </c>
      <c r="T63" s="188" t="s">
        <v>18</v>
      </c>
      <c r="U63" s="115"/>
      <c r="V63" s="115"/>
      <c r="W63" s="246">
        <v>43</v>
      </c>
      <c r="X63" s="125"/>
      <c r="Y63" s="125"/>
      <c r="Z63" s="125"/>
      <c r="AA63" s="125"/>
      <c r="AB63" s="125"/>
      <c r="AC63" s="125"/>
      <c r="AD63" s="125"/>
      <c r="AE63" s="125"/>
      <c r="AF63" s="125"/>
      <c r="AG63" s="188"/>
      <c r="AH63" s="188"/>
      <c r="AI63" s="188"/>
      <c r="AJ63" s="188" t="s">
        <v>18</v>
      </c>
      <c r="AK63" s="188"/>
      <c r="AL63" s="188"/>
      <c r="AM63" s="188"/>
      <c r="AN63" s="188"/>
      <c r="AO63" s="188"/>
      <c r="AP63" s="188"/>
      <c r="AQ63" s="323"/>
      <c r="AR63" s="323"/>
    </row>
    <row r="64" spans="2:44" ht="56.25">
      <c r="B64" s="103" t="s">
        <v>271</v>
      </c>
      <c r="C64" s="312" t="s">
        <v>458</v>
      </c>
      <c r="D64" s="310" t="s">
        <v>267</v>
      </c>
      <c r="E64" s="310" t="s">
        <v>415</v>
      </c>
      <c r="F64" s="309" t="s">
        <v>340</v>
      </c>
      <c r="G64" s="309" t="s">
        <v>416</v>
      </c>
      <c r="H64" s="164">
        <v>0</v>
      </c>
      <c r="I64" s="103"/>
      <c r="J64" s="160">
        <f>VLOOKUP(B64,'[2]MASTER PART LIST'!$B:$C,2,FALSE)</f>
        <v>86</v>
      </c>
      <c r="K64" s="163">
        <f>VLOOKUP(B64,'[2]MASTER PART LIST'!$B:$D,3,FALSE)</f>
        <v>143</v>
      </c>
      <c r="L64" s="163">
        <f t="shared" ref="L64:L66" si="21">K64+(H64*VLOOKUP(prov_cd,rate_table,2,FALSE))</f>
        <v>143</v>
      </c>
      <c r="M64" s="188"/>
      <c r="N64" s="188"/>
      <c r="O64" s="188" t="s">
        <v>18</v>
      </c>
      <c r="P64" s="188" t="s">
        <v>18</v>
      </c>
      <c r="Q64" s="188"/>
      <c r="R64" s="188"/>
      <c r="S64" s="188" t="s">
        <v>18</v>
      </c>
      <c r="T64" s="188" t="s">
        <v>18</v>
      </c>
      <c r="U64" s="115"/>
      <c r="V64" s="115"/>
      <c r="W64" s="246">
        <v>39</v>
      </c>
      <c r="X64" s="125"/>
      <c r="Y64" s="125"/>
      <c r="Z64" s="125"/>
      <c r="AA64" s="125"/>
      <c r="AB64" s="125"/>
      <c r="AC64" s="125"/>
      <c r="AD64" s="125"/>
      <c r="AE64" s="125"/>
      <c r="AF64" s="125"/>
      <c r="AG64" s="188"/>
      <c r="AH64" s="173"/>
      <c r="AI64" s="173"/>
      <c r="AJ64" s="188"/>
      <c r="AK64" s="188"/>
      <c r="AL64" s="188" t="s">
        <v>18</v>
      </c>
      <c r="AM64" s="188"/>
      <c r="AN64" s="188"/>
      <c r="AO64" s="188"/>
      <c r="AP64" s="188"/>
      <c r="AQ64" s="323"/>
      <c r="AR64" s="323"/>
    </row>
    <row r="65" spans="2:44" ht="15.95" customHeight="1">
      <c r="B65" s="103" t="s">
        <v>272</v>
      </c>
      <c r="C65" s="103"/>
      <c r="D65" s="310" t="s">
        <v>99</v>
      </c>
      <c r="E65" s="310" t="s">
        <v>417</v>
      </c>
      <c r="F65" s="308" t="s">
        <v>336</v>
      </c>
      <c r="G65" s="315" t="s">
        <v>337</v>
      </c>
      <c r="H65" s="164">
        <v>0</v>
      </c>
      <c r="I65" s="103"/>
      <c r="J65" s="160">
        <f>VLOOKUP(B65,'[2]MASTER PART LIST'!$B:$C,2,FALSE)</f>
        <v>39</v>
      </c>
      <c r="K65" s="163">
        <f>VLOOKUP(B65,'[2]MASTER PART LIST'!$B:$D,3,FALSE)</f>
        <v>65</v>
      </c>
      <c r="L65" s="163">
        <f t="shared" si="21"/>
        <v>65</v>
      </c>
      <c r="M65" s="188"/>
      <c r="N65" s="188"/>
      <c r="O65" s="188" t="s">
        <v>18</v>
      </c>
      <c r="P65" s="188" t="s">
        <v>18</v>
      </c>
      <c r="Q65" s="188"/>
      <c r="R65" s="188"/>
      <c r="S65" s="188" t="s">
        <v>18</v>
      </c>
      <c r="T65" s="188" t="s">
        <v>18</v>
      </c>
      <c r="U65" s="115"/>
      <c r="V65" s="115"/>
      <c r="W65" s="246">
        <v>250</v>
      </c>
      <c r="X65" s="125"/>
      <c r="Y65" s="125"/>
      <c r="Z65" s="125"/>
      <c r="AA65" s="125"/>
      <c r="AB65" s="125"/>
      <c r="AC65" s="125"/>
      <c r="AD65" s="125"/>
      <c r="AE65" s="125"/>
      <c r="AF65" s="125"/>
      <c r="AG65" s="188"/>
      <c r="AH65" s="173"/>
      <c r="AI65" s="173"/>
      <c r="AJ65" s="188"/>
      <c r="AK65" s="188"/>
      <c r="AL65" s="188" t="s">
        <v>18</v>
      </c>
      <c r="AM65" s="188"/>
      <c r="AN65" s="188"/>
      <c r="AO65" s="188"/>
      <c r="AP65" s="188"/>
      <c r="AQ65" s="323"/>
      <c r="AR65" s="323"/>
    </row>
    <row r="66" spans="2:44" ht="67.5">
      <c r="B66" s="103" t="s">
        <v>280</v>
      </c>
      <c r="C66" s="103" t="str">
        <f>B66</f>
        <v>08U08-3BM-100</v>
      </c>
      <c r="D66" s="310" t="s">
        <v>281</v>
      </c>
      <c r="E66" s="310" t="s">
        <v>418</v>
      </c>
      <c r="F66" s="309" t="s">
        <v>341</v>
      </c>
      <c r="G66" s="309" t="s">
        <v>419</v>
      </c>
      <c r="H66" s="164"/>
      <c r="I66" s="103"/>
      <c r="J66" s="160">
        <f>VLOOKUP(B66,'[2]MASTER PART LIST'!$B:$C,2,FALSE)</f>
        <v>105</v>
      </c>
      <c r="K66" s="163">
        <f>VLOOKUP(B66,'[2]MASTER PART LIST'!$B:$D,3,FALSE)</f>
        <v>175</v>
      </c>
      <c r="L66" s="163">
        <f t="shared" si="21"/>
        <v>175</v>
      </c>
      <c r="M66" s="188"/>
      <c r="N66" s="188"/>
      <c r="O66" s="188" t="s">
        <v>18</v>
      </c>
      <c r="P66" s="188" t="s">
        <v>18</v>
      </c>
      <c r="Q66" s="188"/>
      <c r="R66" s="188"/>
      <c r="S66" s="188" t="s">
        <v>18</v>
      </c>
      <c r="T66" s="188" t="s">
        <v>18</v>
      </c>
      <c r="U66" s="115"/>
      <c r="V66" s="115"/>
      <c r="W66" s="246">
        <v>40</v>
      </c>
      <c r="X66" s="125"/>
      <c r="Y66" s="125"/>
      <c r="Z66" s="125"/>
      <c r="AA66" s="125"/>
      <c r="AB66" s="125"/>
      <c r="AC66" s="125"/>
      <c r="AD66" s="125"/>
      <c r="AE66" s="125"/>
      <c r="AF66" s="125"/>
      <c r="AG66" s="188"/>
      <c r="AH66" s="173"/>
      <c r="AI66" s="173"/>
      <c r="AJ66" s="188"/>
      <c r="AK66" s="188"/>
      <c r="AL66" s="188" t="s">
        <v>18</v>
      </c>
      <c r="AM66" s="188"/>
      <c r="AN66" s="188"/>
      <c r="AO66" s="188"/>
      <c r="AP66" s="188"/>
      <c r="AQ66" s="323"/>
      <c r="AR66" s="323"/>
    </row>
    <row r="67" spans="2:44" ht="56.25">
      <c r="B67" s="103" t="s">
        <v>251</v>
      </c>
      <c r="C67" s="103" t="str">
        <f>B67</f>
        <v>08V30-3BM-300</v>
      </c>
      <c r="D67" s="310" t="s">
        <v>252</v>
      </c>
      <c r="E67" s="310" t="s">
        <v>420</v>
      </c>
      <c r="F67" s="309" t="s">
        <v>342</v>
      </c>
      <c r="G67" s="309" t="s">
        <v>421</v>
      </c>
      <c r="H67" s="164">
        <v>0.1</v>
      </c>
      <c r="I67" s="103"/>
      <c r="J67" s="160">
        <f>VLOOKUP(B67,'[2]MASTER PART LIST'!$B:$C,2,FALSE)</f>
        <v>83</v>
      </c>
      <c r="K67" s="163">
        <f>VLOOKUP(B67,'[2]MASTER PART LIST'!$B:$D,3,FALSE)</f>
        <v>138</v>
      </c>
      <c r="L67" s="163">
        <f t="shared" ref="L67:L72" si="22">K67+(H67*VLOOKUP(prov_cd,rate_table,2,FALSE))</f>
        <v>153</v>
      </c>
      <c r="M67" s="188"/>
      <c r="N67" s="188"/>
      <c r="O67" s="188" t="s">
        <v>18</v>
      </c>
      <c r="P67" s="188" t="s">
        <v>18</v>
      </c>
      <c r="Q67" s="188"/>
      <c r="R67" s="188"/>
      <c r="S67" s="188" t="s">
        <v>18</v>
      </c>
      <c r="T67" s="188" t="s">
        <v>18</v>
      </c>
      <c r="U67" s="115"/>
      <c r="V67" s="115"/>
      <c r="W67" s="246">
        <v>20</v>
      </c>
      <c r="X67" s="125"/>
      <c r="Y67" s="125"/>
      <c r="Z67" s="125"/>
      <c r="AA67" s="125"/>
      <c r="AB67" s="125"/>
      <c r="AC67" s="125"/>
      <c r="AD67" s="125"/>
      <c r="AE67" s="125"/>
      <c r="AF67" s="125"/>
      <c r="AG67" s="188"/>
      <c r="AH67" s="173"/>
      <c r="AI67" s="173"/>
      <c r="AJ67" s="188"/>
      <c r="AK67" s="188"/>
      <c r="AL67" s="188" t="s">
        <v>18</v>
      </c>
      <c r="AM67" s="188"/>
      <c r="AN67" s="188"/>
      <c r="AO67" s="188"/>
      <c r="AP67" s="188"/>
      <c r="AQ67" s="323"/>
      <c r="AR67" s="323"/>
    </row>
    <row r="68" spans="2:44" ht="15.75">
      <c r="B68" s="103" t="s">
        <v>245</v>
      </c>
      <c r="C68" s="103"/>
      <c r="D68" s="310" t="s">
        <v>246</v>
      </c>
      <c r="E68" s="310"/>
      <c r="F68" s="115"/>
      <c r="G68" s="115"/>
      <c r="H68" s="164">
        <v>1</v>
      </c>
      <c r="I68" s="103"/>
      <c r="J68" s="160">
        <f>VLOOKUP(B68,'[2]MASTER PART LIST'!$B:$C,2,FALSE)</f>
        <v>517</v>
      </c>
      <c r="K68" s="163">
        <f>VLOOKUP(B68,'[2]MASTER PART LIST'!$B:$D,3,FALSE)</f>
        <v>739</v>
      </c>
      <c r="L68" s="163">
        <f t="shared" si="22"/>
        <v>889</v>
      </c>
      <c r="M68" s="188"/>
      <c r="N68" s="188"/>
      <c r="O68" s="188" t="s">
        <v>135</v>
      </c>
      <c r="P68" s="188" t="s">
        <v>135</v>
      </c>
      <c r="Q68" s="188"/>
      <c r="R68" s="188"/>
      <c r="S68" s="188"/>
      <c r="T68" s="188"/>
      <c r="U68" s="115"/>
      <c r="V68" s="115"/>
      <c r="W68" s="246"/>
      <c r="X68" s="342"/>
      <c r="Y68" s="342"/>
      <c r="Z68" s="342"/>
      <c r="AA68" s="342"/>
      <c r="AB68" s="342"/>
      <c r="AC68" s="342"/>
      <c r="AD68" s="342"/>
      <c r="AE68" s="342"/>
      <c r="AF68" s="342"/>
      <c r="AG68" s="188"/>
      <c r="AH68" s="173"/>
      <c r="AI68" s="173"/>
      <c r="AJ68" s="188"/>
      <c r="AK68" s="188"/>
      <c r="AL68" s="188"/>
      <c r="AM68" s="188"/>
      <c r="AN68" s="188"/>
      <c r="AO68" s="188"/>
      <c r="AP68" s="188"/>
      <c r="AQ68" s="323"/>
      <c r="AR68" s="323"/>
    </row>
    <row r="69" spans="2:44" ht="78.75">
      <c r="B69" s="103" t="s">
        <v>531</v>
      </c>
      <c r="C69" s="103" t="str">
        <f>B69</f>
        <v>76400-T90-A01</v>
      </c>
      <c r="D69" s="310" t="s">
        <v>532</v>
      </c>
      <c r="E69" s="310" t="s">
        <v>534</v>
      </c>
      <c r="F69" s="309" t="s">
        <v>533</v>
      </c>
      <c r="G69" s="309" t="s">
        <v>535</v>
      </c>
      <c r="H69" s="164">
        <v>1</v>
      </c>
      <c r="I69" s="103"/>
      <c r="J69" s="160">
        <f>VLOOKUP(B69,'[2]MASTER PART LIST'!$B:$C,2,FALSE)</f>
        <v>343.03</v>
      </c>
      <c r="K69" s="163">
        <f>VLOOKUP(B69,'[2]MASTER PART LIST'!$B:$D,3,FALSE)</f>
        <v>571.71</v>
      </c>
      <c r="L69" s="163">
        <f t="shared" ref="L69" si="23">K69+(H69*VLOOKUP(prov_cd,rate_table,2,FALSE))</f>
        <v>721.71</v>
      </c>
      <c r="M69" s="188"/>
      <c r="N69" s="188"/>
      <c r="O69" s="188" t="s">
        <v>18</v>
      </c>
      <c r="P69" s="188" t="s">
        <v>18</v>
      </c>
      <c r="Q69" s="188"/>
      <c r="R69" s="188"/>
      <c r="S69" s="188" t="s">
        <v>18</v>
      </c>
      <c r="T69" s="188" t="s">
        <v>18</v>
      </c>
      <c r="U69" s="115"/>
      <c r="V69" s="115"/>
      <c r="W69" s="246">
        <v>62</v>
      </c>
      <c r="X69" s="342"/>
      <c r="Y69" s="342"/>
      <c r="Z69" s="342"/>
      <c r="AA69" s="342"/>
      <c r="AB69" s="342"/>
      <c r="AC69" s="342"/>
      <c r="AD69" s="342"/>
      <c r="AE69" s="342"/>
      <c r="AF69" s="342"/>
      <c r="AG69" s="188"/>
      <c r="AH69" s="173"/>
      <c r="AI69" s="173"/>
      <c r="AJ69" s="188"/>
      <c r="AK69" s="188"/>
      <c r="AL69" s="188" t="s">
        <v>18</v>
      </c>
      <c r="AM69" s="188"/>
      <c r="AN69" s="188"/>
      <c r="AO69" s="188"/>
      <c r="AP69" s="188"/>
      <c r="AQ69" s="323"/>
      <c r="AR69" s="323"/>
    </row>
    <row r="70" spans="2:44" ht="67.5">
      <c r="B70" s="103" t="s">
        <v>426</v>
      </c>
      <c r="C70" s="312" t="s">
        <v>460</v>
      </c>
      <c r="D70" s="108" t="s">
        <v>257</v>
      </c>
      <c r="E70" s="259" t="s">
        <v>334</v>
      </c>
      <c r="F70" s="115" t="s">
        <v>324</v>
      </c>
      <c r="G70" s="115" t="s">
        <v>325</v>
      </c>
      <c r="H70" s="164">
        <v>1.2</v>
      </c>
      <c r="I70" s="103"/>
      <c r="J70" s="160">
        <f>VLOOKUP(B70,'[2]MASTER PART LIST'!$B:$C,2,FALSE)</f>
        <v>145</v>
      </c>
      <c r="K70" s="163">
        <f>VLOOKUP(B70,'[2]MASTER PART LIST'!$B:$D,3,FALSE)</f>
        <v>242</v>
      </c>
      <c r="L70" s="163">
        <f>K70+(H70*VLOOKUP(prov_cd,rate_table,2,FALSE))</f>
        <v>422</v>
      </c>
      <c r="M70" s="188"/>
      <c r="N70" s="188"/>
      <c r="O70" s="188" t="s">
        <v>18</v>
      </c>
      <c r="P70" s="188" t="s">
        <v>18</v>
      </c>
      <c r="Q70" s="188"/>
      <c r="R70" s="188"/>
      <c r="S70" s="188" t="s">
        <v>18</v>
      </c>
      <c r="T70" s="188" t="s">
        <v>18</v>
      </c>
      <c r="U70" s="115"/>
      <c r="V70" s="115"/>
      <c r="W70" s="246">
        <v>29</v>
      </c>
      <c r="X70" s="125"/>
      <c r="Y70" s="125"/>
      <c r="Z70" s="125"/>
      <c r="AA70" s="125"/>
      <c r="AB70" s="125"/>
      <c r="AC70" s="125"/>
      <c r="AD70" s="125"/>
      <c r="AE70" s="125"/>
      <c r="AF70" s="125"/>
      <c r="AG70" s="188"/>
      <c r="AH70" s="173"/>
      <c r="AI70" s="173"/>
      <c r="AJ70" s="188"/>
      <c r="AK70" s="188" t="s">
        <v>18</v>
      </c>
      <c r="AL70" s="188"/>
      <c r="AM70" s="188"/>
      <c r="AN70" s="188"/>
      <c r="AO70" s="188"/>
      <c r="AP70" s="188"/>
      <c r="AQ70" s="323"/>
      <c r="AR70" s="323" t="s">
        <v>520</v>
      </c>
    </row>
    <row r="71" spans="2:44" ht="33.75">
      <c r="B71" s="103" t="s">
        <v>258</v>
      </c>
      <c r="C71" s="103" t="str">
        <f>B71</f>
        <v>31670-BMS-004H</v>
      </c>
      <c r="D71" s="108" t="s">
        <v>94</v>
      </c>
      <c r="E71" s="108" t="s">
        <v>259</v>
      </c>
      <c r="F71" s="115" t="s">
        <v>260</v>
      </c>
      <c r="G71" s="115" t="s">
        <v>261</v>
      </c>
      <c r="H71" s="164">
        <v>0</v>
      </c>
      <c r="I71" s="103"/>
      <c r="J71" s="160">
        <f>VLOOKUP(B71,'[2]MASTER PART LIST'!$B:$C,2,FALSE)</f>
        <v>91</v>
      </c>
      <c r="K71" s="163">
        <f>VLOOKUP(B71,'[2]MASTER PART LIST'!$B:$D,3,FALSE)</f>
        <v>152</v>
      </c>
      <c r="L71" s="163">
        <f t="shared" si="22"/>
        <v>152</v>
      </c>
      <c r="M71" s="188"/>
      <c r="N71" s="188"/>
      <c r="O71" s="188" t="s">
        <v>18</v>
      </c>
      <c r="P71" s="188" t="s">
        <v>18</v>
      </c>
      <c r="Q71" s="188"/>
      <c r="R71" s="188"/>
      <c r="S71" s="188" t="s">
        <v>18</v>
      </c>
      <c r="T71" s="188" t="s">
        <v>18</v>
      </c>
      <c r="U71" s="115"/>
      <c r="V71" s="115"/>
      <c r="W71" s="246">
        <v>30</v>
      </c>
      <c r="X71" s="125"/>
      <c r="Y71" s="125"/>
      <c r="Z71" s="125"/>
      <c r="AA71" s="125"/>
      <c r="AB71" s="125"/>
      <c r="AC71" s="125"/>
      <c r="AD71" s="125"/>
      <c r="AE71" s="125"/>
      <c r="AF71" s="125"/>
      <c r="AG71" s="188"/>
      <c r="AH71" s="173"/>
      <c r="AI71" s="173"/>
      <c r="AJ71" s="188"/>
      <c r="AK71" s="188" t="s">
        <v>18</v>
      </c>
      <c r="AL71" s="188"/>
      <c r="AM71" s="188"/>
      <c r="AN71" s="188"/>
      <c r="AO71" s="188"/>
      <c r="AP71" s="188"/>
      <c r="AQ71" s="323"/>
      <c r="AR71" s="323" t="s">
        <v>520</v>
      </c>
    </row>
    <row r="72" spans="2:44" ht="15.75" hidden="1">
      <c r="B72" s="318" t="s">
        <v>262</v>
      </c>
      <c r="C72" s="318" t="s">
        <v>459</v>
      </c>
      <c r="D72" s="319" t="s">
        <v>263</v>
      </c>
      <c r="E72" s="319" t="s">
        <v>264</v>
      </c>
      <c r="F72" s="320"/>
      <c r="G72" s="320"/>
      <c r="H72" s="164"/>
      <c r="I72" s="103"/>
      <c r="J72" s="160">
        <f>VLOOKUP(B72,'[2]MASTER PART LIST'!$B:$C,2,FALSE)</f>
        <v>18</v>
      </c>
      <c r="K72" s="163">
        <f>VLOOKUP(B72,'[2]MASTER PART LIST'!$B:$D,3,FALSE)</f>
        <v>26</v>
      </c>
      <c r="L72" s="163">
        <f t="shared" si="22"/>
        <v>26</v>
      </c>
      <c r="M72" s="188"/>
      <c r="N72" s="188"/>
      <c r="O72" s="188" t="s">
        <v>18</v>
      </c>
      <c r="P72" s="188" t="s">
        <v>18</v>
      </c>
      <c r="Q72" s="188"/>
      <c r="R72" s="188"/>
      <c r="S72" s="188" t="s">
        <v>18</v>
      </c>
      <c r="T72" s="188" t="s">
        <v>18</v>
      </c>
      <c r="U72" s="115"/>
      <c r="V72" s="115"/>
      <c r="W72" s="321"/>
      <c r="X72" s="321"/>
      <c r="Y72" s="321"/>
      <c r="Z72" s="321"/>
      <c r="AA72" s="321"/>
      <c r="AB72" s="321"/>
      <c r="AC72" s="321"/>
      <c r="AD72" s="321"/>
      <c r="AE72" s="321"/>
      <c r="AF72" s="321"/>
      <c r="AG72" s="188"/>
      <c r="AH72" s="173"/>
      <c r="AI72" s="173"/>
      <c r="AJ72" s="188"/>
      <c r="AK72" s="188"/>
      <c r="AL72" s="188"/>
      <c r="AM72" s="188"/>
      <c r="AN72" s="188"/>
      <c r="AO72" s="188"/>
      <c r="AP72" s="188"/>
      <c r="AQ72" s="323"/>
      <c r="AR72" s="323"/>
    </row>
    <row r="73" spans="2:44" ht="56.25">
      <c r="B73" s="190" t="s">
        <v>131</v>
      </c>
      <c r="C73" s="190" t="s">
        <v>160</v>
      </c>
      <c r="D73" s="108" t="s">
        <v>130</v>
      </c>
      <c r="E73" s="108" t="s">
        <v>132</v>
      </c>
      <c r="F73" s="115" t="s">
        <v>137</v>
      </c>
      <c r="G73" s="115" t="s">
        <v>138</v>
      </c>
      <c r="H73" s="167">
        <f>H74</f>
        <v>0</v>
      </c>
      <c r="I73" s="103"/>
      <c r="J73" s="166">
        <f>J74</f>
        <v>13</v>
      </c>
      <c r="K73" s="165">
        <f>K74</f>
        <v>21.5</v>
      </c>
      <c r="L73" s="163">
        <f t="shared" ref="L73:L82" si="24">K73+(H73*VLOOKUP(prov_cd,rate_table,2,FALSE))</f>
        <v>21.5</v>
      </c>
      <c r="M73" s="188"/>
      <c r="N73" s="188"/>
      <c r="O73" s="188" t="s">
        <v>18</v>
      </c>
      <c r="P73" s="188" t="s">
        <v>18</v>
      </c>
      <c r="Q73" s="188"/>
      <c r="R73" s="188"/>
      <c r="S73" s="188" t="s">
        <v>18</v>
      </c>
      <c r="T73" s="188" t="s">
        <v>18</v>
      </c>
      <c r="U73" s="115"/>
      <c r="V73" s="115"/>
      <c r="W73" s="246">
        <v>249</v>
      </c>
      <c r="X73" s="125"/>
      <c r="Y73" s="125"/>
      <c r="Z73" s="125"/>
      <c r="AA73" s="125"/>
      <c r="AB73" s="125"/>
      <c r="AC73" s="125"/>
      <c r="AD73" s="125"/>
      <c r="AE73" s="125"/>
      <c r="AF73" s="125"/>
      <c r="AG73" s="188"/>
      <c r="AH73" s="188"/>
      <c r="AI73" s="188"/>
      <c r="AJ73" s="188"/>
      <c r="AK73" s="188"/>
      <c r="AL73" s="188"/>
      <c r="AM73" s="188"/>
      <c r="AN73" s="188"/>
      <c r="AO73" s="188" t="s">
        <v>18</v>
      </c>
      <c r="AP73" s="188"/>
      <c r="AQ73" s="323"/>
      <c r="AR73" s="323"/>
    </row>
    <row r="74" spans="2:44" ht="15.75" hidden="1" outlineLevel="1">
      <c r="B74" s="191" t="s">
        <v>160</v>
      </c>
      <c r="C74" s="318" t="s">
        <v>459</v>
      </c>
      <c r="D74" s="108" t="s">
        <v>210</v>
      </c>
      <c r="E74" s="103" t="s">
        <v>98</v>
      </c>
      <c r="F74" s="208"/>
      <c r="G74" s="208"/>
      <c r="H74" s="164">
        <v>0</v>
      </c>
      <c r="I74" s="127"/>
      <c r="J74" s="160">
        <f>VLOOKUP(B74,'[2]MASTER PART LIST'!$B:$C,2,FALSE)</f>
        <v>13</v>
      </c>
      <c r="K74" s="163">
        <f>VLOOKUP(B74,'[2]MASTER PART LIST'!$B:$D,3,FALSE)</f>
        <v>21.5</v>
      </c>
      <c r="L74" s="163">
        <f t="shared" si="24"/>
        <v>21.5</v>
      </c>
      <c r="M74" s="188"/>
      <c r="N74" s="188"/>
      <c r="O74" s="188" t="s">
        <v>18</v>
      </c>
      <c r="P74" s="188" t="s">
        <v>18</v>
      </c>
      <c r="Q74" s="188"/>
      <c r="R74" s="188"/>
      <c r="S74" s="188" t="s">
        <v>18</v>
      </c>
      <c r="T74" s="188" t="s">
        <v>18</v>
      </c>
      <c r="U74" s="115"/>
      <c r="V74" s="115"/>
      <c r="W74" s="208"/>
      <c r="X74" s="208"/>
      <c r="Y74" s="208"/>
      <c r="Z74" s="208"/>
      <c r="AA74" s="208"/>
      <c r="AB74" s="208"/>
      <c r="AC74" s="208"/>
      <c r="AD74" s="208"/>
      <c r="AE74" s="208"/>
      <c r="AF74" s="208"/>
      <c r="AG74" s="208"/>
      <c r="AH74" s="126"/>
      <c r="AI74" s="126"/>
      <c r="AJ74" s="126"/>
      <c r="AK74" s="126"/>
      <c r="AL74" s="126"/>
      <c r="AM74" s="126"/>
      <c r="AN74" s="126"/>
      <c r="AO74" s="126"/>
      <c r="AP74" s="126"/>
      <c r="AQ74" s="327"/>
      <c r="AR74" s="327"/>
    </row>
    <row r="75" spans="2:44" ht="15.75" hidden="1" outlineLevel="1">
      <c r="B75" s="191" t="s">
        <v>213</v>
      </c>
      <c r="C75" s="318" t="s">
        <v>459</v>
      </c>
      <c r="D75" s="108" t="s">
        <v>214</v>
      </c>
      <c r="E75" s="103" t="s">
        <v>215</v>
      </c>
      <c r="F75" s="208"/>
      <c r="G75" s="208"/>
      <c r="H75" s="164">
        <v>0</v>
      </c>
      <c r="I75" s="127"/>
      <c r="J75" s="160">
        <f>VLOOKUP(B75,'[2]MASTER PART LIST'!$B:$C,2,FALSE)</f>
        <v>13</v>
      </c>
      <c r="K75" s="163">
        <f>VLOOKUP(B75,'[2]MASTER PART LIST'!$B:$D,3,FALSE)</f>
        <v>21.5</v>
      </c>
      <c r="L75" s="163">
        <f t="shared" ref="L75" si="25">K75+(H75*VLOOKUP(prov_cd,rate_table,2,FALSE))</f>
        <v>21.5</v>
      </c>
      <c r="M75" s="188"/>
      <c r="N75" s="188"/>
      <c r="O75" s="188" t="s">
        <v>18</v>
      </c>
      <c r="P75" s="188" t="s">
        <v>19</v>
      </c>
      <c r="Q75" s="188"/>
      <c r="R75" s="188"/>
      <c r="S75" s="188" t="s">
        <v>18</v>
      </c>
      <c r="T75" s="188" t="s">
        <v>19</v>
      </c>
      <c r="U75" s="115"/>
      <c r="V75" s="115"/>
      <c r="W75" s="208"/>
      <c r="X75" s="208"/>
      <c r="Y75" s="208"/>
      <c r="Z75" s="208"/>
      <c r="AA75" s="208"/>
      <c r="AB75" s="208"/>
      <c r="AC75" s="208"/>
      <c r="AD75" s="208"/>
      <c r="AE75" s="208"/>
      <c r="AF75" s="208"/>
      <c r="AG75" s="208"/>
      <c r="AH75" s="126"/>
      <c r="AI75" s="126"/>
      <c r="AJ75" s="126"/>
      <c r="AK75" s="126"/>
      <c r="AL75" s="126"/>
      <c r="AM75" s="126"/>
      <c r="AN75" s="126"/>
      <c r="AO75" s="126"/>
      <c r="AP75" s="126"/>
      <c r="AQ75" s="327"/>
      <c r="AR75" s="327"/>
    </row>
    <row r="76" spans="2:44" ht="15.75" hidden="1" outlineLevel="1">
      <c r="B76" s="191" t="s">
        <v>216</v>
      </c>
      <c r="C76" s="318" t="s">
        <v>459</v>
      </c>
      <c r="D76" s="108" t="s">
        <v>217</v>
      </c>
      <c r="E76" s="108" t="s">
        <v>182</v>
      </c>
      <c r="F76" s="208"/>
      <c r="G76" s="208"/>
      <c r="H76" s="164">
        <v>0</v>
      </c>
      <c r="I76" s="127"/>
      <c r="J76" s="160">
        <f>VLOOKUP(B76,'[2]MASTER PART LIST'!$B:$C,2,FALSE)</f>
        <v>13</v>
      </c>
      <c r="K76" s="163">
        <f>VLOOKUP(B76,'[2]MASTER PART LIST'!$B:$D,3,FALSE)</f>
        <v>21.5</v>
      </c>
      <c r="L76" s="163">
        <f t="shared" ref="L76:L79" si="26">K76+(H76*VLOOKUP(prov_cd,rate_table,2,FALSE))</f>
        <v>21.5</v>
      </c>
      <c r="M76" s="188"/>
      <c r="N76" s="188"/>
      <c r="O76" s="188" t="s">
        <v>18</v>
      </c>
      <c r="P76" s="188" t="s">
        <v>18</v>
      </c>
      <c r="Q76" s="188"/>
      <c r="R76" s="188"/>
      <c r="S76" s="188" t="s">
        <v>18</v>
      </c>
      <c r="T76" s="188" t="s">
        <v>18</v>
      </c>
      <c r="U76" s="115"/>
      <c r="V76" s="115"/>
      <c r="W76" s="208"/>
      <c r="X76" s="208"/>
      <c r="Y76" s="208"/>
      <c r="Z76" s="208"/>
      <c r="AA76" s="208"/>
      <c r="AB76" s="208"/>
      <c r="AC76" s="208"/>
      <c r="AD76" s="208"/>
      <c r="AE76" s="208"/>
      <c r="AF76" s="208"/>
      <c r="AG76" s="208"/>
      <c r="AH76" s="126"/>
      <c r="AI76" s="126"/>
      <c r="AJ76" s="126"/>
      <c r="AK76" s="126"/>
      <c r="AL76" s="126"/>
      <c r="AM76" s="126"/>
      <c r="AN76" s="126"/>
      <c r="AO76" s="126"/>
      <c r="AP76" s="126"/>
      <c r="AQ76" s="327"/>
      <c r="AR76" s="327"/>
    </row>
    <row r="77" spans="2:44" ht="15.75" hidden="1" outlineLevel="1">
      <c r="B77" s="191" t="s">
        <v>218</v>
      </c>
      <c r="C77" s="318" t="s">
        <v>459</v>
      </c>
      <c r="D77" s="108" t="s">
        <v>219</v>
      </c>
      <c r="E77" s="108" t="s">
        <v>220</v>
      </c>
      <c r="F77" s="208"/>
      <c r="G77" s="208"/>
      <c r="H77" s="164">
        <v>0</v>
      </c>
      <c r="I77" s="127"/>
      <c r="J77" s="160" t="e">
        <f>VLOOKUP(B77,'[2]MASTER PART LIST'!$B:$C,2,FALSE)</f>
        <v>#N/A</v>
      </c>
      <c r="K77" s="163" t="e">
        <f>VLOOKUP(B77,'[2]MASTER PART LIST'!$B:$D,3,FALSE)</f>
        <v>#N/A</v>
      </c>
      <c r="L77" s="163" t="e">
        <f t="shared" si="26"/>
        <v>#N/A</v>
      </c>
      <c r="M77" s="188"/>
      <c r="N77" s="188"/>
      <c r="O77" s="188" t="s">
        <v>18</v>
      </c>
      <c r="P77" s="188" t="s">
        <v>18</v>
      </c>
      <c r="Q77" s="188"/>
      <c r="R77" s="188"/>
      <c r="S77" s="188" t="s">
        <v>18</v>
      </c>
      <c r="T77" s="188" t="s">
        <v>18</v>
      </c>
      <c r="U77" s="115"/>
      <c r="V77" s="115"/>
      <c r="W77" s="208"/>
      <c r="X77" s="208"/>
      <c r="Y77" s="208"/>
      <c r="Z77" s="208"/>
      <c r="AA77" s="208"/>
      <c r="AB77" s="208"/>
      <c r="AC77" s="208"/>
      <c r="AD77" s="208"/>
      <c r="AE77" s="208"/>
      <c r="AF77" s="208"/>
      <c r="AG77" s="208"/>
      <c r="AH77" s="126"/>
      <c r="AI77" s="126"/>
      <c r="AJ77" s="126"/>
      <c r="AK77" s="126"/>
      <c r="AL77" s="126"/>
      <c r="AM77" s="126"/>
      <c r="AN77" s="126"/>
      <c r="AO77" s="126"/>
      <c r="AP77" s="126"/>
      <c r="AQ77" s="327"/>
      <c r="AR77" s="327"/>
    </row>
    <row r="78" spans="2:44" ht="15.75" hidden="1" outlineLevel="1">
      <c r="B78" s="295" t="s">
        <v>221</v>
      </c>
      <c r="C78" s="318" t="s">
        <v>459</v>
      </c>
      <c r="D78" s="108" t="s">
        <v>222</v>
      </c>
      <c r="E78" s="312" t="s">
        <v>424</v>
      </c>
      <c r="F78" s="208"/>
      <c r="G78" s="208"/>
      <c r="H78" s="164">
        <v>0</v>
      </c>
      <c r="I78" s="127"/>
      <c r="J78" s="160" t="e">
        <f>VLOOKUP(B78,'[2]MASTER PART LIST'!$B:$C,2,FALSE)</f>
        <v>#N/A</v>
      </c>
      <c r="K78" s="163" t="e">
        <f>VLOOKUP(B78,'[2]MASTER PART LIST'!$B:$D,3,FALSE)</f>
        <v>#N/A</v>
      </c>
      <c r="L78" s="163" t="e">
        <f t="shared" si="26"/>
        <v>#N/A</v>
      </c>
      <c r="M78" s="188"/>
      <c r="N78" s="188"/>
      <c r="O78" s="188" t="s">
        <v>19</v>
      </c>
      <c r="P78" s="188" t="s">
        <v>19</v>
      </c>
      <c r="Q78" s="188"/>
      <c r="R78" s="188"/>
      <c r="S78" s="188" t="s">
        <v>18</v>
      </c>
      <c r="T78" s="188" t="s">
        <v>18</v>
      </c>
      <c r="U78" s="115"/>
      <c r="V78" s="115"/>
      <c r="W78" s="208"/>
      <c r="X78" s="208"/>
      <c r="Y78" s="208"/>
      <c r="Z78" s="208"/>
      <c r="AA78" s="208"/>
      <c r="AB78" s="208"/>
      <c r="AC78" s="208"/>
      <c r="AD78" s="208"/>
      <c r="AE78" s="208"/>
      <c r="AF78" s="208"/>
      <c r="AG78" s="208"/>
      <c r="AH78" s="126"/>
      <c r="AI78" s="126"/>
      <c r="AJ78" s="126"/>
      <c r="AK78" s="126"/>
      <c r="AL78" s="126"/>
      <c r="AM78" s="126"/>
      <c r="AN78" s="126"/>
      <c r="AO78" s="126"/>
      <c r="AP78" s="126"/>
      <c r="AQ78" s="327"/>
      <c r="AR78" s="327"/>
    </row>
    <row r="79" spans="2:44" ht="15.75" hidden="1" outlineLevel="1">
      <c r="B79" s="295" t="s">
        <v>223</v>
      </c>
      <c r="C79" s="318" t="s">
        <v>459</v>
      </c>
      <c r="D79" s="108" t="s">
        <v>224</v>
      </c>
      <c r="E79" s="316" t="s">
        <v>425</v>
      </c>
      <c r="F79" s="208"/>
      <c r="G79" s="208"/>
      <c r="H79" s="164">
        <v>0</v>
      </c>
      <c r="I79" s="127"/>
      <c r="J79" s="160">
        <f>VLOOKUP(B79,'[2]MASTER PART LIST'!$B:$C,2,FALSE)</f>
        <v>13</v>
      </c>
      <c r="K79" s="163">
        <f>VLOOKUP(B79,'[2]MASTER PART LIST'!$B:$D,3,FALSE)</f>
        <v>21.5</v>
      </c>
      <c r="L79" s="163">
        <f t="shared" si="26"/>
        <v>21.5</v>
      </c>
      <c r="M79" s="188"/>
      <c r="N79" s="188"/>
      <c r="O79" s="188" t="s">
        <v>19</v>
      </c>
      <c r="P79" s="188" t="s">
        <v>19</v>
      </c>
      <c r="Q79" s="188"/>
      <c r="R79" s="188"/>
      <c r="S79" s="188" t="s">
        <v>18</v>
      </c>
      <c r="T79" s="188" t="s">
        <v>18</v>
      </c>
      <c r="U79" s="115"/>
      <c r="V79" s="115"/>
      <c r="W79" s="208"/>
      <c r="X79" s="208"/>
      <c r="Y79" s="208"/>
      <c r="Z79" s="208"/>
      <c r="AA79" s="208"/>
      <c r="AB79" s="208"/>
      <c r="AC79" s="208"/>
      <c r="AD79" s="208"/>
      <c r="AE79" s="208"/>
      <c r="AF79" s="208"/>
      <c r="AG79" s="208"/>
      <c r="AH79" s="126"/>
      <c r="AI79" s="126"/>
      <c r="AJ79" s="126"/>
      <c r="AK79" s="126"/>
      <c r="AL79" s="126"/>
      <c r="AM79" s="126"/>
      <c r="AN79" s="126"/>
      <c r="AO79" s="126"/>
      <c r="AP79" s="126"/>
      <c r="AQ79" s="327"/>
      <c r="AR79" s="327"/>
    </row>
    <row r="80" spans="2:44" ht="15.75" hidden="1" collapsed="1">
      <c r="B80" s="103" t="s">
        <v>58</v>
      </c>
      <c r="C80" s="318" t="s">
        <v>459</v>
      </c>
      <c r="D80" s="108" t="s">
        <v>183</v>
      </c>
      <c r="E80" s="108" t="s">
        <v>86</v>
      </c>
      <c r="F80" s="208"/>
      <c r="G80" s="208"/>
      <c r="H80" s="164">
        <v>0</v>
      </c>
      <c r="I80" s="103"/>
      <c r="J80" s="160">
        <f>VLOOKUP(B80,'[2]MASTER PART LIST'!$B:$C,2,FALSE)</f>
        <v>9.5</v>
      </c>
      <c r="K80" s="163">
        <f>VLOOKUP(B80,'[2]MASTER PART LIST'!$B:$D,3,FALSE)</f>
        <v>15.75</v>
      </c>
      <c r="L80" s="163">
        <f t="shared" si="24"/>
        <v>15.75</v>
      </c>
      <c r="M80" s="188"/>
      <c r="N80" s="188"/>
      <c r="O80" s="188" t="s">
        <v>18</v>
      </c>
      <c r="P80" s="188" t="s">
        <v>18</v>
      </c>
      <c r="Q80" s="188"/>
      <c r="R80" s="188"/>
      <c r="S80" s="188" t="s">
        <v>18</v>
      </c>
      <c r="T80" s="188" t="s">
        <v>18</v>
      </c>
      <c r="U80" s="115" t="s">
        <v>163</v>
      </c>
      <c r="V80" s="115" t="s">
        <v>165</v>
      </c>
      <c r="W80" s="246"/>
      <c r="X80" s="208"/>
      <c r="Y80" s="125"/>
      <c r="Z80" s="125"/>
      <c r="AA80" s="125"/>
      <c r="AB80" s="125"/>
      <c r="AC80" s="125"/>
      <c r="AD80" s="125"/>
      <c r="AE80" s="125"/>
      <c r="AF80" s="125"/>
      <c r="AG80" s="188"/>
      <c r="AH80" s="188"/>
      <c r="AI80" s="188"/>
      <c r="AJ80" s="188"/>
      <c r="AK80" s="188"/>
      <c r="AL80" s="188"/>
      <c r="AM80" s="188"/>
      <c r="AN80" s="188"/>
      <c r="AO80" s="188"/>
      <c r="AP80" s="188"/>
      <c r="AQ80" s="323"/>
      <c r="AR80" s="323"/>
    </row>
    <row r="81" spans="2:44" ht="15.75" hidden="1">
      <c r="B81" s="249" t="s">
        <v>57</v>
      </c>
      <c r="C81" s="318" t="s">
        <v>459</v>
      </c>
      <c r="D81" s="250" t="s">
        <v>21</v>
      </c>
      <c r="E81" s="250" t="s">
        <v>87</v>
      </c>
      <c r="F81" s="208"/>
      <c r="G81" s="208"/>
      <c r="H81" s="254">
        <v>0</v>
      </c>
      <c r="I81" s="249"/>
      <c r="J81" s="255">
        <f>VLOOKUP(B81,'[2]MASTER PART LIST'!$B:$C,2,FALSE)</f>
        <v>2.4500000000000002</v>
      </c>
      <c r="K81" s="256">
        <f>VLOOKUP(B81,'[2]MASTER PART LIST'!$B:$D,3,FALSE)</f>
        <v>4</v>
      </c>
      <c r="L81" s="256">
        <f t="shared" si="24"/>
        <v>4</v>
      </c>
      <c r="M81" s="188"/>
      <c r="N81" s="188"/>
      <c r="O81" s="188" t="s">
        <v>18</v>
      </c>
      <c r="P81" s="188" t="s">
        <v>18</v>
      </c>
      <c r="Q81" s="188"/>
      <c r="R81" s="188"/>
      <c r="S81" s="188" t="s">
        <v>18</v>
      </c>
      <c r="T81" s="188" t="s">
        <v>18</v>
      </c>
      <c r="U81" s="257" t="s">
        <v>163</v>
      </c>
      <c r="V81" s="257" t="s">
        <v>165</v>
      </c>
      <c r="W81" s="252"/>
      <c r="X81" s="208"/>
      <c r="Y81" s="251"/>
      <c r="Z81" s="251"/>
      <c r="AA81" s="251"/>
      <c r="AB81" s="251"/>
      <c r="AC81" s="251"/>
      <c r="AD81" s="251"/>
      <c r="AE81" s="251"/>
      <c r="AF81" s="251"/>
      <c r="AG81" s="188"/>
      <c r="AH81" s="188"/>
      <c r="AI81" s="188"/>
      <c r="AJ81" s="253"/>
      <c r="AK81" s="253"/>
      <c r="AL81" s="253"/>
      <c r="AM81" s="253"/>
      <c r="AN81" s="253"/>
      <c r="AO81" s="253"/>
      <c r="AP81" s="253"/>
      <c r="AQ81" s="328"/>
      <c r="AR81" s="328"/>
    </row>
    <row r="82" spans="2:44" ht="25.5" hidden="1">
      <c r="B82" s="258" t="s">
        <v>56</v>
      </c>
      <c r="C82" s="318" t="s">
        <v>459</v>
      </c>
      <c r="D82" s="259" t="s">
        <v>22</v>
      </c>
      <c r="E82" s="259" t="s">
        <v>97</v>
      </c>
      <c r="F82" s="208"/>
      <c r="G82" s="208"/>
      <c r="H82" s="263">
        <v>0</v>
      </c>
      <c r="I82" s="258"/>
      <c r="J82" s="264">
        <f>VLOOKUP(B82,'[2]MASTER PART LIST'!$B:$C,2,FALSE)</f>
        <v>13.75</v>
      </c>
      <c r="K82" s="265">
        <f>VLOOKUP(B82,'[2]MASTER PART LIST'!$B:$D,3,FALSE)</f>
        <v>23</v>
      </c>
      <c r="L82" s="265">
        <f t="shared" si="24"/>
        <v>23</v>
      </c>
      <c r="M82" s="188"/>
      <c r="N82" s="188"/>
      <c r="O82" s="188" t="s">
        <v>18</v>
      </c>
      <c r="P82" s="188" t="s">
        <v>18</v>
      </c>
      <c r="Q82" s="188"/>
      <c r="R82" s="188"/>
      <c r="S82" s="188" t="s">
        <v>18</v>
      </c>
      <c r="T82" s="188" t="s">
        <v>18</v>
      </c>
      <c r="U82" s="266" t="s">
        <v>162</v>
      </c>
      <c r="V82" s="266" t="s">
        <v>164</v>
      </c>
      <c r="W82" s="261"/>
      <c r="X82" s="208"/>
      <c r="Y82" s="260"/>
      <c r="Z82" s="260"/>
      <c r="AA82" s="260"/>
      <c r="AB82" s="260"/>
      <c r="AC82" s="260"/>
      <c r="AD82" s="260"/>
      <c r="AE82" s="260"/>
      <c r="AF82" s="260"/>
      <c r="AG82" s="188"/>
      <c r="AH82" s="188"/>
      <c r="AI82" s="188"/>
      <c r="AJ82" s="262"/>
      <c r="AK82" s="262"/>
      <c r="AL82" s="262"/>
      <c r="AM82" s="262"/>
      <c r="AN82" s="262"/>
      <c r="AO82" s="262"/>
      <c r="AP82" s="262"/>
      <c r="AQ82" s="329"/>
      <c r="AR82" s="329"/>
    </row>
    <row r="83" spans="2:44" ht="12.75">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row>
    <row r="84" spans="2:44" ht="12.75">
      <c r="E84" s="51"/>
      <c r="H84" s="113"/>
      <c r="I84" s="113"/>
      <c r="J84" s="113"/>
      <c r="K84" s="113"/>
      <c r="L84" s="113"/>
      <c r="M84" s="113"/>
      <c r="N84" s="113"/>
      <c r="O84" s="113"/>
      <c r="P84" s="113"/>
      <c r="Q84" s="113"/>
      <c r="R84" s="113"/>
      <c r="S84" s="113"/>
      <c r="T84" s="113"/>
      <c r="U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row>
    <row r="85" spans="2:44" ht="12.75">
      <c r="H85" s="113"/>
      <c r="I85" s="113"/>
      <c r="J85" s="113"/>
      <c r="K85" s="113"/>
      <c r="L85" s="113"/>
      <c r="M85" s="113"/>
      <c r="N85" s="113"/>
      <c r="O85" s="113"/>
      <c r="P85" s="113"/>
      <c r="Q85" s="113"/>
      <c r="R85" s="113"/>
      <c r="S85" s="113"/>
      <c r="T85" s="113"/>
      <c r="U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row>
    <row r="86" spans="2:44" ht="12.75">
      <c r="H86" s="113"/>
      <c r="I86" s="113"/>
      <c r="J86" s="113"/>
      <c r="K86" s="113"/>
      <c r="L86" s="113"/>
      <c r="M86" s="113"/>
      <c r="N86" s="113"/>
      <c r="O86" s="113"/>
      <c r="P86" s="113"/>
      <c r="Q86" s="113"/>
      <c r="R86" s="113"/>
      <c r="S86" s="113"/>
      <c r="T86" s="113"/>
      <c r="U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row>
    <row r="87" spans="2:44" ht="12.75">
      <c r="H87" s="113"/>
      <c r="I87" s="113"/>
      <c r="J87" s="113"/>
      <c r="K87" s="113"/>
      <c r="L87" s="113"/>
      <c r="M87" s="113"/>
      <c r="N87" s="113"/>
      <c r="O87" s="113"/>
      <c r="P87" s="113"/>
      <c r="Q87" s="113"/>
      <c r="R87" s="113"/>
      <c r="S87" s="113"/>
      <c r="T87" s="113"/>
      <c r="U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row>
  </sheetData>
  <sheetProtection algorithmName="SHA-512" hashValue="Lz8xI0bKj8syD+KrkMF/25muy6Lmjvgez9EAybS/be4jYE1rW1lhqIfIpLsOd5SGQPI3HfHfWgwmVtlZvxgRYA==" saltValue="x0Q/3BZzyg6vuGdYHRSQbQ==" spinCount="100000" sheet="1" objects="1" scenarios="1"/>
  <mergeCells count="7">
    <mergeCell ref="AI6:AI7"/>
    <mergeCell ref="AJ6:AP6"/>
    <mergeCell ref="X6:Y6"/>
    <mergeCell ref="M4:T4"/>
    <mergeCell ref="M5:T5"/>
    <mergeCell ref="AG6:AG7"/>
    <mergeCell ref="AH6:AH7"/>
  </mergeCells>
  <phoneticPr fontId="48" type="noConversion"/>
  <conditionalFormatting sqref="X8:X43 X72:X82 W72 X88:X1048576 X45:X70">
    <cfRule type="containsText" dxfId="16" priority="7" operator="containsText" text="NEW">
      <formula>NOT(ISERROR(SEARCH("NEW",W8)))</formula>
    </cfRule>
  </conditionalFormatting>
  <conditionalFormatting sqref="W44">
    <cfRule type="duplicateValues" dxfId="15" priority="6"/>
  </conditionalFormatting>
  <conditionalFormatting sqref="X71:AF71">
    <cfRule type="containsText" dxfId="14" priority="2" operator="containsText" text="NEW">
      <formula>NOT(ISERROR(SEARCH("NEW",X71)))</formula>
    </cfRule>
  </conditionalFormatting>
  <conditionalFormatting sqref="W71">
    <cfRule type="duplicateValues" dxfId="13" priority="3"/>
  </conditionalFormatting>
  <conditionalFormatting sqref="W73:W82 AJ1 W5:W43 AM1 AP1 W88:W1048576 W45:W70">
    <cfRule type="duplicateValues" dxfId="12" priority="18"/>
  </conditionalFormatting>
  <conditionalFormatting sqref="Y8:AF43 Y72:AF82 Y45:AF70">
    <cfRule type="containsText" dxfId="11" priority="1" operator="containsText" text="NEW">
      <formula>NOT(ISERROR(SEARCH("NEW",Y8)))</formula>
    </cfRule>
  </conditionalFormatting>
  <dataValidations count="1">
    <dataValidation type="list" allowBlank="1" showInputMessage="1" showErrorMessage="1" sqref="X8:AF16 Y80:AF82 W72 X18:AF73"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Y6" sqref="Y6"/>
    </sheetView>
  </sheetViews>
  <sheetFormatPr defaultColWidth="9.140625" defaultRowHeight="12.75"/>
  <cols>
    <col min="1" max="1" width="49.42578125" style="28" customWidth="1"/>
    <col min="2" max="3" width="14.140625" style="28" customWidth="1"/>
    <col min="4" max="16384" width="9.140625" style="28"/>
  </cols>
  <sheetData>
    <row r="1" spans="1:12" ht="47.25" thickBot="1">
      <c r="A1" s="88" t="s">
        <v>108</v>
      </c>
      <c r="B1" s="87" t="s">
        <v>6</v>
      </c>
      <c r="C1" s="31"/>
      <c r="G1" s="29"/>
      <c r="H1" s="29"/>
      <c r="I1" s="29"/>
      <c r="J1" s="29"/>
      <c r="K1" s="29"/>
    </row>
    <row r="2" spans="1:12">
      <c r="A2" s="33"/>
      <c r="C2" s="31"/>
      <c r="F2" s="30"/>
      <c r="G2" s="34"/>
      <c r="H2" s="34"/>
      <c r="I2" s="34"/>
      <c r="J2" s="34"/>
      <c r="K2" s="34"/>
      <c r="L2" s="31"/>
    </row>
    <row r="3" spans="1:12" ht="13.5" thickBot="1">
      <c r="A3" s="33"/>
      <c r="B3" s="34"/>
      <c r="C3" s="39"/>
      <c r="E3" s="32"/>
      <c r="F3" s="30"/>
      <c r="G3" s="34"/>
      <c r="H3" s="34"/>
      <c r="I3" s="34"/>
      <c r="J3" s="34"/>
      <c r="K3" s="34"/>
      <c r="L3" s="31"/>
    </row>
    <row r="4" spans="1:12" ht="15.75" thickBot="1">
      <c r="A4" s="33"/>
      <c r="B4" s="38" t="s">
        <v>24</v>
      </c>
      <c r="C4" s="40"/>
      <c r="F4" s="30"/>
      <c r="G4" s="34"/>
      <c r="H4" s="34"/>
      <c r="I4" s="34"/>
      <c r="J4" s="34"/>
      <c r="K4" s="34"/>
      <c r="L4" s="31"/>
    </row>
    <row r="5" spans="1:12" ht="15">
      <c r="B5" s="38" t="s">
        <v>107</v>
      </c>
      <c r="C5" s="40"/>
      <c r="F5" s="30"/>
      <c r="G5" s="34"/>
      <c r="H5" s="34"/>
      <c r="I5" s="34"/>
      <c r="J5" s="34"/>
      <c r="K5" s="34"/>
      <c r="L5" s="31"/>
    </row>
    <row r="6" spans="1:12">
      <c r="A6" s="30"/>
      <c r="B6" s="36" t="s">
        <v>0</v>
      </c>
      <c r="C6" s="41">
        <v>162</v>
      </c>
      <c r="D6" s="31"/>
      <c r="F6" s="30"/>
      <c r="G6" s="34"/>
      <c r="H6" s="34"/>
      <c r="I6" s="34"/>
      <c r="J6" s="34"/>
      <c r="K6" s="34"/>
      <c r="L6" s="31"/>
    </row>
    <row r="7" spans="1:12">
      <c r="A7" s="30"/>
      <c r="B7" s="36" t="s">
        <v>1</v>
      </c>
      <c r="C7" s="41">
        <v>168</v>
      </c>
      <c r="D7" s="31"/>
      <c r="F7" s="30"/>
      <c r="G7" s="34"/>
      <c r="H7" s="34"/>
      <c r="I7" s="34"/>
      <c r="J7" s="34"/>
      <c r="K7" s="34"/>
      <c r="L7" s="31"/>
    </row>
    <row r="8" spans="1:12">
      <c r="A8" s="30"/>
      <c r="B8" s="36" t="s">
        <v>2</v>
      </c>
      <c r="C8" s="41">
        <v>155</v>
      </c>
      <c r="D8" s="31"/>
      <c r="F8" s="30"/>
      <c r="G8" s="34"/>
      <c r="H8" s="34"/>
      <c r="I8" s="34"/>
      <c r="J8" s="34"/>
      <c r="K8" s="34"/>
      <c r="L8" s="31"/>
    </row>
    <row r="9" spans="1:12">
      <c r="A9" s="30"/>
      <c r="B9" s="36" t="s">
        <v>3</v>
      </c>
      <c r="C9" s="41">
        <v>130</v>
      </c>
      <c r="D9" s="31"/>
      <c r="F9" s="30"/>
      <c r="G9" s="34"/>
      <c r="H9" s="34"/>
      <c r="I9" s="34"/>
      <c r="J9" s="34"/>
      <c r="K9" s="34"/>
      <c r="L9" s="31"/>
    </row>
    <row r="10" spans="1:12">
      <c r="A10" s="30"/>
      <c r="B10" s="36" t="s">
        <v>4</v>
      </c>
      <c r="C10" s="41">
        <v>130</v>
      </c>
      <c r="D10" s="31"/>
      <c r="F10" s="30"/>
      <c r="G10" s="34"/>
      <c r="H10" s="34"/>
      <c r="I10" s="34"/>
      <c r="J10" s="34"/>
      <c r="K10" s="34"/>
      <c r="L10" s="31"/>
    </row>
    <row r="11" spans="1:12" ht="13.5" thickBot="1">
      <c r="A11" s="30"/>
      <c r="B11" s="36" t="s">
        <v>5</v>
      </c>
      <c r="C11" s="41">
        <v>130</v>
      </c>
      <c r="D11" s="31"/>
      <c r="F11" s="30"/>
      <c r="G11" s="34"/>
      <c r="H11" s="34"/>
      <c r="I11" s="34"/>
      <c r="J11" s="34"/>
      <c r="K11" s="34"/>
      <c r="L11" s="31"/>
    </row>
    <row r="12" spans="1:12" ht="13.5" thickBot="1">
      <c r="A12" s="30"/>
      <c r="B12" s="36" t="s">
        <v>6</v>
      </c>
      <c r="C12" s="41">
        <v>150</v>
      </c>
      <c r="D12" s="31"/>
      <c r="F12" s="45" t="str">
        <f>prov_cd</f>
        <v>ON</v>
      </c>
      <c r="G12" s="34"/>
      <c r="H12" s="34"/>
      <c r="I12" s="34"/>
      <c r="J12" s="34"/>
      <c r="K12" s="34"/>
      <c r="L12" s="31"/>
    </row>
    <row r="13" spans="1:12">
      <c r="A13" s="30"/>
      <c r="B13" s="36" t="s">
        <v>53</v>
      </c>
      <c r="C13" s="41">
        <v>125</v>
      </c>
      <c r="D13" s="31"/>
      <c r="F13" s="30"/>
      <c r="G13" s="34"/>
      <c r="H13" s="34"/>
      <c r="I13" s="34"/>
      <c r="J13" s="34"/>
      <c r="K13" s="34"/>
      <c r="L13" s="31"/>
    </row>
    <row r="14" spans="1:12">
      <c r="A14" s="30"/>
      <c r="B14" s="36" t="s">
        <v>7</v>
      </c>
      <c r="C14" s="41">
        <v>140</v>
      </c>
      <c r="D14" s="31"/>
      <c r="F14" s="30"/>
      <c r="G14" s="34"/>
      <c r="H14" s="34"/>
      <c r="I14" s="34"/>
      <c r="J14" s="34"/>
      <c r="K14" s="34"/>
      <c r="L14" s="31"/>
    </row>
    <row r="15" spans="1:12">
      <c r="A15" s="30"/>
      <c r="B15" s="36" t="s">
        <v>8</v>
      </c>
      <c r="C15" s="41">
        <v>155</v>
      </c>
      <c r="D15" s="31"/>
      <c r="F15" s="30"/>
      <c r="G15" s="34"/>
      <c r="H15" s="34"/>
      <c r="I15" s="34"/>
      <c r="J15" s="34"/>
      <c r="K15" s="34"/>
      <c r="L15" s="31"/>
    </row>
    <row r="16" spans="1:12" ht="13.5" thickBot="1">
      <c r="A16" s="30"/>
      <c r="B16" s="37" t="s">
        <v>9</v>
      </c>
      <c r="C16" s="42">
        <v>168</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26</v>
      </c>
      <c r="F23" s="30"/>
      <c r="G23" s="34"/>
      <c r="H23" s="34"/>
      <c r="I23" s="34"/>
      <c r="J23" s="34"/>
      <c r="K23" s="34"/>
      <c r="L23" s="31"/>
    </row>
    <row r="24" spans="1:12">
      <c r="A24" s="32" t="s">
        <v>88</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50"/>
  <sheetViews>
    <sheetView view="pageBreakPreview" zoomScale="70" zoomScaleNormal="60" zoomScaleSheetLayoutView="70" workbookViewId="0">
      <selection activeCell="Y6" sqref="Y6"/>
    </sheetView>
  </sheetViews>
  <sheetFormatPr defaultColWidth="9.140625" defaultRowHeight="12.75" outlineLevelCol="1"/>
  <cols>
    <col min="1" max="1" width="4" style="46" customWidth="1"/>
    <col min="2" max="2" width="12.5703125" style="335" customWidth="1"/>
    <col min="3" max="3" width="44.85546875" style="46" customWidth="1"/>
    <col min="4" max="4" width="19.85546875" style="46" customWidth="1"/>
    <col min="5" max="5" width="10.85546875" style="46" customWidth="1" outlineLevel="1"/>
    <col min="6" max="6" width="12.42578125" style="46" customWidth="1"/>
    <col min="7" max="7" width="8.5703125" style="46" customWidth="1"/>
    <col min="8" max="8" width="17.28515625" style="46" customWidth="1"/>
    <col min="9" max="10" width="10.5703125" style="46" hidden="1" customWidth="1"/>
    <col min="11" max="12" width="10.5703125" style="46" customWidth="1"/>
    <col min="13" max="14" width="10.5703125" style="46" hidden="1" customWidth="1"/>
    <col min="15" max="16" width="10.5703125" style="46" customWidth="1"/>
    <col min="17" max="17" width="50.42578125" style="46" customWidth="1"/>
    <col min="18" max="18" width="9.140625" style="46" customWidth="1"/>
    <col min="19" max="16384" width="9.140625" style="46"/>
  </cols>
  <sheetData>
    <row r="2" spans="2:20" ht="35.25" customHeight="1">
      <c r="B2" s="330" t="s">
        <v>149</v>
      </c>
      <c r="C2" s="157" t="s">
        <v>65</v>
      </c>
      <c r="D2" s="157"/>
      <c r="E2" s="154"/>
      <c r="F2" s="15"/>
      <c r="G2" s="128"/>
      <c r="H2" s="129"/>
      <c r="I2" s="129"/>
      <c r="J2" s="129"/>
      <c r="K2" s="129"/>
      <c r="L2" s="144"/>
      <c r="M2" s="145"/>
      <c r="N2" s="145"/>
      <c r="O2" s="144"/>
      <c r="P2" s="144"/>
      <c r="Q2" s="144"/>
    </row>
    <row r="3" spans="2:20" ht="26.25">
      <c r="B3" s="330"/>
      <c r="C3" s="158" t="s">
        <v>15</v>
      </c>
      <c r="D3" s="267" t="str">
        <f>'26MY_PASSPORT_DATA'!C2</f>
        <v>Passport</v>
      </c>
      <c r="E3" s="155"/>
      <c r="F3" s="2"/>
      <c r="G3" s="128"/>
      <c r="H3" s="129"/>
      <c r="I3" s="129"/>
      <c r="J3" s="129"/>
      <c r="K3" s="129"/>
      <c r="L3" s="146"/>
      <c r="O3" s="147"/>
      <c r="P3" s="144"/>
      <c r="Q3" s="144"/>
    </row>
    <row r="4" spans="2:20" ht="26.25">
      <c r="B4" s="330"/>
      <c r="C4" s="158" t="s">
        <v>16</v>
      </c>
      <c r="D4" s="270">
        <f>'26MY_PASSPORT_DATA'!$C$3</f>
        <v>2026</v>
      </c>
      <c r="E4" s="155"/>
      <c r="F4" s="2"/>
      <c r="G4" s="128"/>
      <c r="H4" s="129"/>
      <c r="I4" s="129"/>
      <c r="J4" s="129"/>
      <c r="K4" s="129"/>
      <c r="L4" s="144"/>
      <c r="M4" s="148"/>
      <c r="N4" s="148"/>
      <c r="O4" s="144"/>
      <c r="P4" s="144"/>
      <c r="Q4" s="144"/>
    </row>
    <row r="5" spans="2:20">
      <c r="B5" s="330"/>
      <c r="C5" s="156" t="s">
        <v>145</v>
      </c>
      <c r="D5" s="156"/>
      <c r="E5" s="118"/>
      <c r="F5" s="118"/>
      <c r="G5" s="118"/>
      <c r="H5" s="118"/>
      <c r="I5" s="118"/>
      <c r="J5" s="118"/>
      <c r="K5" s="118"/>
      <c r="L5" s="118"/>
      <c r="M5" s="118"/>
      <c r="N5" s="118"/>
      <c r="O5" s="118"/>
      <c r="P5" s="118"/>
      <c r="Q5" s="149"/>
    </row>
    <row r="6" spans="2:20">
      <c r="B6" s="330"/>
      <c r="C6" s="138" t="s">
        <v>146</v>
      </c>
      <c r="D6" s="138"/>
      <c r="E6" s="138"/>
      <c r="F6" s="138"/>
      <c r="G6" s="138"/>
      <c r="H6" s="138"/>
      <c r="I6" s="138"/>
      <c r="J6" s="138"/>
      <c r="K6" s="138"/>
      <c r="L6" s="138"/>
      <c r="M6" s="138"/>
      <c r="N6" s="138"/>
      <c r="O6" s="138"/>
      <c r="P6" s="118"/>
      <c r="Q6" s="149"/>
    </row>
    <row r="7" spans="2:20">
      <c r="B7" s="330"/>
      <c r="C7" s="138" t="s">
        <v>147</v>
      </c>
      <c r="D7" s="138"/>
      <c r="E7" s="138"/>
      <c r="F7" s="138"/>
      <c r="G7" s="138"/>
      <c r="H7" s="138"/>
      <c r="I7" s="138"/>
      <c r="J7" s="138"/>
      <c r="K7" s="138"/>
      <c r="L7" s="138"/>
      <c r="M7" s="138"/>
      <c r="N7" s="138"/>
      <c r="O7" s="138"/>
      <c r="P7" s="118"/>
      <c r="Q7" s="149"/>
    </row>
    <row r="8" spans="2:20">
      <c r="B8" s="330"/>
      <c r="C8" s="138" t="s">
        <v>148</v>
      </c>
      <c r="D8" s="138"/>
      <c r="E8" s="138"/>
      <c r="F8" s="138"/>
      <c r="G8" s="138"/>
      <c r="H8" s="139"/>
      <c r="I8" s="138"/>
      <c r="J8" s="138"/>
      <c r="K8" s="138"/>
      <c r="L8" s="138"/>
      <c r="M8" s="138"/>
      <c r="N8" s="138"/>
      <c r="O8" s="138"/>
      <c r="P8" s="118"/>
      <c r="Q8" s="149"/>
    </row>
    <row r="9" spans="2:20">
      <c r="B9" s="330"/>
      <c r="C9" s="141"/>
      <c r="D9" s="141"/>
      <c r="E9" s="141"/>
      <c r="F9" s="141"/>
      <c r="G9" s="141"/>
      <c r="H9" s="141"/>
      <c r="I9" s="141"/>
      <c r="J9" s="141"/>
      <c r="K9" s="141"/>
      <c r="L9" s="141"/>
      <c r="M9" s="141"/>
      <c r="N9" s="141"/>
      <c r="O9" s="141"/>
      <c r="P9" s="142"/>
      <c r="Q9" s="159"/>
    </row>
    <row r="10" spans="2:20" ht="15">
      <c r="B10" s="330"/>
      <c r="C10" s="51"/>
      <c r="D10" s="51"/>
      <c r="E10" s="51"/>
      <c r="F10" s="51"/>
      <c r="G10" s="51"/>
      <c r="H10" s="151" t="s">
        <v>54</v>
      </c>
      <c r="I10" s="51"/>
      <c r="J10" s="51"/>
      <c r="K10" s="51"/>
      <c r="L10" s="51"/>
      <c r="M10" s="51"/>
      <c r="N10" s="51"/>
      <c r="O10" s="51"/>
      <c r="P10" s="51"/>
      <c r="Q10" s="150"/>
    </row>
    <row r="11" spans="2:20" ht="18.75">
      <c r="B11" s="330"/>
      <c r="C11" s="152" t="s">
        <v>64</v>
      </c>
      <c r="D11" s="153"/>
      <c r="E11" s="132"/>
      <c r="F11" s="132"/>
      <c r="G11" s="131"/>
      <c r="H11" s="182" t="str">
        <f>prov_cd</f>
        <v>ON</v>
      </c>
      <c r="I11" s="181"/>
      <c r="J11" s="181"/>
      <c r="K11" s="51"/>
      <c r="L11" s="51"/>
      <c r="M11" s="51"/>
      <c r="N11" s="51"/>
      <c r="O11" s="51"/>
      <c r="P11" s="51"/>
      <c r="Q11" s="51"/>
    </row>
    <row r="12" spans="2:20" ht="15">
      <c r="B12" s="330"/>
      <c r="C12" s="387" t="s">
        <v>55</v>
      </c>
      <c r="D12" s="387" t="s">
        <v>10</v>
      </c>
      <c r="E12" s="387" t="s">
        <v>17</v>
      </c>
      <c r="F12" s="387" t="s">
        <v>11</v>
      </c>
      <c r="G12" s="387" t="s">
        <v>12</v>
      </c>
      <c r="H12" s="386" t="s">
        <v>13</v>
      </c>
      <c r="I12" s="387" t="s">
        <v>23</v>
      </c>
      <c r="J12" s="387"/>
      <c r="K12" s="387"/>
      <c r="L12" s="387"/>
      <c r="M12" s="387"/>
      <c r="N12" s="387"/>
      <c r="O12" s="387"/>
      <c r="P12" s="387"/>
      <c r="Q12" s="387" t="s">
        <v>14</v>
      </c>
    </row>
    <row r="13" spans="2:20" ht="45">
      <c r="B13" s="330"/>
      <c r="C13" s="387"/>
      <c r="D13" s="387"/>
      <c r="E13" s="387"/>
      <c r="F13" s="387"/>
      <c r="G13" s="387"/>
      <c r="H13" s="386"/>
      <c r="I13" s="174">
        <f>'26MY_PASSPORT_DATA'!$M$7</f>
        <v>0</v>
      </c>
      <c r="J13" s="174">
        <f>'26MY_PASSPORT_DATA'!$M$7</f>
        <v>0</v>
      </c>
      <c r="K13" s="174" t="str">
        <f>'26MY_PASSPORT_DATA'!$O$7</f>
        <v>TrailSport</v>
      </c>
      <c r="L13" s="174" t="str">
        <f>'26MY_PASSPORT_DATA'!$P$7</f>
        <v>TrailSport Blackout</v>
      </c>
      <c r="M13" s="174">
        <f>'26MY_PASSPORT_DATA'!$R$7</f>
        <v>0</v>
      </c>
      <c r="N13" s="174">
        <f>'26MY_PASSPORT_DATA'!$R$7</f>
        <v>0</v>
      </c>
      <c r="O13" s="174" t="str">
        <f>'26MY_PASSPORT_DATA'!$S$7</f>
        <v>TrailSport Touring</v>
      </c>
      <c r="P13" s="174" t="str">
        <f>'26MY_PASSPORT_DATA'!$T$7</f>
        <v>Trailsport Touring Blackout</v>
      </c>
      <c r="Q13" s="387"/>
    </row>
    <row r="14" spans="2:20" s="134" customFormat="1" ht="15">
      <c r="B14" s="331" t="s">
        <v>286</v>
      </c>
      <c r="C14" s="196" t="str">
        <f>VLOOKUP(B14,'26MY_PASSPORT_DATA'!B:AR,3,FALSE)</f>
        <v>Protection Package</v>
      </c>
      <c r="D14" s="284" t="str">
        <f>B14</f>
        <v>26PAS-PROPK</v>
      </c>
      <c r="E14" s="377">
        <f>VLOOKUP(B14,'26MY_PASSPORT_DATA'!B:AR,9,FALSE)</f>
        <v>297</v>
      </c>
      <c r="F14" s="377">
        <f>VLOOKUP(B14,'26MY_PASSPORT_DATA'!B:AR,10,FALSE)</f>
        <v>550</v>
      </c>
      <c r="G14" s="380">
        <f>VLOOKUP(B14,'26MY_PASSPORT_DATA'!B:AR,7,FALSE)</f>
        <v>0.2</v>
      </c>
      <c r="H14" s="383">
        <f>VLOOKUP(B14,'26MY_PASSPORT_DATA'!B:AR,11,FALSE)</f>
        <v>580</v>
      </c>
      <c r="I14" s="371">
        <f>VLOOKUP($B14,'26MY_PASSPORT_DATA'!$B:$AR,12,FALSE)</f>
        <v>0</v>
      </c>
      <c r="J14" s="371">
        <f>VLOOKUP($B14,'26MY_PASSPORT_DATA'!$B:$AR,13,FALSE)</f>
        <v>0</v>
      </c>
      <c r="K14" s="371" t="str">
        <f>VLOOKUP(B14,'26MY_PASSPORT_DATA'!B:AR,14,FALSE)</f>
        <v>•</v>
      </c>
      <c r="L14" s="371" t="str">
        <f>VLOOKUP(B14,'26MY_PASSPORT_DATA'!B:AR,15,FALSE)</f>
        <v>•</v>
      </c>
      <c r="M14" s="371">
        <f>VLOOKUP($B14,'26MY_PASSPORT_DATA'!$B:$AR,16,FALSE)</f>
        <v>0</v>
      </c>
      <c r="N14" s="371">
        <f>VLOOKUP(B14,'26MY_PASSPORT_DATA'!B:AR,17,FALSE)</f>
        <v>0</v>
      </c>
      <c r="O14" s="371" t="str">
        <f>VLOOKUP(B14,'26MY_PASSPORT_DATA'!B:AR,18,FALSE)</f>
        <v>•</v>
      </c>
      <c r="P14" s="371" t="str">
        <f>VLOOKUP(B14,'26MY_PASSPORT_DATA'!B:AR,19,FALSE)</f>
        <v>•</v>
      </c>
      <c r="Q14" s="374" t="str">
        <f>IF(VLOOKUP(B14,'26MY_PASSPORT_DATA'!B:AR,20,FALSE)="","",VLOOKUP(B14,'26MY_PASSPORT_DATA'!B:AR,20,FALSE))</f>
        <v/>
      </c>
      <c r="R14" s="97"/>
      <c r="S14" s="97"/>
      <c r="T14" s="97"/>
    </row>
    <row r="15" spans="2:20" s="134" customFormat="1" ht="15">
      <c r="B15" s="331" t="s">
        <v>240</v>
      </c>
      <c r="C15" s="192" t="str">
        <f>VLOOKUP(B15,'26MY_PASSPORT_DATA'!B:AR,3,FALSE)</f>
        <v>All Season Mats (TrailSport logo)</v>
      </c>
      <c r="D15" s="220" t="str">
        <f t="shared" ref="D15" si="0">B15</f>
        <v>08P17-3BM-120A</v>
      </c>
      <c r="E15" s="378"/>
      <c r="F15" s="378"/>
      <c r="G15" s="381"/>
      <c r="H15" s="384"/>
      <c r="I15" s="372"/>
      <c r="J15" s="372"/>
      <c r="K15" s="372"/>
      <c r="L15" s="372"/>
      <c r="M15" s="372"/>
      <c r="N15" s="372"/>
      <c r="O15" s="372"/>
      <c r="P15" s="372"/>
      <c r="Q15" s="375"/>
      <c r="R15" s="97"/>
      <c r="S15" s="97"/>
      <c r="T15" s="97"/>
    </row>
    <row r="16" spans="2:20" s="134" customFormat="1" ht="15">
      <c r="B16" s="331" t="s">
        <v>244</v>
      </c>
      <c r="C16" s="192" t="str">
        <f>VLOOKUP(B16,'26MY_PASSPORT_DATA'!B:AR,3,FALSE)</f>
        <v>Cargo Tray</v>
      </c>
      <c r="D16" s="202" t="str">
        <f t="shared" ref="D16" si="1">B16</f>
        <v>08U45-3BM-100</v>
      </c>
      <c r="E16" s="379"/>
      <c r="F16" s="379"/>
      <c r="G16" s="382"/>
      <c r="H16" s="385"/>
      <c r="I16" s="373"/>
      <c r="J16" s="373"/>
      <c r="K16" s="373"/>
      <c r="L16" s="373"/>
      <c r="M16" s="373"/>
      <c r="N16" s="373"/>
      <c r="O16" s="373"/>
      <c r="P16" s="373"/>
      <c r="Q16" s="376"/>
      <c r="R16" s="97"/>
      <c r="S16" s="97"/>
      <c r="T16" s="97"/>
    </row>
    <row r="17" spans="2:20" s="134" customFormat="1" ht="6.95" customHeight="1">
      <c r="B17" s="331"/>
      <c r="C17" s="203"/>
      <c r="D17" s="204"/>
      <c r="E17" s="204"/>
      <c r="F17" s="204"/>
      <c r="G17" s="204"/>
      <c r="H17" s="204"/>
      <c r="I17" s="204"/>
      <c r="J17" s="204"/>
      <c r="K17" s="204"/>
      <c r="L17" s="204"/>
      <c r="M17" s="204"/>
      <c r="N17" s="204"/>
      <c r="O17" s="204"/>
      <c r="P17" s="204"/>
      <c r="Q17" s="349"/>
      <c r="R17" s="97"/>
      <c r="S17" s="97"/>
    </row>
    <row r="18" spans="2:20" s="134" customFormat="1" ht="15">
      <c r="B18" s="331" t="s">
        <v>287</v>
      </c>
      <c r="C18" s="196" t="str">
        <f>VLOOKUP(B18,'26MY_PASSPORT_DATA'!B:AR,3,FALSE)</f>
        <v>Protection Package Advance</v>
      </c>
      <c r="D18" s="284" t="str">
        <f>B18</f>
        <v>26PAS-PROPKA</v>
      </c>
      <c r="E18" s="377">
        <f>VLOOKUP(B18,'26MY_PASSPORT_DATA'!B:AR,9,FALSE)</f>
        <v>645.30000000000007</v>
      </c>
      <c r="F18" s="377">
        <f>VLOOKUP(B18,'26MY_PASSPORT_DATA'!B:AR,10,FALSE)</f>
        <v>1075.5</v>
      </c>
      <c r="G18" s="380">
        <f>VLOOKUP(B18,'26MY_PASSPORT_DATA'!B:AR,7,FALSE)</f>
        <v>0.79999999999999993</v>
      </c>
      <c r="H18" s="383">
        <f>VLOOKUP(B18,'26MY_PASSPORT_DATA'!B:AR,11,FALSE)</f>
        <v>1195.5</v>
      </c>
      <c r="I18" s="371">
        <f>VLOOKUP($B18,'26MY_PASSPORT_DATA'!$B:$AR,12,FALSE)</f>
        <v>0</v>
      </c>
      <c r="J18" s="371">
        <f>VLOOKUP($B18,'26MY_PASSPORT_DATA'!$B:$AR,13,FALSE)</f>
        <v>0</v>
      </c>
      <c r="K18" s="371" t="str">
        <f>VLOOKUP(B18,'26MY_PASSPORT_DATA'!B:AR,14,FALSE)</f>
        <v>•</v>
      </c>
      <c r="L18" s="371" t="str">
        <f>VLOOKUP(B18,'26MY_PASSPORT_DATA'!B:AR,15,FALSE)</f>
        <v>•</v>
      </c>
      <c r="M18" s="371">
        <f>VLOOKUP($B18,'26MY_PASSPORT_DATA'!$B:$AR,16,FALSE)</f>
        <v>0</v>
      </c>
      <c r="N18" s="371">
        <f>VLOOKUP(B18,'26MY_PASSPORT_DATA'!B:AR,17,FALSE)</f>
        <v>0</v>
      </c>
      <c r="O18" s="371" t="str">
        <f>VLOOKUP(B18,'26MY_PASSPORT_DATA'!B:AR,18,FALSE)</f>
        <v>•</v>
      </c>
      <c r="P18" s="371" t="str">
        <f>VLOOKUP(B18,'26MY_PASSPORT_DATA'!B:AR,19,FALSE)</f>
        <v>•</v>
      </c>
      <c r="Q18" s="374" t="str">
        <f>IF(VLOOKUP(B18,'26MY_PASSPORT_DATA'!B:AR,20,FALSE)="","",VLOOKUP(B18,'26MY_PASSPORT_DATA'!B:AR,20,FALSE))</f>
        <v>10% Discount applied</v>
      </c>
      <c r="R18" s="97"/>
      <c r="S18" s="97"/>
      <c r="T18" s="97"/>
    </row>
    <row r="19" spans="2:20" s="134" customFormat="1" ht="15">
      <c r="B19" s="331" t="s">
        <v>240</v>
      </c>
      <c r="C19" s="192" t="str">
        <f>VLOOKUP(B19,'26MY_PASSPORT_DATA'!B:AR,3,FALSE)</f>
        <v>All Season Mats (TrailSport logo)</v>
      </c>
      <c r="D19" s="220" t="str">
        <f t="shared" ref="D19" si="2">B19</f>
        <v>08P17-3BM-120A</v>
      </c>
      <c r="E19" s="378"/>
      <c r="F19" s="378"/>
      <c r="G19" s="381"/>
      <c r="H19" s="384"/>
      <c r="I19" s="372"/>
      <c r="J19" s="372"/>
      <c r="K19" s="372"/>
      <c r="L19" s="372"/>
      <c r="M19" s="372"/>
      <c r="N19" s="372"/>
      <c r="O19" s="372"/>
      <c r="P19" s="372"/>
      <c r="Q19" s="375"/>
      <c r="R19" s="97"/>
      <c r="S19" s="97"/>
      <c r="T19" s="97"/>
    </row>
    <row r="20" spans="2:20" s="134" customFormat="1" ht="15">
      <c r="B20" s="331" t="s">
        <v>244</v>
      </c>
      <c r="C20" s="192" t="str">
        <f>VLOOKUP(B20,'26MY_PASSPORT_DATA'!B:AR,3,FALSE)</f>
        <v>Cargo Tray</v>
      </c>
      <c r="D20" s="220" t="str">
        <f t="shared" ref="D20" si="3">B20</f>
        <v>08U45-3BM-100</v>
      </c>
      <c r="E20" s="378"/>
      <c r="F20" s="378"/>
      <c r="G20" s="381"/>
      <c r="H20" s="384"/>
      <c r="I20" s="372"/>
      <c r="J20" s="372"/>
      <c r="K20" s="372"/>
      <c r="L20" s="372"/>
      <c r="M20" s="372"/>
      <c r="N20" s="372"/>
      <c r="O20" s="372"/>
      <c r="P20" s="372"/>
      <c r="Q20" s="375"/>
      <c r="R20" s="97"/>
      <c r="S20" s="97"/>
      <c r="T20" s="97"/>
    </row>
    <row r="21" spans="2:20" s="134" customFormat="1" ht="15">
      <c r="B21" s="331" t="s">
        <v>250</v>
      </c>
      <c r="C21" s="192" t="str">
        <f>VLOOKUP(B21,'26MY_PASSPORT_DATA'!B:AR,3,FALSE)</f>
        <v>Cargo Cover</v>
      </c>
      <c r="D21" s="220" t="str">
        <f t="shared" ref="D21:D22" si="4">B21</f>
        <v>08U35-3BM-310</v>
      </c>
      <c r="E21" s="378"/>
      <c r="F21" s="378"/>
      <c r="G21" s="381"/>
      <c r="H21" s="384"/>
      <c r="I21" s="372"/>
      <c r="J21" s="372"/>
      <c r="K21" s="372"/>
      <c r="L21" s="372"/>
      <c r="M21" s="372"/>
      <c r="N21" s="372"/>
      <c r="O21" s="372"/>
      <c r="P21" s="372"/>
      <c r="Q21" s="375"/>
      <c r="R21" s="97"/>
      <c r="S21" s="97"/>
      <c r="T21" s="97"/>
    </row>
    <row r="22" spans="2:20" s="134" customFormat="1" ht="15" customHeight="1">
      <c r="B22" s="331" t="s">
        <v>232</v>
      </c>
      <c r="C22" s="192" t="str">
        <f>VLOOKUP(B22,'26MY_PASSPORT_DATA'!B:AR,3,FALSE)</f>
        <v>Splash Guards</v>
      </c>
      <c r="D22" s="220" t="str">
        <f t="shared" si="4"/>
        <v>08P00-3BM-100</v>
      </c>
      <c r="E22" s="379"/>
      <c r="F22" s="379"/>
      <c r="G22" s="382"/>
      <c r="H22" s="385"/>
      <c r="I22" s="373"/>
      <c r="J22" s="373"/>
      <c r="K22" s="373"/>
      <c r="L22" s="373"/>
      <c r="M22" s="373"/>
      <c r="N22" s="373"/>
      <c r="O22" s="373"/>
      <c r="P22" s="373"/>
      <c r="Q22" s="376"/>
      <c r="R22" s="97"/>
      <c r="S22" s="97"/>
      <c r="T22" s="97"/>
    </row>
    <row r="23" spans="2:20" s="134" customFormat="1" ht="6.95" customHeight="1">
      <c r="B23" s="331"/>
      <c r="C23" s="203"/>
      <c r="D23" s="204"/>
      <c r="E23" s="204"/>
      <c r="F23" s="204"/>
      <c r="G23" s="204"/>
      <c r="H23" s="204"/>
      <c r="I23" s="204"/>
      <c r="J23" s="204"/>
      <c r="K23" s="204"/>
      <c r="L23" s="204"/>
      <c r="M23" s="204"/>
      <c r="N23" s="204"/>
      <c r="O23" s="204"/>
      <c r="P23" s="204"/>
      <c r="Q23" s="349"/>
      <c r="R23" s="97"/>
      <c r="S23" s="97"/>
    </row>
    <row r="24" spans="2:20" s="134" customFormat="1" ht="15">
      <c r="B24" s="331" t="s">
        <v>291</v>
      </c>
      <c r="C24" s="196" t="str">
        <f>VLOOKUP(B24,'26MY_PASSPORT_DATA'!B:AR,3,FALSE)</f>
        <v>Black Emblem Set</v>
      </c>
      <c r="D24" s="284" t="str">
        <f>B24</f>
        <v>26PAS-BLK-EMB</v>
      </c>
      <c r="E24" s="377">
        <f>VLOOKUP(B24,'26MY_PASSPORT_DATA'!B:AR,9,FALSE)</f>
        <v>187.20000000000002</v>
      </c>
      <c r="F24" s="377">
        <f>VLOOKUP(B24,'26MY_PASSPORT_DATA'!B:AR,10,FALSE)</f>
        <v>312.3</v>
      </c>
      <c r="G24" s="380">
        <f>VLOOKUP(B24,'26MY_PASSPORT_DATA'!B:AR,7,FALSE)</f>
        <v>0.89999999999999991</v>
      </c>
      <c r="H24" s="383">
        <f>VLOOKUP(B24,'26MY_PASSPORT_DATA'!B:AR,11,FALSE)</f>
        <v>447.3</v>
      </c>
      <c r="I24" s="371">
        <f>VLOOKUP($B24,'26MY_PASSPORT_DATA'!$B:$AR,12,FALSE)</f>
        <v>0</v>
      </c>
      <c r="J24" s="371">
        <f>VLOOKUP($B24,'26MY_PASSPORT_DATA'!$B:$AR,13,FALSE)</f>
        <v>0</v>
      </c>
      <c r="K24" s="371" t="str">
        <f>VLOOKUP(B24,'26MY_PASSPORT_DATA'!B:AR,14,FALSE)</f>
        <v>•</v>
      </c>
      <c r="L24" s="371" t="str">
        <f>VLOOKUP(B24,'26MY_PASSPORT_DATA'!B:AR,15,FALSE)</f>
        <v>S</v>
      </c>
      <c r="M24" s="371">
        <f>VLOOKUP($B24,'26MY_PASSPORT_DATA'!$B:$AR,16,FALSE)</f>
        <v>0</v>
      </c>
      <c r="N24" s="371">
        <f>VLOOKUP(B24,'26MY_PASSPORT_DATA'!B:AR,17,FALSE)</f>
        <v>0</v>
      </c>
      <c r="O24" s="371" t="str">
        <f>VLOOKUP(B24,'26MY_PASSPORT_DATA'!B:AR,18,FALSE)</f>
        <v>•</v>
      </c>
      <c r="P24" s="371" t="str">
        <f>VLOOKUP(B24,'26MY_PASSPORT_DATA'!B:AR,19,FALSE)</f>
        <v>S</v>
      </c>
      <c r="Q24" s="374" t="str">
        <f>IF(VLOOKUP(B24,'26MY_PASSPORT_DATA'!B:AR,20,FALSE)="","",VLOOKUP(B24,'26MY_PASSPORT_DATA'!B:AR,20,FALSE))</f>
        <v>10% Discount applied</v>
      </c>
      <c r="R24" s="97"/>
      <c r="S24" s="97"/>
      <c r="T24" s="97"/>
    </row>
    <row r="25" spans="2:20" s="134" customFormat="1" ht="15">
      <c r="B25" s="331" t="s">
        <v>236</v>
      </c>
      <c r="C25" s="293" t="str">
        <f>VLOOKUP(B25,'26MY_PASSPORT_DATA'!B:AR,3,FALSE)</f>
        <v>Black Emblem Passport</v>
      </c>
      <c r="D25" s="220" t="str">
        <f t="shared" ref="D25:D26" si="5">B25</f>
        <v>08F20-3BM-100</v>
      </c>
      <c r="E25" s="378"/>
      <c r="F25" s="378"/>
      <c r="G25" s="381"/>
      <c r="H25" s="384"/>
      <c r="I25" s="372"/>
      <c r="J25" s="372"/>
      <c r="K25" s="372"/>
      <c r="L25" s="372"/>
      <c r="M25" s="372"/>
      <c r="N25" s="372"/>
      <c r="O25" s="372"/>
      <c r="P25" s="372"/>
      <c r="Q25" s="375"/>
      <c r="R25" s="97"/>
      <c r="S25" s="97"/>
      <c r="T25" s="97"/>
    </row>
    <row r="26" spans="2:20" s="134" customFormat="1" ht="15">
      <c r="B26" s="331" t="s">
        <v>234</v>
      </c>
      <c r="C26" s="192" t="str">
        <f>VLOOKUP(B26,'26MY_PASSPORT_DATA'!B:AR,3,FALSE)</f>
        <v>Black Emblem H Front &amp; rear</v>
      </c>
      <c r="D26" s="220" t="str">
        <f t="shared" si="5"/>
        <v>08F20-3BM-100B</v>
      </c>
      <c r="E26" s="379"/>
      <c r="F26" s="379"/>
      <c r="G26" s="382"/>
      <c r="H26" s="385"/>
      <c r="I26" s="373"/>
      <c r="J26" s="373"/>
      <c r="K26" s="373"/>
      <c r="L26" s="373"/>
      <c r="M26" s="373"/>
      <c r="N26" s="373"/>
      <c r="O26" s="373"/>
      <c r="P26" s="373"/>
      <c r="Q26" s="376"/>
      <c r="R26" s="97"/>
      <c r="S26" s="97"/>
      <c r="T26" s="97"/>
    </row>
    <row r="27" spans="2:20" s="134" customFormat="1" ht="6.95" customHeight="1">
      <c r="B27" s="331"/>
      <c r="C27" s="203"/>
      <c r="D27" s="204"/>
      <c r="E27" s="204"/>
      <c r="F27" s="204"/>
      <c r="G27" s="204"/>
      <c r="H27" s="204"/>
      <c r="I27" s="204"/>
      <c r="J27" s="204"/>
      <c r="K27" s="204"/>
      <c r="L27" s="204"/>
      <c r="M27" s="204"/>
      <c r="N27" s="204"/>
      <c r="O27" s="204"/>
      <c r="P27" s="204"/>
      <c r="Q27" s="349"/>
      <c r="R27" s="97"/>
      <c r="S27" s="97"/>
    </row>
    <row r="28" spans="2:20" s="134" customFormat="1" ht="15">
      <c r="B28" s="331" t="s">
        <v>296</v>
      </c>
      <c r="C28" s="196" t="str">
        <f>VLOOKUP(B28,'26MY_PASSPORT_DATA'!B:AR,3,FALSE)</f>
        <v>Towing Package 1</v>
      </c>
      <c r="D28" s="284" t="str">
        <f>B28</f>
        <v>26PAS-TOW-PK1</v>
      </c>
      <c r="E28" s="377">
        <f>VLOOKUP(B28,'26MY_PASSPORT_DATA'!B:AR,9,FALSE)</f>
        <v>213.75</v>
      </c>
      <c r="F28" s="377">
        <f>VLOOKUP(B28,'26MY_PASSPORT_DATA'!B:AR,10,FALSE)</f>
        <v>343.9</v>
      </c>
      <c r="G28" s="380">
        <f>VLOOKUP(B28,'26MY_PASSPORT_DATA'!B:AR,7,FALSE)</f>
        <v>0</v>
      </c>
      <c r="H28" s="383">
        <f>VLOOKUP(B28,'26MY_PASSPORT_DATA'!B:AR,11,FALSE)</f>
        <v>343.9</v>
      </c>
      <c r="I28" s="371">
        <f>VLOOKUP($B28,'26MY_PASSPORT_DATA'!$B:$AR,12,FALSE)</f>
        <v>0</v>
      </c>
      <c r="J28" s="371">
        <f>VLOOKUP($B28,'26MY_PASSPORT_DATA'!$B:$AR,13,FALSE)</f>
        <v>0</v>
      </c>
      <c r="K28" s="371" t="str">
        <f>VLOOKUP(B28,'26MY_PASSPORT_DATA'!B:AR,14,FALSE)</f>
        <v>•</v>
      </c>
      <c r="L28" s="371" t="str">
        <f>VLOOKUP(B28,'26MY_PASSPORT_DATA'!B:AR,15,FALSE)</f>
        <v>•</v>
      </c>
      <c r="M28" s="371">
        <f>VLOOKUP($B28,'26MY_PASSPORT_DATA'!$B:$AR,16,FALSE)</f>
        <v>0</v>
      </c>
      <c r="N28" s="371">
        <f>VLOOKUP(B28,'26MY_PASSPORT_DATA'!B:AR,17,FALSE)</f>
        <v>0</v>
      </c>
      <c r="O28" s="371" t="str">
        <f>VLOOKUP(B28,'26MY_PASSPORT_DATA'!B:AR,18,FALSE)</f>
        <v>•</v>
      </c>
      <c r="P28" s="371" t="str">
        <f>VLOOKUP(B28,'26MY_PASSPORT_DATA'!B:AR,19,FALSE)</f>
        <v>•</v>
      </c>
      <c r="Q28" s="374" t="str">
        <f>IF(VLOOKUP(B28,'26MY_PASSPORT_DATA'!B:AR,20,FALSE)="","",VLOOKUP(B28,'26MY_PASSPORT_DATA'!B:AR,20,FALSE))</f>
        <v>5% Discount applied</v>
      </c>
      <c r="R28" s="97"/>
      <c r="S28" s="97"/>
      <c r="T28" s="97"/>
    </row>
    <row r="29" spans="2:20" s="134" customFormat="1" ht="15">
      <c r="B29" s="331" t="s">
        <v>231</v>
      </c>
      <c r="C29" s="293" t="str">
        <f>VLOOKUP(B29,'26MY_PASSPORT_DATA'!B:AR,3,FALSE)</f>
        <v>Trailer Hitch Ball Mount</v>
      </c>
      <c r="D29" s="220" t="str">
        <f t="shared" ref="D29:D30" si="6">B29</f>
        <v>08L92-3BM-100A</v>
      </c>
      <c r="E29" s="378"/>
      <c r="F29" s="378"/>
      <c r="G29" s="381"/>
      <c r="H29" s="384"/>
      <c r="I29" s="372"/>
      <c r="J29" s="372"/>
      <c r="K29" s="372"/>
      <c r="L29" s="372"/>
      <c r="M29" s="372"/>
      <c r="N29" s="372"/>
      <c r="O29" s="372"/>
      <c r="P29" s="372"/>
      <c r="Q29" s="375"/>
      <c r="R29" s="97"/>
      <c r="S29" s="97"/>
      <c r="T29" s="97"/>
    </row>
    <row r="30" spans="2:20" s="134" customFormat="1" ht="15">
      <c r="B30" s="331" t="s">
        <v>196</v>
      </c>
      <c r="C30" s="192" t="str">
        <f>VLOOKUP(B30,'26MY_PASSPORT_DATA'!B:AR,3,FALSE)</f>
        <v>Trailer Hitch Ball - 1-7/8"</v>
      </c>
      <c r="D30" s="220" t="str">
        <f t="shared" si="6"/>
        <v>08L92-S9V-300G</v>
      </c>
      <c r="E30" s="378"/>
      <c r="F30" s="378"/>
      <c r="G30" s="381"/>
      <c r="H30" s="384"/>
      <c r="I30" s="372"/>
      <c r="J30" s="372"/>
      <c r="K30" s="372"/>
      <c r="L30" s="372"/>
      <c r="M30" s="372"/>
      <c r="N30" s="372"/>
      <c r="O30" s="372"/>
      <c r="P30" s="372"/>
      <c r="Q30" s="375"/>
      <c r="R30" s="97"/>
      <c r="S30" s="97"/>
      <c r="T30" s="97"/>
    </row>
    <row r="31" spans="2:20" s="134" customFormat="1" ht="15">
      <c r="B31" s="331" t="s">
        <v>198</v>
      </c>
      <c r="C31" s="192" t="str">
        <f>VLOOKUP(B31,'26MY_PASSPORT_DATA'!B:AR,3,FALSE)</f>
        <v>Trailer Hitch Locking Pin</v>
      </c>
      <c r="D31" s="220" t="str">
        <f t="shared" ref="D31" si="7">B31</f>
        <v>08L92-SJC-300A</v>
      </c>
      <c r="E31" s="379"/>
      <c r="F31" s="379"/>
      <c r="G31" s="382"/>
      <c r="H31" s="385"/>
      <c r="I31" s="373"/>
      <c r="J31" s="373"/>
      <c r="K31" s="373"/>
      <c r="L31" s="373"/>
      <c r="M31" s="373"/>
      <c r="N31" s="373"/>
      <c r="O31" s="373"/>
      <c r="P31" s="373"/>
      <c r="Q31" s="376"/>
      <c r="R31" s="97"/>
      <c r="S31" s="97"/>
      <c r="T31" s="97"/>
    </row>
    <row r="32" spans="2:20" s="134" customFormat="1" ht="6.95" customHeight="1">
      <c r="B32" s="331"/>
      <c r="C32" s="203"/>
      <c r="D32" s="204"/>
      <c r="E32" s="204"/>
      <c r="F32" s="204"/>
      <c r="G32" s="204"/>
      <c r="H32" s="204"/>
      <c r="I32" s="204"/>
      <c r="J32" s="204"/>
      <c r="K32" s="204"/>
      <c r="L32" s="204"/>
      <c r="M32" s="204"/>
      <c r="N32" s="204"/>
      <c r="O32" s="204"/>
      <c r="P32" s="204"/>
      <c r="Q32" s="349"/>
      <c r="R32" s="97"/>
      <c r="S32" s="97"/>
    </row>
    <row r="33" spans="2:20" s="134" customFormat="1" ht="15">
      <c r="B33" s="331" t="s">
        <v>297</v>
      </c>
      <c r="C33" s="196" t="str">
        <f>VLOOKUP(B33,'26MY_PASSPORT_DATA'!B:AR,3,FALSE)</f>
        <v>Towing Package 2</v>
      </c>
      <c r="D33" s="284" t="str">
        <f>B33</f>
        <v>26PAS-TOW-PK2</v>
      </c>
      <c r="E33" s="377">
        <f>VLOOKUP(B33,'26MY_PASSPORT_DATA'!B:AR,9,FALSE)</f>
        <v>213.75</v>
      </c>
      <c r="F33" s="377">
        <f>VLOOKUP(B33,'26MY_PASSPORT_DATA'!B:AR,10,FALSE)</f>
        <v>343.9</v>
      </c>
      <c r="G33" s="380">
        <f>VLOOKUP(B33,'26MY_PASSPORT_DATA'!B:AR,7,FALSE)</f>
        <v>0</v>
      </c>
      <c r="H33" s="383">
        <f>VLOOKUP(B33,'26MY_PASSPORT_DATA'!B:AR,11,FALSE)</f>
        <v>343.9</v>
      </c>
      <c r="I33" s="371">
        <f>VLOOKUP($B33,'26MY_PASSPORT_DATA'!$B:$AR,12,FALSE)</f>
        <v>0</v>
      </c>
      <c r="J33" s="371">
        <f>VLOOKUP($B33,'26MY_PASSPORT_DATA'!$B:$AR,13,FALSE)</f>
        <v>0</v>
      </c>
      <c r="K33" s="371" t="str">
        <f>VLOOKUP(B33,'26MY_PASSPORT_DATA'!B:AR,14,FALSE)</f>
        <v>•</v>
      </c>
      <c r="L33" s="371" t="str">
        <f>VLOOKUP(B33,'26MY_PASSPORT_DATA'!B:AR,15,FALSE)</f>
        <v>•</v>
      </c>
      <c r="M33" s="371">
        <f>VLOOKUP($B33,'26MY_PASSPORT_DATA'!$B:$AR,16,FALSE)</f>
        <v>0</v>
      </c>
      <c r="N33" s="371">
        <f>VLOOKUP(B33,'26MY_PASSPORT_DATA'!B:AR,17,FALSE)</f>
        <v>0</v>
      </c>
      <c r="O33" s="371" t="str">
        <f>VLOOKUP(B33,'26MY_PASSPORT_DATA'!B:AR,18,FALSE)</f>
        <v>•</v>
      </c>
      <c r="P33" s="371" t="str">
        <f>VLOOKUP(B33,'26MY_PASSPORT_DATA'!B:AR,19,FALSE)</f>
        <v>•</v>
      </c>
      <c r="Q33" s="374" t="str">
        <f>IF(VLOOKUP(B33,'26MY_PASSPORT_DATA'!B:AR,20,FALSE)="","",VLOOKUP(B33,'26MY_PASSPORT_DATA'!B:AR,20,FALSE))</f>
        <v>5% Discount applied</v>
      </c>
      <c r="R33" s="97"/>
      <c r="S33" s="97"/>
      <c r="T33" s="97"/>
    </row>
    <row r="34" spans="2:20" s="134" customFormat="1" ht="15">
      <c r="B34" s="331" t="s">
        <v>231</v>
      </c>
      <c r="C34" s="293" t="str">
        <f>VLOOKUP(B34,'26MY_PASSPORT_DATA'!B:AR,3,FALSE)</f>
        <v>Trailer Hitch Ball Mount</v>
      </c>
      <c r="D34" s="220" t="str">
        <f t="shared" ref="D34:D36" si="8">B34</f>
        <v>08L92-3BM-100A</v>
      </c>
      <c r="E34" s="378"/>
      <c r="F34" s="378"/>
      <c r="G34" s="381"/>
      <c r="H34" s="384"/>
      <c r="I34" s="372"/>
      <c r="J34" s="372"/>
      <c r="K34" s="372"/>
      <c r="L34" s="372"/>
      <c r="M34" s="372"/>
      <c r="N34" s="372"/>
      <c r="O34" s="372"/>
      <c r="P34" s="372"/>
      <c r="Q34" s="375"/>
      <c r="R34" s="97"/>
      <c r="S34" s="97"/>
      <c r="T34" s="97"/>
    </row>
    <row r="35" spans="2:20" s="134" customFormat="1" ht="15">
      <c r="B35" s="331" t="s">
        <v>197</v>
      </c>
      <c r="C35" s="192" t="str">
        <f>VLOOKUP(B35,'26MY_PASSPORT_DATA'!B:AR,3,FALSE)</f>
        <v>Trailer Hitch Ball - 2"</v>
      </c>
      <c r="D35" s="220" t="str">
        <f t="shared" si="8"/>
        <v>08L92-S9V-300H</v>
      </c>
      <c r="E35" s="378"/>
      <c r="F35" s="378"/>
      <c r="G35" s="381"/>
      <c r="H35" s="384"/>
      <c r="I35" s="372"/>
      <c r="J35" s="372"/>
      <c r="K35" s="372"/>
      <c r="L35" s="372"/>
      <c r="M35" s="372"/>
      <c r="N35" s="372"/>
      <c r="O35" s="372"/>
      <c r="P35" s="372"/>
      <c r="Q35" s="375"/>
      <c r="R35" s="97"/>
      <c r="S35" s="97"/>
      <c r="T35" s="97"/>
    </row>
    <row r="36" spans="2:20" s="134" customFormat="1" ht="15">
      <c r="B36" s="331" t="s">
        <v>198</v>
      </c>
      <c r="C36" s="192" t="str">
        <f>VLOOKUP(B36,'26MY_PASSPORT_DATA'!B:AR,3,FALSE)</f>
        <v>Trailer Hitch Locking Pin</v>
      </c>
      <c r="D36" s="220" t="str">
        <f t="shared" si="8"/>
        <v>08L92-SJC-300A</v>
      </c>
      <c r="E36" s="379"/>
      <c r="F36" s="379"/>
      <c r="G36" s="382"/>
      <c r="H36" s="385"/>
      <c r="I36" s="373"/>
      <c r="J36" s="373"/>
      <c r="K36" s="373"/>
      <c r="L36" s="373"/>
      <c r="M36" s="373"/>
      <c r="N36" s="373"/>
      <c r="O36" s="373"/>
      <c r="P36" s="373"/>
      <c r="Q36" s="376"/>
      <c r="R36" s="97"/>
      <c r="S36" s="97"/>
      <c r="T36" s="97"/>
    </row>
    <row r="37" spans="2:20" s="134" customFormat="1" ht="6.95" customHeight="1">
      <c r="B37" s="331"/>
      <c r="C37" s="203"/>
      <c r="D37" s="204"/>
      <c r="E37" s="204"/>
      <c r="F37" s="204"/>
      <c r="G37" s="204"/>
      <c r="H37" s="204"/>
      <c r="I37" s="204"/>
      <c r="J37" s="204"/>
      <c r="K37" s="204"/>
      <c r="L37" s="204"/>
      <c r="M37" s="204"/>
      <c r="N37" s="204"/>
      <c r="O37" s="204"/>
      <c r="P37" s="204"/>
      <c r="Q37" s="349"/>
      <c r="R37" s="97"/>
      <c r="S37" s="97"/>
    </row>
    <row r="38" spans="2:20" s="134" customFormat="1" ht="15">
      <c r="B38" s="331" t="s">
        <v>292</v>
      </c>
      <c r="C38" s="196" t="str">
        <f>VLOOKUP(B38,'26MY_PASSPORT_DATA'!B:AR,3,FALSE)</f>
        <v>Rugged Package</v>
      </c>
      <c r="D38" s="284" t="str">
        <f>B38</f>
        <v>26PAS-RUGPK</v>
      </c>
      <c r="E38" s="377">
        <f>VLOOKUP(B38,'26MY_PASSPORT_DATA'!B:AR,9,FALSE)</f>
        <v>1620</v>
      </c>
      <c r="F38" s="377">
        <f>VLOOKUP(B38,'26MY_PASSPORT_DATA'!B:AR,10,FALSE)</f>
        <v>2552</v>
      </c>
      <c r="G38" s="380">
        <f>VLOOKUP(B38,'26MY_PASSPORT_DATA'!B:AR,7,FALSE)</f>
        <v>1.9</v>
      </c>
      <c r="H38" s="383">
        <f>VLOOKUP(B38,'26MY_PASSPORT_DATA'!B:AR,11,FALSE)</f>
        <v>2837</v>
      </c>
      <c r="I38" s="371">
        <f>VLOOKUP($B38,'26MY_PASSPORT_DATA'!$B:$AR,12,FALSE)</f>
        <v>0</v>
      </c>
      <c r="J38" s="371">
        <f>VLOOKUP($B38,'26MY_PASSPORT_DATA'!$B:$AR,13,FALSE)</f>
        <v>0</v>
      </c>
      <c r="K38" s="371" t="str">
        <f>VLOOKUP(B38,'26MY_PASSPORT_DATA'!B:AR,14,FALSE)</f>
        <v>•</v>
      </c>
      <c r="L38" s="371" t="str">
        <f>VLOOKUP(B38,'26MY_PASSPORT_DATA'!B:AR,15,FALSE)</f>
        <v>•</v>
      </c>
      <c r="M38" s="371">
        <f>VLOOKUP($B38,'26MY_PASSPORT_DATA'!$B:$AR,16,FALSE)</f>
        <v>0</v>
      </c>
      <c r="N38" s="371">
        <f>VLOOKUP(B38,'26MY_PASSPORT_DATA'!B:AR,17,FALSE)</f>
        <v>0</v>
      </c>
      <c r="O38" s="371" t="str">
        <f>VLOOKUP(B38,'26MY_PASSPORT_DATA'!B:AR,18,FALSE)</f>
        <v>•</v>
      </c>
      <c r="P38" s="371" t="str">
        <f>VLOOKUP(B38,'26MY_PASSPORT_DATA'!B:AR,19,FALSE)</f>
        <v>•</v>
      </c>
      <c r="Q38" s="374" t="str">
        <f>IF(VLOOKUP(B38,'26MY_PASSPORT_DATA'!B:AR,20,FALSE)="","",VLOOKUP(B38,'26MY_PASSPORT_DATA'!B:AR,20,FALSE))</f>
        <v xml:space="preserve">Promotional 20% discount available for a limited time. </v>
      </c>
      <c r="R38" s="97"/>
      <c r="S38" s="97"/>
      <c r="T38" s="97"/>
    </row>
    <row r="39" spans="2:20" s="134" customFormat="1" ht="15">
      <c r="B39" s="331" t="s">
        <v>240</v>
      </c>
      <c r="C39" s="192" t="str">
        <f>VLOOKUP(B39,'26MY_PASSPORT_DATA'!B:AR,3,FALSE)</f>
        <v>All Season Mats (TrailSport logo)</v>
      </c>
      <c r="D39" s="202" t="str">
        <f t="shared" ref="D39" si="9">B39</f>
        <v>08P17-3BM-120A</v>
      </c>
      <c r="E39" s="378"/>
      <c r="F39" s="378"/>
      <c r="G39" s="381"/>
      <c r="H39" s="384"/>
      <c r="I39" s="372"/>
      <c r="J39" s="372"/>
      <c r="K39" s="372"/>
      <c r="L39" s="372"/>
      <c r="M39" s="372"/>
      <c r="N39" s="372"/>
      <c r="O39" s="372"/>
      <c r="P39" s="372"/>
      <c r="Q39" s="375"/>
      <c r="R39" s="97"/>
      <c r="S39" s="97"/>
      <c r="T39" s="97"/>
    </row>
    <row r="40" spans="2:20" s="134" customFormat="1" ht="15">
      <c r="B40" s="331" t="s">
        <v>244</v>
      </c>
      <c r="C40" s="192" t="str">
        <f>VLOOKUP(B40,'26MY_PASSPORT_DATA'!B:AR,3,FALSE)</f>
        <v>Cargo Tray</v>
      </c>
      <c r="D40" s="202" t="str">
        <f t="shared" ref="D40:D43" si="10">B40</f>
        <v>08U45-3BM-100</v>
      </c>
      <c r="E40" s="378"/>
      <c r="F40" s="378"/>
      <c r="G40" s="381"/>
      <c r="H40" s="384"/>
      <c r="I40" s="372"/>
      <c r="J40" s="372"/>
      <c r="K40" s="372"/>
      <c r="L40" s="372"/>
      <c r="M40" s="372"/>
      <c r="N40" s="372"/>
      <c r="O40" s="372"/>
      <c r="P40" s="372"/>
      <c r="Q40" s="375"/>
      <c r="R40" s="97"/>
      <c r="S40" s="97"/>
      <c r="T40" s="97"/>
    </row>
    <row r="41" spans="2:20" s="134" customFormat="1" ht="15">
      <c r="B41" s="331" t="s">
        <v>232</v>
      </c>
      <c r="C41" s="192" t="str">
        <f>VLOOKUP(B41,'26MY_PASSPORT_DATA'!B:AR,3,FALSE)</f>
        <v>Splash Guards</v>
      </c>
      <c r="D41" s="202" t="str">
        <f t="shared" ref="D41" si="11">B41</f>
        <v>08P00-3BM-100</v>
      </c>
      <c r="E41" s="378"/>
      <c r="F41" s="378"/>
      <c r="G41" s="381"/>
      <c r="H41" s="384"/>
      <c r="I41" s="372"/>
      <c r="J41" s="372"/>
      <c r="K41" s="372"/>
      <c r="L41" s="372"/>
      <c r="M41" s="372"/>
      <c r="N41" s="372"/>
      <c r="O41" s="372"/>
      <c r="P41" s="372"/>
      <c r="Q41" s="375"/>
      <c r="R41" s="97"/>
      <c r="S41" s="97"/>
      <c r="T41" s="97"/>
    </row>
    <row r="42" spans="2:20" s="134" customFormat="1" ht="15">
      <c r="B42" s="331" t="s">
        <v>242</v>
      </c>
      <c r="C42" s="192" t="str">
        <f>VLOOKUP(B42,'26MY_PASSPORT_DATA'!B:AR,3,FALSE)</f>
        <v>Front Scuff Plate</v>
      </c>
      <c r="D42" s="202" t="str">
        <f t="shared" si="10"/>
        <v>08P46-3BM-100</v>
      </c>
      <c r="E42" s="378"/>
      <c r="F42" s="378"/>
      <c r="G42" s="381"/>
      <c r="H42" s="384"/>
      <c r="I42" s="372"/>
      <c r="J42" s="372"/>
      <c r="K42" s="372"/>
      <c r="L42" s="372"/>
      <c r="M42" s="372"/>
      <c r="N42" s="372"/>
      <c r="O42" s="372"/>
      <c r="P42" s="372"/>
      <c r="Q42" s="375"/>
      <c r="R42" s="97"/>
      <c r="S42" s="97"/>
      <c r="T42" s="97"/>
    </row>
    <row r="43" spans="2:20" s="134" customFormat="1" ht="15">
      <c r="B43" s="331" t="s">
        <v>229</v>
      </c>
      <c r="C43" s="192" t="str">
        <f>VLOOKUP(B43,'26MY_PASSPORT_DATA'!B:AR,3,FALSE)</f>
        <v>Rock Slider</v>
      </c>
      <c r="D43" s="220" t="str">
        <f t="shared" si="10"/>
        <v>08L33-3BM-100A</v>
      </c>
      <c r="E43" s="379"/>
      <c r="F43" s="379"/>
      <c r="G43" s="382"/>
      <c r="H43" s="385"/>
      <c r="I43" s="373"/>
      <c r="J43" s="373"/>
      <c r="K43" s="373"/>
      <c r="L43" s="373"/>
      <c r="M43" s="373"/>
      <c r="N43" s="373"/>
      <c r="O43" s="373"/>
      <c r="P43" s="373"/>
      <c r="Q43" s="376"/>
      <c r="R43" s="97"/>
      <c r="S43" s="97"/>
      <c r="T43" s="97"/>
    </row>
    <row r="44" spans="2:20" s="134" customFormat="1" ht="6.95" customHeight="1">
      <c r="B44" s="331"/>
      <c r="C44" s="203"/>
      <c r="D44" s="204"/>
      <c r="E44" s="204"/>
      <c r="F44" s="204"/>
      <c r="G44" s="204"/>
      <c r="H44" s="204"/>
      <c r="I44" s="204"/>
      <c r="J44" s="204"/>
      <c r="K44" s="204"/>
      <c r="L44" s="204"/>
      <c r="M44" s="204"/>
      <c r="N44" s="204"/>
      <c r="O44" s="204"/>
      <c r="P44" s="204"/>
      <c r="Q44" s="349"/>
      <c r="R44" s="97"/>
      <c r="S44" s="97"/>
    </row>
    <row r="45" spans="2:20" s="134" customFormat="1" ht="15">
      <c r="B45" s="331" t="s">
        <v>497</v>
      </c>
      <c r="C45" s="196" t="str">
        <f>VLOOKUP(B45,'26MY_PASSPORT_DATA'!B:AR,3,FALSE)</f>
        <v>Cold Weather Package</v>
      </c>
      <c r="D45" s="284" t="str">
        <f>B45</f>
        <v>26PAS-COLD</v>
      </c>
      <c r="E45" s="377">
        <f>VLOOKUP(B45,'26MY_PASSPORT_DATA'!B:AR,9,FALSE)</f>
        <v>224.2</v>
      </c>
      <c r="F45" s="377">
        <f>VLOOKUP(B45,'26MY_PASSPORT_DATA'!B:AR,10,FALSE)</f>
        <v>394</v>
      </c>
      <c r="G45" s="380">
        <f>VLOOKUP(B45,'26MY_PASSPORT_DATA'!B:AR,7,FALSE)</f>
        <v>1.2</v>
      </c>
      <c r="H45" s="383">
        <f>VLOOKUP(B45,'26MY_PASSPORT_DATA'!B:AR,11,FALSE)</f>
        <v>574</v>
      </c>
      <c r="I45" s="371">
        <f>VLOOKUP($B45,'26MY_PASSPORT_DATA'!$B:$AR,12,FALSE)</f>
        <v>0</v>
      </c>
      <c r="J45" s="371">
        <f>VLOOKUP($B45,'26MY_PASSPORT_DATA'!$B:$AR,13,FALSE)</f>
        <v>0</v>
      </c>
      <c r="K45" s="371" t="str">
        <f>VLOOKUP(B45,'26MY_PASSPORT_DATA'!B:AR,14,FALSE)</f>
        <v>•</v>
      </c>
      <c r="L45" s="371" t="str">
        <f>VLOOKUP(B45,'26MY_PASSPORT_DATA'!B:AR,15,FALSE)</f>
        <v>•</v>
      </c>
      <c r="M45" s="371">
        <f>VLOOKUP($B45,'26MY_PASSPORT_DATA'!$B:$AR,16,FALSE)</f>
        <v>0</v>
      </c>
      <c r="N45" s="371">
        <f>VLOOKUP(B45,'26MY_PASSPORT_DATA'!B:AR,17,FALSE)</f>
        <v>0</v>
      </c>
      <c r="O45" s="371" t="str">
        <f>VLOOKUP(B45,'26MY_PASSPORT_DATA'!B:AR,18,FALSE)</f>
        <v>•</v>
      </c>
      <c r="P45" s="371" t="str">
        <f>VLOOKUP(B45,'26MY_PASSPORT_DATA'!B:AR,19,FALSE)</f>
        <v>•</v>
      </c>
      <c r="Q45" s="374" t="str">
        <f>IF(VLOOKUP(B45,'26MY_PASSPORT_DATA'!B:AR,20,FALSE)="","",VLOOKUP(B45,'26MY_PASSPORT_DATA'!B:AR,20,FALSE))</f>
        <v>5% Discount applied</v>
      </c>
      <c r="R45" s="97"/>
      <c r="S45" s="97"/>
      <c r="T45" s="97"/>
    </row>
    <row r="46" spans="2:20" s="134" customFormat="1" ht="15">
      <c r="B46" s="331" t="s">
        <v>426</v>
      </c>
      <c r="C46" s="192" t="str">
        <f>VLOOKUP(B46,'26MY_PASSPORT_DATA'!B:AR,3,FALSE)</f>
        <v>Engine Block Heater</v>
      </c>
      <c r="D46" s="220" t="str">
        <f t="shared" ref="D46:D47" si="12">B46</f>
        <v>08T44-SNA-302</v>
      </c>
      <c r="E46" s="378"/>
      <c r="F46" s="378"/>
      <c r="G46" s="381"/>
      <c r="H46" s="384"/>
      <c r="I46" s="372"/>
      <c r="J46" s="372"/>
      <c r="K46" s="372"/>
      <c r="L46" s="372"/>
      <c r="M46" s="372"/>
      <c r="N46" s="372"/>
      <c r="O46" s="372"/>
      <c r="P46" s="372"/>
      <c r="Q46" s="375"/>
      <c r="R46" s="97"/>
      <c r="S46" s="97"/>
      <c r="T46" s="97"/>
    </row>
    <row r="47" spans="2:20" s="134" customFormat="1" ht="15">
      <c r="B47" s="331" t="s">
        <v>258</v>
      </c>
      <c r="C47" s="192" t="str">
        <f>VLOOKUP(B47,'26MY_PASSPORT_DATA'!B:AR,3,FALSE)</f>
        <v>Optimate 12V Auto Battery Charger/Maintainer</v>
      </c>
      <c r="D47" s="202" t="str">
        <f t="shared" si="12"/>
        <v>31670-BMS-004H</v>
      </c>
      <c r="E47" s="379"/>
      <c r="F47" s="379"/>
      <c r="G47" s="382"/>
      <c r="H47" s="385"/>
      <c r="I47" s="373"/>
      <c r="J47" s="373"/>
      <c r="K47" s="373"/>
      <c r="L47" s="373"/>
      <c r="M47" s="373"/>
      <c r="N47" s="373"/>
      <c r="O47" s="373"/>
      <c r="P47" s="373"/>
      <c r="Q47" s="376"/>
      <c r="R47" s="97"/>
      <c r="S47" s="97"/>
      <c r="T47" s="97"/>
    </row>
    <row r="48" spans="2:20" s="135" customFormat="1" ht="15" customHeight="1">
      <c r="B48" s="332"/>
      <c r="C48" s="132"/>
      <c r="D48" s="132"/>
      <c r="E48" s="132"/>
      <c r="F48" s="132"/>
      <c r="G48" s="131"/>
      <c r="H48" s="132"/>
      <c r="I48" s="132"/>
      <c r="J48" s="132"/>
      <c r="K48" s="132"/>
      <c r="L48" s="132"/>
      <c r="M48" s="132"/>
      <c r="N48" s="132"/>
      <c r="O48" s="132"/>
      <c r="P48" s="132"/>
      <c r="Q48" s="132"/>
    </row>
    <row r="49" spans="1:17" s="133" customFormat="1" ht="18.75">
      <c r="B49" s="331"/>
      <c r="C49" s="152" t="s">
        <v>63</v>
      </c>
      <c r="D49" s="152"/>
      <c r="E49" s="143"/>
      <c r="F49" s="143"/>
      <c r="G49" s="143"/>
      <c r="H49" s="143"/>
      <c r="I49" s="143"/>
      <c r="J49" s="143"/>
      <c r="K49" s="143"/>
      <c r="L49" s="143"/>
      <c r="M49" s="143"/>
      <c r="N49" s="143"/>
      <c r="O49" s="143"/>
      <c r="P49" s="143"/>
      <c r="Q49" s="143"/>
    </row>
    <row r="50" spans="1:17" s="134" customFormat="1" ht="15" customHeight="1">
      <c r="B50" s="331"/>
      <c r="C50" s="387" t="s">
        <v>55</v>
      </c>
      <c r="D50" s="387" t="s">
        <v>10</v>
      </c>
      <c r="E50" s="387" t="s">
        <v>17</v>
      </c>
      <c r="F50" s="387" t="s">
        <v>11</v>
      </c>
      <c r="G50" s="387" t="s">
        <v>12</v>
      </c>
      <c r="H50" s="386" t="s">
        <v>13</v>
      </c>
      <c r="I50" s="387" t="s">
        <v>23</v>
      </c>
      <c r="J50" s="387"/>
      <c r="K50" s="387"/>
      <c r="L50" s="387"/>
      <c r="M50" s="387"/>
      <c r="N50" s="387"/>
      <c r="O50" s="387"/>
      <c r="P50" s="387"/>
      <c r="Q50" s="387" t="s">
        <v>14</v>
      </c>
    </row>
    <row r="51" spans="1:17" s="134" customFormat="1" ht="45">
      <c r="B51" s="332"/>
      <c r="C51" s="387"/>
      <c r="D51" s="387"/>
      <c r="E51" s="387"/>
      <c r="F51" s="387"/>
      <c r="G51" s="387"/>
      <c r="H51" s="386"/>
      <c r="I51" s="174">
        <f>'26MY_PASSPORT_DATA'!$M$7</f>
        <v>0</v>
      </c>
      <c r="J51" s="174">
        <f>'26MY_PASSPORT_DATA'!$M$7</f>
        <v>0</v>
      </c>
      <c r="K51" s="174" t="str">
        <f>'26MY_PASSPORT_DATA'!$O$7</f>
        <v>TrailSport</v>
      </c>
      <c r="L51" s="174" t="str">
        <f>'26MY_PASSPORT_DATA'!$P$7</f>
        <v>TrailSport Blackout</v>
      </c>
      <c r="M51" s="174">
        <f>'26MY_PASSPORT_DATA'!$R$7</f>
        <v>0</v>
      </c>
      <c r="N51" s="174">
        <f>'26MY_PASSPORT_DATA'!$R$7</f>
        <v>0</v>
      </c>
      <c r="O51" s="174" t="str">
        <f>'26MY_PASSPORT_DATA'!$S$7</f>
        <v>TrailSport Touring</v>
      </c>
      <c r="P51" s="174" t="str">
        <f>'26MY_PASSPORT_DATA'!$T$7</f>
        <v>Trailsport Touring Blackout</v>
      </c>
      <c r="Q51" s="387"/>
    </row>
    <row r="52" spans="1:17" s="135" customFormat="1" ht="15" customHeight="1">
      <c r="B52" s="332" t="s">
        <v>247</v>
      </c>
      <c r="C52" s="175" t="str">
        <f>VLOOKUP(B52,'26MY_PASSPORT_DATA'!B:AR,3,FALSE)</f>
        <v>18" Retro Alloy Wheel White</v>
      </c>
      <c r="D52" s="79" t="str">
        <f>B52</f>
        <v>08W18-3BM-100</v>
      </c>
      <c r="E52" s="343">
        <f>VLOOKUP(B52,'26MY_PASSPORT_DATA'!B:AR,9,FALSE)</f>
        <v>2072</v>
      </c>
      <c r="F52" s="343">
        <f>VLOOKUP(B52,'26MY_PASSPORT_DATA'!B:AR,10,FALSE)</f>
        <v>3288</v>
      </c>
      <c r="G52" s="344">
        <f>VLOOKUP(B52,'26MY_PASSPORT_DATA'!B:AR,7,FALSE)</f>
        <v>1.6</v>
      </c>
      <c r="H52" s="345">
        <f>VLOOKUP(B52,'26MY_PASSPORT_DATA'!B:AR,11,FALSE)</f>
        <v>3528</v>
      </c>
      <c r="I52" s="347">
        <f>VLOOKUP($B52,'26MY_PASSPORT_DATA'!$B:$AR,12,FALSE)</f>
        <v>0</v>
      </c>
      <c r="J52" s="347">
        <f>VLOOKUP($B52,'26MY_PASSPORT_DATA'!$B:$AR,13,FALSE)</f>
        <v>0</v>
      </c>
      <c r="K52" s="347" t="str">
        <f>VLOOKUP(B52,'26MY_PASSPORT_DATA'!B:AR,14,FALSE)</f>
        <v>•</v>
      </c>
      <c r="L52" s="347" t="str">
        <f>VLOOKUP(B52,'26MY_PASSPORT_DATA'!B:AR,15,FALSE)</f>
        <v>•</v>
      </c>
      <c r="M52" s="347">
        <f>VLOOKUP($B52,'26MY_PASSPORT_DATA'!$B:$AR,16,FALSE)</f>
        <v>0</v>
      </c>
      <c r="N52" s="347">
        <f>VLOOKUP(B52,'26MY_PASSPORT_DATA'!B:AR,17,FALSE)</f>
        <v>0</v>
      </c>
      <c r="O52" s="347" t="str">
        <f>VLOOKUP(B52,'26MY_PASSPORT_DATA'!B:AR,18,FALSE)</f>
        <v>•</v>
      </c>
      <c r="P52" s="347" t="str">
        <f>VLOOKUP(B52,'26MY_PASSPORT_DATA'!B:AR,19,FALSE)</f>
        <v>•</v>
      </c>
      <c r="Q52" s="346" t="str">
        <f>IF(VLOOKUP(B52,'26MY_PASSPORT_DATA'!B:AR,20,FALSE)="","",VLOOKUP(B52,'26MY_PASSPORT_DATA'!B:AR,20,FALSE))</f>
        <v>Priced as a set of 4 wheels. Tires sold separately.</v>
      </c>
    </row>
    <row r="53" spans="1:17" s="134" customFormat="1" ht="16.5">
      <c r="B53" s="332" t="s">
        <v>289</v>
      </c>
      <c r="C53" s="175" t="str">
        <f>VLOOKUP(B53,'26MY_PASSPORT_DATA'!B:AR,3,FALSE)</f>
        <v>Wheel Locks - Chrome</v>
      </c>
      <c r="D53" s="291" t="str">
        <f t="shared" ref="D53:D55" si="13">B53</f>
        <v>08W42-TK4-301</v>
      </c>
      <c r="E53" s="343">
        <f>VLOOKUP(B53,'26MY_PASSPORT_DATA'!B:AR,9,FALSE)</f>
        <v>91</v>
      </c>
      <c r="F53" s="343">
        <f>VLOOKUP(B53,'26MY_PASSPORT_DATA'!B:AR,10,FALSE)</f>
        <v>152</v>
      </c>
      <c r="G53" s="344">
        <f>VLOOKUP(B53,'26MY_PASSPORT_DATA'!B:AR,7,FALSE)</f>
        <v>0.2</v>
      </c>
      <c r="H53" s="345">
        <f>VLOOKUP(B53,'26MY_PASSPORT_DATA'!B:AR,11,FALSE)</f>
        <v>182</v>
      </c>
      <c r="I53" s="347">
        <f>VLOOKUP($B53,'26MY_PASSPORT_DATA'!$B:$AR,12,FALSE)</f>
        <v>0</v>
      </c>
      <c r="J53" s="347">
        <f>VLOOKUP($B53,'26MY_PASSPORT_DATA'!$B:$AR,13,FALSE)</f>
        <v>0</v>
      </c>
      <c r="K53" s="347" t="str">
        <f>VLOOKUP(B53,'26MY_PASSPORT_DATA'!B:AR,14,FALSE)</f>
        <v>•</v>
      </c>
      <c r="L53" s="347" t="str">
        <f>VLOOKUP(B53,'26MY_PASSPORT_DATA'!B:AR,15,FALSE)</f>
        <v>•</v>
      </c>
      <c r="M53" s="347">
        <f>VLOOKUP($B53,'26MY_PASSPORT_DATA'!$B:$AR,16,FALSE)</f>
        <v>0</v>
      </c>
      <c r="N53" s="347">
        <f>VLOOKUP(B53,'26MY_PASSPORT_DATA'!B:AR,17,FALSE)</f>
        <v>0</v>
      </c>
      <c r="O53" s="347" t="str">
        <f>VLOOKUP(B53,'26MY_PASSPORT_DATA'!B:AR,18,FALSE)</f>
        <v>•</v>
      </c>
      <c r="P53" s="347" t="str">
        <f>VLOOKUP(B53,'26MY_PASSPORT_DATA'!B:AR,19,FALSE)</f>
        <v>•</v>
      </c>
      <c r="Q53" s="346" t="str">
        <f>IF(VLOOKUP(B53,'26MY_PASSPORT_DATA'!B:AR,20,FALSE)="","",VLOOKUP(B53,'26MY_PASSPORT_DATA'!B:AR,20,FALSE))</f>
        <v/>
      </c>
    </row>
    <row r="54" spans="1:17" s="134" customFormat="1" ht="16.5">
      <c r="B54" s="332" t="s">
        <v>288</v>
      </c>
      <c r="C54" s="175" t="str">
        <f>VLOOKUP(B54,'26MY_PASSPORT_DATA'!B:AR,3,FALSE)</f>
        <v>Wheel Locks - Black</v>
      </c>
      <c r="D54" s="291" t="str">
        <f t="shared" si="13"/>
        <v>08W42-TG7-301A</v>
      </c>
      <c r="E54" s="343">
        <f>VLOOKUP(B54,'26MY_PASSPORT_DATA'!B:AR,9,FALSE)</f>
        <v>85</v>
      </c>
      <c r="F54" s="343">
        <f>VLOOKUP(B54,'26MY_PASSPORT_DATA'!B:AR,10,FALSE)</f>
        <v>140</v>
      </c>
      <c r="G54" s="344">
        <f>VLOOKUP(B54,'26MY_PASSPORT_DATA'!B:AR,7,FALSE)</f>
        <v>0.2</v>
      </c>
      <c r="H54" s="345">
        <f>VLOOKUP(B54,'26MY_PASSPORT_DATA'!B:AR,11,FALSE)</f>
        <v>170</v>
      </c>
      <c r="I54" s="347">
        <f>VLOOKUP($B54,'26MY_PASSPORT_DATA'!$B:$AR,12,FALSE)</f>
        <v>0</v>
      </c>
      <c r="J54" s="347">
        <f>VLOOKUP($B54,'26MY_PASSPORT_DATA'!$B:$AR,13,FALSE)</f>
        <v>0</v>
      </c>
      <c r="K54" s="347" t="str">
        <f>VLOOKUP(B54,'26MY_PASSPORT_DATA'!B:AR,14,FALSE)</f>
        <v>•</v>
      </c>
      <c r="L54" s="347" t="str">
        <f>VLOOKUP(B54,'26MY_PASSPORT_DATA'!B:AR,15,FALSE)</f>
        <v>•</v>
      </c>
      <c r="M54" s="347">
        <f>VLOOKUP($B54,'26MY_PASSPORT_DATA'!$B:$AR,16,FALSE)</f>
        <v>0</v>
      </c>
      <c r="N54" s="347">
        <f>VLOOKUP(B54,'26MY_PASSPORT_DATA'!B:AR,17,FALSE)</f>
        <v>0</v>
      </c>
      <c r="O54" s="347" t="str">
        <f>VLOOKUP(B54,'26MY_PASSPORT_DATA'!B:AR,18,FALSE)</f>
        <v>•</v>
      </c>
      <c r="P54" s="347" t="str">
        <f>VLOOKUP(B54,'26MY_PASSPORT_DATA'!B:AR,19,FALSE)</f>
        <v>•</v>
      </c>
      <c r="Q54" s="346" t="str">
        <f>IF(VLOOKUP(B54,'26MY_PASSPORT_DATA'!B:AR,20,FALSE)="","",VLOOKUP(B54,'26MY_PASSPORT_DATA'!B:AR,20,FALSE))</f>
        <v/>
      </c>
    </row>
    <row r="55" spans="1:17" s="134" customFormat="1" ht="16.5">
      <c r="B55" s="332" t="s">
        <v>432</v>
      </c>
      <c r="C55" s="175" t="str">
        <f>VLOOKUP(B55,'26MY_PASSPORT_DATA'!B:AR,3,FALSE)</f>
        <v>Wheel Lug Nuts, Black</v>
      </c>
      <c r="D55" s="291" t="str">
        <f t="shared" si="13"/>
        <v>08W42-PL4-100A</v>
      </c>
      <c r="E55" s="343">
        <f>VLOOKUP(B55,'26MY_PASSPORT_DATA'!B:AR,9,FALSE)</f>
        <v>165</v>
      </c>
      <c r="F55" s="343">
        <f>VLOOKUP(B55,'26MY_PASSPORT_DATA'!B:AR,10,FALSE)</f>
        <v>275</v>
      </c>
      <c r="G55" s="344">
        <f>VLOOKUP(B55,'26MY_PASSPORT_DATA'!B:AR,7,FALSE)</f>
        <v>0.3</v>
      </c>
      <c r="H55" s="345">
        <f>VLOOKUP(B55,'26MY_PASSPORT_DATA'!B:AR,11,FALSE)</f>
        <v>320</v>
      </c>
      <c r="I55" s="347">
        <f>VLOOKUP($B55,'26MY_PASSPORT_DATA'!$B:$AR,12,FALSE)</f>
        <v>0</v>
      </c>
      <c r="J55" s="347">
        <f>VLOOKUP($B55,'26MY_PASSPORT_DATA'!$B:$AR,13,FALSE)</f>
        <v>0</v>
      </c>
      <c r="K55" s="347" t="str">
        <f>VLOOKUP(B55,'26MY_PASSPORT_DATA'!B:AR,14,FALSE)</f>
        <v>•</v>
      </c>
      <c r="L55" s="347" t="str">
        <f>VLOOKUP(B55,'26MY_PASSPORT_DATA'!B:AR,15,FALSE)</f>
        <v>•</v>
      </c>
      <c r="M55" s="347">
        <f>VLOOKUP($B55,'26MY_PASSPORT_DATA'!$B:$AR,16,FALSE)</f>
        <v>0</v>
      </c>
      <c r="N55" s="347">
        <f>VLOOKUP(B55,'26MY_PASSPORT_DATA'!B:AR,17,FALSE)</f>
        <v>0</v>
      </c>
      <c r="O55" s="347" t="str">
        <f>VLOOKUP(B55,'26MY_PASSPORT_DATA'!B:AR,18,FALSE)</f>
        <v>•</v>
      </c>
      <c r="P55" s="347" t="str">
        <f>VLOOKUP(B55,'26MY_PASSPORT_DATA'!B:AR,19,FALSE)</f>
        <v>•</v>
      </c>
      <c r="Q55" s="346" t="str">
        <f>IF(VLOOKUP(B55,'26MY_PASSPORT_DATA'!B:AR,20,FALSE)="","",VLOOKUP(B55,'26MY_PASSPORT_DATA'!B:AR,20,FALSE))</f>
        <v/>
      </c>
    </row>
    <row r="56" spans="1:17" s="134" customFormat="1" ht="7.5" hidden="1" customHeight="1">
      <c r="A56" s="303" t="s">
        <v>301</v>
      </c>
      <c r="B56" s="332" t="s">
        <v>284</v>
      </c>
      <c r="C56" s="175" t="str">
        <f>VLOOKUP(B56,'26MY_PASSPORT_DATA'!B:AR,3,FALSE)</f>
        <v>FULL SIZE SPARE KIT ??</v>
      </c>
      <c r="D56" s="291" t="str">
        <f t="shared" ref="D56" si="14">B56</f>
        <v>08U02-3BM-100</v>
      </c>
      <c r="E56" s="176">
        <f>VLOOKUP(B56,'26MY_PASSPORT_DATA'!B:AR,25,FALSE)</f>
        <v>0</v>
      </c>
      <c r="F56" s="176">
        <f>VLOOKUP(B56,'26MY_PASSPORT_DATA'!B:AR,26,FALSE)</f>
        <v>0</v>
      </c>
      <c r="G56" s="177">
        <f>VLOOKUP(B56,'26MY_PASSPORT_DATA'!B:AR,23,FALSE)</f>
        <v>0</v>
      </c>
      <c r="H56" s="178">
        <f>VLOOKUP(B56,'26MY_PASSPORT_DATA'!B:AR,27,FALSE)</f>
        <v>0</v>
      </c>
      <c r="I56" s="179">
        <f>VLOOKUP(B56,'26MY_PASSPORT_DATA'!B:AR,28,FALSE)</f>
        <v>0</v>
      </c>
      <c r="J56" s="179" t="e">
        <f>VLOOKUP(C56,'26MY_PASSPORT_DATA'!C:AS,28,FALSE)</f>
        <v>#N/A</v>
      </c>
      <c r="K56" s="179">
        <f>VLOOKUP(B56,'26MY_PASSPORT_DATA'!B:AR,29,FALSE)</f>
        <v>0</v>
      </c>
      <c r="L56" s="179">
        <f>VLOOKUP(B56,'26MY_PASSPORT_DATA'!B:AR,30,FALSE)</f>
        <v>0</v>
      </c>
      <c r="M56" s="179" t="e">
        <f>VLOOKUP(A56,'26MY_PASSPORT_DATA'!A:AQ,31,FALSE)</f>
        <v>#N/A</v>
      </c>
      <c r="N56" s="179">
        <f>VLOOKUP(B56,'26MY_PASSPORT_DATA'!B:AR,31,FALSE)</f>
        <v>0</v>
      </c>
      <c r="O56" s="179">
        <f>VLOOKUP(B56,'26MY_PASSPORT_DATA'!B:AR,32,FALSE)</f>
        <v>0</v>
      </c>
      <c r="P56" s="179">
        <f>VLOOKUP(B56,'26MY_PASSPORT_DATA'!B:AR,33,FALSE)</f>
        <v>0</v>
      </c>
      <c r="Q56" s="180" t="str">
        <f>IF(VLOOKUP(B56,'26MY_PASSPORT_DATA'!B:AR,34,FALSE)="","",VLOOKUP(B56,'26MY_PASSPORT_DATA'!B:AR,34,FALSE))</f>
        <v/>
      </c>
    </row>
    <row r="57" spans="1:17" s="135" customFormat="1" ht="10.5" customHeight="1">
      <c r="B57" s="332"/>
      <c r="C57" s="20"/>
      <c r="D57" s="183"/>
      <c r="E57" s="184"/>
      <c r="F57" s="184"/>
      <c r="G57" s="185"/>
      <c r="H57" s="186"/>
      <c r="I57" s="91"/>
      <c r="J57" s="91"/>
      <c r="K57" s="97"/>
      <c r="L57" s="91"/>
      <c r="M57" s="91"/>
      <c r="N57" s="91"/>
      <c r="O57" s="91"/>
      <c r="P57" s="91"/>
      <c r="Q57" s="187"/>
    </row>
    <row r="58" spans="1:17" s="133" customFormat="1" ht="18.75">
      <c r="B58" s="333"/>
      <c r="C58" s="152" t="s">
        <v>62</v>
      </c>
      <c r="D58" s="152"/>
      <c r="E58" s="143"/>
      <c r="F58" s="143"/>
      <c r="G58" s="143"/>
      <c r="H58" s="143"/>
      <c r="I58" s="143"/>
      <c r="J58" s="143"/>
      <c r="K58" s="91"/>
      <c r="L58" s="143"/>
      <c r="M58" s="143"/>
      <c r="N58" s="143"/>
      <c r="O58" s="143"/>
      <c r="P58" s="143"/>
      <c r="Q58" s="143"/>
    </row>
    <row r="59" spans="1:17" s="134" customFormat="1" ht="15" customHeight="1">
      <c r="B59" s="332"/>
      <c r="C59" s="387" t="s">
        <v>55</v>
      </c>
      <c r="D59" s="387" t="s">
        <v>10</v>
      </c>
      <c r="E59" s="387" t="s">
        <v>17</v>
      </c>
      <c r="F59" s="387" t="s">
        <v>11</v>
      </c>
      <c r="G59" s="387" t="s">
        <v>12</v>
      </c>
      <c r="H59" s="386" t="s">
        <v>13</v>
      </c>
      <c r="I59" s="387" t="s">
        <v>23</v>
      </c>
      <c r="J59" s="387"/>
      <c r="K59" s="387"/>
      <c r="L59" s="387"/>
      <c r="M59" s="387"/>
      <c r="N59" s="387"/>
      <c r="O59" s="387"/>
      <c r="P59" s="387"/>
      <c r="Q59" s="387" t="s">
        <v>14</v>
      </c>
    </row>
    <row r="60" spans="1:17" s="134" customFormat="1" ht="45">
      <c r="B60" s="332"/>
      <c r="C60" s="387"/>
      <c r="D60" s="387"/>
      <c r="E60" s="387"/>
      <c r="F60" s="387"/>
      <c r="G60" s="387"/>
      <c r="H60" s="386"/>
      <c r="I60" s="174">
        <f>'26MY_PASSPORT_DATA'!$M$7</f>
        <v>0</v>
      </c>
      <c r="J60" s="174">
        <f>'26MY_PASSPORT_DATA'!$M$7</f>
        <v>0</v>
      </c>
      <c r="K60" s="174" t="str">
        <f>'26MY_PASSPORT_DATA'!$O$7</f>
        <v>TrailSport</v>
      </c>
      <c r="L60" s="174" t="str">
        <f>'26MY_PASSPORT_DATA'!$P$7</f>
        <v>TrailSport Blackout</v>
      </c>
      <c r="M60" s="174">
        <f>'26MY_PASSPORT_DATA'!$R$7</f>
        <v>0</v>
      </c>
      <c r="N60" s="174">
        <f>'26MY_PASSPORT_DATA'!$R$7</f>
        <v>0</v>
      </c>
      <c r="O60" s="174" t="str">
        <f>'26MY_PASSPORT_DATA'!$S$7</f>
        <v>TrailSport Touring</v>
      </c>
      <c r="P60" s="174" t="str">
        <f>'26MY_PASSPORT_DATA'!$T$7</f>
        <v>Trailsport Touring Blackout</v>
      </c>
      <c r="Q60" s="387"/>
    </row>
    <row r="61" spans="1:17" s="135" customFormat="1" ht="15" customHeight="1">
      <c r="B61" s="332" t="s">
        <v>242</v>
      </c>
      <c r="C61" s="175" t="str">
        <f>VLOOKUP(B61,'26MY_PASSPORT_DATA'!B:AR,3,FALSE)</f>
        <v>Front Scuff Plate</v>
      </c>
      <c r="D61" s="79" t="str">
        <f>B61</f>
        <v>08P46-3BM-100</v>
      </c>
      <c r="E61" s="343">
        <f>VLOOKUP(B61,'26MY_PASSPORT_DATA'!B:AR,9,FALSE)</f>
        <v>389</v>
      </c>
      <c r="F61" s="343">
        <f>VLOOKUP(B61,'26MY_PASSPORT_DATA'!B:AR,10,FALSE)</f>
        <v>617</v>
      </c>
      <c r="G61" s="344">
        <f>VLOOKUP(B61,'26MY_PASSPORT_DATA'!B:AR,7,FALSE)</f>
        <v>0.6</v>
      </c>
      <c r="H61" s="345">
        <f>VLOOKUP(B61,'26MY_PASSPORT_DATA'!B:AR,11,FALSE)</f>
        <v>707</v>
      </c>
      <c r="I61" s="347">
        <f>VLOOKUP($B61,'26MY_PASSPORT_DATA'!$B:$AR,12,FALSE)</f>
        <v>0</v>
      </c>
      <c r="J61" s="347">
        <f>VLOOKUP($B61,'26MY_PASSPORT_DATA'!$B:$AR,13,FALSE)</f>
        <v>0</v>
      </c>
      <c r="K61" s="347" t="str">
        <f>VLOOKUP(B61,'26MY_PASSPORT_DATA'!B:AR,14,FALSE)</f>
        <v>•</v>
      </c>
      <c r="L61" s="347" t="str">
        <f>VLOOKUP(B61,'26MY_PASSPORT_DATA'!B:AR,15,FALSE)</f>
        <v>•</v>
      </c>
      <c r="M61" s="347">
        <f>VLOOKUP($B61,'26MY_PASSPORT_DATA'!$B:$AR,16,FALSE)</f>
        <v>0</v>
      </c>
      <c r="N61" s="347">
        <f>VLOOKUP(B61,'26MY_PASSPORT_DATA'!B:AR,17,FALSE)</f>
        <v>0</v>
      </c>
      <c r="O61" s="347" t="str">
        <f>VLOOKUP(B61,'26MY_PASSPORT_DATA'!B:AR,18,FALSE)</f>
        <v>•</v>
      </c>
      <c r="P61" s="347" t="str">
        <f>VLOOKUP(B61,'26MY_PASSPORT_DATA'!B:AR,19,FALSE)</f>
        <v>•</v>
      </c>
      <c r="Q61" s="350" t="str">
        <f>IF(VLOOKUP(B61,'26MY_PASSPORT_DATA'!B:AR,20,FALSE)="","",VLOOKUP(B61,'26MY_PASSPORT_DATA'!B:AR,20,FALSE))</f>
        <v/>
      </c>
    </row>
    <row r="62" spans="1:17" s="135" customFormat="1" ht="15" customHeight="1">
      <c r="B62" s="332" t="s">
        <v>229</v>
      </c>
      <c r="C62" s="175" t="str">
        <f>VLOOKUP(B62,'26MY_PASSPORT_DATA'!B:AR,3,FALSE)</f>
        <v>Rock Slider</v>
      </c>
      <c r="D62" s="79" t="str">
        <f t="shared" ref="D62:D67" si="15">B62</f>
        <v>08L33-3BM-100A</v>
      </c>
      <c r="E62" s="343">
        <f>VLOOKUP(B62,'26MY_PASSPORT_DATA'!B:AR,9,FALSE)</f>
        <v>1191</v>
      </c>
      <c r="F62" s="343">
        <f>VLOOKUP(B62,'26MY_PASSPORT_DATA'!B:AR,10,FALSE)</f>
        <v>1832</v>
      </c>
      <c r="G62" s="344">
        <f>VLOOKUP(B62,'26MY_PASSPORT_DATA'!B:AR,7,FALSE)</f>
        <v>0.6</v>
      </c>
      <c r="H62" s="345">
        <f>VLOOKUP(B62,'26MY_PASSPORT_DATA'!B:AR,11,FALSE)</f>
        <v>1922</v>
      </c>
      <c r="I62" s="347">
        <f>VLOOKUP($B62,'26MY_PASSPORT_DATA'!$B:$AR,12,FALSE)</f>
        <v>0</v>
      </c>
      <c r="J62" s="347">
        <f>VLOOKUP($B62,'26MY_PASSPORT_DATA'!$B:$AR,13,FALSE)</f>
        <v>0</v>
      </c>
      <c r="K62" s="347" t="str">
        <f>VLOOKUP(B62,'26MY_PASSPORT_DATA'!B:AR,14,FALSE)</f>
        <v>•</v>
      </c>
      <c r="L62" s="347" t="str">
        <f>VLOOKUP(B62,'26MY_PASSPORT_DATA'!B:AR,15,FALSE)</f>
        <v>•</v>
      </c>
      <c r="M62" s="347">
        <f>VLOOKUP($B62,'26MY_PASSPORT_DATA'!$B:$AR,16,FALSE)</f>
        <v>0</v>
      </c>
      <c r="N62" s="347">
        <f>VLOOKUP(B62,'26MY_PASSPORT_DATA'!B:AR,17,FALSE)</f>
        <v>0</v>
      </c>
      <c r="O62" s="347" t="str">
        <f>VLOOKUP(B62,'26MY_PASSPORT_DATA'!B:AR,18,FALSE)</f>
        <v>•</v>
      </c>
      <c r="P62" s="347" t="str">
        <f>VLOOKUP(B62,'26MY_PASSPORT_DATA'!B:AR,19,FALSE)</f>
        <v>•</v>
      </c>
      <c r="Q62" s="350" t="str">
        <f>IF(VLOOKUP(B62,'26MY_PASSPORT_DATA'!B:AR,20,FALSE)="","",VLOOKUP(B62,'26MY_PASSPORT_DATA'!B:AR,20,FALSE))</f>
        <v>Cannot be installed with Running Boards</v>
      </c>
    </row>
    <row r="63" spans="1:17" s="135" customFormat="1" ht="15" customHeight="1">
      <c r="B63" s="332" t="s">
        <v>228</v>
      </c>
      <c r="C63" s="175" t="str">
        <f>VLOOKUP(B63,'26MY_PASSPORT_DATA'!B:AR,3,FALSE)</f>
        <v>Running Boards</v>
      </c>
      <c r="D63" s="79" t="str">
        <f t="shared" si="15"/>
        <v>08L33-3BM-100</v>
      </c>
      <c r="E63" s="343">
        <f>VLOOKUP(B63,'26MY_PASSPORT_DATA'!B:AR,9,FALSE)</f>
        <v>936</v>
      </c>
      <c r="F63" s="343">
        <f>VLOOKUP(B63,'26MY_PASSPORT_DATA'!B:AR,10,FALSE)</f>
        <v>1337</v>
      </c>
      <c r="G63" s="344">
        <f>VLOOKUP(B63,'26MY_PASSPORT_DATA'!B:AR,7,FALSE)</f>
        <v>0.6</v>
      </c>
      <c r="H63" s="345">
        <f>VLOOKUP(B63,'26MY_PASSPORT_DATA'!B:AR,11,FALSE)</f>
        <v>1427</v>
      </c>
      <c r="I63" s="347">
        <f>VLOOKUP($B63,'26MY_PASSPORT_DATA'!$B:$AR,12,FALSE)</f>
        <v>0</v>
      </c>
      <c r="J63" s="347">
        <f>VLOOKUP($B63,'26MY_PASSPORT_DATA'!$B:$AR,13,FALSE)</f>
        <v>0</v>
      </c>
      <c r="K63" s="347" t="str">
        <f>VLOOKUP(B63,'26MY_PASSPORT_DATA'!B:AR,14,FALSE)</f>
        <v>•</v>
      </c>
      <c r="L63" s="347" t="str">
        <f>VLOOKUP(B63,'26MY_PASSPORT_DATA'!B:AR,15,FALSE)</f>
        <v>•</v>
      </c>
      <c r="M63" s="347">
        <f>VLOOKUP($B63,'26MY_PASSPORT_DATA'!$B:$AR,16,FALSE)</f>
        <v>0</v>
      </c>
      <c r="N63" s="347">
        <f>VLOOKUP(B63,'26MY_PASSPORT_DATA'!B:AR,17,FALSE)</f>
        <v>0</v>
      </c>
      <c r="O63" s="347" t="str">
        <f>VLOOKUP(B63,'26MY_PASSPORT_DATA'!B:AR,18,FALSE)</f>
        <v>•</v>
      </c>
      <c r="P63" s="347" t="str">
        <f>VLOOKUP(B63,'26MY_PASSPORT_DATA'!B:AR,19,FALSE)</f>
        <v>•</v>
      </c>
      <c r="Q63" s="350" t="str">
        <f>IF(VLOOKUP(B63,'26MY_PASSPORT_DATA'!B:AR,20,FALSE)="","",VLOOKUP(B63,'26MY_PASSPORT_DATA'!B:AR,20,FALSE))</f>
        <v>Cannot be installed with Rocker Slider</v>
      </c>
    </row>
    <row r="64" spans="1:17" s="135" customFormat="1" ht="15" customHeight="1">
      <c r="B64" s="332" t="s">
        <v>232</v>
      </c>
      <c r="C64" s="175" t="str">
        <f>VLOOKUP(B64,'26MY_PASSPORT_DATA'!B:AR,3,FALSE)</f>
        <v>Splash Guards</v>
      </c>
      <c r="D64" s="79" t="str">
        <f t="shared" ref="D64:D66" si="16">B64</f>
        <v>08P00-3BM-100</v>
      </c>
      <c r="E64" s="343">
        <f>VLOOKUP(B64,'26MY_PASSPORT_DATA'!B:AR,9,FALSE)</f>
        <v>114</v>
      </c>
      <c r="F64" s="343">
        <f>VLOOKUP(B64,'26MY_PASSPORT_DATA'!B:AR,10,FALSE)</f>
        <v>190</v>
      </c>
      <c r="G64" s="344">
        <f>VLOOKUP(B64,'26MY_PASSPORT_DATA'!B:AR,7,FALSE)</f>
        <v>0.5</v>
      </c>
      <c r="H64" s="345">
        <f>VLOOKUP(B64,'26MY_PASSPORT_DATA'!B:AR,11,FALSE)</f>
        <v>265</v>
      </c>
      <c r="I64" s="347">
        <f>VLOOKUP($B64,'26MY_PASSPORT_DATA'!$B:$AR,12,FALSE)</f>
        <v>0</v>
      </c>
      <c r="J64" s="347">
        <f>VLOOKUP($B64,'26MY_PASSPORT_DATA'!$B:$AR,13,FALSE)</f>
        <v>0</v>
      </c>
      <c r="K64" s="347" t="str">
        <f>VLOOKUP(B64,'26MY_PASSPORT_DATA'!B:AR,14,FALSE)</f>
        <v>•</v>
      </c>
      <c r="L64" s="347" t="str">
        <f>VLOOKUP(B64,'26MY_PASSPORT_DATA'!B:AR,15,FALSE)</f>
        <v>•</v>
      </c>
      <c r="M64" s="347">
        <f>VLOOKUP($B64,'26MY_PASSPORT_DATA'!$B:$AR,16,FALSE)</f>
        <v>0</v>
      </c>
      <c r="N64" s="347">
        <f>VLOOKUP(B64,'26MY_PASSPORT_DATA'!B:AR,17,FALSE)</f>
        <v>0</v>
      </c>
      <c r="O64" s="347" t="str">
        <f>VLOOKUP(B64,'26MY_PASSPORT_DATA'!B:AR,18,FALSE)</f>
        <v>•</v>
      </c>
      <c r="P64" s="347" t="str">
        <f>VLOOKUP(B64,'26MY_PASSPORT_DATA'!B:AR,19,FALSE)</f>
        <v>•</v>
      </c>
      <c r="Q64" s="350" t="str">
        <f>IF(VLOOKUP(B64,'26MY_PASSPORT_DATA'!B:AR,20,FALSE)="","",VLOOKUP(B64,'26MY_PASSPORT_DATA'!B:AR,20,FALSE))</f>
        <v/>
      </c>
    </row>
    <row r="65" spans="2:17" s="135" customFormat="1" ht="15" customHeight="1">
      <c r="B65" s="332" t="s">
        <v>239</v>
      </c>
      <c r="C65" s="175" t="str">
        <f>VLOOKUP(B65,'26MY_PASSPORT_DATA'!B:AR,3,FALSE)</f>
        <v>Body Side Moulding</v>
      </c>
      <c r="D65" s="79" t="str">
        <f t="shared" si="16"/>
        <v>08P05-3BM-100</v>
      </c>
      <c r="E65" s="343">
        <f>VLOOKUP(B65,'26MY_PASSPORT_DATA'!B:AR,9,FALSE)</f>
        <v>124</v>
      </c>
      <c r="F65" s="343">
        <f>VLOOKUP(B65,'26MY_PASSPORT_DATA'!B:AR,10,FALSE)</f>
        <v>207</v>
      </c>
      <c r="G65" s="344">
        <f>VLOOKUP(B65,'26MY_PASSPORT_DATA'!B:AR,7,FALSE)</f>
        <v>0.4</v>
      </c>
      <c r="H65" s="345">
        <f>VLOOKUP(B65,'26MY_PASSPORT_DATA'!B:AR,11,FALSE)</f>
        <v>267</v>
      </c>
      <c r="I65" s="347">
        <f>VLOOKUP($B65,'26MY_PASSPORT_DATA'!$B:$AR,12,FALSE)</f>
        <v>0</v>
      </c>
      <c r="J65" s="347">
        <f>VLOOKUP($B65,'26MY_PASSPORT_DATA'!$B:$AR,13,FALSE)</f>
        <v>0</v>
      </c>
      <c r="K65" s="347" t="str">
        <f>VLOOKUP(B65,'26MY_PASSPORT_DATA'!B:AR,14,FALSE)</f>
        <v>•</v>
      </c>
      <c r="L65" s="347" t="str">
        <f>VLOOKUP(B65,'26MY_PASSPORT_DATA'!B:AR,15,FALSE)</f>
        <v>•</v>
      </c>
      <c r="M65" s="347">
        <f>VLOOKUP($B65,'26MY_PASSPORT_DATA'!$B:$AR,16,FALSE)</f>
        <v>0</v>
      </c>
      <c r="N65" s="347">
        <f>VLOOKUP(B65,'26MY_PASSPORT_DATA'!B:AR,17,FALSE)</f>
        <v>0</v>
      </c>
      <c r="O65" s="347" t="str">
        <f>VLOOKUP(B65,'26MY_PASSPORT_DATA'!B:AR,18,FALSE)</f>
        <v>•</v>
      </c>
      <c r="P65" s="347" t="str">
        <f>VLOOKUP(B65,'26MY_PASSPORT_DATA'!B:AR,19,FALSE)</f>
        <v>•</v>
      </c>
      <c r="Q65" s="350" t="str">
        <f>IF(VLOOKUP(B65,'26MY_PASSPORT_DATA'!B:AR,20,FALSE)="","",VLOOKUP(B65,'26MY_PASSPORT_DATA'!B:AR,20,FALSE))</f>
        <v/>
      </c>
    </row>
    <row r="66" spans="2:17" s="135" customFormat="1" ht="15" customHeight="1">
      <c r="B66" s="332" t="s">
        <v>269</v>
      </c>
      <c r="C66" s="175" t="str">
        <f>VLOOKUP(B66,'26MY_PASSPORT_DATA'!B:AR,3,FALSE)</f>
        <v>Door Handle Film</v>
      </c>
      <c r="D66" s="79" t="str">
        <f t="shared" si="16"/>
        <v>08P48-T90-100A</v>
      </c>
      <c r="E66" s="343">
        <f>VLOOKUP(B66,'26MY_PASSPORT_DATA'!B:AR,9,FALSE)</f>
        <v>39</v>
      </c>
      <c r="F66" s="343">
        <f>VLOOKUP(B66,'26MY_PASSPORT_DATA'!B:AR,10,FALSE)</f>
        <v>65</v>
      </c>
      <c r="G66" s="344">
        <f>VLOOKUP(B66,'26MY_PASSPORT_DATA'!B:AR,7,FALSE)</f>
        <v>0.4</v>
      </c>
      <c r="H66" s="345">
        <f>VLOOKUP(B66,'26MY_PASSPORT_DATA'!B:AR,11,FALSE)</f>
        <v>125</v>
      </c>
      <c r="I66" s="347">
        <f>VLOOKUP($B66,'26MY_PASSPORT_DATA'!$B:$AR,12,FALSE)</f>
        <v>0</v>
      </c>
      <c r="J66" s="347">
        <f>VLOOKUP($B66,'26MY_PASSPORT_DATA'!$B:$AR,13,FALSE)</f>
        <v>0</v>
      </c>
      <c r="K66" s="347" t="str">
        <f>VLOOKUP(B66,'26MY_PASSPORT_DATA'!B:AR,14,FALSE)</f>
        <v>•</v>
      </c>
      <c r="L66" s="347" t="str">
        <f>VLOOKUP(B66,'26MY_PASSPORT_DATA'!B:AR,15,FALSE)</f>
        <v>•</v>
      </c>
      <c r="M66" s="347">
        <f>VLOOKUP($B66,'26MY_PASSPORT_DATA'!$B:$AR,16,FALSE)</f>
        <v>0</v>
      </c>
      <c r="N66" s="347">
        <f>VLOOKUP(B66,'26MY_PASSPORT_DATA'!B:AR,17,FALSE)</f>
        <v>0</v>
      </c>
      <c r="O66" s="347" t="str">
        <f>VLOOKUP(B66,'26MY_PASSPORT_DATA'!B:AR,18,FALSE)</f>
        <v>•</v>
      </c>
      <c r="P66" s="347" t="str">
        <f>VLOOKUP(B66,'26MY_PASSPORT_DATA'!B:AR,19,FALSE)</f>
        <v>•</v>
      </c>
      <c r="Q66" s="350" t="str">
        <f>IF(VLOOKUP(B66,'26MY_PASSPORT_DATA'!B:AR,20,FALSE)="","",VLOOKUP(B66,'26MY_PASSPORT_DATA'!B:AR,20,FALSE))</f>
        <v/>
      </c>
    </row>
    <row r="67" spans="2:17" s="135" customFormat="1" ht="15" customHeight="1">
      <c r="B67" s="332" t="s">
        <v>268</v>
      </c>
      <c r="C67" s="175" t="str">
        <f>VLOOKUP(B67,'26MY_PASSPORT_DATA'!B:AR,3,FALSE)</f>
        <v>Door Edge Film</v>
      </c>
      <c r="D67" s="79" t="str">
        <f t="shared" si="15"/>
        <v>08P20-T90-100</v>
      </c>
      <c r="E67" s="343">
        <f>VLOOKUP(B67,'26MY_PASSPORT_DATA'!B:AR,9,FALSE)</f>
        <v>52</v>
      </c>
      <c r="F67" s="343">
        <f>VLOOKUP(B67,'26MY_PASSPORT_DATA'!B:AR,10,FALSE)</f>
        <v>87</v>
      </c>
      <c r="G67" s="344">
        <f>VLOOKUP(B67,'26MY_PASSPORT_DATA'!B:AR,7,FALSE)</f>
        <v>0.4</v>
      </c>
      <c r="H67" s="345">
        <f>VLOOKUP(B67,'26MY_PASSPORT_DATA'!B:AR,11,FALSE)</f>
        <v>147</v>
      </c>
      <c r="I67" s="347">
        <f>VLOOKUP($B67,'26MY_PASSPORT_DATA'!$B:$AR,12,FALSE)</f>
        <v>0</v>
      </c>
      <c r="J67" s="347">
        <f>VLOOKUP($B67,'26MY_PASSPORT_DATA'!$B:$AR,13,FALSE)</f>
        <v>0</v>
      </c>
      <c r="K67" s="347" t="str">
        <f>VLOOKUP(B67,'26MY_PASSPORT_DATA'!B:AR,14,FALSE)</f>
        <v>•</v>
      </c>
      <c r="L67" s="347" t="str">
        <f>VLOOKUP(B67,'26MY_PASSPORT_DATA'!B:AR,15,FALSE)</f>
        <v>•</v>
      </c>
      <c r="M67" s="347">
        <f>VLOOKUP($B67,'26MY_PASSPORT_DATA'!$B:$AR,16,FALSE)</f>
        <v>0</v>
      </c>
      <c r="N67" s="347">
        <f>VLOOKUP(B67,'26MY_PASSPORT_DATA'!B:AR,17,FALSE)</f>
        <v>0</v>
      </c>
      <c r="O67" s="347" t="str">
        <f>VLOOKUP(B67,'26MY_PASSPORT_DATA'!B:AR,18,FALSE)</f>
        <v>•</v>
      </c>
      <c r="P67" s="347" t="str">
        <f>VLOOKUP(B67,'26MY_PASSPORT_DATA'!B:AR,19,FALSE)</f>
        <v>•</v>
      </c>
      <c r="Q67" s="350" t="str">
        <f>IF(VLOOKUP(B67,'26MY_PASSPORT_DATA'!B:AR,20,FALSE)="","",VLOOKUP(B67,'26MY_PASSPORT_DATA'!B:AR,20,FALSE))</f>
        <v/>
      </c>
    </row>
    <row r="68" spans="2:17" s="135" customFormat="1" ht="15" customHeight="1">
      <c r="B68" s="332" t="s">
        <v>278</v>
      </c>
      <c r="C68" s="175" t="str">
        <f>VLOOKUP(B68,'26MY_PASSPORT_DATA'!B:AR,3,FALSE)</f>
        <v>Door Visor</v>
      </c>
      <c r="D68" s="79" t="str">
        <f t="shared" ref="D68" si="17">B68</f>
        <v>08R04-T90-100</v>
      </c>
      <c r="E68" s="343">
        <f>VLOOKUP(B68,'26MY_PASSPORT_DATA'!B:AR,9,FALSE)</f>
        <v>258</v>
      </c>
      <c r="F68" s="343">
        <f>VLOOKUP(B68,'26MY_PASSPORT_DATA'!B:AR,10,FALSE)</f>
        <v>430</v>
      </c>
      <c r="G68" s="344">
        <f>VLOOKUP(B68,'26MY_PASSPORT_DATA'!B:AR,7,FALSE)</f>
        <v>0.6</v>
      </c>
      <c r="H68" s="345">
        <f>VLOOKUP(B68,'26MY_PASSPORT_DATA'!B:AR,11,FALSE)</f>
        <v>520</v>
      </c>
      <c r="I68" s="347">
        <f>VLOOKUP($B68,'26MY_PASSPORT_DATA'!$B:$AR,12,FALSE)</f>
        <v>0</v>
      </c>
      <c r="J68" s="347">
        <f>VLOOKUP($B68,'26MY_PASSPORT_DATA'!$B:$AR,13,FALSE)</f>
        <v>0</v>
      </c>
      <c r="K68" s="347" t="str">
        <f>VLOOKUP(B68,'26MY_PASSPORT_DATA'!B:AR,14,FALSE)</f>
        <v>•</v>
      </c>
      <c r="L68" s="347" t="str">
        <f>VLOOKUP(B68,'26MY_PASSPORT_DATA'!B:AR,15,FALSE)</f>
        <v>•</v>
      </c>
      <c r="M68" s="347">
        <f>VLOOKUP($B68,'26MY_PASSPORT_DATA'!$B:$AR,16,FALSE)</f>
        <v>0</v>
      </c>
      <c r="N68" s="347">
        <f>VLOOKUP(B68,'26MY_PASSPORT_DATA'!B:AR,17,FALSE)</f>
        <v>0</v>
      </c>
      <c r="O68" s="347" t="str">
        <f>VLOOKUP(B68,'26MY_PASSPORT_DATA'!B:AR,18,FALSE)</f>
        <v>•</v>
      </c>
      <c r="P68" s="347" t="str">
        <f>VLOOKUP(B68,'26MY_PASSPORT_DATA'!B:AR,19,FALSE)</f>
        <v>•</v>
      </c>
      <c r="Q68" s="350" t="str">
        <f>IF(VLOOKUP(B68,'26MY_PASSPORT_DATA'!B:AR,20,FALSE)="","",VLOOKUP(B68,'26MY_PASSPORT_DATA'!B:AR,20,FALSE))</f>
        <v/>
      </c>
    </row>
    <row r="69" spans="2:17" s="135" customFormat="1" ht="15" customHeight="1">
      <c r="B69" s="332" t="s">
        <v>294</v>
      </c>
      <c r="C69" s="199" t="str">
        <f>VLOOKUP(B69,'26MY_PASSPORT_DATA'!B:AR,3,FALSE)</f>
        <v>Emblems</v>
      </c>
      <c r="D69" s="189"/>
      <c r="E69" s="189"/>
      <c r="F69" s="189"/>
      <c r="G69" s="189"/>
      <c r="H69" s="189"/>
      <c r="I69" s="189"/>
      <c r="J69" s="189"/>
      <c r="K69" s="189"/>
      <c r="L69" s="189"/>
      <c r="M69" s="189"/>
      <c r="N69" s="189"/>
      <c r="O69" s="189"/>
      <c r="P69" s="189"/>
      <c r="Q69" s="180"/>
    </row>
    <row r="70" spans="2:17" s="135" customFormat="1" ht="16.5">
      <c r="B70" s="332" t="s">
        <v>236</v>
      </c>
      <c r="C70" s="292" t="str">
        <f>VLOOKUP(B70,'26MY_PASSPORT_DATA'!B:AR,3,FALSE)</f>
        <v>Black Emblem Passport</v>
      </c>
      <c r="D70" s="79" t="str">
        <f t="shared" ref="D70:D84" si="18">B70</f>
        <v>08F20-3BM-100</v>
      </c>
      <c r="E70" s="343">
        <f>VLOOKUP(B70,'26MY_PASSPORT_DATA'!B:AR,9,FALSE)</f>
        <v>145</v>
      </c>
      <c r="F70" s="343">
        <f>VLOOKUP(B70,'26MY_PASSPORT_DATA'!B:AR,10,FALSE)</f>
        <v>242</v>
      </c>
      <c r="G70" s="344">
        <f>VLOOKUP(B70,'26MY_PASSPORT_DATA'!B:AR,7,FALSE)</f>
        <v>0.3</v>
      </c>
      <c r="H70" s="345">
        <f>VLOOKUP(B70,'26MY_PASSPORT_DATA'!B:AR,11,FALSE)</f>
        <v>287</v>
      </c>
      <c r="I70" s="347">
        <f>VLOOKUP($B70,'26MY_PASSPORT_DATA'!$B:$AR,12,FALSE)</f>
        <v>0</v>
      </c>
      <c r="J70" s="347">
        <f>VLOOKUP($B70,'26MY_PASSPORT_DATA'!$B:$AR,13,FALSE)</f>
        <v>0</v>
      </c>
      <c r="K70" s="347" t="str">
        <f>VLOOKUP(B70,'26MY_PASSPORT_DATA'!B:AR,14,FALSE)</f>
        <v>•</v>
      </c>
      <c r="L70" s="347" t="str">
        <f>VLOOKUP(B70,'26MY_PASSPORT_DATA'!B:AR,15,FALSE)</f>
        <v>•</v>
      </c>
      <c r="M70" s="347">
        <f>VLOOKUP($B70,'26MY_PASSPORT_DATA'!$B:$AR,16,FALSE)</f>
        <v>0</v>
      </c>
      <c r="N70" s="347">
        <f>VLOOKUP(B70,'26MY_PASSPORT_DATA'!B:AR,17,FALSE)</f>
        <v>0</v>
      </c>
      <c r="O70" s="347" t="str">
        <f>VLOOKUP(B70,'26MY_PASSPORT_DATA'!B:AR,18,FALSE)</f>
        <v>•</v>
      </c>
      <c r="P70" s="347" t="str">
        <f>VLOOKUP(B70,'26MY_PASSPORT_DATA'!B:AR,19,FALSE)</f>
        <v>•</v>
      </c>
      <c r="Q70" s="350" t="str">
        <f>IF(VLOOKUP(B70,'26MY_PASSPORT_DATA'!B:AR,20,FALSE)="","",VLOOKUP(B70,'26MY_PASSPORT_DATA'!B:AR,20,FALSE))</f>
        <v/>
      </c>
    </row>
    <row r="71" spans="2:17" s="135" customFormat="1" ht="15" customHeight="1">
      <c r="B71" s="332" t="s">
        <v>234</v>
      </c>
      <c r="C71" s="285" t="str">
        <f>VLOOKUP(B71,'26MY_PASSPORT_DATA'!B:AR,3,FALSE)</f>
        <v>Black Emblem H Front &amp; rear</v>
      </c>
      <c r="D71" s="79" t="str">
        <f t="shared" si="18"/>
        <v>08F20-3BM-100B</v>
      </c>
      <c r="E71" s="343">
        <f>VLOOKUP(B71,'26MY_PASSPORT_DATA'!B:AR,9,FALSE)</f>
        <v>63</v>
      </c>
      <c r="F71" s="343">
        <f>VLOOKUP(B71,'26MY_PASSPORT_DATA'!B:AR,10,FALSE)</f>
        <v>105</v>
      </c>
      <c r="G71" s="344">
        <f>VLOOKUP(B71,'26MY_PASSPORT_DATA'!B:AR,7,FALSE)</f>
        <v>0.6</v>
      </c>
      <c r="H71" s="345">
        <f>VLOOKUP(B71,'26MY_PASSPORT_DATA'!B:AR,11,FALSE)</f>
        <v>195</v>
      </c>
      <c r="I71" s="347">
        <f>VLOOKUP($B71,'26MY_PASSPORT_DATA'!$B:$AR,12,FALSE)</f>
        <v>0</v>
      </c>
      <c r="J71" s="347">
        <f>VLOOKUP($B71,'26MY_PASSPORT_DATA'!$B:$AR,13,FALSE)</f>
        <v>0</v>
      </c>
      <c r="K71" s="347" t="str">
        <f>VLOOKUP(B71,'26MY_PASSPORT_DATA'!B:AR,14,FALSE)</f>
        <v>•</v>
      </c>
      <c r="L71" s="347" t="str">
        <f>VLOOKUP(B71,'26MY_PASSPORT_DATA'!B:AR,15,FALSE)</f>
        <v>S</v>
      </c>
      <c r="M71" s="347">
        <f>VLOOKUP($B71,'26MY_PASSPORT_DATA'!$B:$AR,16,FALSE)</f>
        <v>0</v>
      </c>
      <c r="N71" s="347">
        <f>VLOOKUP(B71,'26MY_PASSPORT_DATA'!B:AR,17,FALSE)</f>
        <v>0</v>
      </c>
      <c r="O71" s="347" t="str">
        <f>VLOOKUP(B71,'26MY_PASSPORT_DATA'!B:AR,18,FALSE)</f>
        <v>•</v>
      </c>
      <c r="P71" s="347" t="str">
        <f>VLOOKUP(B71,'26MY_PASSPORT_DATA'!B:AR,19,FALSE)</f>
        <v>S</v>
      </c>
      <c r="Q71" s="350" t="str">
        <f>IF(VLOOKUP(B71,'26MY_PASSPORT_DATA'!B:AR,20,FALSE)="","",VLOOKUP(B71,'26MY_PASSPORT_DATA'!B:AR,20,FALSE))</f>
        <v/>
      </c>
    </row>
    <row r="72" spans="2:17" s="135" customFormat="1" ht="15" customHeight="1">
      <c r="B72" s="332" t="s">
        <v>231</v>
      </c>
      <c r="C72" s="175" t="str">
        <f>VLOOKUP(B72,'26MY_PASSPORT_DATA'!B:AR,3,FALSE)</f>
        <v>Trailer Hitch Ball Mount</v>
      </c>
      <c r="D72" s="79" t="str">
        <f t="shared" ref="D72:D74" si="19">B72</f>
        <v>08L92-3BM-100A</v>
      </c>
      <c r="E72" s="343">
        <f>VLOOKUP(B72,'26MY_PASSPORT_DATA'!B:AR,9,FALSE)</f>
        <v>91</v>
      </c>
      <c r="F72" s="343">
        <f>VLOOKUP(B72,'26MY_PASSPORT_DATA'!B:AR,10,FALSE)</f>
        <v>152</v>
      </c>
      <c r="G72" s="344">
        <f>VLOOKUP(B72,'26MY_PASSPORT_DATA'!B:AR,7,FALSE)</f>
        <v>0</v>
      </c>
      <c r="H72" s="345">
        <f>VLOOKUP(B72,'26MY_PASSPORT_DATA'!B:AR,11,FALSE)</f>
        <v>152</v>
      </c>
      <c r="I72" s="347">
        <f>VLOOKUP($B72,'26MY_PASSPORT_DATA'!$B:$AR,12,FALSE)</f>
        <v>0</v>
      </c>
      <c r="J72" s="347">
        <f>VLOOKUP($B72,'26MY_PASSPORT_DATA'!$B:$AR,13,FALSE)</f>
        <v>0</v>
      </c>
      <c r="K72" s="347" t="str">
        <f>VLOOKUP(B72,'26MY_PASSPORT_DATA'!B:AR,14,FALSE)</f>
        <v>•</v>
      </c>
      <c r="L72" s="347" t="str">
        <f>VLOOKUP(B72,'26MY_PASSPORT_DATA'!B:AR,15,FALSE)</f>
        <v>•</v>
      </c>
      <c r="M72" s="347">
        <f>VLOOKUP($B72,'26MY_PASSPORT_DATA'!$B:$AR,16,FALSE)</f>
        <v>0</v>
      </c>
      <c r="N72" s="347">
        <f>VLOOKUP(B72,'26MY_PASSPORT_DATA'!B:AR,17,FALSE)</f>
        <v>0</v>
      </c>
      <c r="O72" s="347" t="str">
        <f>VLOOKUP(B72,'26MY_PASSPORT_DATA'!B:AR,18,FALSE)</f>
        <v>•</v>
      </c>
      <c r="P72" s="347" t="str">
        <f>VLOOKUP(B72,'26MY_PASSPORT_DATA'!B:AR,19,FALSE)</f>
        <v>•</v>
      </c>
      <c r="Q72" s="350" t="str">
        <f>IF(VLOOKUP(B72,'26MY_PASSPORT_DATA'!B:AR,20,FALSE)="","",VLOOKUP(B72,'26MY_PASSPORT_DATA'!B:AR,20,FALSE))</f>
        <v/>
      </c>
    </row>
    <row r="73" spans="2:17" s="135" customFormat="1" ht="15" customHeight="1">
      <c r="B73" s="332" t="s">
        <v>198</v>
      </c>
      <c r="C73" s="175" t="str">
        <f>VLOOKUP(B73,'26MY_PASSPORT_DATA'!B:AR,3,FALSE)</f>
        <v>Trailer Hitch Locking Pin</v>
      </c>
      <c r="D73" s="79" t="str">
        <f t="shared" si="19"/>
        <v>08L92-SJC-300A</v>
      </c>
      <c r="E73" s="343">
        <f>VLOOKUP(B73,'26MY_PASSPORT_DATA'!B:AR,9,FALSE)</f>
        <v>106</v>
      </c>
      <c r="F73" s="343">
        <f>VLOOKUP(B73,'26MY_PASSPORT_DATA'!B:AR,10,FALSE)</f>
        <v>163</v>
      </c>
      <c r="G73" s="344">
        <f>VLOOKUP(B73,'26MY_PASSPORT_DATA'!B:AR,7,FALSE)</f>
        <v>0</v>
      </c>
      <c r="H73" s="345">
        <f>VLOOKUP(B73,'26MY_PASSPORT_DATA'!B:AR,11,FALSE)</f>
        <v>163</v>
      </c>
      <c r="I73" s="347">
        <f>VLOOKUP($B73,'26MY_PASSPORT_DATA'!$B:$AR,12,FALSE)</f>
        <v>0</v>
      </c>
      <c r="J73" s="347">
        <f>VLOOKUP($B73,'26MY_PASSPORT_DATA'!$B:$AR,13,FALSE)</f>
        <v>0</v>
      </c>
      <c r="K73" s="347" t="str">
        <f>VLOOKUP(B73,'26MY_PASSPORT_DATA'!B:AR,14,FALSE)</f>
        <v>•</v>
      </c>
      <c r="L73" s="347" t="str">
        <f>VLOOKUP(B73,'26MY_PASSPORT_DATA'!B:AR,15,FALSE)</f>
        <v>•</v>
      </c>
      <c r="M73" s="347">
        <f>VLOOKUP($B73,'26MY_PASSPORT_DATA'!$B:$AR,16,FALSE)</f>
        <v>0</v>
      </c>
      <c r="N73" s="347">
        <f>VLOOKUP(B73,'26MY_PASSPORT_DATA'!B:AR,17,FALSE)</f>
        <v>0</v>
      </c>
      <c r="O73" s="347" t="str">
        <f>VLOOKUP(B73,'26MY_PASSPORT_DATA'!B:AR,18,FALSE)</f>
        <v>•</v>
      </c>
      <c r="P73" s="347" t="str">
        <f>VLOOKUP(B73,'26MY_PASSPORT_DATA'!B:AR,19,FALSE)</f>
        <v>•</v>
      </c>
      <c r="Q73" s="350" t="str">
        <f>IF(VLOOKUP(B73,'26MY_PASSPORT_DATA'!B:AR,20,FALSE)="","",VLOOKUP(B73,'26MY_PASSPORT_DATA'!B:AR,20,FALSE))</f>
        <v/>
      </c>
    </row>
    <row r="74" spans="2:17" s="135" customFormat="1" ht="15" customHeight="1">
      <c r="B74" s="332" t="s">
        <v>196</v>
      </c>
      <c r="C74" s="175" t="str">
        <f>VLOOKUP(B74,'26MY_PASSPORT_DATA'!B:AR,3,FALSE)</f>
        <v>Trailer Hitch Ball - 1-7/8"</v>
      </c>
      <c r="D74" s="79" t="str">
        <f t="shared" si="19"/>
        <v>08L92-S9V-300G</v>
      </c>
      <c r="E74" s="343">
        <f>VLOOKUP(B74,'26MY_PASSPORT_DATA'!B:AR,9,FALSE)</f>
        <v>28</v>
      </c>
      <c r="F74" s="343">
        <f>VLOOKUP(B74,'26MY_PASSPORT_DATA'!B:AR,10,FALSE)</f>
        <v>47</v>
      </c>
      <c r="G74" s="344">
        <f>VLOOKUP(B74,'26MY_PASSPORT_DATA'!B:AR,7,FALSE)</f>
        <v>0</v>
      </c>
      <c r="H74" s="345">
        <f>VLOOKUP(B74,'26MY_PASSPORT_DATA'!B:AR,11,FALSE)</f>
        <v>47</v>
      </c>
      <c r="I74" s="347">
        <f>VLOOKUP($B74,'26MY_PASSPORT_DATA'!$B:$AR,12,FALSE)</f>
        <v>0</v>
      </c>
      <c r="J74" s="347">
        <f>VLOOKUP($B74,'26MY_PASSPORT_DATA'!$B:$AR,13,FALSE)</f>
        <v>0</v>
      </c>
      <c r="K74" s="347" t="str">
        <f>VLOOKUP(B74,'26MY_PASSPORT_DATA'!B:AR,14,FALSE)</f>
        <v>•</v>
      </c>
      <c r="L74" s="347" t="str">
        <f>VLOOKUP(B74,'26MY_PASSPORT_DATA'!B:AR,15,FALSE)</f>
        <v>•</v>
      </c>
      <c r="M74" s="347">
        <f>VLOOKUP($B74,'26MY_PASSPORT_DATA'!$B:$AR,16,FALSE)</f>
        <v>0</v>
      </c>
      <c r="N74" s="347">
        <f>VLOOKUP(B74,'26MY_PASSPORT_DATA'!B:AR,17,FALSE)</f>
        <v>0</v>
      </c>
      <c r="O74" s="347" t="str">
        <f>VLOOKUP(B74,'26MY_PASSPORT_DATA'!B:AR,18,FALSE)</f>
        <v>•</v>
      </c>
      <c r="P74" s="347" t="str">
        <f>VLOOKUP(B74,'26MY_PASSPORT_DATA'!B:AR,19,FALSE)</f>
        <v>•</v>
      </c>
      <c r="Q74" s="350" t="str">
        <f>IF(VLOOKUP(B74,'26MY_PASSPORT_DATA'!B:AR,20,FALSE)="","",VLOOKUP(B74,'26MY_PASSPORT_DATA'!B:AR,20,FALSE))</f>
        <v/>
      </c>
    </row>
    <row r="75" spans="2:17" s="135" customFormat="1" ht="15" customHeight="1">
      <c r="B75" s="332" t="s">
        <v>197</v>
      </c>
      <c r="C75" s="175" t="str">
        <f>VLOOKUP(B75,'26MY_PASSPORT_DATA'!B:AR,3,FALSE)</f>
        <v>Trailer Hitch Ball - 2"</v>
      </c>
      <c r="D75" s="291" t="str">
        <f t="shared" ref="D75" si="20">B75</f>
        <v>08L92-S9V-300H</v>
      </c>
      <c r="E75" s="343">
        <f>VLOOKUP(B75,'26MY_PASSPORT_DATA'!B:AR,9,FALSE)</f>
        <v>28</v>
      </c>
      <c r="F75" s="343">
        <f>VLOOKUP(B75,'26MY_PASSPORT_DATA'!B:AR,10,FALSE)</f>
        <v>47</v>
      </c>
      <c r="G75" s="344">
        <f>VLOOKUP(B75,'26MY_PASSPORT_DATA'!B:AR,7,FALSE)</f>
        <v>0</v>
      </c>
      <c r="H75" s="345">
        <f>VLOOKUP(B75,'26MY_PASSPORT_DATA'!B:AR,11,FALSE)</f>
        <v>47</v>
      </c>
      <c r="I75" s="347">
        <f>VLOOKUP($B75,'26MY_PASSPORT_DATA'!$B:$AR,12,FALSE)</f>
        <v>0</v>
      </c>
      <c r="J75" s="347">
        <f>VLOOKUP($B75,'26MY_PASSPORT_DATA'!$B:$AR,13,FALSE)</f>
        <v>0</v>
      </c>
      <c r="K75" s="347" t="str">
        <f>VLOOKUP(B75,'26MY_PASSPORT_DATA'!B:AR,14,FALSE)</f>
        <v>•</v>
      </c>
      <c r="L75" s="347" t="str">
        <f>VLOOKUP(B75,'26MY_PASSPORT_DATA'!B:AR,15,FALSE)</f>
        <v>•</v>
      </c>
      <c r="M75" s="347">
        <f>VLOOKUP($B75,'26MY_PASSPORT_DATA'!$B:$AR,16,FALSE)</f>
        <v>0</v>
      </c>
      <c r="N75" s="347">
        <f>VLOOKUP(B75,'26MY_PASSPORT_DATA'!B:AR,17,FALSE)</f>
        <v>0</v>
      </c>
      <c r="O75" s="347" t="str">
        <f>VLOOKUP(B75,'26MY_PASSPORT_DATA'!B:AR,18,FALSE)</f>
        <v>•</v>
      </c>
      <c r="P75" s="347" t="str">
        <f>VLOOKUP(B75,'26MY_PASSPORT_DATA'!B:AR,19,FALSE)</f>
        <v>•</v>
      </c>
      <c r="Q75" s="350" t="str">
        <f>IF(VLOOKUP(B75,'26MY_PASSPORT_DATA'!B:AR,20,FALSE)="","",VLOOKUP(B75,'26MY_PASSPORT_DATA'!B:AR,20,FALSE))</f>
        <v/>
      </c>
    </row>
    <row r="76" spans="2:17" s="135" customFormat="1" ht="15" customHeight="1">
      <c r="B76" s="332" t="s">
        <v>431</v>
      </c>
      <c r="C76" s="175" t="str">
        <f>VLOOKUP(B76,'26MY_PASSPORT_DATA'!B:AR,3,FALSE)</f>
        <v>Hatch Tent</v>
      </c>
      <c r="D76" s="79" t="str">
        <f t="shared" ref="D76" si="21">B76</f>
        <v>08Z04-SCV-110B</v>
      </c>
      <c r="E76" s="343">
        <f>VLOOKUP(B76,'26MY_PASSPORT_DATA'!B:AR,9,FALSE)</f>
        <v>477</v>
      </c>
      <c r="F76" s="343">
        <f>VLOOKUP(B76,'26MY_PASSPORT_DATA'!B:AR,10,FALSE)</f>
        <v>681</v>
      </c>
      <c r="G76" s="344">
        <f>VLOOKUP(B76,'26MY_PASSPORT_DATA'!B:AR,7,FALSE)</f>
        <v>0</v>
      </c>
      <c r="H76" s="345">
        <f>VLOOKUP(B76,'26MY_PASSPORT_DATA'!B:AR,11,FALSE)</f>
        <v>681</v>
      </c>
      <c r="I76" s="347">
        <f>VLOOKUP($B76,'26MY_PASSPORT_DATA'!$B:$AR,12,FALSE)</f>
        <v>0</v>
      </c>
      <c r="J76" s="347">
        <f>VLOOKUP($B76,'26MY_PASSPORT_DATA'!$B:$AR,13,FALSE)</f>
        <v>0</v>
      </c>
      <c r="K76" s="347" t="str">
        <f>VLOOKUP(B76,'26MY_PASSPORT_DATA'!B:AR,14,FALSE)</f>
        <v>•</v>
      </c>
      <c r="L76" s="347" t="str">
        <f>VLOOKUP(B76,'26MY_PASSPORT_DATA'!B:AR,15,FALSE)</f>
        <v>•</v>
      </c>
      <c r="M76" s="347">
        <f>VLOOKUP($B76,'26MY_PASSPORT_DATA'!$B:$AR,16,FALSE)</f>
        <v>0</v>
      </c>
      <c r="N76" s="347">
        <f>VLOOKUP(B76,'26MY_PASSPORT_DATA'!B:AR,17,FALSE)</f>
        <v>0</v>
      </c>
      <c r="O76" s="347" t="str">
        <f>VLOOKUP(B76,'26MY_PASSPORT_DATA'!B:AR,18,FALSE)</f>
        <v>•</v>
      </c>
      <c r="P76" s="347" t="str">
        <f>VLOOKUP(B76,'26MY_PASSPORT_DATA'!B:AR,19,FALSE)</f>
        <v>•</v>
      </c>
      <c r="Q76" s="350" t="str">
        <f>IF(VLOOKUP(B76,'26MY_PASSPORT_DATA'!B:AR,20,FALSE)="","",VLOOKUP(B76,'26MY_PASSPORT_DATA'!B:AR,20,FALSE))</f>
        <v/>
      </c>
    </row>
    <row r="77" spans="2:17" s="135" customFormat="1" ht="15" customHeight="1">
      <c r="B77" s="332" t="s">
        <v>225</v>
      </c>
      <c r="C77" s="175" t="str">
        <f>VLOOKUP(B77,'26MY_PASSPORT_DATA'!B:AR,3,FALSE)</f>
        <v>Crossbars</v>
      </c>
      <c r="D77" s="79" t="str">
        <f t="shared" ref="D77" si="22">B77</f>
        <v>08L04-3BM-300</v>
      </c>
      <c r="E77" s="343">
        <f>VLOOKUP(B77,'26MY_PASSPORT_DATA'!B:AR,9,FALSE)</f>
        <v>258</v>
      </c>
      <c r="F77" s="343">
        <f>VLOOKUP(B77,'26MY_PASSPORT_DATA'!B:AR,10,FALSE)</f>
        <v>430</v>
      </c>
      <c r="G77" s="344">
        <f>VLOOKUP(B77,'26MY_PASSPORT_DATA'!B:AR,7,FALSE)</f>
        <v>0.3</v>
      </c>
      <c r="H77" s="345">
        <f>VLOOKUP(B77,'26MY_PASSPORT_DATA'!B:AR,11,FALSE)</f>
        <v>475</v>
      </c>
      <c r="I77" s="347">
        <f>VLOOKUP($B77,'26MY_PASSPORT_DATA'!$B:$AR,12,FALSE)</f>
        <v>0</v>
      </c>
      <c r="J77" s="347">
        <f>VLOOKUP($B77,'26MY_PASSPORT_DATA'!$B:$AR,13,FALSE)</f>
        <v>0</v>
      </c>
      <c r="K77" s="347" t="str">
        <f>VLOOKUP(B77,'26MY_PASSPORT_DATA'!B:AR,14,FALSE)</f>
        <v>•</v>
      </c>
      <c r="L77" s="347" t="str">
        <f>VLOOKUP(B77,'26MY_PASSPORT_DATA'!B:AR,15,FALSE)</f>
        <v>•</v>
      </c>
      <c r="M77" s="347">
        <f>VLOOKUP($B77,'26MY_PASSPORT_DATA'!$B:$AR,16,FALSE)</f>
        <v>0</v>
      </c>
      <c r="N77" s="347">
        <f>VLOOKUP(B77,'26MY_PASSPORT_DATA'!B:AR,17,FALSE)</f>
        <v>0</v>
      </c>
      <c r="O77" s="347" t="str">
        <f>VLOOKUP(B77,'26MY_PASSPORT_DATA'!B:AR,18,FALSE)</f>
        <v>•</v>
      </c>
      <c r="P77" s="347" t="str">
        <f>VLOOKUP(B77,'26MY_PASSPORT_DATA'!B:AR,19,FALSE)</f>
        <v>•</v>
      </c>
      <c r="Q77" s="350" t="str">
        <f>IF(VLOOKUP(B77,'26MY_PASSPORT_DATA'!B:AR,20,FALSE)="","",VLOOKUP(B77,'26MY_PASSPORT_DATA'!B:AR,20,FALSE))</f>
        <v/>
      </c>
    </row>
    <row r="78" spans="2:17" s="135" customFormat="1" ht="15.6" customHeight="1">
      <c r="B78" s="332" t="s">
        <v>175</v>
      </c>
      <c r="C78" s="199" t="str">
        <f>VLOOKUP(B78,'26MY_PASSPORT_DATA'!B:AR,3,FALSE)</f>
        <v xml:space="preserve">Roof Attachments </v>
      </c>
      <c r="D78" s="189"/>
      <c r="E78" s="189"/>
      <c r="F78" s="189"/>
      <c r="G78" s="189"/>
      <c r="H78" s="189"/>
      <c r="I78" s="189"/>
      <c r="J78" s="189"/>
      <c r="K78" s="189"/>
      <c r="L78" s="189"/>
      <c r="M78" s="189"/>
      <c r="N78" s="189"/>
      <c r="O78" s="189"/>
      <c r="P78" s="189"/>
      <c r="Q78" s="180"/>
    </row>
    <row r="79" spans="2:17" s="135" customFormat="1" ht="15.6" customHeight="1">
      <c r="B79" s="332" t="s">
        <v>226</v>
      </c>
      <c r="C79" s="198" t="str">
        <f>VLOOKUP(B79,'26MY_PASSPORT_DATA'!B:AR,3,FALSE)</f>
        <v>Roof Platform</v>
      </c>
      <c r="D79" s="79" t="str">
        <f t="shared" ref="D79" si="23">B79</f>
        <v>08L08-3BM-100</v>
      </c>
      <c r="E79" s="343">
        <f>VLOOKUP(B79,'26MY_PASSPORT_DATA'!B:AR,9,FALSE)</f>
        <v>932</v>
      </c>
      <c r="F79" s="343">
        <f>VLOOKUP(B79,'26MY_PASSPORT_DATA'!B:AR,10,FALSE)</f>
        <v>1331</v>
      </c>
      <c r="G79" s="344">
        <f>VLOOKUP(B79,'26MY_PASSPORT_DATA'!B:AR,7,FALSE)</f>
        <v>0.6</v>
      </c>
      <c r="H79" s="345">
        <f>VLOOKUP(B79,'26MY_PASSPORT_DATA'!B:AR,11,FALSE)</f>
        <v>1421</v>
      </c>
      <c r="I79" s="347">
        <f>VLOOKUP($B79,'26MY_PASSPORT_DATA'!$B:$AR,12,FALSE)</f>
        <v>0</v>
      </c>
      <c r="J79" s="347">
        <f>VLOOKUP($B79,'26MY_PASSPORT_DATA'!$B:$AR,13,FALSE)</f>
        <v>0</v>
      </c>
      <c r="K79" s="347" t="str">
        <f>VLOOKUP(B79,'26MY_PASSPORT_DATA'!B:AR,14,FALSE)</f>
        <v>•</v>
      </c>
      <c r="L79" s="347" t="str">
        <f>VLOOKUP(B79,'26MY_PASSPORT_DATA'!B:AR,15,FALSE)</f>
        <v>•</v>
      </c>
      <c r="M79" s="347">
        <f>VLOOKUP($B79,'26MY_PASSPORT_DATA'!$B:$AR,16,FALSE)</f>
        <v>0</v>
      </c>
      <c r="N79" s="347">
        <f>VLOOKUP(B79,'26MY_PASSPORT_DATA'!B:AR,17,FALSE)</f>
        <v>0</v>
      </c>
      <c r="O79" s="347" t="str">
        <f>VLOOKUP(B79,'26MY_PASSPORT_DATA'!B:AR,18,FALSE)</f>
        <v>•</v>
      </c>
      <c r="P79" s="347" t="str">
        <f>VLOOKUP(B79,'26MY_PASSPORT_DATA'!B:AR,19,FALSE)</f>
        <v>•</v>
      </c>
      <c r="Q79" s="348" t="str">
        <f>IF(VLOOKUP(B79,'26MY_PASSPORT_DATA'!B:AR,20,FALSE)="","",VLOOKUP(B79,'26MY_PASSPORT_DATA'!B:AR,20,FALSE))</f>
        <v/>
      </c>
    </row>
    <row r="80" spans="2:17" s="135" customFormat="1" ht="16.5">
      <c r="B80" s="332" t="s">
        <v>430</v>
      </c>
      <c r="C80" s="198" t="str">
        <f>VLOOKUP(B80,'26MY_PASSPORT_DATA'!B:AR,3,FALSE)</f>
        <v>Roof Bicycle Attachment - Frame mount</v>
      </c>
      <c r="D80" s="79" t="str">
        <f t="shared" ref="D80:D83" si="24">B80</f>
        <v>08L07-E09-101</v>
      </c>
      <c r="E80" s="343">
        <f>VLOOKUP(B80,'26MY_PASSPORT_DATA'!B:AR,9,FALSE)</f>
        <v>383</v>
      </c>
      <c r="F80" s="343">
        <f>VLOOKUP(B80,'26MY_PASSPORT_DATA'!B:AR,10,FALSE)</f>
        <v>547</v>
      </c>
      <c r="G80" s="344">
        <f>VLOOKUP(B80,'26MY_PASSPORT_DATA'!B:AR,7,FALSE)</f>
        <v>0.4</v>
      </c>
      <c r="H80" s="345">
        <f>VLOOKUP(B80,'26MY_PASSPORT_DATA'!B:AR,11,FALSE)</f>
        <v>607</v>
      </c>
      <c r="I80" s="347">
        <f>VLOOKUP($B80,'26MY_PASSPORT_DATA'!$B:$AR,12,FALSE)</f>
        <v>0</v>
      </c>
      <c r="J80" s="347">
        <f>VLOOKUP($B80,'26MY_PASSPORT_DATA'!$B:$AR,13,FALSE)</f>
        <v>0</v>
      </c>
      <c r="K80" s="347" t="str">
        <f>VLOOKUP(B80,'26MY_PASSPORT_DATA'!B:AR,14,FALSE)</f>
        <v>•</v>
      </c>
      <c r="L80" s="347" t="str">
        <f>VLOOKUP(B80,'26MY_PASSPORT_DATA'!B:AR,15,FALSE)</f>
        <v>•</v>
      </c>
      <c r="M80" s="347">
        <f>VLOOKUP($B80,'26MY_PASSPORT_DATA'!$B:$AR,16,FALSE)</f>
        <v>0</v>
      </c>
      <c r="N80" s="347">
        <f>VLOOKUP(B80,'26MY_PASSPORT_DATA'!B:AR,17,FALSE)</f>
        <v>0</v>
      </c>
      <c r="O80" s="347" t="str">
        <f>VLOOKUP(B80,'26MY_PASSPORT_DATA'!B:AR,18,FALSE)</f>
        <v>•</v>
      </c>
      <c r="P80" s="347" t="str">
        <f>VLOOKUP(B80,'26MY_PASSPORT_DATA'!B:AR,19,FALSE)</f>
        <v>•</v>
      </c>
      <c r="Q80" s="374" t="str">
        <f>IF(VLOOKUP(B80,'26MY_PASSPORT_DATA'!B:AR,20,FALSE)="","",VLOOKUP(B80,'26MY_PASSPORT_DATA'!B:AR,20,FALSE))</f>
        <v>Requires Roof Rails &amp; Crossbars.</v>
      </c>
    </row>
    <row r="81" spans="2:17" s="135" customFormat="1" ht="15" customHeight="1">
      <c r="B81" s="332" t="s">
        <v>195</v>
      </c>
      <c r="C81" s="198" t="str">
        <f>VLOOKUP(B81,'26MY_PASSPORT_DATA'!B:AR,3,FALSE)</f>
        <v>Bicycle Attachment - Fork Mount</v>
      </c>
      <c r="D81" s="79" t="str">
        <f t="shared" si="24"/>
        <v>08L07-E09-300A</v>
      </c>
      <c r="E81" s="343">
        <f>VLOOKUP(B81,'26MY_PASSPORT_DATA'!B:AR,9,FALSE)</f>
        <v>292</v>
      </c>
      <c r="F81" s="343">
        <f>VLOOKUP(B81,'26MY_PASSPORT_DATA'!B:AR,10,FALSE)</f>
        <v>487</v>
      </c>
      <c r="G81" s="344">
        <f>VLOOKUP(B81,'26MY_PASSPORT_DATA'!B:AR,7,FALSE)</f>
        <v>0.4</v>
      </c>
      <c r="H81" s="345">
        <f>VLOOKUP(B81,'26MY_PASSPORT_DATA'!B:AR,11,FALSE)</f>
        <v>547</v>
      </c>
      <c r="I81" s="347">
        <f>VLOOKUP($B81,'26MY_PASSPORT_DATA'!$B:$AR,12,FALSE)</f>
        <v>0</v>
      </c>
      <c r="J81" s="347">
        <f>VLOOKUP($B81,'26MY_PASSPORT_DATA'!$B:$AR,13,FALSE)</f>
        <v>0</v>
      </c>
      <c r="K81" s="347" t="str">
        <f>VLOOKUP(B81,'26MY_PASSPORT_DATA'!B:AR,14,FALSE)</f>
        <v>•</v>
      </c>
      <c r="L81" s="347" t="str">
        <f>VLOOKUP(B81,'26MY_PASSPORT_DATA'!B:AR,15,FALSE)</f>
        <v>•</v>
      </c>
      <c r="M81" s="347">
        <f>VLOOKUP($B81,'26MY_PASSPORT_DATA'!$B:$AR,16,FALSE)</f>
        <v>0</v>
      </c>
      <c r="N81" s="347">
        <f>VLOOKUP(B81,'26MY_PASSPORT_DATA'!B:AR,17,FALSE)</f>
        <v>0</v>
      </c>
      <c r="O81" s="347" t="str">
        <f>VLOOKUP(B81,'26MY_PASSPORT_DATA'!B:AR,18,FALSE)</f>
        <v>•</v>
      </c>
      <c r="P81" s="347" t="str">
        <f>VLOOKUP(B81,'26MY_PASSPORT_DATA'!B:AR,19,FALSE)</f>
        <v>•</v>
      </c>
      <c r="Q81" s="375"/>
    </row>
    <row r="82" spans="2:17" s="135" customFormat="1" ht="15" customHeight="1">
      <c r="B82" s="332" t="s">
        <v>170</v>
      </c>
      <c r="C82" s="198" t="str">
        <f>VLOOKUP(B82,'26MY_PASSPORT_DATA'!B:AR,3,FALSE)</f>
        <v>Roof Ski/Snowboard Attachment</v>
      </c>
      <c r="D82" s="79" t="str">
        <f t="shared" si="24"/>
        <v>08L03-E09-300C</v>
      </c>
      <c r="E82" s="343">
        <f>VLOOKUP(B82,'26MY_PASSPORT_DATA'!B:AR,9,FALSE)</f>
        <v>415</v>
      </c>
      <c r="F82" s="343">
        <f>VLOOKUP(B82,'26MY_PASSPORT_DATA'!B:AR,10,FALSE)</f>
        <v>692</v>
      </c>
      <c r="G82" s="344">
        <f>VLOOKUP(B82,'26MY_PASSPORT_DATA'!B:AR,7,FALSE)</f>
        <v>0.2</v>
      </c>
      <c r="H82" s="345">
        <f>VLOOKUP(B82,'26MY_PASSPORT_DATA'!B:AR,11,FALSE)</f>
        <v>722</v>
      </c>
      <c r="I82" s="347">
        <f>VLOOKUP($B82,'26MY_PASSPORT_DATA'!$B:$AR,12,FALSE)</f>
        <v>0</v>
      </c>
      <c r="J82" s="347">
        <f>VLOOKUP($B82,'26MY_PASSPORT_DATA'!$B:$AR,13,FALSE)</f>
        <v>0</v>
      </c>
      <c r="K82" s="347" t="str">
        <f>VLOOKUP(B82,'26MY_PASSPORT_DATA'!B:AR,14,FALSE)</f>
        <v>•</v>
      </c>
      <c r="L82" s="347" t="str">
        <f>VLOOKUP(B82,'26MY_PASSPORT_DATA'!B:AR,15,FALSE)</f>
        <v>•</v>
      </c>
      <c r="M82" s="347">
        <f>VLOOKUP($B82,'26MY_PASSPORT_DATA'!$B:$AR,16,FALSE)</f>
        <v>0</v>
      </c>
      <c r="N82" s="347">
        <f>VLOOKUP(B82,'26MY_PASSPORT_DATA'!B:AR,17,FALSE)</f>
        <v>0</v>
      </c>
      <c r="O82" s="347" t="str">
        <f>VLOOKUP(B82,'26MY_PASSPORT_DATA'!B:AR,18,FALSE)</f>
        <v>•</v>
      </c>
      <c r="P82" s="347" t="str">
        <f>VLOOKUP(B82,'26MY_PASSPORT_DATA'!B:AR,19,FALSE)</f>
        <v>•</v>
      </c>
      <c r="Q82" s="375"/>
    </row>
    <row r="83" spans="2:17" s="135" customFormat="1" ht="15" customHeight="1">
      <c r="B83" s="332" t="s">
        <v>428</v>
      </c>
      <c r="C83" s="198" t="str">
        <f>VLOOKUP(B83,'26MY_PASSPORT_DATA'!B:AR,3,FALSE)</f>
        <v>Roof Surfboard Attachment</v>
      </c>
      <c r="D83" s="79" t="str">
        <f t="shared" si="24"/>
        <v>08L05-E09-100</v>
      </c>
      <c r="E83" s="343">
        <f>VLOOKUP(B83,'26MY_PASSPORT_DATA'!B:AR,9,FALSE)</f>
        <v>207</v>
      </c>
      <c r="F83" s="343">
        <f>VLOOKUP(B83,'26MY_PASSPORT_DATA'!B:AR,10,FALSE)</f>
        <v>345</v>
      </c>
      <c r="G83" s="344">
        <f>VLOOKUP(B83,'26MY_PASSPORT_DATA'!B:AR,7,FALSE)</f>
        <v>0.4</v>
      </c>
      <c r="H83" s="345">
        <f>VLOOKUP(B83,'26MY_PASSPORT_DATA'!B:AR,11,FALSE)</f>
        <v>405</v>
      </c>
      <c r="I83" s="347">
        <f>VLOOKUP($B83,'26MY_PASSPORT_DATA'!$B:$AR,12,FALSE)</f>
        <v>0</v>
      </c>
      <c r="J83" s="347">
        <f>VLOOKUP($B83,'26MY_PASSPORT_DATA'!$B:$AR,13,FALSE)</f>
        <v>0</v>
      </c>
      <c r="K83" s="347" t="str">
        <f>VLOOKUP(B83,'26MY_PASSPORT_DATA'!B:AR,14,FALSE)</f>
        <v>•</v>
      </c>
      <c r="L83" s="347" t="str">
        <f>VLOOKUP(B83,'26MY_PASSPORT_DATA'!B:AR,15,FALSE)</f>
        <v>•</v>
      </c>
      <c r="M83" s="347">
        <f>VLOOKUP($B83,'26MY_PASSPORT_DATA'!$B:$AR,16,FALSE)</f>
        <v>0</v>
      </c>
      <c r="N83" s="347">
        <f>VLOOKUP(B83,'26MY_PASSPORT_DATA'!B:AR,17,FALSE)</f>
        <v>0</v>
      </c>
      <c r="O83" s="347" t="str">
        <f>VLOOKUP(B83,'26MY_PASSPORT_DATA'!B:AR,18,FALSE)</f>
        <v>•</v>
      </c>
      <c r="P83" s="347" t="str">
        <f>VLOOKUP(B83,'26MY_PASSPORT_DATA'!B:AR,19,FALSE)</f>
        <v>•</v>
      </c>
      <c r="Q83" s="375"/>
    </row>
    <row r="84" spans="2:17" s="135" customFormat="1" ht="15" customHeight="1">
      <c r="B84" s="332" t="s">
        <v>429</v>
      </c>
      <c r="C84" s="198" t="str">
        <f>VLOOKUP(B84,'26MY_PASSPORT_DATA'!B:AR,3,FALSE)</f>
        <v>Roof Kayak Attachment</v>
      </c>
      <c r="D84" s="79" t="str">
        <f t="shared" si="18"/>
        <v>08L09-E09-101</v>
      </c>
      <c r="E84" s="343">
        <f>VLOOKUP(B84,'26MY_PASSPORT_DATA'!B:AR,9,FALSE)</f>
        <v>430</v>
      </c>
      <c r="F84" s="343">
        <f>VLOOKUP(B84,'26MY_PASSPORT_DATA'!B:AR,10,FALSE)</f>
        <v>717</v>
      </c>
      <c r="G84" s="344">
        <f>VLOOKUP(B84,'26MY_PASSPORT_DATA'!B:AR,7,FALSE)</f>
        <v>0.4</v>
      </c>
      <c r="H84" s="345">
        <f>VLOOKUP(B84,'26MY_PASSPORT_DATA'!B:AR,11,FALSE)</f>
        <v>777</v>
      </c>
      <c r="I84" s="347">
        <f>VLOOKUP($B84,'26MY_PASSPORT_DATA'!$B:$AR,12,FALSE)</f>
        <v>0</v>
      </c>
      <c r="J84" s="347">
        <f>VLOOKUP($B84,'26MY_PASSPORT_DATA'!$B:$AR,13,FALSE)</f>
        <v>0</v>
      </c>
      <c r="K84" s="347" t="str">
        <f>VLOOKUP(B84,'26MY_PASSPORT_DATA'!B:AR,14,FALSE)</f>
        <v>•</v>
      </c>
      <c r="L84" s="347" t="str">
        <f>VLOOKUP(B84,'26MY_PASSPORT_DATA'!B:AR,15,FALSE)</f>
        <v>•</v>
      </c>
      <c r="M84" s="347">
        <f>VLOOKUP($B84,'26MY_PASSPORT_DATA'!$B:$AR,16,FALSE)</f>
        <v>0</v>
      </c>
      <c r="N84" s="347">
        <f>VLOOKUP(B84,'26MY_PASSPORT_DATA'!B:AR,17,FALSE)</f>
        <v>0</v>
      </c>
      <c r="O84" s="347" t="str">
        <f>VLOOKUP(B84,'26MY_PASSPORT_DATA'!B:AR,18,FALSE)</f>
        <v>•</v>
      </c>
      <c r="P84" s="347" t="str">
        <f>VLOOKUP(B84,'26MY_PASSPORT_DATA'!B:AR,19,FALSE)</f>
        <v>•</v>
      </c>
      <c r="Q84" s="375"/>
    </row>
    <row r="85" spans="2:17" s="135" customFormat="1" ht="15" customHeight="1">
      <c r="B85" s="332" t="s">
        <v>169</v>
      </c>
      <c r="C85" s="198" t="str">
        <f>VLOOKUP(B85,'26MY_PASSPORT_DATA'!B:AR,3,FALSE)</f>
        <v>Roof Box Short</v>
      </c>
      <c r="D85" s="79" t="str">
        <f t="shared" ref="D85:D87" si="25">B85</f>
        <v>08L20-E09-300B</v>
      </c>
      <c r="E85" s="343">
        <f>VLOOKUP(B85,'26MY_PASSPORT_DATA'!B:AR,9,FALSE)</f>
        <v>799</v>
      </c>
      <c r="F85" s="343">
        <f>VLOOKUP(B85,'26MY_PASSPORT_DATA'!B:AR,10,FALSE)</f>
        <v>1332</v>
      </c>
      <c r="G85" s="344">
        <f>VLOOKUP(B85,'26MY_PASSPORT_DATA'!B:AR,7,FALSE)</f>
        <v>0.2</v>
      </c>
      <c r="H85" s="345">
        <f>VLOOKUP(B85,'26MY_PASSPORT_DATA'!B:AR,11,FALSE)</f>
        <v>1362</v>
      </c>
      <c r="I85" s="347">
        <f>VLOOKUP($B85,'26MY_PASSPORT_DATA'!$B:$AR,12,FALSE)</f>
        <v>0</v>
      </c>
      <c r="J85" s="347">
        <f>VLOOKUP($B85,'26MY_PASSPORT_DATA'!$B:$AR,13,FALSE)</f>
        <v>0</v>
      </c>
      <c r="K85" s="347" t="str">
        <f>VLOOKUP(B85,'26MY_PASSPORT_DATA'!B:AR,14,FALSE)</f>
        <v>•</v>
      </c>
      <c r="L85" s="347" t="str">
        <f>VLOOKUP(B85,'26MY_PASSPORT_DATA'!B:AR,15,FALSE)</f>
        <v>•</v>
      </c>
      <c r="M85" s="347">
        <f>VLOOKUP($B85,'26MY_PASSPORT_DATA'!$B:$AR,16,FALSE)</f>
        <v>0</v>
      </c>
      <c r="N85" s="347">
        <f>VLOOKUP(B85,'26MY_PASSPORT_DATA'!B:AR,17,FALSE)</f>
        <v>0</v>
      </c>
      <c r="O85" s="347" t="str">
        <f>VLOOKUP(B85,'26MY_PASSPORT_DATA'!B:AR,18,FALSE)</f>
        <v>•</v>
      </c>
      <c r="P85" s="347" t="str">
        <f>VLOOKUP(B85,'26MY_PASSPORT_DATA'!B:AR,19,FALSE)</f>
        <v>•</v>
      </c>
      <c r="Q85" s="375"/>
    </row>
    <row r="86" spans="2:17" s="135" customFormat="1" ht="15" customHeight="1">
      <c r="B86" s="332" t="s">
        <v>194</v>
      </c>
      <c r="C86" s="198" t="str">
        <f>VLOOKUP(B86,'26MY_PASSPORT_DATA'!B:AR,3,FALSE)</f>
        <v>Roof Box, Long</v>
      </c>
      <c r="D86" s="79" t="str">
        <f t="shared" si="25"/>
        <v>08L20-E09-300A</v>
      </c>
      <c r="E86" s="343">
        <f>VLOOKUP(B86,'26MY_PASSPORT_DATA'!B:AR,9,FALSE)</f>
        <v>875</v>
      </c>
      <c r="F86" s="343">
        <f>VLOOKUP(B86,'26MY_PASSPORT_DATA'!B:AR,10,FALSE)</f>
        <v>1458</v>
      </c>
      <c r="G86" s="344">
        <f>VLOOKUP(B86,'26MY_PASSPORT_DATA'!B:AR,7,FALSE)</f>
        <v>0.2</v>
      </c>
      <c r="H86" s="345">
        <f>VLOOKUP(B86,'26MY_PASSPORT_DATA'!B:AR,11,FALSE)</f>
        <v>1488</v>
      </c>
      <c r="I86" s="347">
        <f>VLOOKUP($B86,'26MY_PASSPORT_DATA'!$B:$AR,12,FALSE)</f>
        <v>0</v>
      </c>
      <c r="J86" s="347">
        <f>VLOOKUP($B86,'26MY_PASSPORT_DATA'!$B:$AR,13,FALSE)</f>
        <v>0</v>
      </c>
      <c r="K86" s="347" t="str">
        <f>VLOOKUP(B86,'26MY_PASSPORT_DATA'!B:AR,14,FALSE)</f>
        <v>•</v>
      </c>
      <c r="L86" s="347" t="str">
        <f>VLOOKUP(B86,'26MY_PASSPORT_DATA'!B:AR,15,FALSE)</f>
        <v>•</v>
      </c>
      <c r="M86" s="347">
        <f>VLOOKUP($B86,'26MY_PASSPORT_DATA'!$B:$AR,16,FALSE)</f>
        <v>0</v>
      </c>
      <c r="N86" s="347">
        <f>VLOOKUP(B86,'26MY_PASSPORT_DATA'!B:AR,17,FALSE)</f>
        <v>0</v>
      </c>
      <c r="O86" s="347" t="str">
        <f>VLOOKUP(B86,'26MY_PASSPORT_DATA'!B:AR,18,FALSE)</f>
        <v>•</v>
      </c>
      <c r="P86" s="347" t="str">
        <f>VLOOKUP(B86,'26MY_PASSPORT_DATA'!B:AR,19,FALSE)</f>
        <v>•</v>
      </c>
      <c r="Q86" s="375"/>
    </row>
    <row r="87" spans="2:17" s="135" customFormat="1" ht="15" customHeight="1">
      <c r="B87" s="332" t="s">
        <v>427</v>
      </c>
      <c r="C87" s="198" t="str">
        <f>VLOOKUP(B87,'26MY_PASSPORT_DATA'!B:AR,3,FALSE)</f>
        <v>Roof Basket</v>
      </c>
      <c r="D87" s="79" t="str">
        <f t="shared" si="25"/>
        <v>08L20-E09-101C</v>
      </c>
      <c r="E87" s="343">
        <f>VLOOKUP(B87,'26MY_PASSPORT_DATA'!B:AR,9,FALSE)</f>
        <v>571</v>
      </c>
      <c r="F87" s="343">
        <f>VLOOKUP(B87,'26MY_PASSPORT_DATA'!B:AR,10,FALSE)</f>
        <v>952</v>
      </c>
      <c r="G87" s="344">
        <f>VLOOKUP(B87,'26MY_PASSPORT_DATA'!B:AR,7,FALSE)</f>
        <v>0.4</v>
      </c>
      <c r="H87" s="345">
        <f>VLOOKUP(B87,'26MY_PASSPORT_DATA'!B:AR,11,FALSE)</f>
        <v>1012</v>
      </c>
      <c r="I87" s="347">
        <f>VLOOKUP($B87,'26MY_PASSPORT_DATA'!$B:$AR,12,FALSE)</f>
        <v>0</v>
      </c>
      <c r="J87" s="347">
        <f>VLOOKUP($B87,'26MY_PASSPORT_DATA'!$B:$AR,13,FALSE)</f>
        <v>0</v>
      </c>
      <c r="K87" s="347" t="str">
        <f>VLOOKUP(B87,'26MY_PASSPORT_DATA'!B:AR,14,FALSE)</f>
        <v>•</v>
      </c>
      <c r="L87" s="347" t="str">
        <f>VLOOKUP(B87,'26MY_PASSPORT_DATA'!B:AR,15,FALSE)</f>
        <v>•</v>
      </c>
      <c r="M87" s="347">
        <f>VLOOKUP($B87,'26MY_PASSPORT_DATA'!$B:$AR,16,FALSE)</f>
        <v>0</v>
      </c>
      <c r="N87" s="347">
        <f>VLOOKUP(B87,'26MY_PASSPORT_DATA'!B:AR,17,FALSE)</f>
        <v>0</v>
      </c>
      <c r="O87" s="347" t="str">
        <f>VLOOKUP(B87,'26MY_PASSPORT_DATA'!B:AR,18,FALSE)</f>
        <v>•</v>
      </c>
      <c r="P87" s="347" t="str">
        <f>VLOOKUP(B87,'26MY_PASSPORT_DATA'!B:AR,19,FALSE)</f>
        <v>•</v>
      </c>
      <c r="Q87" s="376"/>
    </row>
    <row r="88" spans="2:17" s="135" customFormat="1" ht="15" customHeight="1">
      <c r="B88" s="332"/>
      <c r="C88" s="130"/>
      <c r="D88" s="130"/>
      <c r="E88" s="140"/>
      <c r="F88" s="140"/>
      <c r="G88" s="193"/>
      <c r="H88" s="140"/>
      <c r="I88" s="140"/>
      <c r="J88" s="140"/>
      <c r="K88" s="140"/>
      <c r="L88" s="140"/>
      <c r="M88" s="140"/>
      <c r="N88" s="140"/>
      <c r="O88" s="140"/>
      <c r="P88" s="140"/>
      <c r="Q88" s="140"/>
    </row>
    <row r="89" spans="2:17" s="133" customFormat="1" ht="18.75">
      <c r="B89" s="333"/>
      <c r="C89" s="152" t="s">
        <v>61</v>
      </c>
      <c r="D89" s="152"/>
      <c r="E89" s="194"/>
      <c r="F89" s="194"/>
      <c r="G89" s="194"/>
      <c r="H89" s="194"/>
      <c r="I89" s="194"/>
      <c r="J89" s="194"/>
      <c r="K89" s="194"/>
      <c r="L89" s="194"/>
      <c r="M89" s="194"/>
      <c r="N89" s="194"/>
      <c r="O89" s="194"/>
      <c r="P89" s="194"/>
      <c r="Q89" s="194"/>
    </row>
    <row r="90" spans="2:17" s="134" customFormat="1" ht="15" customHeight="1">
      <c r="B90" s="332"/>
      <c r="C90" s="387" t="s">
        <v>55</v>
      </c>
      <c r="D90" s="387" t="s">
        <v>10</v>
      </c>
      <c r="E90" s="387" t="s">
        <v>17</v>
      </c>
      <c r="F90" s="387" t="s">
        <v>11</v>
      </c>
      <c r="G90" s="387" t="s">
        <v>12</v>
      </c>
      <c r="H90" s="386" t="s">
        <v>13</v>
      </c>
      <c r="I90" s="387" t="s">
        <v>23</v>
      </c>
      <c r="J90" s="387"/>
      <c r="K90" s="387"/>
      <c r="L90" s="387"/>
      <c r="M90" s="387"/>
      <c r="N90" s="387"/>
      <c r="O90" s="387"/>
      <c r="P90" s="387"/>
      <c r="Q90" s="387" t="s">
        <v>14</v>
      </c>
    </row>
    <row r="91" spans="2:17" s="134" customFormat="1" ht="45">
      <c r="B91" s="332"/>
      <c r="C91" s="387"/>
      <c r="D91" s="387"/>
      <c r="E91" s="387"/>
      <c r="F91" s="387"/>
      <c r="G91" s="387"/>
      <c r="H91" s="386"/>
      <c r="I91" s="174">
        <f>'26MY_PASSPORT_DATA'!$M$7</f>
        <v>0</v>
      </c>
      <c r="J91" s="174">
        <f>'26MY_PASSPORT_DATA'!$M$7</f>
        <v>0</v>
      </c>
      <c r="K91" s="174" t="str">
        <f>'26MY_PASSPORT_DATA'!$O$7</f>
        <v>TrailSport</v>
      </c>
      <c r="L91" s="174" t="str">
        <f>'26MY_PASSPORT_DATA'!$P$7</f>
        <v>TrailSport Blackout</v>
      </c>
      <c r="M91" s="174">
        <f>'26MY_PASSPORT_DATA'!$R$7</f>
        <v>0</v>
      </c>
      <c r="N91" s="174">
        <f>'26MY_PASSPORT_DATA'!$R$7</f>
        <v>0</v>
      </c>
      <c r="O91" s="174" t="str">
        <f>'26MY_PASSPORT_DATA'!$S$7</f>
        <v>TrailSport Touring</v>
      </c>
      <c r="P91" s="174" t="str">
        <f>'26MY_PASSPORT_DATA'!$T$7</f>
        <v>Trailsport Touring Blackout</v>
      </c>
      <c r="Q91" s="387"/>
    </row>
    <row r="92" spans="2:17" s="135" customFormat="1" ht="15" customHeight="1">
      <c r="B92" s="332" t="s">
        <v>240</v>
      </c>
      <c r="C92" s="175" t="str">
        <f>VLOOKUP(B92,'26MY_PASSPORT_DATA'!B:AR,3,FALSE)</f>
        <v>All Season Mats (TrailSport logo)</v>
      </c>
      <c r="D92" s="79" t="str">
        <f t="shared" ref="D92" si="26">B92</f>
        <v>08P17-3BM-120A</v>
      </c>
      <c r="E92" s="343">
        <f>VLOOKUP(B92,'26MY_PASSPORT_DATA'!B:AR,9,FALSE)</f>
        <v>210</v>
      </c>
      <c r="F92" s="343">
        <f>VLOOKUP(B92,'26MY_PASSPORT_DATA'!B:AR,10,FALSE)</f>
        <v>350</v>
      </c>
      <c r="G92" s="344">
        <f>VLOOKUP(B92,'26MY_PASSPORT_DATA'!B:AR,7,FALSE)</f>
        <v>0.1</v>
      </c>
      <c r="H92" s="345">
        <f>VLOOKUP(B92,'26MY_PASSPORT_DATA'!B:AR,11,FALSE)</f>
        <v>365</v>
      </c>
      <c r="I92" s="347">
        <f>VLOOKUP($B92,'26MY_PASSPORT_DATA'!$B:$AR,12,FALSE)</f>
        <v>0</v>
      </c>
      <c r="J92" s="347">
        <f>VLOOKUP($B92,'26MY_PASSPORT_DATA'!$B:$AR,13,FALSE)</f>
        <v>0</v>
      </c>
      <c r="K92" s="347" t="str">
        <f>VLOOKUP(B92,'26MY_PASSPORT_DATA'!B:AR,14,FALSE)</f>
        <v>•</v>
      </c>
      <c r="L92" s="347" t="str">
        <f>VLOOKUP(B92,'26MY_PASSPORT_DATA'!B:AR,15,FALSE)</f>
        <v>•</v>
      </c>
      <c r="M92" s="347">
        <f>VLOOKUP($B92,'26MY_PASSPORT_DATA'!$B:$AR,16,FALSE)</f>
        <v>0</v>
      </c>
      <c r="N92" s="347">
        <f>VLOOKUP(B92,'26MY_PASSPORT_DATA'!B:AR,17,FALSE)</f>
        <v>0</v>
      </c>
      <c r="O92" s="347" t="str">
        <f>VLOOKUP(B92,'26MY_PASSPORT_DATA'!B:AR,18,FALSE)</f>
        <v>•</v>
      </c>
      <c r="P92" s="347" t="str">
        <f>VLOOKUP(B92,'26MY_PASSPORT_DATA'!B:AR,19,FALSE)</f>
        <v>•</v>
      </c>
      <c r="Q92" s="346" t="str">
        <f>IF(VLOOKUP(B92,'26MY_PASSPORT_DATA'!B:AR,20,FALSE)="","",VLOOKUP(B92,'26MY_PASSPORT_DATA'!B:AR,20,FALSE))</f>
        <v/>
      </c>
    </row>
    <row r="93" spans="2:17" s="135" customFormat="1" ht="15" customHeight="1">
      <c r="B93" s="332" t="s">
        <v>244</v>
      </c>
      <c r="C93" s="175" t="str">
        <f>VLOOKUP(B93,'26MY_PASSPORT_DATA'!B:AR,3,FALSE)</f>
        <v>Cargo Tray</v>
      </c>
      <c r="D93" s="79" t="str">
        <f t="shared" ref="D93:D95" si="27">B93</f>
        <v>08U45-3BM-100</v>
      </c>
      <c r="E93" s="343">
        <f>VLOOKUP(B93,'26MY_PASSPORT_DATA'!B:AR,9,FALSE)</f>
        <v>120</v>
      </c>
      <c r="F93" s="343">
        <f>VLOOKUP(B93,'26MY_PASSPORT_DATA'!B:AR,10,FALSE)</f>
        <v>200</v>
      </c>
      <c r="G93" s="344">
        <f>VLOOKUP(B93,'26MY_PASSPORT_DATA'!B:AR,7,FALSE)</f>
        <v>0.1</v>
      </c>
      <c r="H93" s="345">
        <f>VLOOKUP(B93,'26MY_PASSPORT_DATA'!B:AR,11,FALSE)</f>
        <v>215</v>
      </c>
      <c r="I93" s="347">
        <f>VLOOKUP($B93,'26MY_PASSPORT_DATA'!$B:$AR,12,FALSE)</f>
        <v>0</v>
      </c>
      <c r="J93" s="347">
        <f>VLOOKUP($B93,'26MY_PASSPORT_DATA'!$B:$AR,13,FALSE)</f>
        <v>0</v>
      </c>
      <c r="K93" s="347" t="str">
        <f>VLOOKUP(B93,'26MY_PASSPORT_DATA'!B:AR,14,FALSE)</f>
        <v>•</v>
      </c>
      <c r="L93" s="347" t="str">
        <f>VLOOKUP(B93,'26MY_PASSPORT_DATA'!B:AR,15,FALSE)</f>
        <v>•</v>
      </c>
      <c r="M93" s="347">
        <f>VLOOKUP($B93,'26MY_PASSPORT_DATA'!$B:$AR,16,FALSE)</f>
        <v>0</v>
      </c>
      <c r="N93" s="347">
        <f>VLOOKUP(B93,'26MY_PASSPORT_DATA'!B:AR,17,FALSE)</f>
        <v>0</v>
      </c>
      <c r="O93" s="347" t="str">
        <f>VLOOKUP(B93,'26MY_PASSPORT_DATA'!B:AR,18,FALSE)</f>
        <v>•</v>
      </c>
      <c r="P93" s="347" t="str">
        <f>VLOOKUP(B93,'26MY_PASSPORT_DATA'!B:AR,19,FALSE)</f>
        <v>•</v>
      </c>
      <c r="Q93" s="346" t="str">
        <f>IF(VLOOKUP(B93,'26MY_PASSPORT_DATA'!B:AR,20,FALSE)="","",VLOOKUP(B93,'26MY_PASSPORT_DATA'!B:AR,20,FALSE))</f>
        <v/>
      </c>
    </row>
    <row r="94" spans="2:17" s="135" customFormat="1" ht="15" customHeight="1">
      <c r="B94" s="332" t="s">
        <v>250</v>
      </c>
      <c r="C94" s="175" t="str">
        <f>VLOOKUP(B94,'26MY_PASSPORT_DATA'!B:AR,3,FALSE)</f>
        <v>Cargo Cover</v>
      </c>
      <c r="D94" s="79" t="str">
        <f t="shared" si="27"/>
        <v>08U35-3BM-310</v>
      </c>
      <c r="E94" s="343">
        <f>VLOOKUP(B94,'26MY_PASSPORT_DATA'!B:AR,9,FALSE)</f>
        <v>273</v>
      </c>
      <c r="F94" s="343">
        <f>VLOOKUP(B94,'26MY_PASSPORT_DATA'!B:AR,10,FALSE)</f>
        <v>455</v>
      </c>
      <c r="G94" s="344">
        <f>VLOOKUP(B94,'26MY_PASSPORT_DATA'!B:AR,7,FALSE)</f>
        <v>0.1</v>
      </c>
      <c r="H94" s="345">
        <f>VLOOKUP(B94,'26MY_PASSPORT_DATA'!B:AR,11,FALSE)</f>
        <v>470</v>
      </c>
      <c r="I94" s="347">
        <f>VLOOKUP($B94,'26MY_PASSPORT_DATA'!$B:$AR,12,FALSE)</f>
        <v>0</v>
      </c>
      <c r="J94" s="347">
        <f>VLOOKUP($B94,'26MY_PASSPORT_DATA'!$B:$AR,13,FALSE)</f>
        <v>0</v>
      </c>
      <c r="K94" s="347" t="str">
        <f>VLOOKUP(B94,'26MY_PASSPORT_DATA'!B:AR,14,FALSE)</f>
        <v>•</v>
      </c>
      <c r="L94" s="347" t="str">
        <f>VLOOKUP(B94,'26MY_PASSPORT_DATA'!B:AR,15,FALSE)</f>
        <v>•</v>
      </c>
      <c r="M94" s="347">
        <f>VLOOKUP($B94,'26MY_PASSPORT_DATA'!$B:$AR,16,FALSE)</f>
        <v>0</v>
      </c>
      <c r="N94" s="347">
        <f>VLOOKUP(B94,'26MY_PASSPORT_DATA'!B:AR,17,FALSE)</f>
        <v>0</v>
      </c>
      <c r="O94" s="347" t="str">
        <f>VLOOKUP(B94,'26MY_PASSPORT_DATA'!B:AR,18,FALSE)</f>
        <v>•</v>
      </c>
      <c r="P94" s="347" t="str">
        <f>VLOOKUP(B94,'26MY_PASSPORT_DATA'!B:AR,19,FALSE)</f>
        <v>•</v>
      </c>
      <c r="Q94" s="346" t="str">
        <f>IF(VLOOKUP(B94,'26MY_PASSPORT_DATA'!B:AR,20,FALSE)="","",VLOOKUP(B94,'26MY_PASSPORT_DATA'!B:AR,20,FALSE))</f>
        <v>Cannot be used in conjunction with Cargo Shelf / Table</v>
      </c>
    </row>
    <row r="95" spans="2:17" s="135" customFormat="1" ht="15" customHeight="1">
      <c r="B95" s="332" t="s">
        <v>241</v>
      </c>
      <c r="C95" s="175" t="str">
        <f>VLOOKUP(B95,'26MY_PASSPORT_DATA'!B:AR,3,FALSE)</f>
        <v>Seat Back Protector</v>
      </c>
      <c r="D95" s="79" t="str">
        <f t="shared" si="27"/>
        <v>08P42-3BM-100</v>
      </c>
      <c r="E95" s="343">
        <f>VLOOKUP(B95,'26MY_PASSPORT_DATA'!B:AR,9,FALSE)</f>
        <v>123</v>
      </c>
      <c r="F95" s="343">
        <f>VLOOKUP(B95,'26MY_PASSPORT_DATA'!B:AR,10,FALSE)</f>
        <v>205</v>
      </c>
      <c r="G95" s="344">
        <f>VLOOKUP(B95,'26MY_PASSPORT_DATA'!B:AR,7,FALSE)</f>
        <v>0.2</v>
      </c>
      <c r="H95" s="345">
        <f>VLOOKUP(B95,'26MY_PASSPORT_DATA'!B:AR,11,FALSE)</f>
        <v>235</v>
      </c>
      <c r="I95" s="347">
        <f>VLOOKUP($B95,'26MY_PASSPORT_DATA'!$B:$AR,12,FALSE)</f>
        <v>0</v>
      </c>
      <c r="J95" s="347">
        <f>VLOOKUP($B95,'26MY_PASSPORT_DATA'!$B:$AR,13,FALSE)</f>
        <v>0</v>
      </c>
      <c r="K95" s="347" t="str">
        <f>VLOOKUP(B95,'26MY_PASSPORT_DATA'!B:AR,14,FALSE)</f>
        <v>•</v>
      </c>
      <c r="L95" s="347" t="str">
        <f>VLOOKUP(B95,'26MY_PASSPORT_DATA'!B:AR,15,FALSE)</f>
        <v>•</v>
      </c>
      <c r="M95" s="347">
        <f>VLOOKUP($B95,'26MY_PASSPORT_DATA'!$B:$AR,16,FALSE)</f>
        <v>0</v>
      </c>
      <c r="N95" s="347">
        <f>VLOOKUP(B95,'26MY_PASSPORT_DATA'!B:AR,17,FALSE)</f>
        <v>0</v>
      </c>
      <c r="O95" s="347" t="str">
        <f>VLOOKUP(B95,'26MY_PASSPORT_DATA'!B:AR,18,FALSE)</f>
        <v>•</v>
      </c>
      <c r="P95" s="347" t="str">
        <f>VLOOKUP(B95,'26MY_PASSPORT_DATA'!B:AR,19,FALSE)</f>
        <v>•</v>
      </c>
      <c r="Q95" s="346" t="str">
        <f>IF(VLOOKUP(B95,'26MY_PASSPORT_DATA'!B:AR,20,FALSE)="","",VLOOKUP(B95,'26MY_PASSPORT_DATA'!B:AR,20,FALSE))</f>
        <v/>
      </c>
    </row>
    <row r="96" spans="2:17" s="135" customFormat="1" ht="15" customHeight="1">
      <c r="B96" s="332" t="s">
        <v>249</v>
      </c>
      <c r="C96" s="175" t="str">
        <f>VLOOKUP(B96,'26MY_PASSPORT_DATA'!B:AR,3,FALSE)</f>
        <v>Separation Barrier</v>
      </c>
      <c r="D96" s="79" t="str">
        <f t="shared" ref="D96:D97" si="28">B96</f>
        <v>08U35-3BM-300A</v>
      </c>
      <c r="E96" s="343">
        <f>VLOOKUP(B96,'26MY_PASSPORT_DATA'!B:AR,9,FALSE)</f>
        <v>621</v>
      </c>
      <c r="F96" s="343">
        <f>VLOOKUP(B96,'26MY_PASSPORT_DATA'!B:AR,10,FALSE)</f>
        <v>1035</v>
      </c>
      <c r="G96" s="344">
        <f>VLOOKUP(B96,'26MY_PASSPORT_DATA'!B:AR,7,FALSE)</f>
        <v>0.4</v>
      </c>
      <c r="H96" s="345">
        <f>VLOOKUP(B96,'26MY_PASSPORT_DATA'!B:AR,11,FALSE)</f>
        <v>1095</v>
      </c>
      <c r="I96" s="347">
        <f>VLOOKUP($B96,'26MY_PASSPORT_DATA'!$B:$AR,12,FALSE)</f>
        <v>0</v>
      </c>
      <c r="J96" s="347">
        <f>VLOOKUP($B96,'26MY_PASSPORT_DATA'!$B:$AR,13,FALSE)</f>
        <v>0</v>
      </c>
      <c r="K96" s="347" t="str">
        <f>VLOOKUP(B96,'26MY_PASSPORT_DATA'!B:AR,14,FALSE)</f>
        <v>•</v>
      </c>
      <c r="L96" s="347" t="str">
        <f>VLOOKUP(B96,'26MY_PASSPORT_DATA'!B:AR,15,FALSE)</f>
        <v>•</v>
      </c>
      <c r="M96" s="347">
        <f>VLOOKUP($B96,'26MY_PASSPORT_DATA'!$B:$AR,16,FALSE)</f>
        <v>0</v>
      </c>
      <c r="N96" s="347">
        <f>VLOOKUP(B96,'26MY_PASSPORT_DATA'!B:AR,17,FALSE)</f>
        <v>0</v>
      </c>
      <c r="O96" s="347" t="str">
        <f>VLOOKUP(B96,'26MY_PASSPORT_DATA'!B:AR,18,FALSE)</f>
        <v>•</v>
      </c>
      <c r="P96" s="347" t="str">
        <f>VLOOKUP(B96,'26MY_PASSPORT_DATA'!B:AR,19,FALSE)</f>
        <v>•</v>
      </c>
      <c r="Q96" s="346" t="str">
        <f>IF(VLOOKUP(B96,'26MY_PASSPORT_DATA'!B:AR,20,FALSE)="","",VLOOKUP(B96,'26MY_PASSPORT_DATA'!B:AR,20,FALSE))</f>
        <v/>
      </c>
    </row>
    <row r="97" spans="2:17" s="135" customFormat="1" ht="15" customHeight="1">
      <c r="B97" s="332" t="s">
        <v>253</v>
      </c>
      <c r="C97" s="175" t="str">
        <f>VLOOKUP(B97,'26MY_PASSPORT_DATA'!B:AR,3,FALSE)</f>
        <v xml:space="preserve">Utility Panel </v>
      </c>
      <c r="D97" s="79" t="str">
        <f t="shared" si="28"/>
        <v>08Z03-3BM-300</v>
      </c>
      <c r="E97" s="343">
        <f>VLOOKUP(B97,'26MY_PASSPORT_DATA'!B:AR,9,FALSE)</f>
        <v>171</v>
      </c>
      <c r="F97" s="343">
        <f>VLOOKUP(B97,'26MY_PASSPORT_DATA'!B:AR,10,FALSE)</f>
        <v>285</v>
      </c>
      <c r="G97" s="344">
        <f>VLOOKUP(B97,'26MY_PASSPORT_DATA'!B:AR,7,FALSE)</f>
        <v>0.3</v>
      </c>
      <c r="H97" s="345">
        <f>VLOOKUP(B97,'26MY_PASSPORT_DATA'!B:AR,11,FALSE)</f>
        <v>330</v>
      </c>
      <c r="I97" s="347">
        <f>VLOOKUP($B97,'26MY_PASSPORT_DATA'!$B:$AR,12,FALSE)</f>
        <v>0</v>
      </c>
      <c r="J97" s="347">
        <f>VLOOKUP($B97,'26MY_PASSPORT_DATA'!$B:$AR,13,FALSE)</f>
        <v>0</v>
      </c>
      <c r="K97" s="347" t="str">
        <f>VLOOKUP(B97,'26MY_PASSPORT_DATA'!B:AR,14,FALSE)</f>
        <v>•</v>
      </c>
      <c r="L97" s="347" t="str">
        <f>VLOOKUP(B97,'26MY_PASSPORT_DATA'!B:AR,15,FALSE)</f>
        <v>•</v>
      </c>
      <c r="M97" s="347">
        <f>VLOOKUP($B97,'26MY_PASSPORT_DATA'!$B:$AR,16,FALSE)</f>
        <v>0</v>
      </c>
      <c r="N97" s="347">
        <f>VLOOKUP(B97,'26MY_PASSPORT_DATA'!B:AR,17,FALSE)</f>
        <v>0</v>
      </c>
      <c r="O97" s="347" t="str">
        <f>VLOOKUP(B97,'26MY_PASSPORT_DATA'!B:AR,18,FALSE)</f>
        <v>•</v>
      </c>
      <c r="P97" s="347" t="str">
        <f>VLOOKUP(B97,'26MY_PASSPORT_DATA'!B:AR,19,FALSE)</f>
        <v>•</v>
      </c>
      <c r="Q97" s="346" t="str">
        <f>IF(VLOOKUP(B97,'26MY_PASSPORT_DATA'!B:AR,20,FALSE)="","",VLOOKUP(B97,'26MY_PASSPORT_DATA'!B:AR,20,FALSE))</f>
        <v/>
      </c>
    </row>
    <row r="98" spans="2:17" s="135" customFormat="1" ht="15" customHeight="1">
      <c r="B98" s="332" t="s">
        <v>248</v>
      </c>
      <c r="C98" s="175" t="str">
        <f>VLOOKUP(B98,'26MY_PASSPORT_DATA'!B:AR,3,FALSE)</f>
        <v>Cargo Net</v>
      </c>
      <c r="D98" s="79" t="str">
        <f t="shared" ref="D98:D103" si="29">B98</f>
        <v>08L96-3BM-300</v>
      </c>
      <c r="E98" s="343">
        <f>VLOOKUP(B98,'26MY_PASSPORT_DATA'!B:AR,9,FALSE)</f>
        <v>58</v>
      </c>
      <c r="F98" s="343">
        <f>VLOOKUP(B98,'26MY_PASSPORT_DATA'!B:AR,10,FALSE)</f>
        <v>97</v>
      </c>
      <c r="G98" s="344">
        <f>VLOOKUP(B98,'26MY_PASSPORT_DATA'!B:AR,7,FALSE)</f>
        <v>0.1</v>
      </c>
      <c r="H98" s="345">
        <f>VLOOKUP(B98,'26MY_PASSPORT_DATA'!B:AR,11,FALSE)</f>
        <v>112</v>
      </c>
      <c r="I98" s="347">
        <f>VLOOKUP($B98,'26MY_PASSPORT_DATA'!$B:$AR,12,FALSE)</f>
        <v>0</v>
      </c>
      <c r="J98" s="347">
        <f>VLOOKUP($B98,'26MY_PASSPORT_DATA'!$B:$AR,13,FALSE)</f>
        <v>0</v>
      </c>
      <c r="K98" s="347" t="str">
        <f>VLOOKUP(B98,'26MY_PASSPORT_DATA'!B:AR,14,FALSE)</f>
        <v>•</v>
      </c>
      <c r="L98" s="347" t="str">
        <f>VLOOKUP(B98,'26MY_PASSPORT_DATA'!B:AR,15,FALSE)</f>
        <v>•</v>
      </c>
      <c r="M98" s="347">
        <f>VLOOKUP($B98,'26MY_PASSPORT_DATA'!$B:$AR,16,FALSE)</f>
        <v>0</v>
      </c>
      <c r="N98" s="347">
        <f>VLOOKUP(B98,'26MY_PASSPORT_DATA'!B:AR,17,FALSE)</f>
        <v>0</v>
      </c>
      <c r="O98" s="347" t="str">
        <f>VLOOKUP(B98,'26MY_PASSPORT_DATA'!B:AR,18,FALSE)</f>
        <v>•</v>
      </c>
      <c r="P98" s="347" t="str">
        <f>VLOOKUP(B98,'26MY_PASSPORT_DATA'!B:AR,19,FALSE)</f>
        <v>•</v>
      </c>
      <c r="Q98" s="346" t="str">
        <f>IF(VLOOKUP(B98,'26MY_PASSPORT_DATA'!B:AR,20,FALSE)="","",VLOOKUP(B98,'26MY_PASSPORT_DATA'!B:AR,20,FALSE))</f>
        <v/>
      </c>
    </row>
    <row r="99" spans="2:17" s="135" customFormat="1" ht="15" customHeight="1">
      <c r="B99" s="332" t="s">
        <v>265</v>
      </c>
      <c r="C99" s="175" t="str">
        <f>VLOOKUP(B99,'26MY_PASSPORT_DATA'!B:AR,3,FALSE)</f>
        <v>Cargo Shelf / Table</v>
      </c>
      <c r="D99" s="79" t="str">
        <f t="shared" si="29"/>
        <v>08Z05-3BM-100</v>
      </c>
      <c r="E99" s="343">
        <f>VLOOKUP(B99,'26MY_PASSPORT_DATA'!B:AR,9,FALSE)</f>
        <v>575</v>
      </c>
      <c r="F99" s="343">
        <f>VLOOKUP(B99,'26MY_PASSPORT_DATA'!B:AR,10,FALSE)</f>
        <v>958</v>
      </c>
      <c r="G99" s="344">
        <f>VLOOKUP(B99,'26MY_PASSPORT_DATA'!B:AR,7,FALSE)</f>
        <v>0.5</v>
      </c>
      <c r="H99" s="345">
        <f>VLOOKUP(B99,'26MY_PASSPORT_DATA'!B:AR,11,FALSE)</f>
        <v>1033</v>
      </c>
      <c r="I99" s="347">
        <f>VLOOKUP($B99,'26MY_PASSPORT_DATA'!$B:$AR,12,FALSE)</f>
        <v>0</v>
      </c>
      <c r="J99" s="347">
        <f>VLOOKUP($B99,'26MY_PASSPORT_DATA'!$B:$AR,13,FALSE)</f>
        <v>0</v>
      </c>
      <c r="K99" s="347" t="str">
        <f>VLOOKUP(B99,'26MY_PASSPORT_DATA'!B:AR,14,FALSE)</f>
        <v>•</v>
      </c>
      <c r="L99" s="347" t="str">
        <f>VLOOKUP(B99,'26MY_PASSPORT_DATA'!B:AR,15,FALSE)</f>
        <v>•</v>
      </c>
      <c r="M99" s="347">
        <f>VLOOKUP($B99,'26MY_PASSPORT_DATA'!$B:$AR,16,FALSE)</f>
        <v>0</v>
      </c>
      <c r="N99" s="347">
        <f>VLOOKUP(B99,'26MY_PASSPORT_DATA'!B:AR,17,FALSE)</f>
        <v>0</v>
      </c>
      <c r="O99" s="347" t="str">
        <f>VLOOKUP(B99,'26MY_PASSPORT_DATA'!B:AR,18,FALSE)</f>
        <v>•</v>
      </c>
      <c r="P99" s="347" t="str">
        <f>VLOOKUP(B99,'26MY_PASSPORT_DATA'!B:AR,19,FALSE)</f>
        <v>•</v>
      </c>
      <c r="Q99" s="346" t="str">
        <f>IF(VLOOKUP(B99,'26MY_PASSPORT_DATA'!B:AR,20,FALSE)="","",VLOOKUP(B99,'26MY_PASSPORT_DATA'!B:AR,20,FALSE))</f>
        <v>Cannot be used in conjunction with Cargo Cover.</v>
      </c>
    </row>
    <row r="100" spans="2:17" s="135" customFormat="1" ht="15" customHeight="1">
      <c r="B100" s="332" t="s">
        <v>238</v>
      </c>
      <c r="C100" s="175" t="str">
        <f>VLOOKUP(B100,'26MY_PASSPORT_DATA'!B:AR,3,FALSE)</f>
        <v>Door Sill Protection Film</v>
      </c>
      <c r="D100" s="79" t="str">
        <f t="shared" si="29"/>
        <v>08P04-3BM-100</v>
      </c>
      <c r="E100" s="343">
        <f>VLOOKUP(B100,'26MY_PASSPORT_DATA'!B:AR,9,FALSE)</f>
        <v>115</v>
      </c>
      <c r="F100" s="343">
        <f>VLOOKUP(B100,'26MY_PASSPORT_DATA'!B:AR,10,FALSE)</f>
        <v>192</v>
      </c>
      <c r="G100" s="344">
        <f>VLOOKUP(B100,'26MY_PASSPORT_DATA'!B:AR,7,FALSE)</f>
        <v>0.4</v>
      </c>
      <c r="H100" s="345">
        <f>VLOOKUP(B100,'26MY_PASSPORT_DATA'!B:AR,11,FALSE)</f>
        <v>252</v>
      </c>
      <c r="I100" s="347">
        <f>VLOOKUP($B100,'26MY_PASSPORT_DATA'!$B:$AR,12,FALSE)</f>
        <v>0</v>
      </c>
      <c r="J100" s="347">
        <f>VLOOKUP($B100,'26MY_PASSPORT_DATA'!$B:$AR,13,FALSE)</f>
        <v>0</v>
      </c>
      <c r="K100" s="347" t="str">
        <f>VLOOKUP(B100,'26MY_PASSPORT_DATA'!B:AR,14,FALSE)</f>
        <v>•</v>
      </c>
      <c r="L100" s="347" t="str">
        <f>VLOOKUP(B100,'26MY_PASSPORT_DATA'!B:AR,15,FALSE)</f>
        <v>•</v>
      </c>
      <c r="M100" s="347">
        <f>VLOOKUP($B100,'26MY_PASSPORT_DATA'!$B:$AR,16,FALSE)</f>
        <v>0</v>
      </c>
      <c r="N100" s="347">
        <f>VLOOKUP(B100,'26MY_PASSPORT_DATA'!B:AR,17,FALSE)</f>
        <v>0</v>
      </c>
      <c r="O100" s="347" t="str">
        <f>VLOOKUP(B100,'26MY_PASSPORT_DATA'!B:AR,18,FALSE)</f>
        <v>•</v>
      </c>
      <c r="P100" s="347" t="str">
        <f>VLOOKUP(B100,'26MY_PASSPORT_DATA'!B:AR,19,FALSE)</f>
        <v>•</v>
      </c>
      <c r="Q100" s="346" t="str">
        <f>IF(VLOOKUP(B100,'26MY_PASSPORT_DATA'!B:AR,20,FALSE)="","",VLOOKUP(B100,'26MY_PASSPORT_DATA'!B:AR,20,FALSE))</f>
        <v/>
      </c>
    </row>
    <row r="101" spans="2:17" s="135" customFormat="1" ht="15" customHeight="1">
      <c r="B101" s="332" t="s">
        <v>271</v>
      </c>
      <c r="C101" s="175" t="str">
        <f>VLOOKUP(B101,'26MY_PASSPORT_DATA'!B:AR,3,FALSE)</f>
        <v>Soft Cargo Organizer</v>
      </c>
      <c r="D101" s="79" t="str">
        <f t="shared" si="29"/>
        <v>08U20-S9V-101</v>
      </c>
      <c r="E101" s="343">
        <f>VLOOKUP(B101,'26MY_PASSPORT_DATA'!B:AR,9,FALSE)</f>
        <v>86</v>
      </c>
      <c r="F101" s="343">
        <f>VLOOKUP(B101,'26MY_PASSPORT_DATA'!B:AR,10,FALSE)</f>
        <v>143</v>
      </c>
      <c r="G101" s="344">
        <f>VLOOKUP(B101,'26MY_PASSPORT_DATA'!B:AR,7,FALSE)</f>
        <v>0</v>
      </c>
      <c r="H101" s="345">
        <f>VLOOKUP(B101,'26MY_PASSPORT_DATA'!B:AR,11,FALSE)</f>
        <v>143</v>
      </c>
      <c r="I101" s="347">
        <f>VLOOKUP($B101,'26MY_PASSPORT_DATA'!$B:$AR,12,FALSE)</f>
        <v>0</v>
      </c>
      <c r="J101" s="347">
        <f>VLOOKUP($B101,'26MY_PASSPORT_DATA'!$B:$AR,13,FALSE)</f>
        <v>0</v>
      </c>
      <c r="K101" s="347" t="str">
        <f>VLOOKUP(B101,'26MY_PASSPORT_DATA'!B:AR,14,FALSE)</f>
        <v>•</v>
      </c>
      <c r="L101" s="347" t="str">
        <f>VLOOKUP(B101,'26MY_PASSPORT_DATA'!B:AR,15,FALSE)</f>
        <v>•</v>
      </c>
      <c r="M101" s="347">
        <f>VLOOKUP($B101,'26MY_PASSPORT_DATA'!$B:$AR,16,FALSE)</f>
        <v>0</v>
      </c>
      <c r="N101" s="347">
        <f>VLOOKUP(B101,'26MY_PASSPORT_DATA'!B:AR,17,FALSE)</f>
        <v>0</v>
      </c>
      <c r="O101" s="347" t="str">
        <f>VLOOKUP(B101,'26MY_PASSPORT_DATA'!B:AR,18,FALSE)</f>
        <v>•</v>
      </c>
      <c r="P101" s="347" t="str">
        <f>VLOOKUP(B101,'26MY_PASSPORT_DATA'!B:AR,19,FALSE)</f>
        <v>•</v>
      </c>
      <c r="Q101" s="346" t="str">
        <f>IF(VLOOKUP(B101,'26MY_PASSPORT_DATA'!B:AR,20,FALSE)="","",VLOOKUP(B101,'26MY_PASSPORT_DATA'!B:AR,20,FALSE))</f>
        <v/>
      </c>
    </row>
    <row r="102" spans="2:17" s="135" customFormat="1" ht="15" customHeight="1">
      <c r="B102" s="332" t="s">
        <v>272</v>
      </c>
      <c r="C102" s="175" t="str">
        <f>VLOOKUP(B102,'26MY_PASSPORT_DATA'!B:AR,3,FALSE)</f>
        <v>Ashtray</v>
      </c>
      <c r="D102" s="79" t="str">
        <f t="shared" si="29"/>
        <v>08U25-S5D-106</v>
      </c>
      <c r="E102" s="343">
        <f>VLOOKUP(B102,'26MY_PASSPORT_DATA'!B:AR,9,FALSE)</f>
        <v>39</v>
      </c>
      <c r="F102" s="343">
        <f>VLOOKUP(B102,'26MY_PASSPORT_DATA'!B:AR,10,FALSE)</f>
        <v>65</v>
      </c>
      <c r="G102" s="344">
        <f>VLOOKUP(B102,'26MY_PASSPORT_DATA'!B:AR,7,FALSE)</f>
        <v>0</v>
      </c>
      <c r="H102" s="345">
        <f>VLOOKUP(B102,'26MY_PASSPORT_DATA'!B:AR,11,FALSE)</f>
        <v>65</v>
      </c>
      <c r="I102" s="347">
        <f>VLOOKUP($B102,'26MY_PASSPORT_DATA'!$B:$AR,12,FALSE)</f>
        <v>0</v>
      </c>
      <c r="J102" s="347">
        <f>VLOOKUP($B102,'26MY_PASSPORT_DATA'!$B:$AR,13,FALSE)</f>
        <v>0</v>
      </c>
      <c r="K102" s="347" t="str">
        <f>VLOOKUP(B102,'26MY_PASSPORT_DATA'!B:AR,14,FALSE)</f>
        <v>•</v>
      </c>
      <c r="L102" s="347" t="str">
        <f>VLOOKUP(B102,'26MY_PASSPORT_DATA'!B:AR,15,FALSE)</f>
        <v>•</v>
      </c>
      <c r="M102" s="347">
        <f>VLOOKUP($B102,'26MY_PASSPORT_DATA'!$B:$AR,16,FALSE)</f>
        <v>0</v>
      </c>
      <c r="N102" s="347">
        <f>VLOOKUP(B102,'26MY_PASSPORT_DATA'!B:AR,17,FALSE)</f>
        <v>0</v>
      </c>
      <c r="O102" s="347" t="str">
        <f>VLOOKUP(B102,'26MY_PASSPORT_DATA'!B:AR,18,FALSE)</f>
        <v>•</v>
      </c>
      <c r="P102" s="347" t="str">
        <f>VLOOKUP(B102,'26MY_PASSPORT_DATA'!B:AR,19,FALSE)</f>
        <v>•</v>
      </c>
      <c r="Q102" s="346" t="str">
        <f>IF(VLOOKUP(B102,'26MY_PASSPORT_DATA'!B:AR,20,FALSE)="","",VLOOKUP(B102,'26MY_PASSPORT_DATA'!B:AR,20,FALSE))</f>
        <v/>
      </c>
    </row>
    <row r="103" spans="2:17" s="135" customFormat="1" ht="15" customHeight="1">
      <c r="B103" s="332" t="s">
        <v>280</v>
      </c>
      <c r="C103" s="175" t="str">
        <f>VLOOKUP(B103,'26MY_PASSPORT_DATA'!B:AR,3,FALSE)</f>
        <v>Tool Organizer</v>
      </c>
      <c r="D103" s="79" t="str">
        <f t="shared" si="29"/>
        <v>08U08-3BM-100</v>
      </c>
      <c r="E103" s="343">
        <f>VLOOKUP(B103,'26MY_PASSPORT_DATA'!B:AR,9,FALSE)</f>
        <v>105</v>
      </c>
      <c r="F103" s="343">
        <f>VLOOKUP(B103,'26MY_PASSPORT_DATA'!B:AR,10,FALSE)</f>
        <v>175</v>
      </c>
      <c r="G103" s="344">
        <f>VLOOKUP(B103,'26MY_PASSPORT_DATA'!B:AR,7,FALSE)</f>
        <v>0</v>
      </c>
      <c r="H103" s="345">
        <f>VLOOKUP(B103,'26MY_PASSPORT_DATA'!B:AR,11,FALSE)</f>
        <v>175</v>
      </c>
      <c r="I103" s="347">
        <f>VLOOKUP($B103,'26MY_PASSPORT_DATA'!$B:$AR,12,FALSE)</f>
        <v>0</v>
      </c>
      <c r="J103" s="347">
        <f>VLOOKUP($B103,'26MY_PASSPORT_DATA'!$B:$AR,13,FALSE)</f>
        <v>0</v>
      </c>
      <c r="K103" s="347" t="str">
        <f>VLOOKUP(B103,'26MY_PASSPORT_DATA'!B:AR,14,FALSE)</f>
        <v>•</v>
      </c>
      <c r="L103" s="347" t="str">
        <f>VLOOKUP(B103,'26MY_PASSPORT_DATA'!B:AR,15,FALSE)</f>
        <v>•</v>
      </c>
      <c r="M103" s="347">
        <f>VLOOKUP($B103,'26MY_PASSPORT_DATA'!$B:$AR,16,FALSE)</f>
        <v>0</v>
      </c>
      <c r="N103" s="347">
        <f>VLOOKUP(B103,'26MY_PASSPORT_DATA'!B:AR,17,FALSE)</f>
        <v>0</v>
      </c>
      <c r="O103" s="347" t="str">
        <f>VLOOKUP(B103,'26MY_PASSPORT_DATA'!B:AR,18,FALSE)</f>
        <v>•</v>
      </c>
      <c r="P103" s="347" t="str">
        <f>VLOOKUP(B103,'26MY_PASSPORT_DATA'!B:AR,19,FALSE)</f>
        <v>•</v>
      </c>
      <c r="Q103" s="346" t="str">
        <f>IF(VLOOKUP(B103,'26MY_PASSPORT_DATA'!B:AR,20,FALSE)="","",VLOOKUP(B103,'26MY_PASSPORT_DATA'!B:AR,20,FALSE))</f>
        <v/>
      </c>
    </row>
    <row r="104" spans="2:17" s="135" customFormat="1" ht="12" customHeight="1">
      <c r="B104" s="332"/>
      <c r="C104" s="19"/>
      <c r="D104" s="27"/>
      <c r="E104" s="21"/>
      <c r="F104" s="21"/>
      <c r="G104" s="22"/>
      <c r="H104" s="23"/>
      <c r="I104" s="24"/>
      <c r="J104" s="24"/>
      <c r="K104" s="24"/>
      <c r="L104" s="24"/>
      <c r="M104" s="24"/>
      <c r="N104" s="24"/>
      <c r="O104" s="24"/>
      <c r="P104" s="24"/>
      <c r="Q104" s="25"/>
    </row>
    <row r="105" spans="2:17" s="133" customFormat="1" ht="18.75">
      <c r="B105" s="333"/>
      <c r="C105" s="152" t="s">
        <v>60</v>
      </c>
      <c r="D105" s="152"/>
      <c r="E105" s="48"/>
      <c r="F105" s="49"/>
      <c r="G105" s="49"/>
      <c r="H105" s="49"/>
      <c r="I105" s="49"/>
      <c r="J105" s="49"/>
      <c r="K105" s="49"/>
      <c r="L105" s="49"/>
      <c r="M105" s="49"/>
      <c r="N105" s="49"/>
      <c r="O105" s="49"/>
      <c r="P105" s="49"/>
      <c r="Q105" s="49"/>
    </row>
    <row r="106" spans="2:17" s="134" customFormat="1" ht="15" customHeight="1">
      <c r="B106" s="332"/>
      <c r="C106" s="387" t="s">
        <v>55</v>
      </c>
      <c r="D106" s="387" t="s">
        <v>10</v>
      </c>
      <c r="E106" s="387" t="s">
        <v>17</v>
      </c>
      <c r="F106" s="387" t="s">
        <v>11</v>
      </c>
      <c r="G106" s="387" t="s">
        <v>12</v>
      </c>
      <c r="H106" s="386" t="s">
        <v>13</v>
      </c>
      <c r="I106" s="387" t="s">
        <v>23</v>
      </c>
      <c r="J106" s="387"/>
      <c r="K106" s="387"/>
      <c r="L106" s="387"/>
      <c r="M106" s="387"/>
      <c r="N106" s="387"/>
      <c r="O106" s="387"/>
      <c r="P106" s="387"/>
      <c r="Q106" s="387" t="s">
        <v>14</v>
      </c>
    </row>
    <row r="107" spans="2:17" s="134" customFormat="1" ht="45">
      <c r="B107" s="332"/>
      <c r="C107" s="387"/>
      <c r="D107" s="387"/>
      <c r="E107" s="387"/>
      <c r="F107" s="387"/>
      <c r="G107" s="387"/>
      <c r="H107" s="386"/>
      <c r="I107" s="174">
        <f>'26MY_PASSPORT_DATA'!$M$7</f>
        <v>0</v>
      </c>
      <c r="J107" s="174">
        <f>'26MY_PASSPORT_DATA'!$M$7</f>
        <v>0</v>
      </c>
      <c r="K107" s="174" t="str">
        <f>'26MY_PASSPORT_DATA'!$O$7</f>
        <v>TrailSport</v>
      </c>
      <c r="L107" s="174" t="str">
        <f>'26MY_PASSPORT_DATA'!$P$7</f>
        <v>TrailSport Blackout</v>
      </c>
      <c r="M107" s="174">
        <f>'26MY_PASSPORT_DATA'!$R$7</f>
        <v>0</v>
      </c>
      <c r="N107" s="174">
        <f>'26MY_PASSPORT_DATA'!$R$7</f>
        <v>0</v>
      </c>
      <c r="O107" s="174" t="str">
        <f>'26MY_PASSPORT_DATA'!$S$7</f>
        <v>TrailSport Touring</v>
      </c>
      <c r="P107" s="174" t="str">
        <f>'26MY_PASSPORT_DATA'!$T$7</f>
        <v>Trailsport Touring Blackout</v>
      </c>
      <c r="Q107" s="387"/>
    </row>
    <row r="108" spans="2:17" s="135" customFormat="1" ht="16.5">
      <c r="B108" s="332" t="s">
        <v>251</v>
      </c>
      <c r="C108" s="175" t="str">
        <f>VLOOKUP(B108,'26MY_PASSPORT_DATA'!B:AR,3,FALSE)</f>
        <v>Cargo Light</v>
      </c>
      <c r="D108" s="79" t="str">
        <f t="shared" ref="D108" si="30">B108</f>
        <v>08V30-3BM-300</v>
      </c>
      <c r="E108" s="343">
        <f>VLOOKUP(B108,'26MY_PASSPORT_DATA'!B:AR,9,FALSE)</f>
        <v>83</v>
      </c>
      <c r="F108" s="343">
        <f>VLOOKUP(B108,'26MY_PASSPORT_DATA'!B:AR,10,FALSE)</f>
        <v>138</v>
      </c>
      <c r="G108" s="344">
        <f>VLOOKUP(B108,'26MY_PASSPORT_DATA'!B:AR,7,FALSE)</f>
        <v>0.1</v>
      </c>
      <c r="H108" s="345">
        <f>VLOOKUP(B108,'26MY_PASSPORT_DATA'!B:AR,11,FALSE)</f>
        <v>153</v>
      </c>
      <c r="I108" s="347">
        <f>VLOOKUP($B108,'26MY_PASSPORT_DATA'!$B:$AR,12,FALSE)</f>
        <v>0</v>
      </c>
      <c r="J108" s="347">
        <f>VLOOKUP($B108,'26MY_PASSPORT_DATA'!$B:$AR,13,FALSE)</f>
        <v>0</v>
      </c>
      <c r="K108" s="347" t="str">
        <f>VLOOKUP(B108,'26MY_PASSPORT_DATA'!B:AR,14,FALSE)</f>
        <v>•</v>
      </c>
      <c r="L108" s="347" t="str">
        <f>VLOOKUP(B108,'26MY_PASSPORT_DATA'!B:AR,15,FALSE)</f>
        <v>•</v>
      </c>
      <c r="M108" s="347">
        <f>VLOOKUP($B108,'26MY_PASSPORT_DATA'!$B:$AR,16,FALSE)</f>
        <v>0</v>
      </c>
      <c r="N108" s="347">
        <f>VLOOKUP(B108,'26MY_PASSPORT_DATA'!B:AR,17,FALSE)</f>
        <v>0</v>
      </c>
      <c r="O108" s="347" t="str">
        <f>VLOOKUP(B108,'26MY_PASSPORT_DATA'!B:AR,18,FALSE)</f>
        <v>•</v>
      </c>
      <c r="P108" s="347" t="str">
        <f>VLOOKUP(B108,'26MY_PASSPORT_DATA'!B:AR,19,FALSE)</f>
        <v>•</v>
      </c>
      <c r="Q108" s="346" t="str">
        <f>IF(VLOOKUP(B108,'26MY_PASSPORT_DATA'!B:AR,20,FALSE)="","",VLOOKUP(B108,'26MY_PASSPORT_DATA'!B:AR,20,FALSE))</f>
        <v/>
      </c>
    </row>
    <row r="109" spans="2:17" s="135" customFormat="1" ht="16.5" hidden="1">
      <c r="B109" s="332" t="s">
        <v>282</v>
      </c>
      <c r="C109" s="175" t="e">
        <f>VLOOKUP(B109,'26MY_PASSPORT_DATA'!B:AR,3,FALSE)</f>
        <v>#N/A</v>
      </c>
      <c r="D109" s="79" t="str">
        <f t="shared" ref="D109:D111" si="31">B109</f>
        <v>08V03-3BM-100</v>
      </c>
      <c r="E109" s="343" t="e">
        <f>VLOOKUP(B109,'26MY_PASSPORT_DATA'!B:AR,9,FALSE)</f>
        <v>#N/A</v>
      </c>
      <c r="F109" s="343" t="e">
        <f>VLOOKUP(B109,'26MY_PASSPORT_DATA'!B:AR,10,FALSE)</f>
        <v>#N/A</v>
      </c>
      <c r="G109" s="344" t="e">
        <f>VLOOKUP(B109,'26MY_PASSPORT_DATA'!B:AR,7,FALSE)</f>
        <v>#N/A</v>
      </c>
      <c r="H109" s="345" t="e">
        <f>VLOOKUP(B109,'26MY_PASSPORT_DATA'!B:AR,11,FALSE)</f>
        <v>#N/A</v>
      </c>
      <c r="I109" s="347" t="e">
        <f>VLOOKUP($B109,'26MY_PASSPORT_DATA'!$B:$AR,12,FALSE)</f>
        <v>#N/A</v>
      </c>
      <c r="J109" s="347" t="e">
        <f>VLOOKUP($B109,'26MY_PASSPORT_DATA'!$B:$AR,13,FALSE)</f>
        <v>#N/A</v>
      </c>
      <c r="K109" s="347" t="e">
        <f>VLOOKUP(B109,'26MY_PASSPORT_DATA'!B:AR,14,FALSE)</f>
        <v>#N/A</v>
      </c>
      <c r="L109" s="347" t="e">
        <f>VLOOKUP(B109,'26MY_PASSPORT_DATA'!B:AR,15,FALSE)</f>
        <v>#N/A</v>
      </c>
      <c r="M109" s="347" t="e">
        <f>VLOOKUP($B109,'26MY_PASSPORT_DATA'!$B:$AR,16,FALSE)</f>
        <v>#N/A</v>
      </c>
      <c r="N109" s="347" t="e">
        <f>VLOOKUP(B109,'26MY_PASSPORT_DATA'!B:AR,17,FALSE)</f>
        <v>#N/A</v>
      </c>
      <c r="O109" s="347" t="e">
        <f>VLOOKUP(B109,'26MY_PASSPORT_DATA'!B:AR,18,FALSE)</f>
        <v>#N/A</v>
      </c>
      <c r="P109" s="347" t="e">
        <f>VLOOKUP(B109,'26MY_PASSPORT_DATA'!B:AR,19,FALSE)</f>
        <v>#N/A</v>
      </c>
      <c r="Q109" s="346" t="e">
        <f>IF(VLOOKUP(B109,'26MY_PASSPORT_DATA'!B:AR,20,FALSE)="","",VLOOKUP(B109,'26MY_PASSPORT_DATA'!B:AR,20,FALSE))</f>
        <v>#N/A</v>
      </c>
    </row>
    <row r="110" spans="2:17" s="135" customFormat="1" ht="15" customHeight="1">
      <c r="B110" s="332" t="s">
        <v>531</v>
      </c>
      <c r="C110" s="175" t="str">
        <f>VLOOKUP(B110,'26MY_PASSPORT_DATA'!B:AR,3,FALSE)</f>
        <v>Homelink Rearview Mirror</v>
      </c>
      <c r="D110" s="79" t="str">
        <f>B110</f>
        <v>76400-T90-A01</v>
      </c>
      <c r="E110" s="343">
        <f>VLOOKUP(B110,'26MY_PASSPORT_DATA'!B:AR,9,FALSE)</f>
        <v>343.03</v>
      </c>
      <c r="F110" s="343">
        <f>VLOOKUP(B110,'26MY_PASSPORT_DATA'!B:AR,10,FALSE)</f>
        <v>571.71</v>
      </c>
      <c r="G110" s="344">
        <f>VLOOKUP(B110,'26MY_PASSPORT_DATA'!B:AR,7,FALSE)</f>
        <v>1</v>
      </c>
      <c r="H110" s="345">
        <f>VLOOKUP(B110,'26MY_PASSPORT_DATA'!B:AR,11,FALSE)</f>
        <v>721.71</v>
      </c>
      <c r="I110" s="347">
        <f>VLOOKUP($B110,'26MY_PASSPORT_DATA'!$B:$AR,12,FALSE)</f>
        <v>0</v>
      </c>
      <c r="J110" s="347">
        <f>VLOOKUP($B110,'26MY_PASSPORT_DATA'!$B:$AR,13,FALSE)</f>
        <v>0</v>
      </c>
      <c r="K110" s="347" t="str">
        <f>VLOOKUP(B110,'26MY_PASSPORT_DATA'!B:AR,14,FALSE)</f>
        <v>•</v>
      </c>
      <c r="L110" s="347" t="str">
        <f>VLOOKUP(B110,'26MY_PASSPORT_DATA'!B:AR,15,FALSE)</f>
        <v>•</v>
      </c>
      <c r="M110" s="347">
        <f>VLOOKUP($B110,'26MY_PASSPORT_DATA'!$B:$AR,16,FALSE)</f>
        <v>0</v>
      </c>
      <c r="N110" s="347">
        <f>VLOOKUP(B110,'26MY_PASSPORT_DATA'!B:AR,17,FALSE)</f>
        <v>0</v>
      </c>
      <c r="O110" s="347" t="str">
        <f>VLOOKUP(B110,'26MY_PASSPORT_DATA'!B:AR,18,FALSE)</f>
        <v>•</v>
      </c>
      <c r="P110" s="347" t="str">
        <f>VLOOKUP(B110,'26MY_PASSPORT_DATA'!B:AR,19,FALSE)</f>
        <v>•</v>
      </c>
      <c r="Q110" s="346" t="str">
        <f>IF(VLOOKUP(B110,'26MY_PASSPORT_DATA'!B:AR,20,FALSE)="","",VLOOKUP(B110,'26MY_PASSPORT_DATA'!B:AR,20,FALSE))</f>
        <v/>
      </c>
    </row>
    <row r="111" spans="2:17" s="135" customFormat="1" ht="16.5">
      <c r="B111" s="332" t="s">
        <v>426</v>
      </c>
      <c r="C111" s="175" t="str">
        <f>VLOOKUP(B111,'26MY_PASSPORT_DATA'!B:AR,3,FALSE)</f>
        <v>Engine Block Heater</v>
      </c>
      <c r="D111" s="79" t="str">
        <f t="shared" si="31"/>
        <v>08T44-SNA-302</v>
      </c>
      <c r="E111" s="343">
        <f>VLOOKUP(B111,'26MY_PASSPORT_DATA'!B:AR,9,FALSE)</f>
        <v>145</v>
      </c>
      <c r="F111" s="343">
        <f>VLOOKUP(B111,'26MY_PASSPORT_DATA'!B:AR,10,FALSE)</f>
        <v>242</v>
      </c>
      <c r="G111" s="344">
        <f>VLOOKUP(B111,'26MY_PASSPORT_DATA'!B:AR,7,FALSE)</f>
        <v>1.2</v>
      </c>
      <c r="H111" s="345">
        <f>VLOOKUP(B111,'26MY_PASSPORT_DATA'!B:AR,11,FALSE)</f>
        <v>422</v>
      </c>
      <c r="I111" s="347">
        <f>VLOOKUP($B111,'26MY_PASSPORT_DATA'!$B:$AR,12,FALSE)</f>
        <v>0</v>
      </c>
      <c r="J111" s="347">
        <f>VLOOKUP($B111,'26MY_PASSPORT_DATA'!$B:$AR,13,FALSE)</f>
        <v>0</v>
      </c>
      <c r="K111" s="347" t="str">
        <f>VLOOKUP(B111,'26MY_PASSPORT_DATA'!B:AR,14,FALSE)</f>
        <v>•</v>
      </c>
      <c r="L111" s="347" t="str">
        <f>VLOOKUP(B111,'26MY_PASSPORT_DATA'!B:AR,15,FALSE)</f>
        <v>•</v>
      </c>
      <c r="M111" s="347">
        <f>VLOOKUP($B111,'26MY_PASSPORT_DATA'!$B:$AR,16,FALSE)</f>
        <v>0</v>
      </c>
      <c r="N111" s="347">
        <f>VLOOKUP(B111,'26MY_PASSPORT_DATA'!B:AR,17,FALSE)</f>
        <v>0</v>
      </c>
      <c r="O111" s="347" t="str">
        <f>VLOOKUP(B111,'26MY_PASSPORT_DATA'!B:AR,18,FALSE)</f>
        <v>•</v>
      </c>
      <c r="P111" s="347" t="str">
        <f>VLOOKUP(B111,'26MY_PASSPORT_DATA'!B:AR,19,FALSE)</f>
        <v>•</v>
      </c>
      <c r="Q111" s="346" t="str">
        <f>IF(VLOOKUP(B111,'26MY_PASSPORT_DATA'!B:AR,20,FALSE)="","",VLOOKUP(B111,'26MY_PASSPORT_DATA'!B:AR,20,FALSE))</f>
        <v/>
      </c>
    </row>
    <row r="112" spans="2:17" s="135" customFormat="1" ht="16.5">
      <c r="B112" s="332" t="s">
        <v>258</v>
      </c>
      <c r="C112" s="175" t="str">
        <f>VLOOKUP(B112,'26MY_PASSPORT_DATA'!B:AR,3,FALSE)</f>
        <v>Optimate 12V Auto Battery Charger/Maintainer</v>
      </c>
      <c r="D112" s="79" t="str">
        <f t="shared" ref="D112:D113" si="32">B112</f>
        <v>31670-BMS-004H</v>
      </c>
      <c r="E112" s="343">
        <f>VLOOKUP(B112,'26MY_PASSPORT_DATA'!B:AR,9,FALSE)</f>
        <v>91</v>
      </c>
      <c r="F112" s="343">
        <f>VLOOKUP(B112,'26MY_PASSPORT_DATA'!B:AR,10,FALSE)</f>
        <v>152</v>
      </c>
      <c r="G112" s="344">
        <f>VLOOKUP(B112,'26MY_PASSPORT_DATA'!B:AR,7,FALSE)</f>
        <v>0</v>
      </c>
      <c r="H112" s="345">
        <f>VLOOKUP(B112,'26MY_PASSPORT_DATA'!B:AR,11,FALSE)</f>
        <v>152</v>
      </c>
      <c r="I112" s="347">
        <f>VLOOKUP($B112,'26MY_PASSPORT_DATA'!$B:$AR,12,FALSE)</f>
        <v>0</v>
      </c>
      <c r="J112" s="347">
        <f>VLOOKUP($B112,'26MY_PASSPORT_DATA'!$B:$AR,13,FALSE)</f>
        <v>0</v>
      </c>
      <c r="K112" s="347" t="str">
        <f>VLOOKUP(B112,'26MY_PASSPORT_DATA'!B:AR,14,FALSE)</f>
        <v>•</v>
      </c>
      <c r="L112" s="347" t="str">
        <f>VLOOKUP(B112,'26MY_PASSPORT_DATA'!B:AR,15,FALSE)</f>
        <v>•</v>
      </c>
      <c r="M112" s="347">
        <f>VLOOKUP($B112,'26MY_PASSPORT_DATA'!$B:$AR,16,FALSE)</f>
        <v>0</v>
      </c>
      <c r="N112" s="347">
        <f>VLOOKUP(B112,'26MY_PASSPORT_DATA'!B:AR,17,FALSE)</f>
        <v>0</v>
      </c>
      <c r="O112" s="347" t="str">
        <f>VLOOKUP(B112,'26MY_PASSPORT_DATA'!B:AR,18,FALSE)</f>
        <v>•</v>
      </c>
      <c r="P112" s="347" t="str">
        <f>VLOOKUP(B112,'26MY_PASSPORT_DATA'!B:AR,19,FALSE)</f>
        <v>•</v>
      </c>
      <c r="Q112" s="346" t="str">
        <f>IF(VLOOKUP(B112,'26MY_PASSPORT_DATA'!B:AR,20,FALSE)="","",VLOOKUP(B112,'26MY_PASSPORT_DATA'!B:AR,20,FALSE))</f>
        <v/>
      </c>
    </row>
    <row r="113" spans="2:20" s="135" customFormat="1" ht="16.5">
      <c r="B113" s="332" t="s">
        <v>262</v>
      </c>
      <c r="C113" s="175" t="str">
        <f>VLOOKUP(B113,'26MY_PASSPORT_DATA'!B:AR,3,FALSE)</f>
        <v>Optimate Battery Lead</v>
      </c>
      <c r="D113" s="79" t="str">
        <f t="shared" si="32"/>
        <v>31670-BMS-LEAD</v>
      </c>
      <c r="E113" s="343">
        <f>VLOOKUP(B113,'26MY_PASSPORT_DATA'!B:AR,9,FALSE)</f>
        <v>18</v>
      </c>
      <c r="F113" s="343">
        <f>VLOOKUP(B113,'26MY_PASSPORT_DATA'!B:AR,10,FALSE)</f>
        <v>26</v>
      </c>
      <c r="G113" s="344">
        <f>VLOOKUP(B113,'26MY_PASSPORT_DATA'!B:AR,7,FALSE)</f>
        <v>0</v>
      </c>
      <c r="H113" s="345">
        <f>VLOOKUP(B113,'26MY_PASSPORT_DATA'!B:AR,11,FALSE)</f>
        <v>26</v>
      </c>
      <c r="I113" s="347">
        <f>VLOOKUP($B113,'26MY_PASSPORT_DATA'!$B:$AR,12,FALSE)</f>
        <v>0</v>
      </c>
      <c r="J113" s="347">
        <f>VLOOKUP($B113,'26MY_PASSPORT_DATA'!$B:$AR,13,FALSE)</f>
        <v>0</v>
      </c>
      <c r="K113" s="347" t="str">
        <f>VLOOKUP(B113,'26MY_PASSPORT_DATA'!B:AR,14,FALSE)</f>
        <v>•</v>
      </c>
      <c r="L113" s="347" t="str">
        <f>VLOOKUP(B113,'26MY_PASSPORT_DATA'!B:AR,15,FALSE)</f>
        <v>•</v>
      </c>
      <c r="M113" s="347">
        <f>VLOOKUP($B113,'26MY_PASSPORT_DATA'!$B:$AR,16,FALSE)</f>
        <v>0</v>
      </c>
      <c r="N113" s="347">
        <f>VLOOKUP(B113,'26MY_PASSPORT_DATA'!B:AR,17,FALSE)</f>
        <v>0</v>
      </c>
      <c r="O113" s="347" t="str">
        <f>VLOOKUP(B113,'26MY_PASSPORT_DATA'!B:AR,18,FALSE)</f>
        <v>•</v>
      </c>
      <c r="P113" s="347" t="str">
        <f>VLOOKUP(B113,'26MY_PASSPORT_DATA'!B:AR,19,FALSE)</f>
        <v>•</v>
      </c>
      <c r="Q113" s="346" t="str">
        <f>IF(VLOOKUP(B113,'26MY_PASSPORT_DATA'!B:AR,20,FALSE)="","",VLOOKUP(B113,'26MY_PASSPORT_DATA'!B:AR,20,FALSE))</f>
        <v/>
      </c>
    </row>
    <row r="114" spans="2:20" s="135" customFormat="1" ht="15" customHeight="1">
      <c r="B114" s="332"/>
      <c r="C114" s="136"/>
      <c r="D114" s="200"/>
      <c r="E114" s="132"/>
      <c r="F114" s="132"/>
      <c r="G114" s="201"/>
      <c r="H114" s="132"/>
      <c r="I114" s="132"/>
      <c r="J114" s="132"/>
      <c r="K114" s="132"/>
      <c r="L114" s="132"/>
      <c r="M114" s="132"/>
      <c r="N114" s="132"/>
      <c r="O114" s="132"/>
      <c r="P114" s="132"/>
      <c r="Q114" s="132"/>
    </row>
    <row r="115" spans="2:20" s="133" customFormat="1" ht="18.75">
      <c r="B115" s="332"/>
      <c r="C115" s="152" t="s">
        <v>59</v>
      </c>
      <c r="D115" s="152"/>
      <c r="E115" s="143"/>
      <c r="F115" s="143"/>
      <c r="G115" s="143"/>
      <c r="H115" s="143"/>
      <c r="I115" s="143"/>
      <c r="J115" s="143"/>
      <c r="K115" s="143"/>
      <c r="L115" s="143"/>
      <c r="M115" s="143"/>
      <c r="N115" s="143"/>
      <c r="O115" s="143"/>
      <c r="P115" s="143"/>
      <c r="Q115" s="143"/>
      <c r="T115" s="135"/>
    </row>
    <row r="116" spans="2:20" s="134" customFormat="1" ht="15" customHeight="1">
      <c r="B116" s="332"/>
      <c r="C116" s="387" t="s">
        <v>55</v>
      </c>
      <c r="D116" s="387" t="s">
        <v>10</v>
      </c>
      <c r="E116" s="387" t="s">
        <v>17</v>
      </c>
      <c r="F116" s="387" t="s">
        <v>11</v>
      </c>
      <c r="G116" s="387" t="s">
        <v>12</v>
      </c>
      <c r="H116" s="386" t="s">
        <v>13</v>
      </c>
      <c r="I116" s="387" t="s">
        <v>23</v>
      </c>
      <c r="J116" s="387"/>
      <c r="K116" s="387"/>
      <c r="L116" s="387"/>
      <c r="M116" s="387"/>
      <c r="N116" s="387"/>
      <c r="O116" s="387"/>
      <c r="P116" s="387"/>
      <c r="Q116" s="387" t="s">
        <v>14</v>
      </c>
      <c r="T116" s="133"/>
    </row>
    <row r="117" spans="2:20" s="134" customFormat="1" ht="45">
      <c r="B117" s="332"/>
      <c r="C117" s="387"/>
      <c r="D117" s="387"/>
      <c r="E117" s="387"/>
      <c r="F117" s="387"/>
      <c r="G117" s="387"/>
      <c r="H117" s="386"/>
      <c r="I117" s="174">
        <f>'26MY_PASSPORT_DATA'!$M$7</f>
        <v>0</v>
      </c>
      <c r="J117" s="174">
        <f>'26MY_PASSPORT_DATA'!$M$7</f>
        <v>0</v>
      </c>
      <c r="K117" s="174" t="str">
        <f>'26MY_PASSPORT_DATA'!$O$7</f>
        <v>TrailSport</v>
      </c>
      <c r="L117" s="174" t="str">
        <f>'26MY_PASSPORT_DATA'!$P$7</f>
        <v>TrailSport Blackout</v>
      </c>
      <c r="M117" s="174">
        <f>'26MY_PASSPORT_DATA'!$R$7</f>
        <v>0</v>
      </c>
      <c r="N117" s="174">
        <f>'26MY_PASSPORT_DATA'!$R$7</f>
        <v>0</v>
      </c>
      <c r="O117" s="174" t="str">
        <f>'26MY_PASSPORT_DATA'!$S$7</f>
        <v>TrailSport Touring</v>
      </c>
      <c r="P117" s="174" t="str">
        <f>'26MY_PASSPORT_DATA'!$T$7</f>
        <v>Trailsport Touring Blackout</v>
      </c>
      <c r="Q117" s="387"/>
    </row>
    <row r="118" spans="2:20" s="135" customFormat="1" ht="15" customHeight="1">
      <c r="B118" s="332" t="s">
        <v>160</v>
      </c>
      <c r="C118" s="175" t="str">
        <f>VLOOKUP(B118,'26MY_PASSPORT_DATA'!B:AR,3,FALSE)</f>
        <v>Platinum White Pearl (NH-883P)</v>
      </c>
      <c r="D118" s="79" t="str">
        <f t="shared" ref="D118" si="33">B118</f>
        <v>TUCH-NH883P-A1</v>
      </c>
      <c r="E118" s="377">
        <f>VLOOKUP(B118,'26MY_PASSPORT_DATA'!B:AR,9,FALSE)</f>
        <v>13</v>
      </c>
      <c r="F118" s="377">
        <f>VLOOKUP(B118,'26MY_PASSPORT_DATA'!B:AR,10,FALSE)</f>
        <v>21.5</v>
      </c>
      <c r="G118" s="380">
        <f>VLOOKUP(B118,'26MY_PASSPORT_DATA'!B:AR,7,FALSE)</f>
        <v>0</v>
      </c>
      <c r="H118" s="383">
        <f>VLOOKUP(B118,'26MY_PASSPORT_DATA'!B:AR,11,FALSE)</f>
        <v>21.5</v>
      </c>
      <c r="I118" s="347">
        <f>VLOOKUP($B118,'26MY_PASSPORT_DATA'!$B:$AR,12,FALSE)</f>
        <v>0</v>
      </c>
      <c r="J118" s="347">
        <f>VLOOKUP($B118,'26MY_PASSPORT_DATA'!$B:$AR,13,FALSE)</f>
        <v>0</v>
      </c>
      <c r="K118" s="347" t="str">
        <f>VLOOKUP(B118,'26MY_PASSPORT_DATA'!B:AR,14,FALSE)</f>
        <v>•</v>
      </c>
      <c r="L118" s="347" t="str">
        <f>VLOOKUP(B118,'26MY_PASSPORT_DATA'!B:AR,15,FALSE)</f>
        <v>•</v>
      </c>
      <c r="M118" s="347">
        <f>VLOOKUP($B118,'26MY_PASSPORT_DATA'!$B:$AR,16,FALSE)</f>
        <v>0</v>
      </c>
      <c r="N118" s="347">
        <f>VLOOKUP(B118,'26MY_PASSPORT_DATA'!B:AR,17,FALSE)</f>
        <v>0</v>
      </c>
      <c r="O118" s="347" t="str">
        <f>VLOOKUP(B118,'26MY_PASSPORT_DATA'!B:AR,18,FALSE)</f>
        <v>•</v>
      </c>
      <c r="P118" s="347" t="str">
        <f>VLOOKUP(B118,'26MY_PASSPORT_DATA'!B:AR,19,FALSE)</f>
        <v>•</v>
      </c>
      <c r="Q118" s="346" t="str">
        <f>IF(VLOOKUP(B118,'26MY_PASSPORT_DATA'!B:AR,20,FALSE)="","",VLOOKUP(B118,'26MY_PASSPORT_DATA'!B:AR,20,FALSE))</f>
        <v/>
      </c>
      <c r="T118" s="134"/>
    </row>
    <row r="119" spans="2:20" s="135" customFormat="1" ht="15" customHeight="1">
      <c r="B119" s="332" t="s">
        <v>213</v>
      </c>
      <c r="C119" s="175" t="str">
        <f>VLOOKUP(B119,'26MY_PASSPORT_DATA'!B:AR,3,FALSE)</f>
        <v>Modern Steel Metallic (NH-797M)</v>
      </c>
      <c r="D119" s="79" t="str">
        <f t="shared" ref="D119:D123" si="34">B119</f>
        <v>TUCH-NH797M-A1</v>
      </c>
      <c r="E119" s="378"/>
      <c r="F119" s="378"/>
      <c r="G119" s="381"/>
      <c r="H119" s="384"/>
      <c r="I119" s="347">
        <f>VLOOKUP($B119,'26MY_PASSPORT_DATA'!$B:$AR,12,FALSE)</f>
        <v>0</v>
      </c>
      <c r="J119" s="347">
        <f>VLOOKUP($B119,'26MY_PASSPORT_DATA'!$B:$AR,13,FALSE)</f>
        <v>0</v>
      </c>
      <c r="K119" s="347" t="str">
        <f>VLOOKUP(B119,'26MY_PASSPORT_DATA'!B:AR,14,FALSE)</f>
        <v>•</v>
      </c>
      <c r="L119" s="347" t="str">
        <f>VLOOKUP(B119,'26MY_PASSPORT_DATA'!B:AR,15,FALSE)</f>
        <v>N/A</v>
      </c>
      <c r="M119" s="347">
        <f>VLOOKUP($B119,'26MY_PASSPORT_DATA'!$B:$AR,16,FALSE)</f>
        <v>0</v>
      </c>
      <c r="N119" s="347">
        <f>VLOOKUP(B119,'26MY_PASSPORT_DATA'!B:AR,17,FALSE)</f>
        <v>0</v>
      </c>
      <c r="O119" s="347" t="str">
        <f>VLOOKUP(B119,'26MY_PASSPORT_DATA'!B:AR,18,FALSE)</f>
        <v>•</v>
      </c>
      <c r="P119" s="347" t="str">
        <f>VLOOKUP(B119,'26MY_PASSPORT_DATA'!B:AR,19,FALSE)</f>
        <v>N/A</v>
      </c>
      <c r="Q119" s="346" t="str">
        <f>IF(VLOOKUP(B119,'26MY_PASSPORT_DATA'!B:AR,20,FALSE)="","",VLOOKUP(B119,'26MY_PASSPORT_DATA'!B:AR,20,FALSE))</f>
        <v/>
      </c>
    </row>
    <row r="120" spans="2:20" s="135" customFormat="1" ht="15" customHeight="1">
      <c r="B120" s="332" t="s">
        <v>216</v>
      </c>
      <c r="C120" s="175" t="str">
        <f>VLOOKUP(B120,'26MY_PASSPORT_DATA'!B:AR,3,FALSE)</f>
        <v>Crystal Black Pearl (NH-731P)</v>
      </c>
      <c r="D120" s="79" t="str">
        <f t="shared" si="34"/>
        <v>TUCH-NH731P-A1</v>
      </c>
      <c r="E120" s="378"/>
      <c r="F120" s="378"/>
      <c r="G120" s="381"/>
      <c r="H120" s="384"/>
      <c r="I120" s="347">
        <f>VLOOKUP($B120,'26MY_PASSPORT_DATA'!$B:$AR,12,FALSE)</f>
        <v>0</v>
      </c>
      <c r="J120" s="347">
        <f>VLOOKUP($B120,'26MY_PASSPORT_DATA'!$B:$AR,13,FALSE)</f>
        <v>0</v>
      </c>
      <c r="K120" s="347" t="str">
        <f>VLOOKUP(B120,'26MY_PASSPORT_DATA'!B:AR,14,FALSE)</f>
        <v>•</v>
      </c>
      <c r="L120" s="347" t="str">
        <f>VLOOKUP(B120,'26MY_PASSPORT_DATA'!B:AR,15,FALSE)</f>
        <v>•</v>
      </c>
      <c r="M120" s="347">
        <f>VLOOKUP($B120,'26MY_PASSPORT_DATA'!$B:$AR,16,FALSE)</f>
        <v>0</v>
      </c>
      <c r="N120" s="347">
        <f>VLOOKUP(B120,'26MY_PASSPORT_DATA'!B:AR,17,FALSE)</f>
        <v>0</v>
      </c>
      <c r="O120" s="347" t="str">
        <f>VLOOKUP(B120,'26MY_PASSPORT_DATA'!B:AR,18,FALSE)</f>
        <v>•</v>
      </c>
      <c r="P120" s="347" t="str">
        <f>VLOOKUP(B120,'26MY_PASSPORT_DATA'!B:AR,19,FALSE)</f>
        <v>•</v>
      </c>
      <c r="Q120" s="346" t="str">
        <f>IF(VLOOKUP(B120,'26MY_PASSPORT_DATA'!B:AR,20,FALSE)="","",VLOOKUP(B120,'26MY_PASSPORT_DATA'!B:AR,20,FALSE))</f>
        <v/>
      </c>
    </row>
    <row r="121" spans="2:20" s="135" customFormat="1" ht="15" customHeight="1">
      <c r="B121" s="332" t="s">
        <v>218</v>
      </c>
      <c r="C121" s="175" t="str">
        <f>VLOOKUP(B121,'26MY_PASSPORT_DATA'!B:AR,3,FALSE)</f>
        <v>Radiant Red Metallic II (R-580M)</v>
      </c>
      <c r="D121" s="79" t="str">
        <f t="shared" si="34"/>
        <v>TUCH-R580M-A1</v>
      </c>
      <c r="E121" s="378"/>
      <c r="F121" s="378"/>
      <c r="G121" s="381"/>
      <c r="H121" s="384"/>
      <c r="I121" s="347">
        <f>VLOOKUP($B121,'26MY_PASSPORT_DATA'!$B:$AR,12,FALSE)</f>
        <v>0</v>
      </c>
      <c r="J121" s="347">
        <f>VLOOKUP($B121,'26MY_PASSPORT_DATA'!$B:$AR,13,FALSE)</f>
        <v>0</v>
      </c>
      <c r="K121" s="347" t="str">
        <f>VLOOKUP(B121,'26MY_PASSPORT_DATA'!B:AR,14,FALSE)</f>
        <v>•</v>
      </c>
      <c r="L121" s="347" t="str">
        <f>VLOOKUP(B121,'26MY_PASSPORT_DATA'!B:AR,15,FALSE)</f>
        <v>•</v>
      </c>
      <c r="M121" s="347">
        <f>VLOOKUP($B121,'26MY_PASSPORT_DATA'!$B:$AR,16,FALSE)</f>
        <v>0</v>
      </c>
      <c r="N121" s="347">
        <f>VLOOKUP(B121,'26MY_PASSPORT_DATA'!B:AR,17,FALSE)</f>
        <v>0</v>
      </c>
      <c r="O121" s="347" t="str">
        <f>VLOOKUP(B121,'26MY_PASSPORT_DATA'!B:AR,18,FALSE)</f>
        <v>•</v>
      </c>
      <c r="P121" s="347" t="str">
        <f>VLOOKUP(B121,'26MY_PASSPORT_DATA'!B:AR,19,FALSE)</f>
        <v>•</v>
      </c>
      <c r="Q121" s="346" t="str">
        <f>IF(VLOOKUP(B121,'26MY_PASSPORT_DATA'!B:AR,20,FALSE)="","",VLOOKUP(B121,'26MY_PASSPORT_DATA'!B:AR,20,FALSE))</f>
        <v/>
      </c>
    </row>
    <row r="122" spans="2:20" s="135" customFormat="1" ht="15" customHeight="1">
      <c r="B122" s="332" t="s">
        <v>221</v>
      </c>
      <c r="C122" s="175" t="str">
        <f>VLOOKUP(B122,'26MY_PASSPORT_DATA'!B:AR,3,FALSE)</f>
        <v>Sunset Orange (YR-585)</v>
      </c>
      <c r="D122" s="79" t="str">
        <f t="shared" si="34"/>
        <v>TUCH-YR585-A1</v>
      </c>
      <c r="E122" s="378"/>
      <c r="F122" s="378"/>
      <c r="G122" s="381"/>
      <c r="H122" s="384"/>
      <c r="I122" s="347">
        <f>VLOOKUP($B122,'26MY_PASSPORT_DATA'!$B:$AR,12,FALSE)</f>
        <v>0</v>
      </c>
      <c r="J122" s="347">
        <f>VLOOKUP($B122,'26MY_PASSPORT_DATA'!$B:$AR,13,FALSE)</f>
        <v>0</v>
      </c>
      <c r="K122" s="347" t="str">
        <f>VLOOKUP(B122,'26MY_PASSPORT_DATA'!B:AR,14,FALSE)</f>
        <v>N/A</v>
      </c>
      <c r="L122" s="347" t="str">
        <f>VLOOKUP(B122,'26MY_PASSPORT_DATA'!B:AR,15,FALSE)</f>
        <v>N/A</v>
      </c>
      <c r="M122" s="347">
        <f>VLOOKUP($B122,'26MY_PASSPORT_DATA'!$B:$AR,16,FALSE)</f>
        <v>0</v>
      </c>
      <c r="N122" s="347">
        <f>VLOOKUP(B122,'26MY_PASSPORT_DATA'!B:AR,17,FALSE)</f>
        <v>0</v>
      </c>
      <c r="O122" s="347" t="str">
        <f>VLOOKUP(B122,'26MY_PASSPORT_DATA'!B:AR,18,FALSE)</f>
        <v>•</v>
      </c>
      <c r="P122" s="347" t="str">
        <f>VLOOKUP(B122,'26MY_PASSPORT_DATA'!B:AR,19,FALSE)</f>
        <v>•</v>
      </c>
      <c r="Q122" s="346" t="str">
        <f>IF(VLOOKUP(B122,'26MY_PASSPORT_DATA'!B:AR,20,FALSE)="","",VLOOKUP(B122,'26MY_PASSPORT_DATA'!B:AR,20,FALSE))</f>
        <v/>
      </c>
    </row>
    <row r="123" spans="2:20" s="135" customFormat="1" ht="15" customHeight="1">
      <c r="B123" s="332" t="s">
        <v>223</v>
      </c>
      <c r="C123" s="175" t="str">
        <f>VLOOKUP(B123,'26MY_PASSPORT_DATA'!B:AR,3,FALSE)</f>
        <v>Ash Green Metallic (G-545M)</v>
      </c>
      <c r="D123" s="79" t="str">
        <f t="shared" si="34"/>
        <v>TUCH-G545M-A1</v>
      </c>
      <c r="E123" s="379"/>
      <c r="F123" s="379"/>
      <c r="G123" s="382"/>
      <c r="H123" s="385"/>
      <c r="I123" s="347">
        <f>VLOOKUP($B123,'26MY_PASSPORT_DATA'!$B:$AR,12,FALSE)</f>
        <v>0</v>
      </c>
      <c r="J123" s="347">
        <f>VLOOKUP($B123,'26MY_PASSPORT_DATA'!$B:$AR,13,FALSE)</f>
        <v>0</v>
      </c>
      <c r="K123" s="347" t="str">
        <f>VLOOKUP(B123,'26MY_PASSPORT_DATA'!B:AR,14,FALSE)</f>
        <v>N/A</v>
      </c>
      <c r="L123" s="347" t="str">
        <f>VLOOKUP(B123,'26MY_PASSPORT_DATA'!B:AR,15,FALSE)</f>
        <v>N/A</v>
      </c>
      <c r="M123" s="347">
        <f>VLOOKUP($B123,'26MY_PASSPORT_DATA'!$B:$AR,16,FALSE)</f>
        <v>0</v>
      </c>
      <c r="N123" s="347">
        <f>VLOOKUP(B123,'26MY_PASSPORT_DATA'!B:AR,17,FALSE)</f>
        <v>0</v>
      </c>
      <c r="O123" s="347" t="str">
        <f>VLOOKUP(B123,'26MY_PASSPORT_DATA'!B:AR,18,FALSE)</f>
        <v>•</v>
      </c>
      <c r="P123" s="347" t="str">
        <f>VLOOKUP(B123,'26MY_PASSPORT_DATA'!B:AR,19,FALSE)</f>
        <v>•</v>
      </c>
      <c r="Q123" s="346" t="str">
        <f>IF(VLOOKUP(B123,'26MY_PASSPORT_DATA'!B:AR,20,FALSE)="","",VLOOKUP(B123,'26MY_PASSPORT_DATA'!B:AR,20,FALSE))</f>
        <v/>
      </c>
    </row>
    <row r="124" spans="2:20" s="134" customFormat="1" ht="6.95" customHeight="1">
      <c r="B124" s="332"/>
      <c r="C124" s="199"/>
      <c r="D124" s="189"/>
      <c r="E124" s="189"/>
      <c r="F124" s="189"/>
      <c r="G124" s="189"/>
      <c r="H124" s="189"/>
      <c r="I124" s="189"/>
      <c r="J124" s="189"/>
      <c r="K124" s="189"/>
      <c r="L124" s="189"/>
      <c r="M124" s="189"/>
      <c r="N124" s="189"/>
      <c r="O124" s="189"/>
      <c r="P124" s="189"/>
      <c r="Q124" s="195"/>
    </row>
    <row r="125" spans="2:20" s="135" customFormat="1" ht="15" customHeight="1">
      <c r="B125" s="332" t="s">
        <v>58</v>
      </c>
      <c r="C125" s="175" t="str">
        <f>VLOOKUP(B125,'26MY_PASSPORT_DATA'!B:AR,3,FALSE)</f>
        <v>Find Sanding Needles</v>
      </c>
      <c r="D125" s="79" t="str">
        <f t="shared" ref="D125" si="35">B125</f>
        <v>TUCH-NEEDLES</v>
      </c>
      <c r="E125" s="343">
        <f>VLOOKUP(B125,'26MY_PASSPORT_DATA'!B:AR,9,FALSE)</f>
        <v>9.5</v>
      </c>
      <c r="F125" s="343">
        <f>VLOOKUP(B125,'26MY_PASSPORT_DATA'!B:AR,10,FALSE)</f>
        <v>15.75</v>
      </c>
      <c r="G125" s="344">
        <f>VLOOKUP(B125,'26MY_PASSPORT_DATA'!B:AR,7,FALSE)</f>
        <v>0</v>
      </c>
      <c r="H125" s="345">
        <f>VLOOKUP(B125,'26MY_PASSPORT_DATA'!B:AR,11,FALSE)</f>
        <v>15.75</v>
      </c>
      <c r="I125" s="347">
        <f>VLOOKUP($B125,'26MY_PASSPORT_DATA'!$B:$AR,12,FALSE)</f>
        <v>0</v>
      </c>
      <c r="J125" s="347">
        <f>VLOOKUP($B125,'26MY_PASSPORT_DATA'!$B:$AR,13,FALSE)</f>
        <v>0</v>
      </c>
      <c r="K125" s="347" t="str">
        <f>VLOOKUP(B125,'26MY_PASSPORT_DATA'!B:AR,14,FALSE)</f>
        <v>•</v>
      </c>
      <c r="L125" s="347" t="str">
        <f>VLOOKUP(B125,'26MY_PASSPORT_DATA'!B:AR,15,FALSE)</f>
        <v>•</v>
      </c>
      <c r="M125" s="347">
        <f>VLOOKUP($B125,'26MY_PASSPORT_DATA'!$B:$AR,16,FALSE)</f>
        <v>0</v>
      </c>
      <c r="N125" s="347">
        <f>VLOOKUP(B125,'26MY_PASSPORT_DATA'!B:AR,17,FALSE)</f>
        <v>0</v>
      </c>
      <c r="O125" s="347" t="str">
        <f>VLOOKUP(B125,'26MY_PASSPORT_DATA'!B:AR,18,FALSE)</f>
        <v>•</v>
      </c>
      <c r="P125" s="347" t="str">
        <f>VLOOKUP(B125,'26MY_PASSPORT_DATA'!B:AR,19,FALSE)</f>
        <v>•</v>
      </c>
      <c r="Q125" s="346" t="str">
        <f>IF(VLOOKUP(B125,'26MY_PASSPORT_DATA'!B:AR,20,FALSE)="","",VLOOKUP(B125,'26MY_PASSPORT_DATA'!B:AR,20,FALSE))</f>
        <v>Quantity of 5.</v>
      </c>
    </row>
    <row r="126" spans="2:20" s="135" customFormat="1" ht="15" customHeight="1">
      <c r="B126" s="332" t="s">
        <v>57</v>
      </c>
      <c r="C126" s="175" t="str">
        <f>VLOOKUP(B126,'26MY_PASSPORT_DATA'!B:AR,3,FALSE)</f>
        <v>Fine Sanding Sticks</v>
      </c>
      <c r="D126" s="79" t="str">
        <f t="shared" ref="D126:D127" si="36">B126</f>
        <v>TUCH-STICKS</v>
      </c>
      <c r="E126" s="343">
        <f>VLOOKUP(B126,'26MY_PASSPORT_DATA'!B:AR,9,FALSE)</f>
        <v>2.4500000000000002</v>
      </c>
      <c r="F126" s="343">
        <f>VLOOKUP(B126,'26MY_PASSPORT_DATA'!B:AR,10,FALSE)</f>
        <v>4</v>
      </c>
      <c r="G126" s="344">
        <f>VLOOKUP(B126,'26MY_PASSPORT_DATA'!B:AR,7,FALSE)</f>
        <v>0</v>
      </c>
      <c r="H126" s="345">
        <f>VLOOKUP(B126,'26MY_PASSPORT_DATA'!B:AR,11,FALSE)</f>
        <v>4</v>
      </c>
      <c r="I126" s="347">
        <f>VLOOKUP($B126,'26MY_PASSPORT_DATA'!$B:$AR,12,FALSE)</f>
        <v>0</v>
      </c>
      <c r="J126" s="347">
        <f>VLOOKUP($B126,'26MY_PASSPORT_DATA'!$B:$AR,13,FALSE)</f>
        <v>0</v>
      </c>
      <c r="K126" s="347" t="str">
        <f>VLOOKUP(B126,'26MY_PASSPORT_DATA'!B:AR,14,FALSE)</f>
        <v>•</v>
      </c>
      <c r="L126" s="347" t="str">
        <f>VLOOKUP(B126,'26MY_PASSPORT_DATA'!B:AR,15,FALSE)</f>
        <v>•</v>
      </c>
      <c r="M126" s="347">
        <f>VLOOKUP($B126,'26MY_PASSPORT_DATA'!$B:$AR,16,FALSE)</f>
        <v>0</v>
      </c>
      <c r="N126" s="347">
        <f>VLOOKUP(B126,'26MY_PASSPORT_DATA'!B:AR,17,FALSE)</f>
        <v>0</v>
      </c>
      <c r="O126" s="347" t="str">
        <f>VLOOKUP(B126,'26MY_PASSPORT_DATA'!B:AR,18,FALSE)</f>
        <v>•</v>
      </c>
      <c r="P126" s="347" t="str">
        <f>VLOOKUP(B126,'26MY_PASSPORT_DATA'!B:AR,19,FALSE)</f>
        <v>•</v>
      </c>
      <c r="Q126" s="346" t="str">
        <f>IF(VLOOKUP(B126,'26MY_PASSPORT_DATA'!B:AR,20,FALSE)="","",VLOOKUP(B126,'26MY_PASSPORT_DATA'!B:AR,20,FALSE))</f>
        <v>Quantity of 5.</v>
      </c>
    </row>
    <row r="127" spans="2:20" s="135" customFormat="1" ht="15" customHeight="1">
      <c r="B127" s="332" t="s">
        <v>56</v>
      </c>
      <c r="C127" s="175" t="str">
        <f>VLOOKUP(B127,'26MY_PASSPORT_DATA'!B:AR,3,FALSE)</f>
        <v>Paint Pen Replacement Tips</v>
      </c>
      <c r="D127" s="79" t="str">
        <f t="shared" si="36"/>
        <v>TUCH-TIPS</v>
      </c>
      <c r="E127" s="343">
        <f>VLOOKUP(B127,'26MY_PASSPORT_DATA'!B:AR,9,FALSE)</f>
        <v>13.75</v>
      </c>
      <c r="F127" s="343">
        <f>VLOOKUP(B127,'26MY_PASSPORT_DATA'!B:AR,10,FALSE)</f>
        <v>23</v>
      </c>
      <c r="G127" s="344">
        <f>VLOOKUP(B127,'26MY_PASSPORT_DATA'!B:AR,7,FALSE)</f>
        <v>0</v>
      </c>
      <c r="H127" s="345">
        <f>VLOOKUP(B127,'26MY_PASSPORT_DATA'!B:AR,11,FALSE)</f>
        <v>23</v>
      </c>
      <c r="I127" s="347">
        <f>VLOOKUP($B127,'26MY_PASSPORT_DATA'!$B:$AR,12,FALSE)</f>
        <v>0</v>
      </c>
      <c r="J127" s="347">
        <f>VLOOKUP($B127,'26MY_PASSPORT_DATA'!$B:$AR,13,FALSE)</f>
        <v>0</v>
      </c>
      <c r="K127" s="347" t="str">
        <f>VLOOKUP(B127,'26MY_PASSPORT_DATA'!B:AR,14,FALSE)</f>
        <v>•</v>
      </c>
      <c r="L127" s="347" t="str">
        <f>VLOOKUP(B127,'26MY_PASSPORT_DATA'!B:AR,15,FALSE)</f>
        <v>•</v>
      </c>
      <c r="M127" s="347">
        <f>VLOOKUP($B127,'26MY_PASSPORT_DATA'!$B:$AR,16,FALSE)</f>
        <v>0</v>
      </c>
      <c r="N127" s="347">
        <f>VLOOKUP(B127,'26MY_PASSPORT_DATA'!B:AR,17,FALSE)</f>
        <v>0</v>
      </c>
      <c r="O127" s="347" t="str">
        <f>VLOOKUP(B127,'26MY_PASSPORT_DATA'!B:AR,18,FALSE)</f>
        <v>•</v>
      </c>
      <c r="P127" s="347" t="str">
        <f>VLOOKUP(B127,'26MY_PASSPORT_DATA'!B:AR,19,FALSE)</f>
        <v>•</v>
      </c>
      <c r="Q127" s="346" t="str">
        <f>IF(VLOOKUP(B127,'26MY_PASSPORT_DATA'!B:AR,20,FALSE)="","",VLOOKUP(B127,'26MY_PASSPORT_DATA'!B:AR,20,FALSE))</f>
        <v>Quantity of 25.</v>
      </c>
    </row>
    <row r="128" spans="2:20" s="135" customFormat="1" ht="15" customHeight="1">
      <c r="B128" s="332"/>
      <c r="C128" s="20"/>
      <c r="D128" s="26"/>
      <c r="E128" s="18"/>
      <c r="F128" s="18"/>
      <c r="G128" s="16"/>
      <c r="H128" s="17"/>
      <c r="I128" s="16"/>
      <c r="J128" s="16"/>
      <c r="K128" s="16"/>
      <c r="L128" s="16"/>
      <c r="M128" s="16"/>
      <c r="N128" s="16"/>
      <c r="O128" s="16"/>
      <c r="P128" s="16"/>
      <c r="Q128" s="16"/>
    </row>
    <row r="129" spans="2:17" s="135" customFormat="1" ht="15" customHeight="1">
      <c r="B129" s="334"/>
      <c r="C129" s="44" t="s">
        <v>102</v>
      </c>
      <c r="D129" s="43" t="s">
        <v>26</v>
      </c>
      <c r="E129" s="129"/>
      <c r="F129" s="129"/>
      <c r="G129" s="129"/>
      <c r="H129" s="129"/>
      <c r="I129" s="129"/>
      <c r="J129" s="129"/>
      <c r="K129" s="129"/>
      <c r="L129" s="129"/>
      <c r="M129" s="129"/>
      <c r="N129" s="129"/>
      <c r="O129" s="129"/>
      <c r="P129" s="129"/>
      <c r="Q129" s="129"/>
    </row>
    <row r="130" spans="2:17" ht="14.25" customHeight="1">
      <c r="C130" s="137">
        <f>'26MY_PASSPORT_DATA'!$C$4</f>
        <v>45953</v>
      </c>
      <c r="D130" s="43" t="s">
        <v>157</v>
      </c>
      <c r="E130" s="51"/>
      <c r="F130" s="51"/>
      <c r="G130" s="51"/>
      <c r="H130" s="51"/>
      <c r="I130" s="51"/>
      <c r="J130" s="51"/>
      <c r="K130" s="51"/>
      <c r="L130" s="51"/>
      <c r="M130" s="51"/>
      <c r="N130" s="51"/>
      <c r="O130" s="51"/>
      <c r="P130" s="51"/>
      <c r="Q130" s="51"/>
    </row>
    <row r="131" spans="2:17" ht="14.25" customHeight="1">
      <c r="C131" s="51"/>
      <c r="D131" s="51"/>
      <c r="E131" s="51"/>
      <c r="F131" s="51"/>
      <c r="G131" s="51"/>
      <c r="H131" s="51"/>
      <c r="I131" s="51"/>
      <c r="J131" s="51"/>
      <c r="K131" s="51"/>
      <c r="L131" s="51"/>
      <c r="M131" s="51"/>
      <c r="N131" s="51"/>
      <c r="O131" s="51"/>
      <c r="P131" s="51"/>
      <c r="Q131" s="51"/>
    </row>
    <row r="132" spans="2:17" ht="14.25" customHeight="1">
      <c r="C132" s="51"/>
      <c r="D132" s="51"/>
      <c r="E132" s="51"/>
      <c r="F132" s="51"/>
      <c r="G132" s="51"/>
      <c r="H132" s="51"/>
      <c r="I132" s="51"/>
      <c r="J132" s="51"/>
      <c r="K132" s="51"/>
      <c r="L132" s="51"/>
      <c r="M132" s="51"/>
      <c r="N132" s="51"/>
      <c r="O132" s="51"/>
      <c r="P132" s="51"/>
      <c r="Q132" s="51"/>
    </row>
    <row r="133" spans="2:17" ht="14.25" customHeight="1">
      <c r="C133" s="51"/>
      <c r="D133" s="51"/>
      <c r="E133" s="51"/>
      <c r="F133" s="51"/>
      <c r="G133" s="51"/>
      <c r="H133" s="51"/>
      <c r="I133" s="51"/>
      <c r="J133" s="51"/>
      <c r="K133" s="51"/>
      <c r="L133" s="51"/>
      <c r="M133" s="51"/>
      <c r="N133" s="51"/>
      <c r="O133" s="51"/>
      <c r="P133" s="51"/>
      <c r="Q133" s="51"/>
    </row>
    <row r="134" spans="2:17" ht="14.25" customHeight="1">
      <c r="C134" s="51"/>
      <c r="D134" s="51"/>
      <c r="E134" s="51"/>
      <c r="F134" s="51"/>
      <c r="G134" s="51"/>
      <c r="H134" s="51"/>
      <c r="I134" s="51"/>
      <c r="J134" s="51"/>
      <c r="K134" s="51"/>
      <c r="L134" s="51"/>
      <c r="M134" s="51"/>
      <c r="N134" s="51"/>
      <c r="O134" s="51"/>
      <c r="P134" s="51"/>
      <c r="Q134" s="51"/>
    </row>
    <row r="135" spans="2:17" ht="14.25" customHeight="1">
      <c r="C135" s="51"/>
      <c r="D135" s="51"/>
      <c r="E135" s="51"/>
      <c r="F135" s="51"/>
      <c r="G135" s="51"/>
      <c r="H135" s="51"/>
      <c r="I135" s="51"/>
      <c r="J135" s="51"/>
      <c r="K135" s="51"/>
      <c r="L135" s="51"/>
      <c r="M135" s="51"/>
      <c r="N135" s="51"/>
      <c r="O135" s="51"/>
      <c r="P135" s="51"/>
      <c r="Q135" s="51"/>
    </row>
    <row r="136" spans="2:17" ht="14.25" customHeight="1">
      <c r="C136" s="51"/>
      <c r="D136" s="51"/>
      <c r="E136" s="51"/>
      <c r="F136" s="51"/>
      <c r="G136" s="51"/>
      <c r="H136" s="51"/>
      <c r="I136" s="51"/>
      <c r="J136" s="51"/>
      <c r="K136" s="51"/>
      <c r="L136" s="51"/>
      <c r="M136" s="51"/>
      <c r="N136" s="51"/>
      <c r="O136" s="51"/>
      <c r="P136" s="51"/>
      <c r="Q136" s="51"/>
    </row>
    <row r="137" spans="2:17" ht="14.25" customHeight="1">
      <c r="C137" s="51"/>
      <c r="D137" s="51"/>
      <c r="E137" s="51"/>
      <c r="F137" s="51"/>
      <c r="G137" s="51"/>
      <c r="H137" s="51"/>
      <c r="I137" s="51"/>
      <c r="J137" s="51"/>
      <c r="K137" s="51"/>
      <c r="L137" s="51"/>
      <c r="M137" s="51"/>
      <c r="N137" s="51"/>
      <c r="O137" s="51"/>
      <c r="P137" s="51"/>
      <c r="Q137" s="51"/>
    </row>
    <row r="138" spans="2:17" ht="14.25" customHeight="1">
      <c r="C138" s="51"/>
      <c r="D138" s="51"/>
      <c r="E138" s="51"/>
      <c r="F138" s="51"/>
      <c r="G138" s="51"/>
      <c r="H138" s="51"/>
      <c r="I138" s="51"/>
      <c r="J138" s="51"/>
      <c r="K138" s="51"/>
      <c r="L138" s="51"/>
      <c r="M138" s="51"/>
      <c r="N138" s="51"/>
      <c r="O138" s="51"/>
      <c r="P138" s="51"/>
      <c r="Q138" s="51"/>
    </row>
    <row r="139" spans="2:17" ht="14.25" customHeight="1">
      <c r="C139" s="51"/>
      <c r="D139" s="51"/>
      <c r="E139" s="51"/>
      <c r="F139" s="51"/>
      <c r="G139" s="51"/>
      <c r="H139" s="51"/>
      <c r="I139" s="51"/>
      <c r="J139" s="51"/>
      <c r="K139" s="51"/>
      <c r="L139" s="51"/>
      <c r="M139" s="51"/>
      <c r="N139" s="51"/>
      <c r="O139" s="51"/>
      <c r="P139" s="51"/>
      <c r="Q139" s="51"/>
    </row>
    <row r="140" spans="2:17" ht="14.25" customHeight="1">
      <c r="C140" s="51"/>
      <c r="D140" s="51"/>
      <c r="E140" s="51"/>
      <c r="F140" s="51"/>
      <c r="G140" s="51"/>
      <c r="H140" s="51"/>
      <c r="I140" s="51"/>
      <c r="J140" s="51"/>
      <c r="K140" s="51"/>
      <c r="L140" s="51"/>
      <c r="M140" s="51"/>
      <c r="N140" s="51"/>
      <c r="O140" s="51"/>
      <c r="P140" s="51"/>
      <c r="Q140" s="51"/>
    </row>
    <row r="141" spans="2:17" ht="14.25" customHeight="1">
      <c r="C141" s="51"/>
      <c r="D141" s="51"/>
      <c r="E141" s="51"/>
      <c r="F141" s="51"/>
      <c r="G141" s="51"/>
      <c r="H141" s="51"/>
      <c r="I141" s="51"/>
      <c r="J141" s="51"/>
      <c r="K141" s="51"/>
      <c r="L141" s="51"/>
      <c r="M141" s="51"/>
      <c r="N141" s="51"/>
      <c r="O141" s="51"/>
      <c r="P141" s="51"/>
      <c r="Q141" s="51"/>
    </row>
    <row r="142" spans="2:17" ht="14.25" customHeight="1">
      <c r="C142" s="51"/>
      <c r="D142" s="51"/>
      <c r="E142" s="51"/>
      <c r="F142" s="51"/>
      <c r="G142" s="51"/>
      <c r="H142" s="51"/>
      <c r="I142" s="51"/>
      <c r="J142" s="51"/>
      <c r="K142" s="51"/>
      <c r="L142" s="51"/>
      <c r="M142" s="51"/>
      <c r="N142" s="51"/>
      <c r="O142" s="51"/>
      <c r="P142" s="51"/>
      <c r="Q142" s="51"/>
    </row>
    <row r="143" spans="2:17" ht="14.25" customHeight="1">
      <c r="C143" s="51"/>
      <c r="D143" s="51"/>
      <c r="E143" s="51"/>
      <c r="F143" s="51"/>
      <c r="G143" s="51"/>
      <c r="H143" s="51"/>
      <c r="I143" s="51"/>
      <c r="J143" s="51"/>
      <c r="K143" s="51"/>
      <c r="L143" s="51"/>
      <c r="M143" s="51"/>
      <c r="N143" s="51"/>
      <c r="O143" s="51"/>
      <c r="P143" s="51"/>
      <c r="Q143" s="51"/>
    </row>
    <row r="144" spans="2:17" ht="14.25" customHeight="1">
      <c r="C144" s="51"/>
      <c r="D144" s="51"/>
      <c r="E144" s="51"/>
      <c r="F144" s="51"/>
      <c r="G144" s="51"/>
      <c r="H144" s="51"/>
      <c r="I144" s="51"/>
      <c r="J144" s="51"/>
      <c r="K144" s="51"/>
      <c r="L144" s="51"/>
      <c r="M144" s="51"/>
      <c r="N144" s="51"/>
      <c r="O144" s="51"/>
      <c r="P144" s="51"/>
      <c r="Q144" s="51"/>
    </row>
    <row r="145" spans="3:17" ht="14.25" customHeight="1">
      <c r="C145" s="51"/>
      <c r="D145" s="51"/>
      <c r="E145" s="51"/>
      <c r="F145" s="51"/>
      <c r="G145" s="51"/>
      <c r="H145" s="51"/>
      <c r="I145" s="51"/>
      <c r="J145" s="51"/>
      <c r="K145" s="51"/>
      <c r="L145" s="51"/>
      <c r="M145" s="51"/>
      <c r="N145" s="51"/>
      <c r="O145" s="51"/>
      <c r="P145" s="51"/>
      <c r="Q145" s="51"/>
    </row>
    <row r="146" spans="3:17" ht="14.25" customHeight="1">
      <c r="C146" s="51"/>
      <c r="D146" s="51"/>
      <c r="E146" s="51"/>
      <c r="F146" s="51"/>
      <c r="G146" s="51"/>
      <c r="H146" s="51"/>
      <c r="I146" s="51"/>
      <c r="J146" s="51"/>
      <c r="K146" s="51"/>
      <c r="L146" s="51"/>
      <c r="M146" s="51"/>
      <c r="N146" s="51"/>
      <c r="O146" s="51"/>
      <c r="P146" s="51"/>
      <c r="Q146" s="51"/>
    </row>
    <row r="147" spans="3:17" ht="14.25" customHeight="1">
      <c r="C147" s="51"/>
      <c r="D147" s="51"/>
      <c r="E147" s="51"/>
      <c r="F147" s="51"/>
      <c r="G147" s="51"/>
      <c r="H147" s="51"/>
      <c r="I147" s="51"/>
      <c r="J147" s="51"/>
      <c r="K147" s="51"/>
      <c r="L147" s="51"/>
      <c r="M147" s="51"/>
      <c r="N147" s="51"/>
      <c r="O147" s="51"/>
      <c r="P147" s="51"/>
      <c r="Q147" s="51"/>
    </row>
    <row r="148" spans="3:17" ht="14.25" customHeight="1">
      <c r="C148" s="51"/>
      <c r="D148" s="51"/>
      <c r="E148" s="51"/>
      <c r="F148" s="51"/>
      <c r="G148" s="51"/>
      <c r="H148" s="51"/>
      <c r="I148" s="51"/>
      <c r="J148" s="51"/>
      <c r="K148" s="51"/>
      <c r="L148" s="51"/>
      <c r="M148" s="51"/>
      <c r="N148" s="51"/>
      <c r="O148" s="51"/>
      <c r="P148" s="51"/>
      <c r="Q148" s="51"/>
    </row>
    <row r="149" spans="3:17" ht="14.25" customHeight="1">
      <c r="C149" s="51"/>
      <c r="D149" s="51"/>
      <c r="E149" s="51"/>
      <c r="F149" s="51"/>
      <c r="G149" s="51"/>
      <c r="H149" s="51"/>
      <c r="I149" s="51"/>
      <c r="J149" s="51"/>
      <c r="K149" s="51"/>
      <c r="L149" s="51"/>
      <c r="M149" s="51"/>
      <c r="N149" s="51"/>
      <c r="O149" s="51"/>
      <c r="P149" s="51"/>
      <c r="Q149" s="51"/>
    </row>
    <row r="150" spans="3:17">
      <c r="C150" s="51"/>
      <c r="D150" s="51"/>
      <c r="E150" s="51"/>
      <c r="F150" s="51"/>
      <c r="G150" s="51"/>
      <c r="H150" s="51"/>
      <c r="I150" s="51"/>
      <c r="J150" s="51"/>
      <c r="K150" s="51"/>
      <c r="L150" s="51"/>
      <c r="M150" s="51"/>
      <c r="N150" s="51"/>
      <c r="O150" s="51"/>
      <c r="P150" s="51"/>
      <c r="Q150" s="51"/>
    </row>
  </sheetData>
  <sheetProtection algorithmName="SHA-512" hashValue="oW/8eagBKelV56e2XHIpeJFaj5k303ahrci6HGk3SjMYMHf8tIw94a+wg/szpIylH5chy8kMgfG+nmVGjJC52g==" saltValue="Vj5FRSvYc4TzqxTnymOTzg==" spinCount="100000" sheet="1" objects="1" scenarios="1"/>
  <mergeCells count="144">
    <mergeCell ref="Q80:Q87"/>
    <mergeCell ref="P33:P36"/>
    <mergeCell ref="Q33:Q36"/>
    <mergeCell ref="E33:E36"/>
    <mergeCell ref="F33:F36"/>
    <mergeCell ref="G33:G36"/>
    <mergeCell ref="H33:H36"/>
    <mergeCell ref="I33:I36"/>
    <mergeCell ref="K33:K36"/>
    <mergeCell ref="L33:L36"/>
    <mergeCell ref="N33:N36"/>
    <mergeCell ref="O33:O36"/>
    <mergeCell ref="P38:P43"/>
    <mergeCell ref="Q38:Q43"/>
    <mergeCell ref="E38:E43"/>
    <mergeCell ref="F38:F43"/>
    <mergeCell ref="G38:G43"/>
    <mergeCell ref="H38:H43"/>
    <mergeCell ref="I38:I43"/>
    <mergeCell ref="K38:K43"/>
    <mergeCell ref="L38:L43"/>
    <mergeCell ref="N38:N43"/>
    <mergeCell ref="O38:O43"/>
    <mergeCell ref="I50:P50"/>
    <mergeCell ref="P18:P22"/>
    <mergeCell ref="Q18:Q22"/>
    <mergeCell ref="E18:E22"/>
    <mergeCell ref="F18:F22"/>
    <mergeCell ref="G18:G22"/>
    <mergeCell ref="H18:H22"/>
    <mergeCell ref="I18:I22"/>
    <mergeCell ref="K18:K22"/>
    <mergeCell ref="L18:L22"/>
    <mergeCell ref="N18:N22"/>
    <mergeCell ref="O18:O22"/>
    <mergeCell ref="M18:M22"/>
    <mergeCell ref="I116:P116"/>
    <mergeCell ref="Q116:Q117"/>
    <mergeCell ref="E118:E123"/>
    <mergeCell ref="F118:F123"/>
    <mergeCell ref="G118:G123"/>
    <mergeCell ref="H118:H123"/>
    <mergeCell ref="C116:C117"/>
    <mergeCell ref="D116:D117"/>
    <mergeCell ref="E116:E117"/>
    <mergeCell ref="F116:F117"/>
    <mergeCell ref="G116:G117"/>
    <mergeCell ref="H116:H117"/>
    <mergeCell ref="I90:P90"/>
    <mergeCell ref="Q90:Q91"/>
    <mergeCell ref="C106:C107"/>
    <mergeCell ref="D106:D107"/>
    <mergeCell ref="E106:E107"/>
    <mergeCell ref="F106:F107"/>
    <mergeCell ref="G106:G107"/>
    <mergeCell ref="H106:H107"/>
    <mergeCell ref="I106:P106"/>
    <mergeCell ref="Q106:Q107"/>
    <mergeCell ref="C90:C91"/>
    <mergeCell ref="D90:D91"/>
    <mergeCell ref="E90:E91"/>
    <mergeCell ref="F90:F91"/>
    <mergeCell ref="G90:G91"/>
    <mergeCell ref="H90:H91"/>
    <mergeCell ref="Q50:Q51"/>
    <mergeCell ref="C59:C60"/>
    <mergeCell ref="D59:D60"/>
    <mergeCell ref="E59:E60"/>
    <mergeCell ref="F59:F60"/>
    <mergeCell ref="G59:G60"/>
    <mergeCell ref="H59:H60"/>
    <mergeCell ref="I59:P59"/>
    <mergeCell ref="Q59:Q60"/>
    <mergeCell ref="C50:C51"/>
    <mergeCell ref="D50:D51"/>
    <mergeCell ref="E50:E51"/>
    <mergeCell ref="F50:F51"/>
    <mergeCell ref="G50:G51"/>
    <mergeCell ref="H50:H51"/>
    <mergeCell ref="E14:E16"/>
    <mergeCell ref="F14:F16"/>
    <mergeCell ref="G14:G16"/>
    <mergeCell ref="H12:H13"/>
    <mergeCell ref="Q12:Q13"/>
    <mergeCell ref="G12:G13"/>
    <mergeCell ref="I12:P12"/>
    <mergeCell ref="C12:C13"/>
    <mergeCell ref="D12:D13"/>
    <mergeCell ref="E12:E13"/>
    <mergeCell ref="F12:F13"/>
    <mergeCell ref="H14:H16"/>
    <mergeCell ref="I14:I16"/>
    <mergeCell ref="K14:K16"/>
    <mergeCell ref="L14:L16"/>
    <mergeCell ref="N14:N16"/>
    <mergeCell ref="O14:O16"/>
    <mergeCell ref="P14:P16"/>
    <mergeCell ref="Q14:Q16"/>
    <mergeCell ref="M14:M16"/>
    <mergeCell ref="Q24:Q26"/>
    <mergeCell ref="E28:E31"/>
    <mergeCell ref="F28:F31"/>
    <mergeCell ref="G28:G31"/>
    <mergeCell ref="H28:H31"/>
    <mergeCell ref="I28:I31"/>
    <mergeCell ref="K28:K31"/>
    <mergeCell ref="L28:L31"/>
    <mergeCell ref="N28:N31"/>
    <mergeCell ref="O28:O31"/>
    <mergeCell ref="P28:P31"/>
    <mergeCell ref="Q28:Q31"/>
    <mergeCell ref="F24:F26"/>
    <mergeCell ref="G24:G26"/>
    <mergeCell ref="H24:H26"/>
    <mergeCell ref="I24:I26"/>
    <mergeCell ref="K24:K26"/>
    <mergeCell ref="L24:L26"/>
    <mergeCell ref="N24:N26"/>
    <mergeCell ref="O24:O26"/>
    <mergeCell ref="P24:P26"/>
    <mergeCell ref="E24:E26"/>
    <mergeCell ref="M24:M26"/>
    <mergeCell ref="M28:M31"/>
    <mergeCell ref="P45:P47"/>
    <mergeCell ref="Q45:Q47"/>
    <mergeCell ref="E45:E47"/>
    <mergeCell ref="F45:F47"/>
    <mergeCell ref="G45:G47"/>
    <mergeCell ref="H45:H47"/>
    <mergeCell ref="I45:I47"/>
    <mergeCell ref="K45:K47"/>
    <mergeCell ref="L45:L47"/>
    <mergeCell ref="N45:N47"/>
    <mergeCell ref="O45:O47"/>
    <mergeCell ref="M33:M36"/>
    <mergeCell ref="M38:M43"/>
    <mergeCell ref="M45:M47"/>
    <mergeCell ref="J14:J16"/>
    <mergeCell ref="J18:J22"/>
    <mergeCell ref="J24:J26"/>
    <mergeCell ref="J28:J31"/>
    <mergeCell ref="J33:J36"/>
    <mergeCell ref="J38:J43"/>
    <mergeCell ref="J45:J47"/>
  </mergeCells>
  <phoneticPr fontId="48" type="noConversion"/>
  <conditionalFormatting sqref="E1:F14 E124:F1048576 E17:F18 E27:F28 E23:F24 E44:F45 E37:F38 E32:F33 E48:F118">
    <cfRule type="containsText" dxfId="10"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8"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Normal="100" zoomScaleSheetLayoutView="100" workbookViewId="0">
      <selection activeCell="Y6" sqref="Y6"/>
    </sheetView>
  </sheetViews>
  <sheetFormatPr defaultColWidth="8.85546875" defaultRowHeight="12.75"/>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18" customHeight="1">
      <c r="B2" s="50"/>
      <c r="C2" s="51"/>
      <c r="D2" s="51"/>
      <c r="E2" s="51"/>
      <c r="F2" s="51"/>
      <c r="G2" s="51"/>
      <c r="H2" s="51"/>
      <c r="I2" s="51"/>
      <c r="J2" s="51"/>
      <c r="K2" s="51"/>
      <c r="L2" s="51"/>
      <c r="M2" s="51"/>
      <c r="N2" s="51"/>
      <c r="O2" s="51"/>
      <c r="R2" s="47"/>
    </row>
    <row r="3" spans="2:22" ht="24.95" customHeight="1">
      <c r="B3" s="398" t="s">
        <v>300</v>
      </c>
      <c r="C3" s="398"/>
      <c r="D3" s="398"/>
      <c r="E3" s="398"/>
      <c r="F3" s="398"/>
      <c r="G3" s="398"/>
      <c r="H3" s="398"/>
      <c r="I3" s="398"/>
      <c r="J3" s="398"/>
      <c r="K3" s="398"/>
      <c r="L3" s="398"/>
      <c r="M3" s="398"/>
      <c r="N3" s="398"/>
      <c r="O3" s="398"/>
      <c r="P3" s="398"/>
      <c r="Q3" s="398"/>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9" t="s">
        <v>27</v>
      </c>
      <c r="C6" s="399"/>
      <c r="D6" s="399"/>
      <c r="E6" s="399"/>
      <c r="F6" s="399"/>
      <c r="G6" s="399"/>
      <c r="H6" s="399"/>
      <c r="I6" s="399"/>
      <c r="J6" s="399"/>
      <c r="K6" s="399"/>
      <c r="L6" s="399"/>
      <c r="M6" s="399"/>
      <c r="N6" s="399"/>
      <c r="O6" s="399"/>
      <c r="P6" s="399"/>
      <c r="Q6" s="399"/>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0"/>
      <c r="D8" s="390"/>
      <c r="E8" s="390"/>
      <c r="F8" s="390"/>
      <c r="G8" s="51"/>
      <c r="H8" s="390"/>
      <c r="I8" s="390"/>
      <c r="J8" s="390"/>
      <c r="K8" s="390"/>
      <c r="L8" s="51"/>
      <c r="M8" s="390"/>
      <c r="N8" s="390"/>
      <c r="O8" s="390"/>
      <c r="P8" s="390"/>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91" t="str">
        <f>'26MY_Passport_APP_EN'!$C$92</f>
        <v>All Season Mats (TrailSport logo)</v>
      </c>
      <c r="D10" s="392"/>
      <c r="E10" s="392"/>
      <c r="F10" s="393"/>
      <c r="G10" s="55"/>
      <c r="H10" s="391" t="str">
        <f>'26MY_Passport_APP_EN'!$C$93</f>
        <v>Cargo Tray</v>
      </c>
      <c r="I10" s="392"/>
      <c r="J10" s="392"/>
      <c r="K10" s="393"/>
      <c r="L10" s="55"/>
      <c r="M10" s="391" t="str">
        <f>'26MY_Passport_APP_EN'!$C$94</f>
        <v>Cargo Cover</v>
      </c>
      <c r="N10" s="392"/>
      <c r="O10" s="392"/>
      <c r="P10" s="393"/>
      <c r="Q10" s="51"/>
      <c r="R10" s="47"/>
    </row>
    <row r="11" spans="2:22" ht="15" customHeight="1">
      <c r="B11" s="53">
        <v>20</v>
      </c>
      <c r="C11" s="73">
        <f>'26MY_Passport_APP_EN'!$H$92</f>
        <v>365</v>
      </c>
      <c r="D11" s="57">
        <f>-PMT($D$29/52,5*52,C11)</f>
        <v>1.6643630723544598</v>
      </c>
      <c r="E11" s="58" t="s">
        <v>28</v>
      </c>
      <c r="F11" s="75" t="str">
        <f>$C$29</f>
        <v>(6.99%)</v>
      </c>
      <c r="G11" s="51"/>
      <c r="H11" s="73">
        <f>'26MY_Passport_APP_EN'!$H$93</f>
        <v>215</v>
      </c>
      <c r="I11" s="57">
        <f>-PMT($D$29/52,5*52,H11)</f>
        <v>0.98037824809920227</v>
      </c>
      <c r="J11" s="58" t="s">
        <v>28</v>
      </c>
      <c r="K11" s="75" t="str">
        <f>$C$29</f>
        <v>(6.99%)</v>
      </c>
      <c r="L11" s="51"/>
      <c r="M11" s="73">
        <f>'26MY_Passport_APP_EN'!$H$94</f>
        <v>470</v>
      </c>
      <c r="N11" s="57">
        <f>-PMT($D$29/52,5*52,M11)</f>
        <v>2.1431524493331398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0"/>
      <c r="D13" s="390"/>
      <c r="E13" s="390"/>
      <c r="F13" s="390"/>
      <c r="G13" s="51"/>
      <c r="H13" s="390"/>
      <c r="I13" s="390"/>
      <c r="J13" s="390"/>
      <c r="K13" s="390"/>
      <c r="L13" s="51"/>
      <c r="M13" s="390"/>
      <c r="N13" s="390"/>
      <c r="O13" s="390"/>
      <c r="P13" s="390"/>
      <c r="Q13" s="51"/>
      <c r="R13" s="47"/>
    </row>
    <row r="14" spans="2:22" ht="9" customHeight="1">
      <c r="B14" s="52"/>
      <c r="C14" s="80"/>
      <c r="D14" s="80"/>
      <c r="E14" s="80"/>
      <c r="F14" s="80"/>
      <c r="G14" s="51"/>
      <c r="H14" s="80"/>
      <c r="I14" s="80"/>
      <c r="J14" s="80"/>
      <c r="K14" s="80"/>
      <c r="L14" s="51"/>
      <c r="M14" s="80"/>
      <c r="N14" s="80"/>
      <c r="O14" s="80"/>
      <c r="P14" s="80"/>
      <c r="Q14" s="51"/>
      <c r="R14" s="47"/>
    </row>
    <row r="15" spans="2:22" ht="21.95" customHeight="1">
      <c r="B15" s="52">
        <v>20</v>
      </c>
      <c r="C15" s="391" t="str">
        <f>'26MY_Passport_APP_EN'!$C$79</f>
        <v>Roof Platform</v>
      </c>
      <c r="D15" s="392"/>
      <c r="E15" s="392"/>
      <c r="F15" s="393"/>
      <c r="G15" s="64"/>
      <c r="H15" s="391" t="str">
        <f>'26MY_Passport_APP_EN'!$C$63</f>
        <v>Running Boards</v>
      </c>
      <c r="I15" s="392"/>
      <c r="J15" s="392"/>
      <c r="K15" s="393"/>
      <c r="L15" s="64"/>
      <c r="M15" s="391" t="str">
        <f>'26MY_Passport_APP_EN'!$C$68</f>
        <v>Door Visor</v>
      </c>
      <c r="N15" s="392"/>
      <c r="O15" s="392"/>
      <c r="P15" s="393"/>
      <c r="Q15" s="51"/>
      <c r="R15" s="47"/>
    </row>
    <row r="16" spans="2:22" s="63" customFormat="1" ht="15.75">
      <c r="B16" s="56">
        <v>50</v>
      </c>
      <c r="C16" s="73">
        <f>'26MY_Passport_APP_EN'!$H$79</f>
        <v>1421</v>
      </c>
      <c r="D16" s="57">
        <f>-PMT($D$29/52,5*52,C16)</f>
        <v>6.4796162351114726</v>
      </c>
      <c r="E16" s="58" t="s">
        <v>28</v>
      </c>
      <c r="F16" s="75" t="str">
        <f>$C$29</f>
        <v>(6.99%)</v>
      </c>
      <c r="G16" s="60"/>
      <c r="H16" s="73">
        <f>'26MY_Passport_APP_EN'!$H$63</f>
        <v>1427</v>
      </c>
      <c r="I16" s="57">
        <f>-PMT($D$29/52,5*52,H16)</f>
        <v>6.5069756280816824</v>
      </c>
      <c r="J16" s="58" t="s">
        <v>28</v>
      </c>
      <c r="K16" s="75" t="str">
        <f>$C$29</f>
        <v>(6.99%)</v>
      </c>
      <c r="L16" s="60"/>
      <c r="M16" s="73">
        <f>'26MY_Passport_APP_EN'!$H$68</f>
        <v>520</v>
      </c>
      <c r="N16" s="57">
        <f>-PMT($D$29/52,5*52,M16)</f>
        <v>2.3711473907515588</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0"/>
      <c r="D18" s="390"/>
      <c r="E18" s="390"/>
      <c r="F18" s="390"/>
      <c r="G18" s="51"/>
      <c r="H18" s="390"/>
      <c r="I18" s="390"/>
      <c r="J18" s="390"/>
      <c r="K18" s="390"/>
      <c r="L18" s="51"/>
      <c r="M18" s="390"/>
      <c r="N18" s="390"/>
      <c r="O18" s="390"/>
      <c r="P18" s="390"/>
      <c r="Q18" s="51"/>
    </row>
    <row r="19" spans="1:20" ht="9.75" customHeight="1">
      <c r="B19" s="52"/>
      <c r="C19" s="80"/>
      <c r="D19" s="80"/>
      <c r="E19" s="80"/>
      <c r="F19" s="80"/>
      <c r="G19" s="51"/>
      <c r="H19" s="80"/>
      <c r="I19" s="80"/>
      <c r="J19" s="80"/>
      <c r="K19" s="80"/>
      <c r="L19" s="51"/>
      <c r="M19" s="80"/>
      <c r="N19" s="80"/>
      <c r="O19" s="80"/>
      <c r="P19" s="80"/>
      <c r="Q19" s="51"/>
    </row>
    <row r="20" spans="1:20" ht="21.95" customHeight="1">
      <c r="B20" s="52">
        <v>20</v>
      </c>
      <c r="C20" s="391" t="s">
        <v>328</v>
      </c>
      <c r="D20" s="392"/>
      <c r="E20" s="392"/>
      <c r="F20" s="393"/>
      <c r="G20" s="64"/>
      <c r="H20" s="394" t="str">
        <f>'26MY_Passport_APP_EN'!$C$108</f>
        <v>Cargo Light</v>
      </c>
      <c r="I20" s="392"/>
      <c r="J20" s="392"/>
      <c r="K20" s="393"/>
      <c r="L20" s="64"/>
      <c r="M20" s="395" t="str">
        <f>'26MY_Passport_APP_EN'!$C$97</f>
        <v xml:space="preserve">Utility Panel </v>
      </c>
      <c r="N20" s="396"/>
      <c r="O20" s="396"/>
      <c r="P20" s="397"/>
      <c r="Q20" s="51"/>
    </row>
    <row r="21" spans="1:20" ht="15.75">
      <c r="B21" s="52">
        <v>50</v>
      </c>
      <c r="C21" s="73">
        <f>'26MY_Passport_APP_EN'!$H$28</f>
        <v>343.9</v>
      </c>
      <c r="D21" s="57">
        <f>-PMT($D$29/52,5*52,C21)</f>
        <v>1.5681492070758867</v>
      </c>
      <c r="E21" s="58" t="s">
        <v>28</v>
      </c>
      <c r="F21" s="76" t="str">
        <f>$C$29</f>
        <v>(6.99%)</v>
      </c>
      <c r="G21" s="60"/>
      <c r="H21" s="73">
        <f>'26MY_Passport_APP_EN'!$H$108</f>
        <v>153</v>
      </c>
      <c r="I21" s="57">
        <f>-PMT($D$29/52,5*52,H21)</f>
        <v>0.69766452074036245</v>
      </c>
      <c r="J21" s="58" t="s">
        <v>28</v>
      </c>
      <c r="K21" s="76" t="str">
        <f>$C$29</f>
        <v>(6.99%)</v>
      </c>
      <c r="L21" s="60"/>
      <c r="M21" s="73">
        <f>'26MY_Passport_APP_EN'!$H$97</f>
        <v>330</v>
      </c>
      <c r="N21" s="57">
        <f>-PMT($D$29/52,5*52,M21)</f>
        <v>1.5047666133615665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30</v>
      </c>
      <c r="D23" s="51"/>
      <c r="E23" s="51"/>
      <c r="F23" s="51"/>
      <c r="G23" s="51"/>
      <c r="H23" s="51"/>
      <c r="I23" s="51"/>
      <c r="J23" s="51"/>
      <c r="K23" s="51"/>
      <c r="L23" s="51"/>
      <c r="M23" s="51"/>
      <c r="N23" s="51"/>
      <c r="O23" s="51"/>
      <c r="P23" s="51"/>
      <c r="Q23" s="51"/>
    </row>
    <row r="24" spans="1:20" ht="15" customHeight="1">
      <c r="B24" s="65"/>
      <c r="C24" s="66" t="s">
        <v>31</v>
      </c>
      <c r="D24" s="51"/>
      <c r="E24" s="51"/>
      <c r="F24" s="51"/>
      <c r="G24" s="67"/>
      <c r="H24" s="67"/>
      <c r="I24" s="67"/>
      <c r="J24" s="67"/>
      <c r="K24" s="67"/>
      <c r="L24" s="67"/>
      <c r="M24" s="67"/>
      <c r="N24" s="67"/>
      <c r="O24" s="67"/>
      <c r="P24" s="67"/>
      <c r="Q24" s="51"/>
    </row>
    <row r="25" spans="1:20" ht="15" customHeight="1">
      <c r="B25" s="65">
        <v>20</v>
      </c>
      <c r="C25" s="66" t="s">
        <v>44</v>
      </c>
      <c r="D25" s="51"/>
      <c r="E25" s="51"/>
      <c r="F25" s="51"/>
      <c r="G25" s="67"/>
      <c r="H25" s="67"/>
      <c r="I25" s="67"/>
      <c r="J25" s="67"/>
      <c r="K25" s="67"/>
      <c r="L25" s="67"/>
      <c r="M25" s="67"/>
      <c r="N25" s="67"/>
      <c r="O25" s="67"/>
      <c r="P25" s="67"/>
      <c r="Q25" s="51"/>
    </row>
    <row r="26" spans="1:20" ht="60" customHeight="1">
      <c r="B26" s="52">
        <v>60</v>
      </c>
      <c r="C26" s="388" t="s">
        <v>103</v>
      </c>
      <c r="D26" s="388"/>
      <c r="E26" s="388"/>
      <c r="F26" s="388"/>
      <c r="G26" s="388"/>
      <c r="H26" s="388"/>
      <c r="I26" s="388"/>
      <c r="J26" s="388"/>
      <c r="K26" s="388"/>
      <c r="L26" s="388"/>
      <c r="M26" s="388"/>
      <c r="N26" s="388"/>
      <c r="O26" s="388"/>
      <c r="P26" s="388"/>
      <c r="Q26" s="51"/>
    </row>
    <row r="27" spans="1:20" ht="20.25" customHeight="1" thickBot="1">
      <c r="B27" s="236"/>
      <c r="C27" s="237" t="s">
        <v>29</v>
      </c>
      <c r="D27" s="238"/>
      <c r="E27" s="239"/>
      <c r="F27" s="238"/>
      <c r="G27" s="240"/>
      <c r="H27" s="240"/>
      <c r="I27" s="240"/>
      <c r="J27" s="240"/>
      <c r="K27" s="241"/>
      <c r="L27" s="241"/>
      <c r="M27" s="241"/>
      <c r="N27" s="242"/>
      <c r="O27" s="389"/>
      <c r="P27" s="389"/>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106</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5" customHeight="1">
      <c r="A31" s="69"/>
      <c r="B31" s="235" t="s">
        <v>159</v>
      </c>
      <c r="C31" s="228">
        <f>'26MY_PASSPORT_DATA'!$C$4</f>
        <v>45953</v>
      </c>
      <c r="D31" s="67" t="str">
        <f>'SELECT PROVINCE'!$A$23</f>
        <v>All published prices, trim specifications, and availability are subject to change without prior notice.</v>
      </c>
      <c r="E31" s="225"/>
      <c r="F31" s="225"/>
      <c r="G31" s="225"/>
      <c r="H31" s="225"/>
      <c r="I31" s="225"/>
      <c r="J31" s="225"/>
      <c r="K31" s="225"/>
      <c r="L31" s="225"/>
      <c r="M31" s="225"/>
      <c r="N31" s="225"/>
      <c r="O31" s="65"/>
      <c r="P31" s="227" t="s">
        <v>54</v>
      </c>
      <c r="Q31" s="226" t="str">
        <f>'26MY_PASSPORT_DATA'!L6</f>
        <v>ON</v>
      </c>
    </row>
    <row r="32" spans="1:20" ht="15.75">
      <c r="D32" s="81"/>
      <c r="P32" s="82"/>
      <c r="Q32" s="83"/>
      <c r="T32" s="71"/>
    </row>
    <row r="33" spans="2:2">
      <c r="B33" s="86"/>
    </row>
  </sheetData>
  <sheetProtection algorithmName="SHA-512" hashValue="mCULONvTnRdnLAuPIGNjZINyeFHeLWAeqzilOigivGI1OIAobIRf5yPF6NxBBSUnWzjYm4rzvgST4c7h/deR4Q==" saltValue="wYWKbAKQjwczG95GHkTlwQ==" spinCount="100000" sheet="1" objects="1" scenarios="1"/>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6"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49"/>
  <sheetViews>
    <sheetView view="pageBreakPreview" zoomScale="80" zoomScaleNormal="60" zoomScaleSheetLayoutView="80" workbookViewId="0">
      <selection activeCell="Y6" sqref="Y6"/>
    </sheetView>
  </sheetViews>
  <sheetFormatPr defaultColWidth="9.140625" defaultRowHeight="12.75" outlineLevelCol="1"/>
  <cols>
    <col min="1" max="1" width="6.85546875" style="46" customWidth="1"/>
    <col min="2" max="2" width="16.28515625" style="302" customWidth="1"/>
    <col min="3" max="3" width="47.42578125" style="46" customWidth="1"/>
    <col min="4" max="4" width="22" style="46" customWidth="1"/>
    <col min="5" max="5" width="12.140625" style="46" customWidth="1" outlineLevel="1"/>
    <col min="6" max="6" width="13.5703125" style="46" customWidth="1"/>
    <col min="7" max="7" width="8.5703125" style="46" customWidth="1"/>
    <col min="8" max="8" width="13.5703125" style="46" customWidth="1"/>
    <col min="9" max="10" width="10.5703125" style="46" hidden="1" customWidth="1"/>
    <col min="11" max="12" width="10.5703125" style="46" customWidth="1"/>
    <col min="13" max="14" width="10.5703125" style="46" hidden="1" customWidth="1"/>
    <col min="15" max="16" width="10.5703125" style="46" customWidth="1"/>
    <col min="17" max="17" width="56.140625" style="46" customWidth="1"/>
    <col min="18" max="16384" width="9.140625" style="46"/>
  </cols>
  <sheetData>
    <row r="2" spans="2:20" ht="35.25" customHeight="1">
      <c r="B2" s="296" t="s">
        <v>149</v>
      </c>
      <c r="C2" s="157" t="s">
        <v>66</v>
      </c>
      <c r="D2" s="157"/>
      <c r="E2" s="154"/>
      <c r="F2" s="15"/>
      <c r="G2" s="128"/>
      <c r="H2" s="129"/>
      <c r="I2" s="129"/>
      <c r="J2" s="129"/>
      <c r="K2" s="129"/>
      <c r="L2" s="144"/>
      <c r="M2" s="145"/>
      <c r="N2" s="145"/>
      <c r="O2" s="144"/>
      <c r="P2" s="144"/>
      <c r="Q2" s="144"/>
    </row>
    <row r="3" spans="2:20" ht="26.25">
      <c r="B3" s="296"/>
      <c r="C3" s="158" t="s">
        <v>67</v>
      </c>
      <c r="D3" s="267" t="str">
        <f>'26MY_PASSPORT_DATA'!$C$2</f>
        <v>Passport</v>
      </c>
      <c r="E3" s="155"/>
      <c r="F3" s="2"/>
      <c r="G3" s="128"/>
      <c r="H3" s="129"/>
      <c r="I3" s="129"/>
      <c r="J3" s="129"/>
      <c r="K3" s="129"/>
      <c r="L3" s="146"/>
      <c r="O3" s="147"/>
      <c r="P3" s="144"/>
      <c r="Q3" s="144"/>
    </row>
    <row r="4" spans="2:20" ht="26.25">
      <c r="B4" s="296"/>
      <c r="C4" s="158" t="s">
        <v>68</v>
      </c>
      <c r="D4" s="270">
        <f>'26MY_PASSPORT_DATA'!$C$3</f>
        <v>2026</v>
      </c>
      <c r="E4" s="155"/>
      <c r="F4" s="2"/>
      <c r="G4" s="128"/>
      <c r="H4" s="129"/>
      <c r="I4" s="129"/>
      <c r="J4" s="129"/>
      <c r="K4" s="129"/>
      <c r="L4" s="144"/>
      <c r="M4" s="148"/>
      <c r="N4" s="148"/>
      <c r="O4" s="144"/>
      <c r="P4" s="144"/>
      <c r="Q4" s="144"/>
    </row>
    <row r="5" spans="2:20">
      <c r="B5" s="296"/>
      <c r="C5" s="400" t="s">
        <v>69</v>
      </c>
      <c r="D5" s="401"/>
      <c r="E5" s="401"/>
      <c r="F5" s="401"/>
      <c r="G5" s="401"/>
      <c r="H5" s="401"/>
      <c r="I5" s="401"/>
      <c r="J5" s="401"/>
      <c r="K5" s="401"/>
      <c r="L5" s="401"/>
      <c r="M5" s="401"/>
      <c r="N5" s="401"/>
      <c r="O5" s="402"/>
      <c r="P5" s="118"/>
      <c r="Q5" s="149"/>
    </row>
    <row r="6" spans="2:20">
      <c r="B6" s="296"/>
      <c r="C6" s="403" t="s">
        <v>70</v>
      </c>
      <c r="D6" s="404"/>
      <c r="E6" s="404"/>
      <c r="F6" s="404"/>
      <c r="G6" s="404"/>
      <c r="H6" s="404"/>
      <c r="I6" s="404"/>
      <c r="J6" s="404"/>
      <c r="K6" s="404"/>
      <c r="L6" s="404"/>
      <c r="M6" s="404"/>
      <c r="N6" s="404"/>
      <c r="O6" s="405"/>
      <c r="P6" s="118"/>
      <c r="Q6" s="149"/>
    </row>
    <row r="7" spans="2:20">
      <c r="B7" s="296"/>
      <c r="C7" s="403" t="s">
        <v>71</v>
      </c>
      <c r="D7" s="404"/>
      <c r="E7" s="404"/>
      <c r="F7" s="404"/>
      <c r="G7" s="404"/>
      <c r="H7" s="404"/>
      <c r="I7" s="404"/>
      <c r="J7" s="404"/>
      <c r="K7" s="404"/>
      <c r="L7" s="404"/>
      <c r="M7" s="404"/>
      <c r="N7" s="404"/>
      <c r="O7" s="405"/>
      <c r="P7" s="118"/>
      <c r="Q7" s="149"/>
    </row>
    <row r="8" spans="2:20">
      <c r="B8" s="296"/>
      <c r="C8" s="406" t="s">
        <v>72</v>
      </c>
      <c r="D8" s="407"/>
      <c r="E8" s="407"/>
      <c r="F8" s="407"/>
      <c r="G8" s="407"/>
      <c r="H8" s="407"/>
      <c r="I8" s="407"/>
      <c r="J8" s="407"/>
      <c r="K8" s="407"/>
      <c r="L8" s="407"/>
      <c r="M8" s="407"/>
      <c r="N8" s="407"/>
      <c r="O8" s="408"/>
      <c r="P8" s="118"/>
      <c r="Q8" s="149"/>
    </row>
    <row r="9" spans="2:20">
      <c r="B9" s="296"/>
      <c r="C9" s="141"/>
      <c r="D9" s="141"/>
      <c r="E9" s="141"/>
      <c r="F9" s="141"/>
      <c r="G9" s="141"/>
      <c r="H9" s="141"/>
      <c r="I9" s="141"/>
      <c r="J9" s="141"/>
      <c r="K9" s="141"/>
      <c r="L9" s="141"/>
      <c r="M9" s="141"/>
      <c r="N9" s="141"/>
      <c r="O9" s="141"/>
      <c r="P9" s="142"/>
      <c r="Q9" s="159"/>
    </row>
    <row r="10" spans="2:20" ht="15">
      <c r="B10" s="296"/>
      <c r="C10" s="51"/>
      <c r="D10" s="51"/>
      <c r="E10" s="51"/>
      <c r="F10" s="51"/>
      <c r="G10" s="51"/>
      <c r="H10" s="151" t="s">
        <v>54</v>
      </c>
      <c r="I10" s="51"/>
      <c r="J10" s="51"/>
      <c r="K10" s="51"/>
      <c r="L10" s="51"/>
      <c r="M10" s="51"/>
      <c r="N10" s="51"/>
      <c r="O10" s="51"/>
      <c r="P10" s="51"/>
      <c r="Q10" s="150"/>
    </row>
    <row r="11" spans="2:20" ht="18.75">
      <c r="B11" s="296"/>
      <c r="C11" s="152" t="s">
        <v>73</v>
      </c>
      <c r="D11" s="153"/>
      <c r="E11" s="132"/>
      <c r="F11" s="132"/>
      <c r="G11" s="131"/>
      <c r="H11" s="182" t="str">
        <f>prov_cd</f>
        <v>ON</v>
      </c>
      <c r="I11" s="181"/>
      <c r="J11" s="181"/>
      <c r="K11" s="51"/>
      <c r="L11" s="51"/>
      <c r="M11" s="51"/>
      <c r="N11" s="51"/>
      <c r="O11" s="51"/>
      <c r="P11" s="51"/>
      <c r="Q11" s="51"/>
    </row>
    <row r="12" spans="2:20" ht="15">
      <c r="B12" s="296"/>
      <c r="C12" s="387" t="s">
        <v>74</v>
      </c>
      <c r="D12" s="387" t="s">
        <v>75</v>
      </c>
      <c r="E12" s="387" t="s">
        <v>76</v>
      </c>
      <c r="F12" s="387" t="s">
        <v>77</v>
      </c>
      <c r="G12" s="387" t="s">
        <v>78</v>
      </c>
      <c r="H12" s="386" t="s">
        <v>79</v>
      </c>
      <c r="I12" s="387" t="s">
        <v>23</v>
      </c>
      <c r="J12" s="387"/>
      <c r="K12" s="387"/>
      <c r="L12" s="387"/>
      <c r="M12" s="387"/>
      <c r="N12" s="387"/>
      <c r="O12" s="387"/>
      <c r="P12" s="387"/>
      <c r="Q12" s="387" t="s">
        <v>80</v>
      </c>
    </row>
    <row r="13" spans="2:20" ht="45">
      <c r="B13" s="296"/>
      <c r="C13" s="387"/>
      <c r="D13" s="387"/>
      <c r="E13" s="387"/>
      <c r="F13" s="387"/>
      <c r="G13" s="387"/>
      <c r="H13" s="386"/>
      <c r="I13" s="174">
        <f>'26MY_PASSPORT_DATA'!$M$6</f>
        <v>0</v>
      </c>
      <c r="J13" s="174">
        <f>'26MY_PASSPORT_DATA'!$M$6</f>
        <v>0</v>
      </c>
      <c r="K13" s="174" t="str">
        <f>'26MY_PASSPORT_DATA'!$O$6</f>
        <v>TrailSport</v>
      </c>
      <c r="L13" s="174" t="str">
        <f>'26MY_PASSPORT_DATA'!$P$6</f>
        <v>TrailSport Blackout</v>
      </c>
      <c r="M13" s="174">
        <f>'26MY_PASSPORT_DATA'!$R$6</f>
        <v>0</v>
      </c>
      <c r="N13" s="174">
        <f>'26MY_PASSPORT_DATA'!$R$6</f>
        <v>0</v>
      </c>
      <c r="O13" s="174" t="str">
        <f>'26MY_PASSPORT_DATA'!$S$6</f>
        <v>TrailSport Touring</v>
      </c>
      <c r="P13" s="174" t="str">
        <f>'26MY_PASSPORT_DATA'!$T$6</f>
        <v>Trailsport Touring Blackout</v>
      </c>
      <c r="Q13" s="387"/>
    </row>
    <row r="14" spans="2:20" s="133" customFormat="1" ht="18.75">
      <c r="B14" s="297" t="s">
        <v>286</v>
      </c>
      <c r="C14" s="196" t="str">
        <f>VLOOKUP(B14,'26MY_PASSPORT_DATA'!B:AR,4,FALSE)</f>
        <v>Ensemble de protection</v>
      </c>
      <c r="D14" s="78" t="str">
        <f>B14</f>
        <v>26PAS-PROPK</v>
      </c>
      <c r="E14" s="377">
        <f>VLOOKUP(B14,'26MY_PASSPORT_DATA'!B:AR,9,FALSE)</f>
        <v>297</v>
      </c>
      <c r="F14" s="377">
        <f>VLOOKUP(B14,'26MY_PASSPORT_DATA'!B:AR,10,FALSE)</f>
        <v>550</v>
      </c>
      <c r="G14" s="380">
        <f>VLOOKUP(B14,'26MY_PASSPORT_DATA'!B:AR,7,FALSE)</f>
        <v>0.2</v>
      </c>
      <c r="H14" s="383">
        <f>VLOOKUP(B14,'26MY_PASSPORT_DATA'!B:AR,11,FALSE)</f>
        <v>580</v>
      </c>
      <c r="I14" s="371">
        <f>VLOOKUP($B14,'26MY_PASSPORT_DATA'!$B:$AR,12,FALSE)</f>
        <v>0</v>
      </c>
      <c r="J14" s="371">
        <f>VLOOKUP($B14,'26MY_PASSPORT_DATA'!$B:$AR,13,FALSE)</f>
        <v>0</v>
      </c>
      <c r="K14" s="371" t="str">
        <f>VLOOKUP(B14,'26MY_PASSPORT_DATA'!B:AR,14,FALSE)</f>
        <v>•</v>
      </c>
      <c r="L14" s="371" t="str">
        <f>VLOOKUP(B14,'26MY_PASSPORT_DATA'!B:AR,15,FALSE)</f>
        <v>•</v>
      </c>
      <c r="M14" s="371">
        <f>VLOOKUP($B14,'26MY_PASSPORT_DATA'!$B:$AR,16,FALSE)</f>
        <v>0</v>
      </c>
      <c r="N14" s="371">
        <f>VLOOKUP(B14,'26MY_PASSPORT_DATA'!B:AR,17,FALSE)</f>
        <v>0</v>
      </c>
      <c r="O14" s="371" t="str">
        <f>VLOOKUP(B14,'26MY_PASSPORT_DATA'!B:AR,18,FALSE)</f>
        <v>•</v>
      </c>
      <c r="P14" s="371" t="str">
        <f>VLOOKUP(B14,'26MY_PASSPORT_DATA'!B:AR,19,FALSE)</f>
        <v>•</v>
      </c>
      <c r="Q14" s="374" t="str">
        <f>IF(VLOOKUP(B14,'26MY_PASSPORT_DATA'!B:AR,21,FALSE)="","",VLOOKUP(B14,'26MY_PASSPORT_DATA'!B:AR,21,FALSE))</f>
        <v/>
      </c>
      <c r="R14" s="95"/>
      <c r="S14" s="95"/>
      <c r="T14" s="95"/>
    </row>
    <row r="15" spans="2:20" s="134" customFormat="1" ht="15">
      <c r="B15" s="297" t="s">
        <v>240</v>
      </c>
      <c r="C15" s="192" t="str">
        <f>VLOOKUP(B15,'26MY_PASSPORT_DATA'!B:AR,4,FALSE)</f>
        <v>Tapis toutes saisons (logo TrailSport)</v>
      </c>
      <c r="D15" s="220" t="str">
        <f t="shared" ref="D15" si="0">B15</f>
        <v>08P17-3BM-120A</v>
      </c>
      <c r="E15" s="378"/>
      <c r="F15" s="378"/>
      <c r="G15" s="381"/>
      <c r="H15" s="384"/>
      <c r="I15" s="372"/>
      <c r="J15" s="372"/>
      <c r="K15" s="372"/>
      <c r="L15" s="372"/>
      <c r="M15" s="372"/>
      <c r="N15" s="372"/>
      <c r="O15" s="372"/>
      <c r="P15" s="372"/>
      <c r="Q15" s="375"/>
      <c r="R15" s="97"/>
      <c r="S15" s="97"/>
      <c r="T15" s="97"/>
    </row>
    <row r="16" spans="2:20" s="134" customFormat="1" ht="15" customHeight="1">
      <c r="B16" s="297" t="s">
        <v>244</v>
      </c>
      <c r="C16" s="192" t="str">
        <f>VLOOKUP(B16,'26MY_PASSPORT_DATA'!B:AR,4,FALSE)</f>
        <v>Plateau pour compartiment utilitaire</v>
      </c>
      <c r="D16" s="202" t="str">
        <f t="shared" ref="D16" si="1">B16</f>
        <v>08U45-3BM-100</v>
      </c>
      <c r="E16" s="379"/>
      <c r="F16" s="379"/>
      <c r="G16" s="382"/>
      <c r="H16" s="385"/>
      <c r="I16" s="373"/>
      <c r="J16" s="373"/>
      <c r="K16" s="373"/>
      <c r="L16" s="373"/>
      <c r="M16" s="373"/>
      <c r="N16" s="373"/>
      <c r="O16" s="373"/>
      <c r="P16" s="373"/>
      <c r="Q16" s="376"/>
      <c r="R16" s="97"/>
      <c r="S16" s="97"/>
      <c r="T16" s="97"/>
    </row>
    <row r="17" spans="2:20" s="134" customFormat="1" ht="6.95" customHeight="1">
      <c r="B17" s="297"/>
      <c r="C17" s="203"/>
      <c r="D17" s="204"/>
      <c r="E17" s="204"/>
      <c r="F17" s="204"/>
      <c r="G17" s="204"/>
      <c r="H17" s="204"/>
      <c r="I17" s="204"/>
      <c r="J17" s="204"/>
      <c r="K17" s="204"/>
      <c r="L17" s="204"/>
      <c r="M17" s="204"/>
      <c r="N17" s="204"/>
      <c r="O17" s="204"/>
      <c r="P17" s="204"/>
      <c r="Q17" s="349"/>
      <c r="R17" s="97"/>
      <c r="S17" s="97"/>
      <c r="T17" s="97"/>
    </row>
    <row r="18" spans="2:20" s="134" customFormat="1" ht="15" customHeight="1">
      <c r="B18" s="297" t="s">
        <v>287</v>
      </c>
      <c r="C18" s="196" t="str">
        <f>VLOOKUP(B18,'26MY_PASSPORT_DATA'!B:AR,4,FALSE)</f>
        <v>Ensemble de protection Avance</v>
      </c>
      <c r="D18" s="78" t="str">
        <f>B18</f>
        <v>26PAS-PROPKA</v>
      </c>
      <c r="E18" s="377">
        <f>VLOOKUP(B18,'26MY_PASSPORT_DATA'!B:AR,9,FALSE)</f>
        <v>645.30000000000007</v>
      </c>
      <c r="F18" s="377">
        <f>VLOOKUP(B18,'26MY_PASSPORT_DATA'!B:AR,10,FALSE)</f>
        <v>1075.5</v>
      </c>
      <c r="G18" s="380">
        <f>VLOOKUP(B18,'26MY_PASSPORT_DATA'!B:AR,7,FALSE)</f>
        <v>0.79999999999999993</v>
      </c>
      <c r="H18" s="383">
        <f>VLOOKUP(B18,'26MY_PASSPORT_DATA'!B:AR,11,FALSE)</f>
        <v>1195.5</v>
      </c>
      <c r="I18" s="371">
        <f>VLOOKUP($B18,'26MY_PASSPORT_DATA'!$B:$AR,12,FALSE)</f>
        <v>0</v>
      </c>
      <c r="J18" s="371">
        <f>VLOOKUP($B18,'26MY_PASSPORT_DATA'!$B:$AR,13,FALSE)</f>
        <v>0</v>
      </c>
      <c r="K18" s="371" t="str">
        <f>VLOOKUP(B18,'26MY_PASSPORT_DATA'!B:AR,14,FALSE)</f>
        <v>•</v>
      </c>
      <c r="L18" s="371" t="str">
        <f>VLOOKUP(B18,'26MY_PASSPORT_DATA'!B:AR,15,FALSE)</f>
        <v>•</v>
      </c>
      <c r="M18" s="371">
        <f>VLOOKUP($B18,'26MY_PASSPORT_DATA'!$B:$AR,16,FALSE)</f>
        <v>0</v>
      </c>
      <c r="N18" s="371">
        <f>VLOOKUP(B18,'26MY_PASSPORT_DATA'!B:AR,17,FALSE)</f>
        <v>0</v>
      </c>
      <c r="O18" s="371" t="str">
        <f>VLOOKUP(B18,'26MY_PASSPORT_DATA'!B:AR,18,FALSE)</f>
        <v>•</v>
      </c>
      <c r="P18" s="371" t="str">
        <f>VLOOKUP(B18,'26MY_PASSPORT_DATA'!B:AR,19,FALSE)</f>
        <v>•</v>
      </c>
      <c r="Q18" s="374" t="str">
        <f>IF(VLOOKUP(B18,'26MY_PASSPORT_DATA'!B:AR,21,FALSE)="","",VLOOKUP(B18,'26MY_PASSPORT_DATA'!B:AR,21,FALSE))</f>
        <v>Rabais de 10 % est appliqué</v>
      </c>
      <c r="R18" s="97"/>
      <c r="S18" s="97"/>
      <c r="T18" s="97"/>
    </row>
    <row r="19" spans="2:20" s="134" customFormat="1" ht="15" customHeight="1">
      <c r="B19" s="297" t="s">
        <v>240</v>
      </c>
      <c r="C19" s="192" t="str">
        <f>VLOOKUP(B19,'26MY_PASSPORT_DATA'!B:AR,4,FALSE)</f>
        <v>Tapis toutes saisons (logo TrailSport)</v>
      </c>
      <c r="D19" s="202" t="str">
        <f t="shared" ref="D19" si="2">B19</f>
        <v>08P17-3BM-120A</v>
      </c>
      <c r="E19" s="378"/>
      <c r="F19" s="378"/>
      <c r="G19" s="381"/>
      <c r="H19" s="384"/>
      <c r="I19" s="372"/>
      <c r="J19" s="372"/>
      <c r="K19" s="372"/>
      <c r="L19" s="372"/>
      <c r="M19" s="372"/>
      <c r="N19" s="372"/>
      <c r="O19" s="372"/>
      <c r="P19" s="372"/>
      <c r="Q19" s="375"/>
      <c r="R19" s="97"/>
      <c r="S19" s="97"/>
      <c r="T19" s="97"/>
    </row>
    <row r="20" spans="2:20" s="134" customFormat="1" ht="15" customHeight="1">
      <c r="B20" s="297" t="s">
        <v>244</v>
      </c>
      <c r="C20" s="192" t="str">
        <f>VLOOKUP(B20,'26MY_PASSPORT_DATA'!B:AR,4,FALSE)</f>
        <v>Plateau pour compartiment utilitaire</v>
      </c>
      <c r="D20" s="202" t="str">
        <f t="shared" ref="D20" si="3">B20</f>
        <v>08U45-3BM-100</v>
      </c>
      <c r="E20" s="378"/>
      <c r="F20" s="378"/>
      <c r="G20" s="381"/>
      <c r="H20" s="384"/>
      <c r="I20" s="372"/>
      <c r="J20" s="372"/>
      <c r="K20" s="372"/>
      <c r="L20" s="372"/>
      <c r="M20" s="372"/>
      <c r="N20" s="372"/>
      <c r="O20" s="372"/>
      <c r="P20" s="372"/>
      <c r="Q20" s="375"/>
      <c r="R20" s="97"/>
      <c r="S20" s="97"/>
      <c r="T20" s="97"/>
    </row>
    <row r="21" spans="2:20" s="134" customFormat="1" ht="15">
      <c r="B21" s="297" t="s">
        <v>250</v>
      </c>
      <c r="C21" s="192" t="str">
        <f>VLOOKUP(B21,'26MY_PASSPORT_DATA'!B:AR,4,FALSE)</f>
        <v>Couvre-bagages</v>
      </c>
      <c r="D21" s="202" t="str">
        <f t="shared" ref="D21:D22" si="4">B21</f>
        <v>08U35-3BM-310</v>
      </c>
      <c r="E21" s="378"/>
      <c r="F21" s="378"/>
      <c r="G21" s="381"/>
      <c r="H21" s="384"/>
      <c r="I21" s="372"/>
      <c r="J21" s="372"/>
      <c r="K21" s="372"/>
      <c r="L21" s="372"/>
      <c r="M21" s="372"/>
      <c r="N21" s="372"/>
      <c r="O21" s="372"/>
      <c r="P21" s="372"/>
      <c r="Q21" s="375"/>
      <c r="R21" s="97"/>
      <c r="S21" s="97"/>
      <c r="T21" s="97"/>
    </row>
    <row r="22" spans="2:20" s="134" customFormat="1" ht="15">
      <c r="B22" s="297" t="s">
        <v>232</v>
      </c>
      <c r="C22" s="192" t="str">
        <f>VLOOKUP(B22,'26MY_PASSPORT_DATA'!B:AR,4,FALSE)</f>
        <v>Garde-boue</v>
      </c>
      <c r="D22" s="202" t="str">
        <f t="shared" si="4"/>
        <v>08P00-3BM-100</v>
      </c>
      <c r="E22" s="379"/>
      <c r="F22" s="379"/>
      <c r="G22" s="382"/>
      <c r="H22" s="385"/>
      <c r="I22" s="373"/>
      <c r="J22" s="373"/>
      <c r="K22" s="373"/>
      <c r="L22" s="373"/>
      <c r="M22" s="373"/>
      <c r="N22" s="373"/>
      <c r="O22" s="373"/>
      <c r="P22" s="373"/>
      <c r="Q22" s="376"/>
      <c r="R22" s="97"/>
      <c r="S22" s="97"/>
      <c r="T22" s="97"/>
    </row>
    <row r="23" spans="2:20" s="134" customFormat="1" ht="6.95" customHeight="1">
      <c r="B23" s="297"/>
      <c r="C23" s="203"/>
      <c r="D23" s="204"/>
      <c r="E23" s="204"/>
      <c r="F23" s="204"/>
      <c r="G23" s="204"/>
      <c r="H23" s="204"/>
      <c r="I23" s="204"/>
      <c r="J23" s="204"/>
      <c r="K23" s="204"/>
      <c r="L23" s="204"/>
      <c r="M23" s="204"/>
      <c r="N23" s="204"/>
      <c r="O23" s="204"/>
      <c r="P23" s="204"/>
      <c r="Q23" s="349"/>
      <c r="R23" s="97"/>
      <c r="S23" s="97"/>
      <c r="T23" s="97"/>
    </row>
    <row r="24" spans="2:20" s="134" customFormat="1" ht="15">
      <c r="B24" s="297" t="s">
        <v>291</v>
      </c>
      <c r="C24" s="196" t="str">
        <f>VLOOKUP(B24,'26MY_PASSPORT_DATA'!B:AR,4,FALSE)</f>
        <v xml:space="preserve">Ensemble d’emblèmes noirs </v>
      </c>
      <c r="D24" s="284" t="str">
        <f>B24</f>
        <v>26PAS-BLK-EMB</v>
      </c>
      <c r="E24" s="377">
        <f>VLOOKUP(B24,'26MY_PASSPORT_DATA'!B:AR,9,FALSE)</f>
        <v>187.20000000000002</v>
      </c>
      <c r="F24" s="377">
        <f>VLOOKUP(B24,'26MY_PASSPORT_DATA'!B:AR,10,FALSE)</f>
        <v>312.3</v>
      </c>
      <c r="G24" s="380">
        <f>VLOOKUP(B24,'26MY_PASSPORT_DATA'!B:AR,7,FALSE)</f>
        <v>0.89999999999999991</v>
      </c>
      <c r="H24" s="383">
        <f>VLOOKUP(B24,'26MY_PASSPORT_DATA'!B:AR,11,FALSE)</f>
        <v>447.3</v>
      </c>
      <c r="I24" s="371">
        <f>VLOOKUP($B24,'26MY_PASSPORT_DATA'!$B:$AR,12,FALSE)</f>
        <v>0</v>
      </c>
      <c r="J24" s="371">
        <f>VLOOKUP($B24,'26MY_PASSPORT_DATA'!$B:$AR,13,FALSE)</f>
        <v>0</v>
      </c>
      <c r="K24" s="371" t="str">
        <f>VLOOKUP(B24,'26MY_PASSPORT_DATA'!B:AR,14,FALSE)</f>
        <v>•</v>
      </c>
      <c r="L24" s="371" t="str">
        <f>VLOOKUP(B24,'26MY_PASSPORT_DATA'!B:AR,15,FALSE)</f>
        <v>S</v>
      </c>
      <c r="M24" s="371">
        <f>VLOOKUP($B24,'26MY_PASSPORT_DATA'!$B:$AR,16,FALSE)</f>
        <v>0</v>
      </c>
      <c r="N24" s="371">
        <f>VLOOKUP(B24,'26MY_PASSPORT_DATA'!B:AR,17,FALSE)</f>
        <v>0</v>
      </c>
      <c r="O24" s="371" t="str">
        <f>VLOOKUP(B24,'26MY_PASSPORT_DATA'!B:AR,18,FALSE)</f>
        <v>•</v>
      </c>
      <c r="P24" s="371" t="str">
        <f>VLOOKUP(B24,'26MY_PASSPORT_DATA'!B:AR,19,FALSE)</f>
        <v>S</v>
      </c>
      <c r="Q24" s="374" t="str">
        <f>IF(VLOOKUP(B24,'26MY_PASSPORT_DATA'!B:AR,21,FALSE)="","",VLOOKUP(B24,'26MY_PASSPORT_DATA'!B:AR,21,FALSE))</f>
        <v>Rabais de 10 % est appliqué</v>
      </c>
      <c r="R24" s="97"/>
      <c r="S24" s="97"/>
      <c r="T24" s="97"/>
    </row>
    <row r="25" spans="2:20" s="134" customFormat="1" ht="15">
      <c r="B25" s="297" t="s">
        <v>236</v>
      </c>
      <c r="C25" s="293" t="str">
        <f>VLOOKUP(B25,'26MY_PASSPORT_DATA'!B:AR,4,FALSE)</f>
        <v>Emblème Passport noir</v>
      </c>
      <c r="D25" s="202" t="str">
        <f t="shared" ref="D25" si="5">B25</f>
        <v>08F20-3BM-100</v>
      </c>
      <c r="E25" s="378"/>
      <c r="F25" s="378"/>
      <c r="G25" s="381"/>
      <c r="H25" s="384"/>
      <c r="I25" s="372"/>
      <c r="J25" s="372"/>
      <c r="K25" s="372"/>
      <c r="L25" s="372"/>
      <c r="M25" s="372"/>
      <c r="N25" s="372"/>
      <c r="O25" s="372"/>
      <c r="P25" s="372"/>
      <c r="Q25" s="375"/>
      <c r="R25" s="97"/>
      <c r="S25" s="97"/>
      <c r="T25" s="97"/>
    </row>
    <row r="26" spans="2:20" s="134" customFormat="1" ht="14.1" customHeight="1">
      <c r="B26" s="297" t="s">
        <v>234</v>
      </c>
      <c r="C26" s="192" t="str">
        <f>VLOOKUP(B26,'26MY_PASSPORT_DATA'!B:AR,4,FALSE)</f>
        <v>Emblèmes noirs – Logo « H » à l’avant et à l’arrière</v>
      </c>
      <c r="D26" s="202" t="str">
        <f t="shared" ref="D26" si="6">B26</f>
        <v>08F20-3BM-100B</v>
      </c>
      <c r="E26" s="379"/>
      <c r="F26" s="379"/>
      <c r="G26" s="382"/>
      <c r="H26" s="385"/>
      <c r="I26" s="373"/>
      <c r="J26" s="373"/>
      <c r="K26" s="373"/>
      <c r="L26" s="373"/>
      <c r="M26" s="373"/>
      <c r="N26" s="373"/>
      <c r="O26" s="373"/>
      <c r="P26" s="373"/>
      <c r="Q26" s="376"/>
      <c r="R26" s="97"/>
      <c r="S26" s="97"/>
      <c r="T26" s="97"/>
    </row>
    <row r="27" spans="2:20" s="134" customFormat="1" ht="6.95" customHeight="1">
      <c r="B27" s="297"/>
      <c r="C27" s="203"/>
      <c r="D27" s="204"/>
      <c r="E27" s="204"/>
      <c r="F27" s="204"/>
      <c r="G27" s="204"/>
      <c r="H27" s="204"/>
      <c r="I27" s="204"/>
      <c r="J27" s="204"/>
      <c r="K27" s="204"/>
      <c r="L27" s="204"/>
      <c r="M27" s="204"/>
      <c r="N27" s="204"/>
      <c r="O27" s="204"/>
      <c r="P27" s="204"/>
      <c r="Q27" s="349"/>
      <c r="R27" s="97"/>
      <c r="S27" s="97"/>
      <c r="T27" s="97"/>
    </row>
    <row r="28" spans="2:20" s="134" customFormat="1" ht="15">
      <c r="B28" s="297" t="s">
        <v>296</v>
      </c>
      <c r="C28" s="196" t="str">
        <f>VLOOKUP(B28,'26MY_PASSPORT_DATA'!B:AR,4,FALSE)</f>
        <v>Ensemble de remorquage 1</v>
      </c>
      <c r="D28" s="78" t="str">
        <f>B28</f>
        <v>26PAS-TOW-PK1</v>
      </c>
      <c r="E28" s="377">
        <f>VLOOKUP(B28,'26MY_PASSPORT_DATA'!B:AR,9,FALSE)</f>
        <v>213.75</v>
      </c>
      <c r="F28" s="377">
        <f>VLOOKUP(B28,'26MY_PASSPORT_DATA'!B:AR,10,FALSE)</f>
        <v>343.9</v>
      </c>
      <c r="G28" s="380">
        <f>VLOOKUP(B28,'26MY_PASSPORT_DATA'!B:AR,7,FALSE)</f>
        <v>0</v>
      </c>
      <c r="H28" s="383">
        <f>VLOOKUP(B28,'26MY_PASSPORT_DATA'!B:AR,11,FALSE)</f>
        <v>343.9</v>
      </c>
      <c r="I28" s="371">
        <f>VLOOKUP($B28,'26MY_PASSPORT_DATA'!$B:$AR,12,FALSE)</f>
        <v>0</v>
      </c>
      <c r="J28" s="371">
        <f>VLOOKUP($B28,'26MY_PASSPORT_DATA'!$B:$AR,13,FALSE)</f>
        <v>0</v>
      </c>
      <c r="K28" s="371" t="str">
        <f>VLOOKUP(B28,'26MY_PASSPORT_DATA'!B:AR,14,FALSE)</f>
        <v>•</v>
      </c>
      <c r="L28" s="371" t="str">
        <f>VLOOKUP(B28,'26MY_PASSPORT_DATA'!B:AR,15,FALSE)</f>
        <v>•</v>
      </c>
      <c r="M28" s="371">
        <f>VLOOKUP($B28,'26MY_PASSPORT_DATA'!$B:$AR,16,FALSE)</f>
        <v>0</v>
      </c>
      <c r="N28" s="371">
        <f>VLOOKUP(B28,'26MY_PASSPORT_DATA'!B:AR,17,FALSE)</f>
        <v>0</v>
      </c>
      <c r="O28" s="371" t="str">
        <f>VLOOKUP(B28,'26MY_PASSPORT_DATA'!B:AR,18,FALSE)</f>
        <v>•</v>
      </c>
      <c r="P28" s="371" t="str">
        <f>VLOOKUP(B28,'26MY_PASSPORT_DATA'!B:AR,19,FALSE)</f>
        <v>•</v>
      </c>
      <c r="Q28" s="374" t="str">
        <f>IF(VLOOKUP(B28,'26MY_PASSPORT_DATA'!B:AR,21,FALSE)="","",VLOOKUP(B28,'26MY_PASSPORT_DATA'!B:AR,21,FALSE))</f>
        <v>Rabais de 5 % est appliqué</v>
      </c>
      <c r="R28" s="97"/>
      <c r="S28" s="97"/>
      <c r="T28" s="97"/>
    </row>
    <row r="29" spans="2:20" s="134" customFormat="1" ht="15">
      <c r="B29" s="297" t="s">
        <v>231</v>
      </c>
      <c r="C29" s="192" t="str">
        <f>VLOOKUP(B29,'26MY_PASSPORT_DATA'!B:AR,4,FALSE)</f>
        <v>Attelage de remorque – Monture de rotule</v>
      </c>
      <c r="D29" s="202" t="str">
        <f t="shared" ref="D29" si="7">B29</f>
        <v>08L92-3BM-100A</v>
      </c>
      <c r="E29" s="378"/>
      <c r="F29" s="378"/>
      <c r="G29" s="381"/>
      <c r="H29" s="384"/>
      <c r="I29" s="372"/>
      <c r="J29" s="372"/>
      <c r="K29" s="372"/>
      <c r="L29" s="372"/>
      <c r="M29" s="372"/>
      <c r="N29" s="372"/>
      <c r="O29" s="372"/>
      <c r="P29" s="372"/>
      <c r="Q29" s="375"/>
      <c r="R29" s="97"/>
      <c r="S29" s="97"/>
      <c r="T29" s="97"/>
    </row>
    <row r="30" spans="2:20" s="134" customFormat="1" ht="15">
      <c r="B30" s="297" t="s">
        <v>196</v>
      </c>
      <c r="C30" s="192" t="str">
        <f>VLOOKUP(B30,'26MY_PASSPORT_DATA'!B:AR,4,FALSE)</f>
        <v>Attelage de remorque – Rotule d'attelage de 1 7/8 po</v>
      </c>
      <c r="D30" s="202" t="str">
        <f t="shared" ref="D30" si="8">B30</f>
        <v>08L92-S9V-300G</v>
      </c>
      <c r="E30" s="378"/>
      <c r="F30" s="378"/>
      <c r="G30" s="381"/>
      <c r="H30" s="384"/>
      <c r="I30" s="372"/>
      <c r="J30" s="372"/>
      <c r="K30" s="372"/>
      <c r="L30" s="372"/>
      <c r="M30" s="372"/>
      <c r="N30" s="372"/>
      <c r="O30" s="372"/>
      <c r="P30" s="372"/>
      <c r="Q30" s="375"/>
      <c r="R30" s="97"/>
      <c r="S30" s="97"/>
      <c r="T30" s="97"/>
    </row>
    <row r="31" spans="2:20" s="134" customFormat="1" ht="15">
      <c r="B31" s="297" t="s">
        <v>198</v>
      </c>
      <c r="C31" s="192" t="str">
        <f>VLOOKUP(B31,'26MY_PASSPORT_DATA'!B:AR,4,FALSE)</f>
        <v>Attelage de remorque – Goupille de verrouillage</v>
      </c>
      <c r="D31" s="220" t="str">
        <f t="shared" ref="D31" si="9">B31</f>
        <v>08L92-SJC-300A</v>
      </c>
      <c r="E31" s="379"/>
      <c r="F31" s="379"/>
      <c r="G31" s="382"/>
      <c r="H31" s="385"/>
      <c r="I31" s="373"/>
      <c r="J31" s="373"/>
      <c r="K31" s="373"/>
      <c r="L31" s="373"/>
      <c r="M31" s="373"/>
      <c r="N31" s="373"/>
      <c r="O31" s="373"/>
      <c r="P31" s="373"/>
      <c r="Q31" s="376"/>
      <c r="R31" s="97"/>
      <c r="S31" s="97"/>
      <c r="T31" s="97"/>
    </row>
    <row r="32" spans="2:20" s="134" customFormat="1" ht="6.95" customHeight="1">
      <c r="B32" s="297"/>
      <c r="C32" s="203"/>
      <c r="D32" s="204"/>
      <c r="E32" s="204"/>
      <c r="F32" s="204"/>
      <c r="G32" s="204"/>
      <c r="H32" s="204"/>
      <c r="I32" s="204"/>
      <c r="J32" s="204"/>
      <c r="K32" s="204"/>
      <c r="L32" s="204"/>
      <c r="M32" s="204"/>
      <c r="N32" s="204"/>
      <c r="O32" s="204"/>
      <c r="P32" s="204"/>
      <c r="Q32" s="349"/>
      <c r="R32" s="97"/>
      <c r="S32" s="97"/>
      <c r="T32" s="97"/>
    </row>
    <row r="33" spans="2:20" s="134" customFormat="1" ht="15">
      <c r="B33" s="297" t="s">
        <v>297</v>
      </c>
      <c r="C33" s="196" t="str">
        <f>VLOOKUP(B33,'26MY_PASSPORT_DATA'!B:AR,4,FALSE)</f>
        <v>Ensemble de remorquage 2</v>
      </c>
      <c r="D33" s="78" t="str">
        <f>B33</f>
        <v>26PAS-TOW-PK2</v>
      </c>
      <c r="E33" s="377">
        <f>VLOOKUP(B33,'26MY_PASSPORT_DATA'!B:AR,9,FALSE)</f>
        <v>213.75</v>
      </c>
      <c r="F33" s="377">
        <f>VLOOKUP(B33,'26MY_PASSPORT_DATA'!B:AR,10,FALSE)</f>
        <v>343.9</v>
      </c>
      <c r="G33" s="380">
        <f>VLOOKUP(B33,'26MY_PASSPORT_DATA'!B:AR,7,FALSE)</f>
        <v>0</v>
      </c>
      <c r="H33" s="383">
        <f>VLOOKUP(B33,'26MY_PASSPORT_DATA'!B:AR,11,FALSE)</f>
        <v>343.9</v>
      </c>
      <c r="I33" s="371">
        <f>VLOOKUP($B33,'26MY_PASSPORT_DATA'!$B:$AR,12,FALSE)</f>
        <v>0</v>
      </c>
      <c r="J33" s="371">
        <f>VLOOKUP($B33,'26MY_PASSPORT_DATA'!$B:$AR,13,FALSE)</f>
        <v>0</v>
      </c>
      <c r="K33" s="371" t="str">
        <f>VLOOKUP(B33,'26MY_PASSPORT_DATA'!B:AR,14,FALSE)</f>
        <v>•</v>
      </c>
      <c r="L33" s="371" t="str">
        <f>VLOOKUP(B33,'26MY_PASSPORT_DATA'!B:AR,15,FALSE)</f>
        <v>•</v>
      </c>
      <c r="M33" s="371">
        <f>VLOOKUP($B33,'26MY_PASSPORT_DATA'!$B:$AR,16,FALSE)</f>
        <v>0</v>
      </c>
      <c r="N33" s="371">
        <f>VLOOKUP(B33,'26MY_PASSPORT_DATA'!B:AR,17,FALSE)</f>
        <v>0</v>
      </c>
      <c r="O33" s="371" t="str">
        <f>VLOOKUP(B33,'26MY_PASSPORT_DATA'!B:AR,18,FALSE)</f>
        <v>•</v>
      </c>
      <c r="P33" s="371" t="str">
        <f>VLOOKUP(B33,'26MY_PASSPORT_DATA'!B:AR,19,FALSE)</f>
        <v>•</v>
      </c>
      <c r="Q33" s="374" t="str">
        <f>IF(VLOOKUP(B33,'26MY_PASSPORT_DATA'!B:AR,21,FALSE)="","",VLOOKUP(B33,'26MY_PASSPORT_DATA'!B:AR,21,FALSE))</f>
        <v>Rabais de 5 % est appliqué</v>
      </c>
      <c r="R33" s="97"/>
      <c r="S33" s="97"/>
      <c r="T33" s="97"/>
    </row>
    <row r="34" spans="2:20" s="134" customFormat="1" ht="15">
      <c r="B34" s="297" t="s">
        <v>231</v>
      </c>
      <c r="C34" s="192" t="str">
        <f>VLOOKUP(B34,'26MY_PASSPORT_DATA'!B:AR,4,FALSE)</f>
        <v>Attelage de remorque – Monture de rotule</v>
      </c>
      <c r="D34" s="202" t="str">
        <f t="shared" ref="D34:D36" si="10">B34</f>
        <v>08L92-3BM-100A</v>
      </c>
      <c r="E34" s="378"/>
      <c r="F34" s="378"/>
      <c r="G34" s="381"/>
      <c r="H34" s="384"/>
      <c r="I34" s="372"/>
      <c r="J34" s="372"/>
      <c r="K34" s="372"/>
      <c r="L34" s="372"/>
      <c r="M34" s="372"/>
      <c r="N34" s="372"/>
      <c r="O34" s="372"/>
      <c r="P34" s="372"/>
      <c r="Q34" s="375"/>
      <c r="R34" s="97"/>
      <c r="S34" s="97"/>
      <c r="T34" s="97"/>
    </row>
    <row r="35" spans="2:20" s="134" customFormat="1" ht="15">
      <c r="B35" s="297" t="s">
        <v>197</v>
      </c>
      <c r="C35" s="192" t="str">
        <f>VLOOKUP(B35,'26MY_PASSPORT_DATA'!B:AR,4,FALSE)</f>
        <v>Attelage de remorque – Rotule d'attelage de 2 po</v>
      </c>
      <c r="D35" s="202" t="str">
        <f t="shared" si="10"/>
        <v>08L92-S9V-300H</v>
      </c>
      <c r="E35" s="378"/>
      <c r="F35" s="378"/>
      <c r="G35" s="381"/>
      <c r="H35" s="384"/>
      <c r="I35" s="372"/>
      <c r="J35" s="372"/>
      <c r="K35" s="372"/>
      <c r="L35" s="372"/>
      <c r="M35" s="372"/>
      <c r="N35" s="372"/>
      <c r="O35" s="372"/>
      <c r="P35" s="372"/>
      <c r="Q35" s="375"/>
      <c r="R35" s="97"/>
      <c r="S35" s="97"/>
      <c r="T35" s="97"/>
    </row>
    <row r="36" spans="2:20" s="134" customFormat="1" ht="15">
      <c r="B36" s="297" t="s">
        <v>198</v>
      </c>
      <c r="C36" s="192" t="str">
        <f>VLOOKUP(B36,'26MY_PASSPORT_DATA'!B:AR,4,FALSE)</f>
        <v>Attelage de remorque – Goupille de verrouillage</v>
      </c>
      <c r="D36" s="220" t="str">
        <f t="shared" si="10"/>
        <v>08L92-SJC-300A</v>
      </c>
      <c r="E36" s="379"/>
      <c r="F36" s="379"/>
      <c r="G36" s="382"/>
      <c r="H36" s="385"/>
      <c r="I36" s="373"/>
      <c r="J36" s="373"/>
      <c r="K36" s="373"/>
      <c r="L36" s="373"/>
      <c r="M36" s="373"/>
      <c r="N36" s="373"/>
      <c r="O36" s="373"/>
      <c r="P36" s="373"/>
      <c r="Q36" s="376"/>
      <c r="R36" s="97"/>
      <c r="S36" s="97"/>
      <c r="T36" s="97"/>
    </row>
    <row r="37" spans="2:20" s="134" customFormat="1" ht="6.95" customHeight="1">
      <c r="B37" s="297"/>
      <c r="C37" s="203"/>
      <c r="D37" s="204"/>
      <c r="E37" s="204"/>
      <c r="F37" s="204"/>
      <c r="G37" s="204"/>
      <c r="H37" s="204"/>
      <c r="I37" s="204"/>
      <c r="J37" s="204"/>
      <c r="K37" s="204"/>
      <c r="L37" s="204"/>
      <c r="M37" s="204"/>
      <c r="N37" s="204"/>
      <c r="O37" s="204"/>
      <c r="P37" s="204"/>
      <c r="Q37" s="349"/>
      <c r="R37" s="97"/>
      <c r="S37" s="97"/>
      <c r="T37" s="97"/>
    </row>
    <row r="38" spans="2:20" s="134" customFormat="1" ht="15">
      <c r="B38" s="297" t="s">
        <v>292</v>
      </c>
      <c r="C38" s="196" t="str">
        <f>VLOOKUP(B38,'26MY_PASSPORT_DATA'!B:AR,4,FALSE)</f>
        <v>Ensemble robuste</v>
      </c>
      <c r="D38" s="284" t="str">
        <f>B38</f>
        <v>26PAS-RUGPK</v>
      </c>
      <c r="E38" s="377">
        <f>VLOOKUP(B38,'26MY_PASSPORT_DATA'!B:AR,9,FALSE)</f>
        <v>1620</v>
      </c>
      <c r="F38" s="377">
        <f>VLOOKUP(B38,'26MY_PASSPORT_DATA'!B:AR,10,FALSE)</f>
        <v>2552</v>
      </c>
      <c r="G38" s="380">
        <f>VLOOKUP(B38,'26MY_PASSPORT_DATA'!B:AR,7,FALSE)</f>
        <v>1.9</v>
      </c>
      <c r="H38" s="383">
        <f>VLOOKUP(B38,'26MY_PASSPORT_DATA'!B:AR,11,FALSE)</f>
        <v>2837</v>
      </c>
      <c r="I38" s="371">
        <f>VLOOKUP($B38,'26MY_PASSPORT_DATA'!$B:$AR,12,FALSE)</f>
        <v>0</v>
      </c>
      <c r="J38" s="371">
        <f>VLOOKUP($B38,'26MY_PASSPORT_DATA'!$B:$AR,13,FALSE)</f>
        <v>0</v>
      </c>
      <c r="K38" s="371" t="str">
        <f>VLOOKUP(B38,'26MY_PASSPORT_DATA'!B:AR,14,FALSE)</f>
        <v>•</v>
      </c>
      <c r="L38" s="371" t="str">
        <f>VLOOKUP(B38,'26MY_PASSPORT_DATA'!B:AR,15,FALSE)</f>
        <v>•</v>
      </c>
      <c r="M38" s="371">
        <f>VLOOKUP($B38,'26MY_PASSPORT_DATA'!$B:$AR,16,FALSE)</f>
        <v>0</v>
      </c>
      <c r="N38" s="371">
        <f>VLOOKUP(B38,'26MY_PASSPORT_DATA'!B:AR,17,FALSE)</f>
        <v>0</v>
      </c>
      <c r="O38" s="371" t="str">
        <f>VLOOKUP(B38,'26MY_PASSPORT_DATA'!B:AR,18,FALSE)</f>
        <v>•</v>
      </c>
      <c r="P38" s="371" t="str">
        <f>VLOOKUP(B38,'26MY_PASSPORT_DATA'!B:AR,19,FALSE)</f>
        <v>•</v>
      </c>
      <c r="Q38" s="374" t="str">
        <f>IF(VLOOKUP(B38,'26MY_PASSPORT_DATA'!B:AR,21,FALSE)="","",VLOOKUP(B38,'26MY_PASSPORT_DATA'!B:AR,21,FALSE))</f>
        <v>Remise promotionnelle de 20 % disponible pour une durée limitée.</v>
      </c>
      <c r="R38" s="97"/>
      <c r="S38" s="97"/>
      <c r="T38" s="97"/>
    </row>
    <row r="39" spans="2:20" s="134" customFormat="1" ht="15">
      <c r="B39" s="297" t="s">
        <v>240</v>
      </c>
      <c r="C39" s="192" t="str">
        <f>VLOOKUP(B39,'26MY_PASSPORT_DATA'!B:AR,4,FALSE)</f>
        <v>Tapis toutes saisons (logo TrailSport)</v>
      </c>
      <c r="D39" s="202" t="str">
        <f t="shared" ref="D39" si="11">B39</f>
        <v>08P17-3BM-120A</v>
      </c>
      <c r="E39" s="378"/>
      <c r="F39" s="378"/>
      <c r="G39" s="381"/>
      <c r="H39" s="384"/>
      <c r="I39" s="372"/>
      <c r="J39" s="372"/>
      <c r="K39" s="372"/>
      <c r="L39" s="372"/>
      <c r="M39" s="372"/>
      <c r="N39" s="372"/>
      <c r="O39" s="372"/>
      <c r="P39" s="372"/>
      <c r="Q39" s="375"/>
      <c r="R39" s="97"/>
      <c r="S39" s="97"/>
      <c r="T39" s="97"/>
    </row>
    <row r="40" spans="2:20" s="134" customFormat="1" ht="15">
      <c r="B40" s="297" t="s">
        <v>244</v>
      </c>
      <c r="C40" s="192" t="str">
        <f>VLOOKUP(B40,'26MY_PASSPORT_DATA'!B:AR,4,FALSE)</f>
        <v>Plateau pour compartiment utilitaire</v>
      </c>
      <c r="D40" s="202" t="str">
        <f t="shared" ref="D40:D43" si="12">B40</f>
        <v>08U45-3BM-100</v>
      </c>
      <c r="E40" s="378"/>
      <c r="F40" s="378"/>
      <c r="G40" s="381"/>
      <c r="H40" s="384"/>
      <c r="I40" s="372"/>
      <c r="J40" s="372"/>
      <c r="K40" s="372"/>
      <c r="L40" s="372"/>
      <c r="M40" s="372"/>
      <c r="N40" s="372"/>
      <c r="O40" s="372"/>
      <c r="P40" s="372"/>
      <c r="Q40" s="375"/>
      <c r="R40" s="97"/>
      <c r="S40" s="97"/>
      <c r="T40" s="97"/>
    </row>
    <row r="41" spans="2:20" s="134" customFormat="1" ht="15">
      <c r="B41" s="297" t="s">
        <v>232</v>
      </c>
      <c r="C41" s="192" t="str">
        <f>VLOOKUP(B41,'26MY_PASSPORT_DATA'!B:AR,4,FALSE)</f>
        <v>Garde-boue</v>
      </c>
      <c r="D41" s="202" t="str">
        <f t="shared" si="12"/>
        <v>08P00-3BM-100</v>
      </c>
      <c r="E41" s="378"/>
      <c r="F41" s="378"/>
      <c r="G41" s="381"/>
      <c r="H41" s="384"/>
      <c r="I41" s="372"/>
      <c r="J41" s="372"/>
      <c r="K41" s="372"/>
      <c r="L41" s="372"/>
      <c r="M41" s="372"/>
      <c r="N41" s="372"/>
      <c r="O41" s="372"/>
      <c r="P41" s="372"/>
      <c r="Q41" s="375"/>
      <c r="R41" s="97"/>
      <c r="S41" s="97"/>
      <c r="T41" s="97"/>
    </row>
    <row r="42" spans="2:20" s="134" customFormat="1" ht="15">
      <c r="B42" s="297" t="s">
        <v>242</v>
      </c>
      <c r="C42" s="192" t="str">
        <f>VLOOKUP(B42,'26MY_PASSPORT_DATA'!B:AR,4,FALSE)</f>
        <v>Plaque de protection avant</v>
      </c>
      <c r="D42" s="202" t="str">
        <f t="shared" si="12"/>
        <v>08P46-3BM-100</v>
      </c>
      <c r="E42" s="378"/>
      <c r="F42" s="378"/>
      <c r="G42" s="381"/>
      <c r="H42" s="384"/>
      <c r="I42" s="372"/>
      <c r="J42" s="372"/>
      <c r="K42" s="372"/>
      <c r="L42" s="372"/>
      <c r="M42" s="372"/>
      <c r="N42" s="372"/>
      <c r="O42" s="372"/>
      <c r="P42" s="372"/>
      <c r="Q42" s="375"/>
      <c r="R42" s="97"/>
      <c r="S42" s="97"/>
      <c r="T42" s="97"/>
    </row>
    <row r="43" spans="2:20" s="134" customFormat="1" ht="15">
      <c r="B43" s="297" t="s">
        <v>229</v>
      </c>
      <c r="C43" s="192" t="str">
        <f>VLOOKUP(B43,'26MY_PASSPORT_DATA'!B:AR,4,FALSE)</f>
        <v>Barre de protection latérale</v>
      </c>
      <c r="D43" s="220" t="str">
        <f t="shared" si="12"/>
        <v>08L33-3BM-100A</v>
      </c>
      <c r="E43" s="379"/>
      <c r="F43" s="379"/>
      <c r="G43" s="382"/>
      <c r="H43" s="385"/>
      <c r="I43" s="373"/>
      <c r="J43" s="373"/>
      <c r="K43" s="373"/>
      <c r="L43" s="373"/>
      <c r="M43" s="373"/>
      <c r="N43" s="373"/>
      <c r="O43" s="373"/>
      <c r="P43" s="373"/>
      <c r="Q43" s="376"/>
      <c r="R43" s="97"/>
      <c r="S43" s="97"/>
      <c r="T43" s="97"/>
    </row>
    <row r="44" spans="2:20" s="134" customFormat="1" ht="6.95" customHeight="1">
      <c r="B44" s="297"/>
      <c r="C44" s="203"/>
      <c r="D44" s="204"/>
      <c r="E44" s="204"/>
      <c r="F44" s="204"/>
      <c r="G44" s="204"/>
      <c r="H44" s="204"/>
      <c r="I44" s="204"/>
      <c r="J44" s="204"/>
      <c r="K44" s="204"/>
      <c r="L44" s="204"/>
      <c r="M44" s="204"/>
      <c r="N44" s="204"/>
      <c r="O44" s="204"/>
      <c r="P44" s="204"/>
      <c r="Q44" s="349"/>
      <c r="R44" s="97"/>
      <c r="S44" s="97"/>
      <c r="T44" s="97"/>
    </row>
    <row r="45" spans="2:20" s="133" customFormat="1" ht="18.75">
      <c r="B45" s="297" t="s">
        <v>497</v>
      </c>
      <c r="C45" s="196" t="str">
        <f>VLOOKUP(B45,'26MY_PASSPORT_DATA'!B:AR,4,FALSE)</f>
        <v>Ensemble de temps froid</v>
      </c>
      <c r="D45" s="78" t="str">
        <f>B45</f>
        <v>26PAS-COLD</v>
      </c>
      <c r="E45" s="377">
        <f>VLOOKUP(B45,'26MY_PASSPORT_DATA'!B:AR,9,FALSE)</f>
        <v>224.2</v>
      </c>
      <c r="F45" s="377">
        <f>VLOOKUP(B45,'26MY_PASSPORT_DATA'!B:AR,10,FALSE)</f>
        <v>394</v>
      </c>
      <c r="G45" s="380">
        <f>VLOOKUP(B45,'26MY_PASSPORT_DATA'!B:AR,7,FALSE)</f>
        <v>1.2</v>
      </c>
      <c r="H45" s="383">
        <f>VLOOKUP(B45,'26MY_PASSPORT_DATA'!B:AR,11,FALSE)</f>
        <v>574</v>
      </c>
      <c r="I45" s="371">
        <f>VLOOKUP($B45,'26MY_PASSPORT_DATA'!$B:$AR,12,FALSE)</f>
        <v>0</v>
      </c>
      <c r="J45" s="371">
        <f>VLOOKUP($B45,'26MY_PASSPORT_DATA'!$B:$AR,13,FALSE)</f>
        <v>0</v>
      </c>
      <c r="K45" s="371" t="str">
        <f>VLOOKUP(B45,'26MY_PASSPORT_DATA'!B:AR,14,FALSE)</f>
        <v>•</v>
      </c>
      <c r="L45" s="371" t="str">
        <f>VLOOKUP(B45,'26MY_PASSPORT_DATA'!B:AR,15,FALSE)</f>
        <v>•</v>
      </c>
      <c r="M45" s="371">
        <f>VLOOKUP($B45,'26MY_PASSPORT_DATA'!$B:$AR,16,FALSE)</f>
        <v>0</v>
      </c>
      <c r="N45" s="371">
        <f>VLOOKUP(B45,'26MY_PASSPORT_DATA'!B:AR,17,FALSE)</f>
        <v>0</v>
      </c>
      <c r="O45" s="371" t="str">
        <f>VLOOKUP(B45,'26MY_PASSPORT_DATA'!B:AR,18,FALSE)</f>
        <v>•</v>
      </c>
      <c r="P45" s="371" t="str">
        <f>VLOOKUP(B45,'26MY_PASSPORT_DATA'!B:AR,19,FALSE)</f>
        <v>•</v>
      </c>
      <c r="Q45" s="374" t="str">
        <f>IF(VLOOKUP(B45,'26MY_PASSPORT_DATA'!B:AR,21,FALSE)="","",VLOOKUP(B45,'26MY_PASSPORT_DATA'!B:AR,21,FALSE))</f>
        <v>Rabais de 5 % est appliqué</v>
      </c>
      <c r="R45" s="95"/>
      <c r="S45" s="95"/>
      <c r="T45" s="95"/>
    </row>
    <row r="46" spans="2:20" s="134" customFormat="1" ht="15">
      <c r="B46" s="297" t="s">
        <v>426</v>
      </c>
      <c r="C46" s="192" t="str">
        <f>VLOOKUP(B46,'26MY_PASSPORT_DATA'!B:AR,4,FALSE)</f>
        <v xml:space="preserve">Chauffe-moteur   </v>
      </c>
      <c r="D46" s="220" t="str">
        <f t="shared" ref="D46:D47" si="13">B46</f>
        <v>08T44-SNA-302</v>
      </c>
      <c r="E46" s="378"/>
      <c r="F46" s="378"/>
      <c r="G46" s="381"/>
      <c r="H46" s="384"/>
      <c r="I46" s="372"/>
      <c r="J46" s="372"/>
      <c r="K46" s="372"/>
      <c r="L46" s="372"/>
      <c r="M46" s="372"/>
      <c r="N46" s="372"/>
      <c r="O46" s="372"/>
      <c r="P46" s="372"/>
      <c r="Q46" s="375"/>
      <c r="R46" s="97"/>
      <c r="S46" s="97"/>
      <c r="T46" s="97"/>
    </row>
    <row r="47" spans="2:20" s="134" customFormat="1" ht="30">
      <c r="B47" s="297" t="s">
        <v>258</v>
      </c>
      <c r="C47" s="293" t="str">
        <f>VLOOKUP(B47,'26MY_PASSPORT_DATA'!B:AR,4,FALSE)</f>
        <v>Chargeur/mainteneur de batterie automobile 12 V Optimate</v>
      </c>
      <c r="D47" s="202" t="str">
        <f t="shared" si="13"/>
        <v>31670-BMS-004H</v>
      </c>
      <c r="E47" s="379"/>
      <c r="F47" s="379"/>
      <c r="G47" s="382"/>
      <c r="H47" s="385"/>
      <c r="I47" s="373"/>
      <c r="J47" s="373"/>
      <c r="K47" s="373"/>
      <c r="L47" s="373"/>
      <c r="M47" s="373"/>
      <c r="N47" s="373"/>
      <c r="O47" s="373"/>
      <c r="P47" s="373"/>
      <c r="Q47" s="376"/>
      <c r="R47" s="97"/>
      <c r="S47" s="97"/>
      <c r="T47" s="97"/>
    </row>
    <row r="48" spans="2:20" s="135" customFormat="1" ht="15" customHeight="1">
      <c r="B48" s="298"/>
      <c r="C48" s="132"/>
      <c r="D48" s="132"/>
      <c r="E48" s="132"/>
      <c r="F48" s="132"/>
      <c r="G48" s="131"/>
      <c r="H48" s="132"/>
      <c r="I48" s="132"/>
      <c r="J48" s="132"/>
      <c r="K48" s="132"/>
      <c r="L48" s="132"/>
      <c r="M48" s="132"/>
      <c r="N48" s="132"/>
      <c r="O48" s="132"/>
      <c r="P48" s="132"/>
      <c r="Q48" s="132"/>
    </row>
    <row r="49" spans="2:17" s="133" customFormat="1" ht="18.75">
      <c r="B49" s="297"/>
      <c r="C49" s="152" t="s">
        <v>81</v>
      </c>
      <c r="D49" s="152"/>
      <c r="E49" s="143"/>
      <c r="F49" s="143"/>
      <c r="G49" s="143"/>
      <c r="H49" s="143"/>
      <c r="I49" s="143"/>
      <c r="J49" s="143"/>
      <c r="K49" s="143"/>
      <c r="L49" s="143"/>
      <c r="M49" s="143"/>
      <c r="N49" s="143"/>
      <c r="O49" s="143"/>
      <c r="P49" s="143"/>
      <c r="Q49" s="143"/>
    </row>
    <row r="50" spans="2:17" s="134" customFormat="1" ht="15" customHeight="1">
      <c r="B50" s="297"/>
      <c r="C50" s="387" t="s">
        <v>74</v>
      </c>
      <c r="D50" s="387" t="s">
        <v>75</v>
      </c>
      <c r="E50" s="387" t="s">
        <v>76</v>
      </c>
      <c r="F50" s="387" t="s">
        <v>77</v>
      </c>
      <c r="G50" s="387" t="s">
        <v>78</v>
      </c>
      <c r="H50" s="386" t="s">
        <v>79</v>
      </c>
      <c r="I50" s="387" t="s">
        <v>23</v>
      </c>
      <c r="J50" s="387"/>
      <c r="K50" s="387"/>
      <c r="L50" s="387"/>
      <c r="M50" s="387"/>
      <c r="N50" s="387"/>
      <c r="O50" s="387"/>
      <c r="P50" s="387"/>
      <c r="Q50" s="387" t="s">
        <v>80</v>
      </c>
    </row>
    <row r="51" spans="2:17" s="134" customFormat="1" ht="45">
      <c r="B51" s="299"/>
      <c r="C51" s="387"/>
      <c r="D51" s="387"/>
      <c r="E51" s="387"/>
      <c r="F51" s="387"/>
      <c r="G51" s="387"/>
      <c r="H51" s="386"/>
      <c r="I51" s="174">
        <f>'26MY_PASSPORT_DATA'!$M$6</f>
        <v>0</v>
      </c>
      <c r="J51" s="174">
        <f>'26MY_PASSPORT_DATA'!$M$6</f>
        <v>0</v>
      </c>
      <c r="K51" s="174" t="str">
        <f>'26MY_PASSPORT_DATA'!$O$6</f>
        <v>TrailSport</v>
      </c>
      <c r="L51" s="174" t="str">
        <f>'26MY_PASSPORT_DATA'!$P$6</f>
        <v>TrailSport Blackout</v>
      </c>
      <c r="M51" s="174">
        <f>'26MY_PASSPORT_DATA'!$R$6</f>
        <v>0</v>
      </c>
      <c r="N51" s="174">
        <f>'26MY_PASSPORT_DATA'!$R$6</f>
        <v>0</v>
      </c>
      <c r="O51" s="174" t="str">
        <f>'26MY_PASSPORT_DATA'!$S$6</f>
        <v>TrailSport Touring</v>
      </c>
      <c r="P51" s="174" t="str">
        <f>'26MY_PASSPORT_DATA'!$T$6</f>
        <v>Trailsport Touring Blackout</v>
      </c>
      <c r="Q51" s="387"/>
    </row>
    <row r="52" spans="2:17" s="135" customFormat="1" ht="15" customHeight="1">
      <c r="B52" s="298" t="s">
        <v>247</v>
      </c>
      <c r="C52" s="224" t="str">
        <f>VLOOKUP(B52,'26MY_PASSPORT_DATA'!B:AR,4,FALSE)</f>
        <v>Jantes rétro blanches de 18 pouces en alliage</v>
      </c>
      <c r="D52" s="79" t="str">
        <f>B52</f>
        <v>08W18-3BM-100</v>
      </c>
      <c r="E52" s="343">
        <f>VLOOKUP(B52,'26MY_PASSPORT_DATA'!B:AR,9,FALSE)</f>
        <v>2072</v>
      </c>
      <c r="F52" s="343">
        <f>VLOOKUP(B52,'26MY_PASSPORT_DATA'!B:AR,10,FALSE)</f>
        <v>3288</v>
      </c>
      <c r="G52" s="344">
        <f>VLOOKUP(B52,'26MY_PASSPORT_DATA'!B:AR,7,FALSE)</f>
        <v>1.6</v>
      </c>
      <c r="H52" s="345">
        <f>VLOOKUP(B52,'26MY_PASSPORT_DATA'!B:AR,11,FALSE)</f>
        <v>3528</v>
      </c>
      <c r="I52" s="347">
        <f>VLOOKUP($B52,'26MY_PASSPORT_DATA'!$B:$AR,12,FALSE)</f>
        <v>0</v>
      </c>
      <c r="J52" s="347">
        <f>VLOOKUP($B52,'26MY_PASSPORT_DATA'!$B:$AR,13,FALSE)</f>
        <v>0</v>
      </c>
      <c r="K52" s="347" t="str">
        <f>VLOOKUP(B52,'26MY_PASSPORT_DATA'!B:AR,14,FALSE)</f>
        <v>•</v>
      </c>
      <c r="L52" s="347" t="str">
        <f>VLOOKUP(B52,'26MY_PASSPORT_DATA'!B:AR,15,FALSE)</f>
        <v>•</v>
      </c>
      <c r="M52" s="347">
        <f>VLOOKUP($B52,'26MY_PASSPORT_DATA'!$B:$AR,16,FALSE)</f>
        <v>0</v>
      </c>
      <c r="N52" s="347">
        <f>VLOOKUP(B52,'26MY_PASSPORT_DATA'!B:AR,17,FALSE)</f>
        <v>0</v>
      </c>
      <c r="O52" s="347" t="str">
        <f>VLOOKUP(B52,'26MY_PASSPORT_DATA'!B:AR,18,FALSE)</f>
        <v>•</v>
      </c>
      <c r="P52" s="347" t="str">
        <f>VLOOKUP(B52,'26MY_PASSPORT_DATA'!B:AR,19,FALSE)</f>
        <v>•</v>
      </c>
      <c r="Q52" s="350" t="str">
        <f>IF(VLOOKUP(B52,'26MY_PASSPORT_DATA'!B:AR,21,FALSE)="","",VLOOKUP(B52,'26MY_PASSPORT_DATA'!B:AR,21,FALSE))</f>
        <v>Prix établi pour ensemble de 4 pneus. Pneus vendus séparément.</v>
      </c>
    </row>
    <row r="53" spans="2:17" s="134" customFormat="1" ht="16.5">
      <c r="B53" s="299" t="s">
        <v>289</v>
      </c>
      <c r="C53" s="224" t="str">
        <f>VLOOKUP(B53,'26MY_PASSPORT_DATA'!B:AR,4,FALSE)</f>
        <v>Écrous de roue antivol chromés</v>
      </c>
      <c r="D53" s="291" t="str">
        <f t="shared" ref="D53:D55" si="14">B53</f>
        <v>08W42-TK4-301</v>
      </c>
      <c r="E53" s="343">
        <f>VLOOKUP(B53,'26MY_PASSPORT_DATA'!B:AR,9,FALSE)</f>
        <v>91</v>
      </c>
      <c r="F53" s="343">
        <f>VLOOKUP(B53,'26MY_PASSPORT_DATA'!B:AR,10,FALSE)</f>
        <v>152</v>
      </c>
      <c r="G53" s="344">
        <f>VLOOKUP(B53,'26MY_PASSPORT_DATA'!B:AR,7,FALSE)</f>
        <v>0.2</v>
      </c>
      <c r="H53" s="345">
        <f>VLOOKUP(B53,'26MY_PASSPORT_DATA'!B:AR,11,FALSE)</f>
        <v>182</v>
      </c>
      <c r="I53" s="347">
        <f>VLOOKUP($B53,'26MY_PASSPORT_DATA'!$B:$AR,12,FALSE)</f>
        <v>0</v>
      </c>
      <c r="J53" s="347">
        <f>VLOOKUP($B53,'26MY_PASSPORT_DATA'!$B:$AR,13,FALSE)</f>
        <v>0</v>
      </c>
      <c r="K53" s="347" t="str">
        <f>VLOOKUP(B53,'26MY_PASSPORT_DATA'!B:AR,14,FALSE)</f>
        <v>•</v>
      </c>
      <c r="L53" s="347" t="str">
        <f>VLOOKUP(B53,'26MY_PASSPORT_DATA'!B:AR,15,FALSE)</f>
        <v>•</v>
      </c>
      <c r="M53" s="347">
        <f>VLOOKUP($B53,'26MY_PASSPORT_DATA'!$B:$AR,16,FALSE)</f>
        <v>0</v>
      </c>
      <c r="N53" s="347">
        <f>VLOOKUP(B53,'26MY_PASSPORT_DATA'!B:AR,17,FALSE)</f>
        <v>0</v>
      </c>
      <c r="O53" s="347" t="str">
        <f>VLOOKUP(B53,'26MY_PASSPORT_DATA'!B:AR,18,FALSE)</f>
        <v>•</v>
      </c>
      <c r="P53" s="347" t="str">
        <f>VLOOKUP(B53,'26MY_PASSPORT_DATA'!B:AR,19,FALSE)</f>
        <v>•</v>
      </c>
      <c r="Q53" s="350" t="str">
        <f>IF(VLOOKUP(B53,'26MY_PASSPORT_DATA'!B:AR,21,FALSE)="","",VLOOKUP(B53,'26MY_PASSPORT_DATA'!B:AR,21,FALSE))</f>
        <v/>
      </c>
    </row>
    <row r="54" spans="2:17" s="134" customFormat="1" ht="16.5">
      <c r="B54" s="299" t="s">
        <v>288</v>
      </c>
      <c r="C54" s="224" t="str">
        <f>VLOOKUP(B54,'26MY_PASSPORT_DATA'!B:AR,4,FALSE)</f>
        <v>Écrous de roue antivol noirs</v>
      </c>
      <c r="D54" s="291" t="str">
        <f t="shared" si="14"/>
        <v>08W42-TG7-301A</v>
      </c>
      <c r="E54" s="343">
        <f>VLOOKUP(B54,'26MY_PASSPORT_DATA'!B:AR,9,FALSE)</f>
        <v>85</v>
      </c>
      <c r="F54" s="343">
        <f>VLOOKUP(B54,'26MY_PASSPORT_DATA'!B:AR,10,FALSE)</f>
        <v>140</v>
      </c>
      <c r="G54" s="344">
        <f>VLOOKUP(B54,'26MY_PASSPORT_DATA'!B:AR,7,FALSE)</f>
        <v>0.2</v>
      </c>
      <c r="H54" s="345">
        <f>VLOOKUP(B54,'26MY_PASSPORT_DATA'!B:AR,11,FALSE)</f>
        <v>170</v>
      </c>
      <c r="I54" s="347">
        <f>VLOOKUP($B54,'26MY_PASSPORT_DATA'!$B:$AR,12,FALSE)</f>
        <v>0</v>
      </c>
      <c r="J54" s="347">
        <f>VLOOKUP($B54,'26MY_PASSPORT_DATA'!$B:$AR,13,FALSE)</f>
        <v>0</v>
      </c>
      <c r="K54" s="347" t="str">
        <f>VLOOKUP(B54,'26MY_PASSPORT_DATA'!B:AR,14,FALSE)</f>
        <v>•</v>
      </c>
      <c r="L54" s="347" t="str">
        <f>VLOOKUP(B54,'26MY_PASSPORT_DATA'!B:AR,15,FALSE)</f>
        <v>•</v>
      </c>
      <c r="M54" s="347">
        <f>VLOOKUP($B54,'26MY_PASSPORT_DATA'!$B:$AR,16,FALSE)</f>
        <v>0</v>
      </c>
      <c r="N54" s="347">
        <f>VLOOKUP(B54,'26MY_PASSPORT_DATA'!B:AR,17,FALSE)</f>
        <v>0</v>
      </c>
      <c r="O54" s="347" t="str">
        <f>VLOOKUP(B54,'26MY_PASSPORT_DATA'!B:AR,18,FALSE)</f>
        <v>•</v>
      </c>
      <c r="P54" s="347" t="str">
        <f>VLOOKUP(B54,'26MY_PASSPORT_DATA'!B:AR,19,FALSE)</f>
        <v>•</v>
      </c>
      <c r="Q54" s="350" t="str">
        <f>IF(VLOOKUP(B54,'26MY_PASSPORT_DATA'!B:AR,21,FALSE)="","",VLOOKUP(B54,'26MY_PASSPORT_DATA'!B:AR,21,FALSE))</f>
        <v/>
      </c>
    </row>
    <row r="55" spans="2:17" s="134" customFormat="1" ht="16.5">
      <c r="B55" s="299" t="s">
        <v>432</v>
      </c>
      <c r="C55" s="224" t="str">
        <f>VLOOKUP(B55,'26MY_PASSPORT_DATA'!B:AR,4,FALSE)</f>
        <v>Écrous de roue noirs</v>
      </c>
      <c r="D55" s="291" t="str">
        <f t="shared" si="14"/>
        <v>08W42-PL4-100A</v>
      </c>
      <c r="E55" s="343">
        <f>VLOOKUP(B55,'26MY_PASSPORT_DATA'!B:AR,9,FALSE)</f>
        <v>165</v>
      </c>
      <c r="F55" s="343">
        <f>VLOOKUP(B55,'26MY_PASSPORT_DATA'!B:AR,10,FALSE)</f>
        <v>275</v>
      </c>
      <c r="G55" s="344">
        <f>VLOOKUP(B55,'26MY_PASSPORT_DATA'!B:AR,7,FALSE)</f>
        <v>0.3</v>
      </c>
      <c r="H55" s="345">
        <f>VLOOKUP(B55,'26MY_PASSPORT_DATA'!B:AR,11,FALSE)</f>
        <v>320</v>
      </c>
      <c r="I55" s="347">
        <f>VLOOKUP($B55,'26MY_PASSPORT_DATA'!$B:$AR,12,FALSE)</f>
        <v>0</v>
      </c>
      <c r="J55" s="347">
        <f>VLOOKUP($B55,'26MY_PASSPORT_DATA'!$B:$AR,13,FALSE)</f>
        <v>0</v>
      </c>
      <c r="K55" s="347" t="str">
        <f>VLOOKUP(B55,'26MY_PASSPORT_DATA'!B:AR,14,FALSE)</f>
        <v>•</v>
      </c>
      <c r="L55" s="347" t="str">
        <f>VLOOKUP(B55,'26MY_PASSPORT_DATA'!B:AR,15,FALSE)</f>
        <v>•</v>
      </c>
      <c r="M55" s="347">
        <f>VLOOKUP($B55,'26MY_PASSPORT_DATA'!$B:$AR,16,FALSE)</f>
        <v>0</v>
      </c>
      <c r="N55" s="347">
        <f>VLOOKUP(B55,'26MY_PASSPORT_DATA'!B:AR,17,FALSE)</f>
        <v>0</v>
      </c>
      <c r="O55" s="347" t="str">
        <f>VLOOKUP(B55,'26MY_PASSPORT_DATA'!B:AR,18,FALSE)</f>
        <v>•</v>
      </c>
      <c r="P55" s="347" t="str">
        <f>VLOOKUP(B55,'26MY_PASSPORT_DATA'!B:AR,19,FALSE)</f>
        <v>•</v>
      </c>
      <c r="Q55" s="350" t="str">
        <f>IF(VLOOKUP(B55,'26MY_PASSPORT_DATA'!B:AR,21,FALSE)="","",VLOOKUP(B55,'26MY_PASSPORT_DATA'!B:AR,21,FALSE))</f>
        <v/>
      </c>
    </row>
    <row r="56" spans="2:17" s="134" customFormat="1" ht="21" hidden="1" customHeight="1">
      <c r="B56" s="299" t="s">
        <v>284</v>
      </c>
      <c r="C56" s="224" t="str">
        <f>VLOOKUP(B56,'26MY_PASSPORT_DATA'!B:AR,4,FALSE)</f>
        <v xml:space="preserve">ENSEMBLE DE ROUE DE SECOURS PLEINE GRANDEUR </v>
      </c>
      <c r="D56" s="291" t="str">
        <f t="shared" ref="D56" si="15">B56</f>
        <v>08U02-3BM-100</v>
      </c>
      <c r="E56" s="222">
        <f>VLOOKUP(B56,'26MY_PASSPORT_DATA'!B:AR,25,FALSE)</f>
        <v>0</v>
      </c>
      <c r="F56" s="222">
        <f>VLOOKUP(B56,'26MY_PASSPORT_DATA'!B:AR,26,FALSE)</f>
        <v>0</v>
      </c>
      <c r="G56" s="177">
        <f>VLOOKUP(B56,'26MY_PASSPORT_DATA'!B:AR,23,FALSE)</f>
        <v>0</v>
      </c>
      <c r="H56" s="223">
        <f>VLOOKUP(B56,'26MY_PASSPORT_DATA'!B:AR,27,FALSE)</f>
        <v>0</v>
      </c>
      <c r="I56" s="179">
        <f>VLOOKUP(B56,'26MY_PASSPORT_DATA'!B:AR,28,FALSE)</f>
        <v>0</v>
      </c>
      <c r="J56" s="179" t="e">
        <f>VLOOKUP(C56,'26MY_PASSPORT_DATA'!C:AS,28,FALSE)</f>
        <v>#N/A</v>
      </c>
      <c r="K56" s="179">
        <f>VLOOKUP(B56,'26MY_PASSPORT_DATA'!B:AR,29,FALSE)</f>
        <v>0</v>
      </c>
      <c r="L56" s="179">
        <f>VLOOKUP(B56,'26MY_PASSPORT_DATA'!B:AR,30,FALSE)</f>
        <v>0</v>
      </c>
      <c r="M56" s="179">
        <f>VLOOKUP(B56,'26MY_PASSPORT_DATA'!B:AR,31,FALSE)</f>
        <v>0</v>
      </c>
      <c r="N56" s="179" t="e">
        <f>VLOOKUP(C56,'26MY_PASSPORT_DATA'!C:AS,31,FALSE)</f>
        <v>#N/A</v>
      </c>
      <c r="O56" s="179">
        <f>VLOOKUP(B56,'26MY_PASSPORT_DATA'!B:AR,32,FALSE)</f>
        <v>0</v>
      </c>
      <c r="P56" s="179">
        <f>VLOOKUP(B56,'26MY_PASSPORT_DATA'!B:AR,33,FALSE)</f>
        <v>0</v>
      </c>
      <c r="Q56" s="180" t="str">
        <f>IF(VLOOKUP(B56,'26MY_PASSPORT_DATA'!B:AR,35,FALSE)="","",VLOOKUP(B56,'26MY_PASSPORT_DATA'!B:AR,35,FALSE))</f>
        <v/>
      </c>
    </row>
    <row r="57" spans="2:17" s="135" customFormat="1" ht="10.5" customHeight="1">
      <c r="B57" s="298"/>
      <c r="C57" s="20"/>
      <c r="D57" s="183"/>
      <c r="E57" s="184"/>
      <c r="F57" s="184"/>
      <c r="G57" s="185"/>
      <c r="H57" s="186"/>
      <c r="I57" s="91"/>
      <c r="J57" s="91"/>
      <c r="K57" s="97"/>
      <c r="L57" s="91"/>
      <c r="M57" s="91"/>
      <c r="N57" s="91"/>
      <c r="O57" s="91"/>
      <c r="P57" s="91"/>
      <c r="Q57" s="187"/>
    </row>
    <row r="58" spans="2:17" s="133" customFormat="1" ht="18.75">
      <c r="B58" s="300"/>
      <c r="C58" s="152" t="s">
        <v>82</v>
      </c>
      <c r="D58" s="152"/>
      <c r="E58" s="143"/>
      <c r="F58" s="143"/>
      <c r="G58" s="143"/>
      <c r="H58" s="143"/>
      <c r="I58" s="143"/>
      <c r="J58" s="143"/>
      <c r="K58" s="91"/>
      <c r="L58" s="143"/>
      <c r="M58" s="143"/>
      <c r="N58" s="143"/>
      <c r="O58" s="143"/>
      <c r="P58" s="143"/>
      <c r="Q58" s="143"/>
    </row>
    <row r="59" spans="2:17" s="134" customFormat="1" ht="15" customHeight="1">
      <c r="B59" s="299"/>
      <c r="C59" s="387" t="s">
        <v>74</v>
      </c>
      <c r="D59" s="387" t="s">
        <v>75</v>
      </c>
      <c r="E59" s="387" t="s">
        <v>76</v>
      </c>
      <c r="F59" s="387" t="s">
        <v>77</v>
      </c>
      <c r="G59" s="387" t="s">
        <v>78</v>
      </c>
      <c r="H59" s="386" t="s">
        <v>79</v>
      </c>
      <c r="I59" s="387" t="s">
        <v>23</v>
      </c>
      <c r="J59" s="387"/>
      <c r="K59" s="387"/>
      <c r="L59" s="387"/>
      <c r="M59" s="387"/>
      <c r="N59" s="387"/>
      <c r="O59" s="387"/>
      <c r="P59" s="387"/>
      <c r="Q59" s="387" t="s">
        <v>80</v>
      </c>
    </row>
    <row r="60" spans="2:17" s="134" customFormat="1" ht="45">
      <c r="B60" s="299"/>
      <c r="C60" s="387"/>
      <c r="D60" s="387"/>
      <c r="E60" s="387"/>
      <c r="F60" s="387"/>
      <c r="G60" s="387"/>
      <c r="H60" s="386"/>
      <c r="I60" s="174">
        <f>'26MY_PASSPORT_DATA'!$M$6</f>
        <v>0</v>
      </c>
      <c r="J60" s="174">
        <f>'26MY_PASSPORT_DATA'!$M$6</f>
        <v>0</v>
      </c>
      <c r="K60" s="174" t="str">
        <f>'26MY_PASSPORT_DATA'!$O$6</f>
        <v>TrailSport</v>
      </c>
      <c r="L60" s="174" t="str">
        <f>'26MY_PASSPORT_DATA'!$P$6</f>
        <v>TrailSport Blackout</v>
      </c>
      <c r="M60" s="174">
        <f>'26MY_PASSPORT_DATA'!$R$6</f>
        <v>0</v>
      </c>
      <c r="N60" s="174">
        <f>'26MY_PASSPORT_DATA'!$R$6</f>
        <v>0</v>
      </c>
      <c r="O60" s="174" t="str">
        <f>'26MY_PASSPORT_DATA'!$S$6</f>
        <v>TrailSport Touring</v>
      </c>
      <c r="P60" s="174" t="str">
        <f>'26MY_PASSPORT_DATA'!$T$6</f>
        <v>Trailsport Touring Blackout</v>
      </c>
      <c r="Q60" s="387"/>
    </row>
    <row r="61" spans="2:17" s="135" customFormat="1" ht="15" customHeight="1">
      <c r="B61" s="298" t="s">
        <v>242</v>
      </c>
      <c r="C61" s="224" t="str">
        <f>VLOOKUP(B61,'26MY_PASSPORT_DATA'!B:AR,4,FALSE)</f>
        <v>Plaque de protection avant</v>
      </c>
      <c r="D61" s="79" t="str">
        <f>B61</f>
        <v>08P46-3BM-100</v>
      </c>
      <c r="E61" s="343">
        <f>VLOOKUP(B61,'26MY_PASSPORT_DATA'!B:AR,9,FALSE)</f>
        <v>389</v>
      </c>
      <c r="F61" s="343">
        <f>VLOOKUP(B61,'26MY_PASSPORT_DATA'!B:AR,10,FALSE)</f>
        <v>617</v>
      </c>
      <c r="G61" s="344">
        <f>VLOOKUP(B61,'26MY_PASSPORT_DATA'!B:AR,7,FALSE)</f>
        <v>0.6</v>
      </c>
      <c r="H61" s="345">
        <f>VLOOKUP(B61,'26MY_PASSPORT_DATA'!B:AR,11,FALSE)</f>
        <v>707</v>
      </c>
      <c r="I61" s="347">
        <f>VLOOKUP($B61,'26MY_PASSPORT_DATA'!$B:$AR,12,FALSE)</f>
        <v>0</v>
      </c>
      <c r="J61" s="347">
        <f>VLOOKUP($B61,'26MY_PASSPORT_DATA'!$B:$AR,13,FALSE)</f>
        <v>0</v>
      </c>
      <c r="K61" s="347" t="str">
        <f>VLOOKUP(B61,'26MY_PASSPORT_DATA'!B:AR,14,FALSE)</f>
        <v>•</v>
      </c>
      <c r="L61" s="347" t="str">
        <f>VLOOKUP(B61,'26MY_PASSPORT_DATA'!B:AR,15,FALSE)</f>
        <v>•</v>
      </c>
      <c r="M61" s="347">
        <f>VLOOKUP($B61,'26MY_PASSPORT_DATA'!$B:$AR,16,FALSE)</f>
        <v>0</v>
      </c>
      <c r="N61" s="347">
        <f>VLOOKUP(B61,'26MY_PASSPORT_DATA'!B:AR,17,FALSE)</f>
        <v>0</v>
      </c>
      <c r="O61" s="347" t="str">
        <f>VLOOKUP(B61,'26MY_PASSPORT_DATA'!B:AR,18,FALSE)</f>
        <v>•</v>
      </c>
      <c r="P61" s="347" t="str">
        <f>VLOOKUP(B61,'26MY_PASSPORT_DATA'!B:AR,19,FALSE)</f>
        <v>•</v>
      </c>
      <c r="Q61" s="350" t="str">
        <f>IF(VLOOKUP(B61,'26MY_PASSPORT_DATA'!B:AR,21,FALSE)="","",VLOOKUP(B61,'26MY_PASSPORT_DATA'!B:AR,21,FALSE))</f>
        <v/>
      </c>
    </row>
    <row r="62" spans="2:17" s="135" customFormat="1" ht="15" customHeight="1">
      <c r="B62" s="299" t="s">
        <v>229</v>
      </c>
      <c r="C62" s="224" t="str">
        <f>VLOOKUP(B62,'26MY_PASSPORT_DATA'!B:AR,4,FALSE)</f>
        <v>Barre de protection latérale</v>
      </c>
      <c r="D62" s="79" t="str">
        <f t="shared" ref="D62:D82" si="16">B62</f>
        <v>08L33-3BM-100A</v>
      </c>
      <c r="E62" s="343">
        <f>VLOOKUP(B62,'26MY_PASSPORT_DATA'!B:AR,9,FALSE)</f>
        <v>1191</v>
      </c>
      <c r="F62" s="343">
        <f>VLOOKUP(B62,'26MY_PASSPORT_DATA'!B:AR,10,FALSE)</f>
        <v>1832</v>
      </c>
      <c r="G62" s="344">
        <f>VLOOKUP(B62,'26MY_PASSPORT_DATA'!B:AR,7,FALSE)</f>
        <v>0.6</v>
      </c>
      <c r="H62" s="345">
        <f>VLOOKUP(B62,'26MY_PASSPORT_DATA'!B:AR,11,FALSE)</f>
        <v>1922</v>
      </c>
      <c r="I62" s="347">
        <f>VLOOKUP($B62,'26MY_PASSPORT_DATA'!$B:$AR,12,FALSE)</f>
        <v>0</v>
      </c>
      <c r="J62" s="347">
        <f>VLOOKUP($B62,'26MY_PASSPORT_DATA'!$B:$AR,13,FALSE)</f>
        <v>0</v>
      </c>
      <c r="K62" s="347" t="str">
        <f>VLOOKUP(B62,'26MY_PASSPORT_DATA'!B:AR,14,FALSE)</f>
        <v>•</v>
      </c>
      <c r="L62" s="347" t="str">
        <f>VLOOKUP(B62,'26MY_PASSPORT_DATA'!B:AR,15,FALSE)</f>
        <v>•</v>
      </c>
      <c r="M62" s="347">
        <f>VLOOKUP($B62,'26MY_PASSPORT_DATA'!$B:$AR,16,FALSE)</f>
        <v>0</v>
      </c>
      <c r="N62" s="347">
        <f>VLOOKUP(B62,'26MY_PASSPORT_DATA'!B:AR,17,FALSE)</f>
        <v>0</v>
      </c>
      <c r="O62" s="347" t="str">
        <f>VLOOKUP(B62,'26MY_PASSPORT_DATA'!B:AR,18,FALSE)</f>
        <v>•</v>
      </c>
      <c r="P62" s="347" t="str">
        <f>VLOOKUP(B62,'26MY_PASSPORT_DATA'!B:AR,19,FALSE)</f>
        <v>•</v>
      </c>
      <c r="Q62" s="350" t="str">
        <f>IF(VLOOKUP(B62,'26MY_PASSPORT_DATA'!B:AR,21,FALSE)="","",VLOOKUP(B62,'26MY_PASSPORT_DATA'!B:AR,21,FALSE))</f>
        <v/>
      </c>
    </row>
    <row r="63" spans="2:17" s="135" customFormat="1" ht="15" customHeight="1">
      <c r="B63" s="299" t="s">
        <v>228</v>
      </c>
      <c r="C63" s="224" t="str">
        <f>VLOOKUP(B63,'26MY_PASSPORT_DATA'!B:AR,4,FALSE)</f>
        <v>Marchepieds</v>
      </c>
      <c r="D63" s="79" t="str">
        <f t="shared" ref="D63:D66" si="17">B63</f>
        <v>08L33-3BM-100</v>
      </c>
      <c r="E63" s="343">
        <f>VLOOKUP(B63,'26MY_PASSPORT_DATA'!B:AR,9,FALSE)</f>
        <v>936</v>
      </c>
      <c r="F63" s="343">
        <f>VLOOKUP(B63,'26MY_PASSPORT_DATA'!B:AR,10,FALSE)</f>
        <v>1337</v>
      </c>
      <c r="G63" s="344">
        <f>VLOOKUP(B63,'26MY_PASSPORT_DATA'!B:AR,7,FALSE)</f>
        <v>0.6</v>
      </c>
      <c r="H63" s="345">
        <f>VLOOKUP(B63,'26MY_PASSPORT_DATA'!B:AR,11,FALSE)</f>
        <v>1427</v>
      </c>
      <c r="I63" s="347">
        <f>VLOOKUP($B63,'26MY_PASSPORT_DATA'!$B:$AR,12,FALSE)</f>
        <v>0</v>
      </c>
      <c r="J63" s="347">
        <f>VLOOKUP($B63,'26MY_PASSPORT_DATA'!$B:$AR,13,FALSE)</f>
        <v>0</v>
      </c>
      <c r="K63" s="347" t="str">
        <f>VLOOKUP(B63,'26MY_PASSPORT_DATA'!B:AR,14,FALSE)</f>
        <v>•</v>
      </c>
      <c r="L63" s="347" t="str">
        <f>VLOOKUP(B63,'26MY_PASSPORT_DATA'!B:AR,15,FALSE)</f>
        <v>•</v>
      </c>
      <c r="M63" s="347">
        <f>VLOOKUP($B63,'26MY_PASSPORT_DATA'!$B:$AR,16,FALSE)</f>
        <v>0</v>
      </c>
      <c r="N63" s="347">
        <f>VLOOKUP(B63,'26MY_PASSPORT_DATA'!B:AR,17,FALSE)</f>
        <v>0</v>
      </c>
      <c r="O63" s="347" t="str">
        <f>VLOOKUP(B63,'26MY_PASSPORT_DATA'!B:AR,18,FALSE)</f>
        <v>•</v>
      </c>
      <c r="P63" s="347" t="str">
        <f>VLOOKUP(B63,'26MY_PASSPORT_DATA'!B:AR,19,FALSE)</f>
        <v>•</v>
      </c>
      <c r="Q63" s="350" t="str">
        <f>IF(VLOOKUP(B63,'26MY_PASSPORT_DATA'!B:AR,21,FALSE)="","",VLOOKUP(B63,'26MY_PASSPORT_DATA'!B:AR,21,FALSE))</f>
        <v/>
      </c>
    </row>
    <row r="64" spans="2:17" s="135" customFormat="1" ht="15" customHeight="1">
      <c r="B64" s="299" t="s">
        <v>232</v>
      </c>
      <c r="C64" s="224" t="str">
        <f>VLOOKUP(B64,'26MY_PASSPORT_DATA'!B:AR,4,FALSE)</f>
        <v>Garde-boue</v>
      </c>
      <c r="D64" s="79" t="str">
        <f t="shared" si="17"/>
        <v>08P00-3BM-100</v>
      </c>
      <c r="E64" s="343">
        <f>VLOOKUP(B64,'26MY_PASSPORT_DATA'!B:AR,9,FALSE)</f>
        <v>114</v>
      </c>
      <c r="F64" s="343">
        <f>VLOOKUP(B64,'26MY_PASSPORT_DATA'!B:AR,10,FALSE)</f>
        <v>190</v>
      </c>
      <c r="G64" s="344">
        <f>VLOOKUP(B64,'26MY_PASSPORT_DATA'!B:AR,7,FALSE)</f>
        <v>0.5</v>
      </c>
      <c r="H64" s="345">
        <f>VLOOKUP(B64,'26MY_PASSPORT_DATA'!B:AR,11,FALSE)</f>
        <v>265</v>
      </c>
      <c r="I64" s="347">
        <f>VLOOKUP($B64,'26MY_PASSPORT_DATA'!$B:$AR,12,FALSE)</f>
        <v>0</v>
      </c>
      <c r="J64" s="347">
        <f>VLOOKUP($B64,'26MY_PASSPORT_DATA'!$B:$AR,13,FALSE)</f>
        <v>0</v>
      </c>
      <c r="K64" s="347" t="str">
        <f>VLOOKUP(B64,'26MY_PASSPORT_DATA'!B:AR,14,FALSE)</f>
        <v>•</v>
      </c>
      <c r="L64" s="347" t="str">
        <f>VLOOKUP(B64,'26MY_PASSPORT_DATA'!B:AR,15,FALSE)</f>
        <v>•</v>
      </c>
      <c r="M64" s="347">
        <f>VLOOKUP($B64,'26MY_PASSPORT_DATA'!$B:$AR,16,FALSE)</f>
        <v>0</v>
      </c>
      <c r="N64" s="347">
        <f>VLOOKUP(B64,'26MY_PASSPORT_DATA'!B:AR,17,FALSE)</f>
        <v>0</v>
      </c>
      <c r="O64" s="347" t="str">
        <f>VLOOKUP(B64,'26MY_PASSPORT_DATA'!B:AR,18,FALSE)</f>
        <v>•</v>
      </c>
      <c r="P64" s="347" t="str">
        <f>VLOOKUP(B64,'26MY_PASSPORT_DATA'!B:AR,19,FALSE)</f>
        <v>•</v>
      </c>
      <c r="Q64" s="350" t="str">
        <f>IF(VLOOKUP(B64,'26MY_PASSPORT_DATA'!B:AR,21,FALSE)="","",VLOOKUP(B64,'26MY_PASSPORT_DATA'!B:AR,21,FALSE))</f>
        <v/>
      </c>
    </row>
    <row r="65" spans="2:17" s="135" customFormat="1" ht="15" customHeight="1">
      <c r="B65" s="299" t="s">
        <v>239</v>
      </c>
      <c r="C65" s="224" t="str">
        <f>VLOOKUP(B65,'26MY_PASSPORT_DATA'!B:AR,4,FALSE)</f>
        <v>Moulure latérale de carrosserie</v>
      </c>
      <c r="D65" s="79" t="str">
        <f t="shared" si="17"/>
        <v>08P05-3BM-100</v>
      </c>
      <c r="E65" s="343">
        <f>VLOOKUP(B65,'26MY_PASSPORT_DATA'!B:AR,9,FALSE)</f>
        <v>124</v>
      </c>
      <c r="F65" s="343">
        <f>VLOOKUP(B65,'26MY_PASSPORT_DATA'!B:AR,10,FALSE)</f>
        <v>207</v>
      </c>
      <c r="G65" s="344">
        <f>VLOOKUP(B65,'26MY_PASSPORT_DATA'!B:AR,7,FALSE)</f>
        <v>0.4</v>
      </c>
      <c r="H65" s="345">
        <f>VLOOKUP(B65,'26MY_PASSPORT_DATA'!B:AR,11,FALSE)</f>
        <v>267</v>
      </c>
      <c r="I65" s="347">
        <f>VLOOKUP($B65,'26MY_PASSPORT_DATA'!$B:$AR,12,FALSE)</f>
        <v>0</v>
      </c>
      <c r="J65" s="347">
        <f>VLOOKUP($B65,'26MY_PASSPORT_DATA'!$B:$AR,13,FALSE)</f>
        <v>0</v>
      </c>
      <c r="K65" s="347" t="str">
        <f>VLOOKUP(B65,'26MY_PASSPORT_DATA'!B:AR,14,FALSE)</f>
        <v>•</v>
      </c>
      <c r="L65" s="347" t="str">
        <f>VLOOKUP(B65,'26MY_PASSPORT_DATA'!B:AR,15,FALSE)</f>
        <v>•</v>
      </c>
      <c r="M65" s="347">
        <f>VLOOKUP($B65,'26MY_PASSPORT_DATA'!$B:$AR,16,FALSE)</f>
        <v>0</v>
      </c>
      <c r="N65" s="347">
        <f>VLOOKUP(B65,'26MY_PASSPORT_DATA'!B:AR,17,FALSE)</f>
        <v>0</v>
      </c>
      <c r="O65" s="347" t="str">
        <f>VLOOKUP(B65,'26MY_PASSPORT_DATA'!B:AR,18,FALSE)</f>
        <v>•</v>
      </c>
      <c r="P65" s="347" t="str">
        <f>VLOOKUP(B65,'26MY_PASSPORT_DATA'!B:AR,19,FALSE)</f>
        <v>•</v>
      </c>
      <c r="Q65" s="350" t="str">
        <f>IF(VLOOKUP(B65,'26MY_PASSPORT_DATA'!B:AR,21,FALSE)="","",VLOOKUP(B65,'26MY_PASSPORT_DATA'!B:AR,21,FALSE))</f>
        <v/>
      </c>
    </row>
    <row r="66" spans="2:17" s="135" customFormat="1" ht="16.5">
      <c r="B66" s="299" t="s">
        <v>269</v>
      </c>
      <c r="C66" s="224" t="str">
        <f>VLOOKUP(B66,'26MY_PASSPORT_DATA'!B:AR,4,FALSE)</f>
        <v>Pellicule pour poignée de portière</v>
      </c>
      <c r="D66" s="79" t="str">
        <f t="shared" si="17"/>
        <v>08P48-T90-100A</v>
      </c>
      <c r="E66" s="343">
        <f>VLOOKUP(B66,'26MY_PASSPORT_DATA'!B:AR,9,FALSE)</f>
        <v>39</v>
      </c>
      <c r="F66" s="343">
        <f>VLOOKUP(B66,'26MY_PASSPORT_DATA'!B:AR,10,FALSE)</f>
        <v>65</v>
      </c>
      <c r="G66" s="344">
        <f>VLOOKUP(B66,'26MY_PASSPORT_DATA'!B:AR,7,FALSE)</f>
        <v>0.4</v>
      </c>
      <c r="H66" s="345">
        <f>VLOOKUP(B66,'26MY_PASSPORT_DATA'!B:AR,11,FALSE)</f>
        <v>125</v>
      </c>
      <c r="I66" s="347">
        <f>VLOOKUP($B66,'26MY_PASSPORT_DATA'!$B:$AR,12,FALSE)</f>
        <v>0</v>
      </c>
      <c r="J66" s="347">
        <f>VLOOKUP($B66,'26MY_PASSPORT_DATA'!$B:$AR,13,FALSE)</f>
        <v>0</v>
      </c>
      <c r="K66" s="347" t="str">
        <f>VLOOKUP(B66,'26MY_PASSPORT_DATA'!B:AR,14,FALSE)</f>
        <v>•</v>
      </c>
      <c r="L66" s="347" t="str">
        <f>VLOOKUP(B66,'26MY_PASSPORT_DATA'!B:AR,15,FALSE)</f>
        <v>•</v>
      </c>
      <c r="M66" s="347">
        <f>VLOOKUP($B66,'26MY_PASSPORT_DATA'!$B:$AR,16,FALSE)</f>
        <v>0</v>
      </c>
      <c r="N66" s="347">
        <f>VLOOKUP(B66,'26MY_PASSPORT_DATA'!B:AR,17,FALSE)</f>
        <v>0</v>
      </c>
      <c r="O66" s="347" t="str">
        <f>VLOOKUP(B66,'26MY_PASSPORT_DATA'!B:AR,18,FALSE)</f>
        <v>•</v>
      </c>
      <c r="P66" s="347" t="str">
        <f>VLOOKUP(B66,'26MY_PASSPORT_DATA'!B:AR,19,FALSE)</f>
        <v>•</v>
      </c>
      <c r="Q66" s="350" t="str">
        <f>IF(VLOOKUP(B66,'26MY_PASSPORT_DATA'!B:AR,21,FALSE)="","",VLOOKUP(B66,'26MY_PASSPORT_DATA'!B:AR,21,FALSE))</f>
        <v/>
      </c>
    </row>
    <row r="67" spans="2:17" s="135" customFormat="1" ht="16.5">
      <c r="B67" s="298" t="s">
        <v>268</v>
      </c>
      <c r="C67" s="224" t="str">
        <f>VLOOKUP(B67,'26MY_PASSPORT_DATA'!B:AR,4,FALSE)</f>
        <v>Pellicule pour rebord de portière</v>
      </c>
      <c r="D67" s="79" t="str">
        <f t="shared" ref="D67:D68" si="18">B67</f>
        <v>08P20-T90-100</v>
      </c>
      <c r="E67" s="343">
        <f>VLOOKUP(B67,'26MY_PASSPORT_DATA'!B:AR,9,FALSE)</f>
        <v>52</v>
      </c>
      <c r="F67" s="343">
        <f>VLOOKUP(B67,'26MY_PASSPORT_DATA'!B:AR,10,FALSE)</f>
        <v>87</v>
      </c>
      <c r="G67" s="344">
        <f>VLOOKUP(B67,'26MY_PASSPORT_DATA'!B:AR,7,FALSE)</f>
        <v>0.4</v>
      </c>
      <c r="H67" s="345">
        <f>VLOOKUP(B67,'26MY_PASSPORT_DATA'!B:AR,11,FALSE)</f>
        <v>147</v>
      </c>
      <c r="I67" s="347">
        <f>VLOOKUP($B67,'26MY_PASSPORT_DATA'!$B:$AR,12,FALSE)</f>
        <v>0</v>
      </c>
      <c r="J67" s="347">
        <f>VLOOKUP($B67,'26MY_PASSPORT_DATA'!$B:$AR,13,FALSE)</f>
        <v>0</v>
      </c>
      <c r="K67" s="347" t="str">
        <f>VLOOKUP(B67,'26MY_PASSPORT_DATA'!B:AR,14,FALSE)</f>
        <v>•</v>
      </c>
      <c r="L67" s="347" t="str">
        <f>VLOOKUP(B67,'26MY_PASSPORT_DATA'!B:AR,15,FALSE)</f>
        <v>•</v>
      </c>
      <c r="M67" s="347">
        <f>VLOOKUP($B67,'26MY_PASSPORT_DATA'!$B:$AR,16,FALSE)</f>
        <v>0</v>
      </c>
      <c r="N67" s="347">
        <f>VLOOKUP(B67,'26MY_PASSPORT_DATA'!B:AR,17,FALSE)</f>
        <v>0</v>
      </c>
      <c r="O67" s="347" t="str">
        <f>VLOOKUP(B67,'26MY_PASSPORT_DATA'!B:AR,18,FALSE)</f>
        <v>•</v>
      </c>
      <c r="P67" s="347" t="str">
        <f>VLOOKUP(B67,'26MY_PASSPORT_DATA'!B:AR,19,FALSE)</f>
        <v>•</v>
      </c>
      <c r="Q67" s="350" t="str">
        <f>IF(VLOOKUP(B67,'26MY_PASSPORT_DATA'!B:AR,21,FALSE)="","",VLOOKUP(B67,'26MY_PASSPORT_DATA'!B:AR,21,FALSE))</f>
        <v/>
      </c>
    </row>
    <row r="68" spans="2:17" s="135" customFormat="1" ht="16.5">
      <c r="B68" s="298" t="s">
        <v>278</v>
      </c>
      <c r="C68" s="224" t="str">
        <f>VLOOKUP(B68,'26MY_PASSPORT_DATA'!B:AR,4,FALSE)</f>
        <v>Visière de portière</v>
      </c>
      <c r="D68" s="79" t="str">
        <f t="shared" si="18"/>
        <v>08R04-T90-100</v>
      </c>
      <c r="E68" s="343">
        <f>VLOOKUP(B68,'26MY_PASSPORT_DATA'!B:AR,9,FALSE)</f>
        <v>258</v>
      </c>
      <c r="F68" s="343">
        <f>VLOOKUP(B68,'26MY_PASSPORT_DATA'!B:AR,10,FALSE)</f>
        <v>430</v>
      </c>
      <c r="G68" s="344">
        <f>VLOOKUP(B68,'26MY_PASSPORT_DATA'!B:AR,7,FALSE)</f>
        <v>0.6</v>
      </c>
      <c r="H68" s="345">
        <f>VLOOKUP(B68,'26MY_PASSPORT_DATA'!B:AR,11,FALSE)</f>
        <v>520</v>
      </c>
      <c r="I68" s="347">
        <f>VLOOKUP($B68,'26MY_PASSPORT_DATA'!$B:$AR,12,FALSE)</f>
        <v>0</v>
      </c>
      <c r="J68" s="347">
        <f>VLOOKUP($B68,'26MY_PASSPORT_DATA'!$B:$AR,13,FALSE)</f>
        <v>0</v>
      </c>
      <c r="K68" s="347" t="str">
        <f>VLOOKUP(B68,'26MY_PASSPORT_DATA'!B:AR,14,FALSE)</f>
        <v>•</v>
      </c>
      <c r="L68" s="347" t="str">
        <f>VLOOKUP(B68,'26MY_PASSPORT_DATA'!B:AR,15,FALSE)</f>
        <v>•</v>
      </c>
      <c r="M68" s="347">
        <f>VLOOKUP($B68,'26MY_PASSPORT_DATA'!$B:$AR,16,FALSE)</f>
        <v>0</v>
      </c>
      <c r="N68" s="347">
        <f>VLOOKUP(B68,'26MY_PASSPORT_DATA'!B:AR,17,FALSE)</f>
        <v>0</v>
      </c>
      <c r="O68" s="347" t="str">
        <f>VLOOKUP(B68,'26MY_PASSPORT_DATA'!B:AR,18,FALSE)</f>
        <v>•</v>
      </c>
      <c r="P68" s="347" t="str">
        <f>VLOOKUP(B68,'26MY_PASSPORT_DATA'!B:AR,19,FALSE)</f>
        <v>•</v>
      </c>
      <c r="Q68" s="350" t="str">
        <f>IF(VLOOKUP(B68,'26MY_PASSPORT_DATA'!B:AR,21,FALSE)="","",VLOOKUP(B68,'26MY_PASSPORT_DATA'!B:AR,21,FALSE))</f>
        <v/>
      </c>
    </row>
    <row r="69" spans="2:17" s="135" customFormat="1" ht="15" customHeight="1">
      <c r="B69" s="298" t="s">
        <v>294</v>
      </c>
      <c r="C69" s="199" t="str">
        <f>VLOOKUP(B69,'26MY_PASSPORT_DATA'!B:AR,4,FALSE)</f>
        <v>Emblèmes</v>
      </c>
      <c r="D69" s="189"/>
      <c r="E69" s="189"/>
      <c r="F69" s="189"/>
      <c r="G69" s="189"/>
      <c r="H69" s="189"/>
      <c r="I69" s="189"/>
      <c r="J69" s="189"/>
      <c r="K69" s="189"/>
      <c r="L69" s="189"/>
      <c r="M69" s="189"/>
      <c r="N69" s="189"/>
      <c r="O69" s="189"/>
      <c r="P69" s="189"/>
      <c r="Q69" s="180"/>
    </row>
    <row r="70" spans="2:17" s="135" customFormat="1" ht="16.5">
      <c r="B70" s="298" t="s">
        <v>236</v>
      </c>
      <c r="C70" s="293" t="str">
        <f>VLOOKUP(B70,'26MY_PASSPORT_DATA'!B:AR,4,FALSE)</f>
        <v>Emblème Passport noir</v>
      </c>
      <c r="D70" s="79" t="str">
        <f t="shared" si="16"/>
        <v>08F20-3BM-100</v>
      </c>
      <c r="E70" s="343">
        <f>VLOOKUP(B70,'26MY_PASSPORT_DATA'!B:AR,9,FALSE)</f>
        <v>145</v>
      </c>
      <c r="F70" s="343">
        <f>VLOOKUP(B70,'26MY_PASSPORT_DATA'!B:AR,10,FALSE)</f>
        <v>242</v>
      </c>
      <c r="G70" s="344">
        <f>VLOOKUP(B70,'26MY_PASSPORT_DATA'!B:AR,7,FALSE)</f>
        <v>0.3</v>
      </c>
      <c r="H70" s="345">
        <f>VLOOKUP(B70,'26MY_PASSPORT_DATA'!B:AR,11,FALSE)</f>
        <v>287</v>
      </c>
      <c r="I70" s="347">
        <f>VLOOKUP($B70,'26MY_PASSPORT_DATA'!$B:$AR,12,FALSE)</f>
        <v>0</v>
      </c>
      <c r="J70" s="347">
        <f>VLOOKUP($B70,'26MY_PASSPORT_DATA'!$B:$AR,13,FALSE)</f>
        <v>0</v>
      </c>
      <c r="K70" s="347" t="str">
        <f>VLOOKUP(B70,'26MY_PASSPORT_DATA'!B:AR,14,FALSE)</f>
        <v>•</v>
      </c>
      <c r="L70" s="347" t="str">
        <f>VLOOKUP(B70,'26MY_PASSPORT_DATA'!B:AR,15,FALSE)</f>
        <v>•</v>
      </c>
      <c r="M70" s="347">
        <f>VLOOKUP($B70,'26MY_PASSPORT_DATA'!$B:$AR,16,FALSE)</f>
        <v>0</v>
      </c>
      <c r="N70" s="347">
        <f>VLOOKUP(B70,'26MY_PASSPORT_DATA'!B:AR,17,FALSE)</f>
        <v>0</v>
      </c>
      <c r="O70" s="347" t="str">
        <f>VLOOKUP(B70,'26MY_PASSPORT_DATA'!B:AR,18,FALSE)</f>
        <v>•</v>
      </c>
      <c r="P70" s="347" t="str">
        <f>VLOOKUP(B70,'26MY_PASSPORT_DATA'!B:AR,19,FALSE)</f>
        <v>•</v>
      </c>
      <c r="Q70" s="350" t="str">
        <f>IF(VLOOKUP(B70,'26MY_PASSPORT_DATA'!B:AR,21,FALSE)="","",VLOOKUP(B70,'26MY_PASSPORT_DATA'!B:AR,21,FALSE))</f>
        <v/>
      </c>
    </row>
    <row r="71" spans="2:17" s="135" customFormat="1" ht="15" customHeight="1">
      <c r="B71" s="298" t="s">
        <v>234</v>
      </c>
      <c r="C71" s="192" t="str">
        <f>VLOOKUP(B71,'26MY_PASSPORT_DATA'!B:AR,4,FALSE)</f>
        <v>Emblèmes noirs – Logo « H » à l’avant et à l’arrière</v>
      </c>
      <c r="D71" s="79" t="str">
        <f t="shared" si="16"/>
        <v>08F20-3BM-100B</v>
      </c>
      <c r="E71" s="343">
        <f>VLOOKUP(B71,'26MY_PASSPORT_DATA'!B:AR,9,FALSE)</f>
        <v>63</v>
      </c>
      <c r="F71" s="343">
        <f>VLOOKUP(B71,'26MY_PASSPORT_DATA'!B:AR,10,FALSE)</f>
        <v>105</v>
      </c>
      <c r="G71" s="344">
        <f>VLOOKUP(B71,'26MY_PASSPORT_DATA'!B:AR,7,FALSE)</f>
        <v>0.6</v>
      </c>
      <c r="H71" s="345">
        <f>VLOOKUP(B71,'26MY_PASSPORT_DATA'!B:AR,11,FALSE)</f>
        <v>195</v>
      </c>
      <c r="I71" s="347">
        <f>VLOOKUP($B71,'26MY_PASSPORT_DATA'!$B:$AR,12,FALSE)</f>
        <v>0</v>
      </c>
      <c r="J71" s="347">
        <f>VLOOKUP($B71,'26MY_PASSPORT_DATA'!$B:$AR,13,FALSE)</f>
        <v>0</v>
      </c>
      <c r="K71" s="347" t="str">
        <f>VLOOKUP(B71,'26MY_PASSPORT_DATA'!B:AR,14,FALSE)</f>
        <v>•</v>
      </c>
      <c r="L71" s="347" t="str">
        <f>VLOOKUP(B71,'26MY_PASSPORT_DATA'!B:AR,15,FALSE)</f>
        <v>S</v>
      </c>
      <c r="M71" s="347">
        <f>VLOOKUP($B71,'26MY_PASSPORT_DATA'!$B:$AR,16,FALSE)</f>
        <v>0</v>
      </c>
      <c r="N71" s="347">
        <f>VLOOKUP(B71,'26MY_PASSPORT_DATA'!B:AR,17,FALSE)</f>
        <v>0</v>
      </c>
      <c r="O71" s="347" t="str">
        <f>VLOOKUP(B71,'26MY_PASSPORT_DATA'!B:AR,18,FALSE)</f>
        <v>•</v>
      </c>
      <c r="P71" s="347" t="str">
        <f>VLOOKUP(B71,'26MY_PASSPORT_DATA'!B:AR,19,FALSE)</f>
        <v>S</v>
      </c>
      <c r="Q71" s="350" t="str">
        <f>IF(VLOOKUP(B71,'26MY_PASSPORT_DATA'!B:AR,21,FALSE)="","",VLOOKUP(B71,'26MY_PASSPORT_DATA'!B:AR,21,FALSE))</f>
        <v/>
      </c>
    </row>
    <row r="72" spans="2:17" s="135" customFormat="1" ht="16.5">
      <c r="B72" s="298" t="s">
        <v>231</v>
      </c>
      <c r="C72" s="224" t="str">
        <f>VLOOKUP(B72,'26MY_PASSPORT_DATA'!B:AR,4,FALSE)</f>
        <v>Attelage de remorque – Monture de rotule</v>
      </c>
      <c r="D72" s="79" t="str">
        <f t="shared" ref="D72:D77" si="19">B72</f>
        <v>08L92-3BM-100A</v>
      </c>
      <c r="E72" s="343">
        <f>VLOOKUP(B72,'26MY_PASSPORT_DATA'!B:AR,9,FALSE)</f>
        <v>91</v>
      </c>
      <c r="F72" s="343">
        <f>VLOOKUP(B72,'26MY_PASSPORT_DATA'!B:AR,10,FALSE)</f>
        <v>152</v>
      </c>
      <c r="G72" s="344">
        <f>VLOOKUP(B72,'26MY_PASSPORT_DATA'!B:AR,7,FALSE)</f>
        <v>0</v>
      </c>
      <c r="H72" s="345">
        <f>VLOOKUP(B72,'26MY_PASSPORT_DATA'!B:AR,11,FALSE)</f>
        <v>152</v>
      </c>
      <c r="I72" s="347">
        <f>VLOOKUP($B72,'26MY_PASSPORT_DATA'!$B:$AR,12,FALSE)</f>
        <v>0</v>
      </c>
      <c r="J72" s="347">
        <f>VLOOKUP($B72,'26MY_PASSPORT_DATA'!$B:$AR,13,FALSE)</f>
        <v>0</v>
      </c>
      <c r="K72" s="347" t="str">
        <f>VLOOKUP(B72,'26MY_PASSPORT_DATA'!B:AR,14,FALSE)</f>
        <v>•</v>
      </c>
      <c r="L72" s="347" t="str">
        <f>VLOOKUP(B72,'26MY_PASSPORT_DATA'!B:AR,15,FALSE)</f>
        <v>•</v>
      </c>
      <c r="M72" s="347">
        <f>VLOOKUP($B72,'26MY_PASSPORT_DATA'!$B:$AR,16,FALSE)</f>
        <v>0</v>
      </c>
      <c r="N72" s="347">
        <f>VLOOKUP(B72,'26MY_PASSPORT_DATA'!B:AR,17,FALSE)</f>
        <v>0</v>
      </c>
      <c r="O72" s="347" t="str">
        <f>VLOOKUP(B72,'26MY_PASSPORT_DATA'!B:AR,18,FALSE)</f>
        <v>•</v>
      </c>
      <c r="P72" s="347" t="str">
        <f>VLOOKUP(B72,'26MY_PASSPORT_DATA'!B:AR,19,FALSE)</f>
        <v>•</v>
      </c>
      <c r="Q72" s="350" t="str">
        <f>IF(VLOOKUP(B72,'26MY_PASSPORT_DATA'!B:AR,21,FALSE)="","",VLOOKUP(B72,'26MY_PASSPORT_DATA'!B:AR,21,FALSE))</f>
        <v/>
      </c>
    </row>
    <row r="73" spans="2:17" s="135" customFormat="1" ht="16.5">
      <c r="B73" s="298" t="s">
        <v>198</v>
      </c>
      <c r="C73" s="268" t="str">
        <f>VLOOKUP(B73,'26MY_PASSPORT_DATA'!B:AR,4,FALSE)</f>
        <v>Attelage de remorque – Goupille de verrouillage</v>
      </c>
      <c r="D73" s="79" t="str">
        <f t="shared" si="19"/>
        <v>08L92-SJC-300A</v>
      </c>
      <c r="E73" s="343">
        <f>VLOOKUP(B73,'26MY_PASSPORT_DATA'!B:AR,9,FALSE)</f>
        <v>106</v>
      </c>
      <c r="F73" s="343">
        <f>VLOOKUP(B73,'26MY_PASSPORT_DATA'!B:AR,10,FALSE)</f>
        <v>163</v>
      </c>
      <c r="G73" s="344">
        <f>VLOOKUP(B73,'26MY_PASSPORT_DATA'!B:AR,7,FALSE)</f>
        <v>0</v>
      </c>
      <c r="H73" s="345">
        <f>VLOOKUP(B73,'26MY_PASSPORT_DATA'!B:AR,11,FALSE)</f>
        <v>163</v>
      </c>
      <c r="I73" s="347">
        <f>VLOOKUP($B73,'26MY_PASSPORT_DATA'!$B:$AR,12,FALSE)</f>
        <v>0</v>
      </c>
      <c r="J73" s="347">
        <f>VLOOKUP($B73,'26MY_PASSPORT_DATA'!$B:$AR,13,FALSE)</f>
        <v>0</v>
      </c>
      <c r="K73" s="347" t="str">
        <f>VLOOKUP(B73,'26MY_PASSPORT_DATA'!B:AR,14,FALSE)</f>
        <v>•</v>
      </c>
      <c r="L73" s="347" t="str">
        <f>VLOOKUP(B73,'26MY_PASSPORT_DATA'!B:AR,15,FALSE)</f>
        <v>•</v>
      </c>
      <c r="M73" s="347">
        <f>VLOOKUP($B73,'26MY_PASSPORT_DATA'!$B:$AR,16,FALSE)</f>
        <v>0</v>
      </c>
      <c r="N73" s="347">
        <f>VLOOKUP(B73,'26MY_PASSPORT_DATA'!B:AR,17,FALSE)</f>
        <v>0</v>
      </c>
      <c r="O73" s="347" t="str">
        <f>VLOOKUP(B73,'26MY_PASSPORT_DATA'!B:AR,18,FALSE)</f>
        <v>•</v>
      </c>
      <c r="P73" s="347" t="str">
        <f>VLOOKUP(B73,'26MY_PASSPORT_DATA'!B:AR,19,FALSE)</f>
        <v>•</v>
      </c>
      <c r="Q73" s="350" t="str">
        <f>IF(VLOOKUP(B73,'26MY_PASSPORT_DATA'!B:AR,21,FALSE)="","",VLOOKUP(B73,'26MY_PASSPORT_DATA'!B:AR,21,FALSE))</f>
        <v/>
      </c>
    </row>
    <row r="74" spans="2:17" s="135" customFormat="1" ht="16.5">
      <c r="B74" s="298" t="s">
        <v>196</v>
      </c>
      <c r="C74" s="224" t="str">
        <f>VLOOKUP(B74,'26MY_PASSPORT_DATA'!B:AR,4,FALSE)</f>
        <v>Attelage de remorque – Rotule d'attelage de 1 7/8 po</v>
      </c>
      <c r="D74" s="79" t="str">
        <f t="shared" si="19"/>
        <v>08L92-S9V-300G</v>
      </c>
      <c r="E74" s="343">
        <f>VLOOKUP(B74,'26MY_PASSPORT_DATA'!B:AR,9,FALSE)</f>
        <v>28</v>
      </c>
      <c r="F74" s="343">
        <f>VLOOKUP(B74,'26MY_PASSPORT_DATA'!B:AR,10,FALSE)</f>
        <v>47</v>
      </c>
      <c r="G74" s="344">
        <f>VLOOKUP(B74,'26MY_PASSPORT_DATA'!B:AR,7,FALSE)</f>
        <v>0</v>
      </c>
      <c r="H74" s="345">
        <f>VLOOKUP(B74,'26MY_PASSPORT_DATA'!B:AR,11,FALSE)</f>
        <v>47</v>
      </c>
      <c r="I74" s="347">
        <f>VLOOKUP($B74,'26MY_PASSPORT_DATA'!$B:$AR,12,FALSE)</f>
        <v>0</v>
      </c>
      <c r="J74" s="347">
        <f>VLOOKUP($B74,'26MY_PASSPORT_DATA'!$B:$AR,13,FALSE)</f>
        <v>0</v>
      </c>
      <c r="K74" s="347" t="str">
        <f>VLOOKUP(B74,'26MY_PASSPORT_DATA'!B:AR,14,FALSE)</f>
        <v>•</v>
      </c>
      <c r="L74" s="347" t="str">
        <f>VLOOKUP(B74,'26MY_PASSPORT_DATA'!B:AR,15,FALSE)</f>
        <v>•</v>
      </c>
      <c r="M74" s="347">
        <f>VLOOKUP($B74,'26MY_PASSPORT_DATA'!$B:$AR,16,FALSE)</f>
        <v>0</v>
      </c>
      <c r="N74" s="347">
        <f>VLOOKUP(B74,'26MY_PASSPORT_DATA'!B:AR,17,FALSE)</f>
        <v>0</v>
      </c>
      <c r="O74" s="347" t="str">
        <f>VLOOKUP(B74,'26MY_PASSPORT_DATA'!B:AR,18,FALSE)</f>
        <v>•</v>
      </c>
      <c r="P74" s="347" t="str">
        <f>VLOOKUP(B74,'26MY_PASSPORT_DATA'!B:AR,19,FALSE)</f>
        <v>•</v>
      </c>
      <c r="Q74" s="350" t="str">
        <f>IF(VLOOKUP(B74,'26MY_PASSPORT_DATA'!B:AR,21,FALSE)="","",VLOOKUP(B74,'26MY_PASSPORT_DATA'!B:AR,21,FALSE))</f>
        <v/>
      </c>
    </row>
    <row r="75" spans="2:17" s="135" customFormat="1" ht="16.5">
      <c r="B75" s="298" t="s">
        <v>197</v>
      </c>
      <c r="C75" s="224" t="str">
        <f>VLOOKUP(B75,'26MY_PASSPORT_DATA'!B:AR,4,FALSE)</f>
        <v>Attelage de remorque – Rotule d'attelage de 2 po</v>
      </c>
      <c r="D75" s="291" t="str">
        <f t="shared" si="19"/>
        <v>08L92-S9V-300H</v>
      </c>
      <c r="E75" s="343">
        <f>VLOOKUP(B75,'26MY_PASSPORT_DATA'!B:AR,9,FALSE)</f>
        <v>28</v>
      </c>
      <c r="F75" s="343">
        <f>VLOOKUP(B75,'26MY_PASSPORT_DATA'!B:AR,10,FALSE)</f>
        <v>47</v>
      </c>
      <c r="G75" s="344">
        <f>VLOOKUP(B75,'26MY_PASSPORT_DATA'!B:AR,7,FALSE)</f>
        <v>0</v>
      </c>
      <c r="H75" s="345">
        <f>VLOOKUP(B75,'26MY_PASSPORT_DATA'!B:AR,11,FALSE)</f>
        <v>47</v>
      </c>
      <c r="I75" s="347">
        <f>VLOOKUP($B75,'26MY_PASSPORT_DATA'!$B:$AR,12,FALSE)</f>
        <v>0</v>
      </c>
      <c r="J75" s="347">
        <f>VLOOKUP($B75,'26MY_PASSPORT_DATA'!$B:$AR,13,FALSE)</f>
        <v>0</v>
      </c>
      <c r="K75" s="347" t="str">
        <f>VLOOKUP(B75,'26MY_PASSPORT_DATA'!B:AR,14,FALSE)</f>
        <v>•</v>
      </c>
      <c r="L75" s="347" t="str">
        <f>VLOOKUP(B75,'26MY_PASSPORT_DATA'!B:AR,15,FALSE)</f>
        <v>•</v>
      </c>
      <c r="M75" s="347">
        <f>VLOOKUP($B75,'26MY_PASSPORT_DATA'!$B:$AR,16,FALSE)</f>
        <v>0</v>
      </c>
      <c r="N75" s="347">
        <f>VLOOKUP(B75,'26MY_PASSPORT_DATA'!B:AR,17,FALSE)</f>
        <v>0</v>
      </c>
      <c r="O75" s="347" t="str">
        <f>VLOOKUP(B75,'26MY_PASSPORT_DATA'!B:AR,18,FALSE)</f>
        <v>•</v>
      </c>
      <c r="P75" s="347" t="str">
        <f>VLOOKUP(B75,'26MY_PASSPORT_DATA'!B:AR,19,FALSE)</f>
        <v>•</v>
      </c>
      <c r="Q75" s="350" t="str">
        <f>IF(VLOOKUP(B75,'26MY_PASSPORT_DATA'!B:AR,21,FALSE)="","",VLOOKUP(B75,'26MY_PASSPORT_DATA'!B:AR,21,FALSE))</f>
        <v/>
      </c>
    </row>
    <row r="76" spans="2:17" s="135" customFormat="1" ht="16.5">
      <c r="B76" s="298" t="s">
        <v>431</v>
      </c>
      <c r="C76" s="224" t="str">
        <f>VLOOKUP(B76,'26MY_PASSPORT_DATA'!B:AR,4,FALSE)</f>
        <v>Tente pour hayon</v>
      </c>
      <c r="D76" s="79" t="str">
        <f t="shared" si="19"/>
        <v>08Z04-SCV-110B</v>
      </c>
      <c r="E76" s="343">
        <f>VLOOKUP(B76,'26MY_PASSPORT_DATA'!B:AR,9,FALSE)</f>
        <v>477</v>
      </c>
      <c r="F76" s="343">
        <f>VLOOKUP(B76,'26MY_PASSPORT_DATA'!B:AR,10,FALSE)</f>
        <v>681</v>
      </c>
      <c r="G76" s="344">
        <f>VLOOKUP(B76,'26MY_PASSPORT_DATA'!B:AR,7,FALSE)</f>
        <v>0</v>
      </c>
      <c r="H76" s="345">
        <f>VLOOKUP(B76,'26MY_PASSPORT_DATA'!B:AR,11,FALSE)</f>
        <v>681</v>
      </c>
      <c r="I76" s="347">
        <f>VLOOKUP($B76,'26MY_PASSPORT_DATA'!$B:$AR,12,FALSE)</f>
        <v>0</v>
      </c>
      <c r="J76" s="347">
        <f>VLOOKUP($B76,'26MY_PASSPORT_DATA'!$B:$AR,13,FALSE)</f>
        <v>0</v>
      </c>
      <c r="K76" s="347" t="str">
        <f>VLOOKUP(B76,'26MY_PASSPORT_DATA'!B:AR,14,FALSE)</f>
        <v>•</v>
      </c>
      <c r="L76" s="347" t="str">
        <f>VLOOKUP(B76,'26MY_PASSPORT_DATA'!B:AR,15,FALSE)</f>
        <v>•</v>
      </c>
      <c r="M76" s="347">
        <f>VLOOKUP($B76,'26MY_PASSPORT_DATA'!$B:$AR,16,FALSE)</f>
        <v>0</v>
      </c>
      <c r="N76" s="347">
        <f>VLOOKUP(B76,'26MY_PASSPORT_DATA'!B:AR,17,FALSE)</f>
        <v>0</v>
      </c>
      <c r="O76" s="347" t="str">
        <f>VLOOKUP(B76,'26MY_PASSPORT_DATA'!B:AR,18,FALSE)</f>
        <v>•</v>
      </c>
      <c r="P76" s="347" t="str">
        <f>VLOOKUP(B76,'26MY_PASSPORT_DATA'!B:AR,19,FALSE)</f>
        <v>•</v>
      </c>
      <c r="Q76" s="350" t="str">
        <f>IF(VLOOKUP(B76,'26MY_PASSPORT_DATA'!B:AR,21,FALSE)="","",VLOOKUP(B76,'26MY_PASSPORT_DATA'!B:AR,21,FALSE))</f>
        <v/>
      </c>
    </row>
    <row r="77" spans="2:17" s="135" customFormat="1" ht="16.5">
      <c r="B77" s="298" t="s">
        <v>225</v>
      </c>
      <c r="C77" s="224" t="str">
        <f>VLOOKUP(B77,'26MY_PASSPORT_DATA'!B:AR,4,FALSE)</f>
        <v>Barres transversales</v>
      </c>
      <c r="D77" s="79" t="str">
        <f t="shared" si="19"/>
        <v>08L04-3BM-300</v>
      </c>
      <c r="E77" s="343">
        <f>VLOOKUP(B77,'26MY_PASSPORT_DATA'!B:AR,9,FALSE)</f>
        <v>258</v>
      </c>
      <c r="F77" s="343">
        <f>VLOOKUP(B77,'26MY_PASSPORT_DATA'!B:AR,10,FALSE)</f>
        <v>430</v>
      </c>
      <c r="G77" s="344">
        <f>VLOOKUP(B77,'26MY_PASSPORT_DATA'!B:AR,7,FALSE)</f>
        <v>0.3</v>
      </c>
      <c r="H77" s="345">
        <f>VLOOKUP(B77,'26MY_PASSPORT_DATA'!B:AR,11,FALSE)</f>
        <v>475</v>
      </c>
      <c r="I77" s="347">
        <f>VLOOKUP($B77,'26MY_PASSPORT_DATA'!$B:$AR,12,FALSE)</f>
        <v>0</v>
      </c>
      <c r="J77" s="347">
        <f>VLOOKUP($B77,'26MY_PASSPORT_DATA'!$B:$AR,13,FALSE)</f>
        <v>0</v>
      </c>
      <c r="K77" s="347" t="str">
        <f>VLOOKUP(B77,'26MY_PASSPORT_DATA'!B:AR,14,FALSE)</f>
        <v>•</v>
      </c>
      <c r="L77" s="347" t="str">
        <f>VLOOKUP(B77,'26MY_PASSPORT_DATA'!B:AR,15,FALSE)</f>
        <v>•</v>
      </c>
      <c r="M77" s="347">
        <f>VLOOKUP($B77,'26MY_PASSPORT_DATA'!$B:$AR,16,FALSE)</f>
        <v>0</v>
      </c>
      <c r="N77" s="347">
        <f>VLOOKUP(B77,'26MY_PASSPORT_DATA'!B:AR,17,FALSE)</f>
        <v>0</v>
      </c>
      <c r="O77" s="347" t="str">
        <f>VLOOKUP(B77,'26MY_PASSPORT_DATA'!B:AR,18,FALSE)</f>
        <v>•</v>
      </c>
      <c r="P77" s="347" t="str">
        <f>VLOOKUP(B77,'26MY_PASSPORT_DATA'!B:AR,19,FALSE)</f>
        <v>•</v>
      </c>
      <c r="Q77" s="350" t="str">
        <f>IF(VLOOKUP(B77,'26MY_PASSPORT_DATA'!B:AR,21,FALSE)="","",VLOOKUP(B77,'26MY_PASSPORT_DATA'!B:AR,21,FALSE))</f>
        <v/>
      </c>
    </row>
    <row r="78" spans="2:17" s="135" customFormat="1" ht="15" customHeight="1">
      <c r="B78" s="298" t="s">
        <v>175</v>
      </c>
      <c r="C78" s="199" t="str">
        <f>VLOOKUP(B78,'26MY_PASSPORT_DATA'!B:AR,4,FALSE)</f>
        <v>Accessoires de toit</v>
      </c>
      <c r="D78" s="189"/>
      <c r="E78" s="189"/>
      <c r="F78" s="189"/>
      <c r="G78" s="189"/>
      <c r="H78" s="189"/>
      <c r="I78" s="189"/>
      <c r="J78" s="189"/>
      <c r="K78" s="189"/>
      <c r="L78" s="189"/>
      <c r="M78" s="189"/>
      <c r="N78" s="189"/>
      <c r="O78" s="189"/>
      <c r="P78" s="189"/>
      <c r="Q78" s="180"/>
    </row>
    <row r="79" spans="2:17" s="135" customFormat="1" ht="15" customHeight="1">
      <c r="B79" s="298" t="s">
        <v>226</v>
      </c>
      <c r="C79" s="192" t="str">
        <f>VLOOKUP(B79,'26MY_PASSPORT_DATA'!B:AR,4,FALSE)</f>
        <v>Plateforme de toit</v>
      </c>
      <c r="D79" s="79" t="str">
        <f t="shared" si="16"/>
        <v>08L08-3BM-100</v>
      </c>
      <c r="E79" s="343">
        <f>VLOOKUP(B79,'26MY_PASSPORT_DATA'!B:AR,9,FALSE)</f>
        <v>932</v>
      </c>
      <c r="F79" s="343">
        <f>VLOOKUP(B79,'26MY_PASSPORT_DATA'!B:AR,10,FALSE)</f>
        <v>1331</v>
      </c>
      <c r="G79" s="344">
        <f>VLOOKUP(B79,'26MY_PASSPORT_DATA'!B:AR,7,FALSE)</f>
        <v>0.6</v>
      </c>
      <c r="H79" s="345">
        <f>VLOOKUP(B79,'26MY_PASSPORT_DATA'!B:AR,11,FALSE)</f>
        <v>1421</v>
      </c>
      <c r="I79" s="347">
        <f>VLOOKUP($B79,'26MY_PASSPORT_DATA'!$B:$AR,12,FALSE)</f>
        <v>0</v>
      </c>
      <c r="J79" s="347">
        <f>VLOOKUP($B79,'26MY_PASSPORT_DATA'!$B:$AR,13,FALSE)</f>
        <v>0</v>
      </c>
      <c r="K79" s="347" t="str">
        <f>VLOOKUP(B79,'26MY_PASSPORT_DATA'!B:AR,14,FALSE)</f>
        <v>•</v>
      </c>
      <c r="L79" s="347" t="str">
        <f>VLOOKUP(B79,'26MY_PASSPORT_DATA'!B:AR,15,FALSE)</f>
        <v>•</v>
      </c>
      <c r="M79" s="347">
        <f>VLOOKUP($B79,'26MY_PASSPORT_DATA'!$B:$AR,16,FALSE)</f>
        <v>0</v>
      </c>
      <c r="N79" s="347">
        <f>VLOOKUP(B79,'26MY_PASSPORT_DATA'!B:AR,17,FALSE)</f>
        <v>0</v>
      </c>
      <c r="O79" s="347" t="str">
        <f>VLOOKUP(B79,'26MY_PASSPORT_DATA'!B:AR,18,FALSE)</f>
        <v>•</v>
      </c>
      <c r="P79" s="347" t="str">
        <f>VLOOKUP(B79,'26MY_PASSPORT_DATA'!B:AR,19,FALSE)</f>
        <v>•</v>
      </c>
      <c r="Q79" s="348" t="str">
        <f>IF(VLOOKUP(B79,'26MY_PASSPORT_DATA'!B:AR,21,FALSE)="","",VLOOKUP(B79,'26MY_PASSPORT_DATA'!B:AR,21,FALSE))</f>
        <v/>
      </c>
    </row>
    <row r="80" spans="2:17" s="135" customFormat="1" ht="15" customHeight="1">
      <c r="B80" s="298" t="s">
        <v>430</v>
      </c>
      <c r="C80" s="192" t="str">
        <f>VLOOKUP(B80,'26MY_PASSPORT_DATA'!B:AR,4,FALSE)</f>
        <v>Porte-vélo de toit – Fixation au cadre</v>
      </c>
      <c r="D80" s="79" t="str">
        <f t="shared" si="16"/>
        <v>08L07-E09-101</v>
      </c>
      <c r="E80" s="343">
        <f>VLOOKUP(B80,'26MY_PASSPORT_DATA'!B:AR,9,FALSE)</f>
        <v>383</v>
      </c>
      <c r="F80" s="343">
        <f>VLOOKUP(B80,'26MY_PASSPORT_DATA'!B:AR,10,FALSE)</f>
        <v>547</v>
      </c>
      <c r="G80" s="344">
        <f>VLOOKUP(B80,'26MY_PASSPORT_DATA'!B:AR,7,FALSE)</f>
        <v>0.4</v>
      </c>
      <c r="H80" s="345">
        <f>VLOOKUP(B80,'26MY_PASSPORT_DATA'!B:AR,11,FALSE)</f>
        <v>607</v>
      </c>
      <c r="I80" s="347">
        <f>VLOOKUP($B80,'26MY_PASSPORT_DATA'!$B:$AR,12,FALSE)</f>
        <v>0</v>
      </c>
      <c r="J80" s="347">
        <f>VLOOKUP($B80,'26MY_PASSPORT_DATA'!$B:$AR,13,FALSE)</f>
        <v>0</v>
      </c>
      <c r="K80" s="347" t="str">
        <f>VLOOKUP(B80,'26MY_PASSPORT_DATA'!B:AR,14,FALSE)</f>
        <v>•</v>
      </c>
      <c r="L80" s="347" t="str">
        <f>VLOOKUP(B80,'26MY_PASSPORT_DATA'!B:AR,15,FALSE)</f>
        <v>•</v>
      </c>
      <c r="M80" s="347">
        <f>VLOOKUP($B80,'26MY_PASSPORT_DATA'!$B:$AR,16,FALSE)</f>
        <v>0</v>
      </c>
      <c r="N80" s="347">
        <f>VLOOKUP(B80,'26MY_PASSPORT_DATA'!B:AR,17,FALSE)</f>
        <v>0</v>
      </c>
      <c r="O80" s="347" t="str">
        <f>VLOOKUP(B80,'26MY_PASSPORT_DATA'!B:AR,18,FALSE)</f>
        <v>•</v>
      </c>
      <c r="P80" s="347" t="str">
        <f>VLOOKUP(B80,'26MY_PASSPORT_DATA'!B:AR,19,FALSE)</f>
        <v>•</v>
      </c>
      <c r="Q80" s="374" t="str">
        <f>IF(VLOOKUP(B80,'26MY_PASSPORT_DATA'!B:AR,21,FALSE)="","",VLOOKUP(B80,'26MY_PASSPORT_DATA'!B:AR,21,FALSE))</f>
        <v>Nécessite des barres de toit et des barres transversales.</v>
      </c>
    </row>
    <row r="81" spans="2:17" s="135" customFormat="1" ht="15" customHeight="1">
      <c r="B81" s="298" t="s">
        <v>195</v>
      </c>
      <c r="C81" s="192" t="str">
        <f>VLOOKUP(B81,'26MY_PASSPORT_DATA'!B:AR,4,FALSE)</f>
        <v>Porte-vélo de toit – Fixation à la fourche</v>
      </c>
      <c r="D81" s="79" t="str">
        <f t="shared" si="16"/>
        <v>08L07-E09-300A</v>
      </c>
      <c r="E81" s="343">
        <f>VLOOKUP(B81,'26MY_PASSPORT_DATA'!B:AR,9,FALSE)</f>
        <v>292</v>
      </c>
      <c r="F81" s="343">
        <f>VLOOKUP(B81,'26MY_PASSPORT_DATA'!B:AR,10,FALSE)</f>
        <v>487</v>
      </c>
      <c r="G81" s="344">
        <f>VLOOKUP(B81,'26MY_PASSPORT_DATA'!B:AR,7,FALSE)</f>
        <v>0.4</v>
      </c>
      <c r="H81" s="345">
        <f>VLOOKUP(B81,'26MY_PASSPORT_DATA'!B:AR,11,FALSE)</f>
        <v>547</v>
      </c>
      <c r="I81" s="347">
        <f>VLOOKUP($B81,'26MY_PASSPORT_DATA'!$B:$AR,12,FALSE)</f>
        <v>0</v>
      </c>
      <c r="J81" s="347">
        <f>VLOOKUP($B81,'26MY_PASSPORT_DATA'!$B:$AR,13,FALSE)</f>
        <v>0</v>
      </c>
      <c r="K81" s="347" t="str">
        <f>VLOOKUP(B81,'26MY_PASSPORT_DATA'!B:AR,14,FALSE)</f>
        <v>•</v>
      </c>
      <c r="L81" s="347" t="str">
        <f>VLOOKUP(B81,'26MY_PASSPORT_DATA'!B:AR,15,FALSE)</f>
        <v>•</v>
      </c>
      <c r="M81" s="347">
        <f>VLOOKUP($B81,'26MY_PASSPORT_DATA'!$B:$AR,16,FALSE)</f>
        <v>0</v>
      </c>
      <c r="N81" s="347">
        <f>VLOOKUP(B81,'26MY_PASSPORT_DATA'!B:AR,17,FALSE)</f>
        <v>0</v>
      </c>
      <c r="O81" s="347" t="str">
        <f>VLOOKUP(B81,'26MY_PASSPORT_DATA'!B:AR,18,FALSE)</f>
        <v>•</v>
      </c>
      <c r="P81" s="347" t="str">
        <f>VLOOKUP(B81,'26MY_PASSPORT_DATA'!B:AR,19,FALSE)</f>
        <v>•</v>
      </c>
      <c r="Q81" s="375"/>
    </row>
    <row r="82" spans="2:17" s="135" customFormat="1" ht="15" customHeight="1">
      <c r="B82" s="298" t="s">
        <v>170</v>
      </c>
      <c r="C82" s="192" t="str">
        <f>VLOOKUP(B82,'26MY_PASSPORT_DATA'!B:AR,4,FALSE)</f>
        <v>Porte-ski/planche à neige de toit</v>
      </c>
      <c r="D82" s="79" t="str">
        <f t="shared" si="16"/>
        <v>08L03-E09-300C</v>
      </c>
      <c r="E82" s="343">
        <f>VLOOKUP(B82,'26MY_PASSPORT_DATA'!B:AR,9,FALSE)</f>
        <v>415</v>
      </c>
      <c r="F82" s="343">
        <f>VLOOKUP(B82,'26MY_PASSPORT_DATA'!B:AR,10,FALSE)</f>
        <v>692</v>
      </c>
      <c r="G82" s="344">
        <f>VLOOKUP(B82,'26MY_PASSPORT_DATA'!B:AR,7,FALSE)</f>
        <v>0.2</v>
      </c>
      <c r="H82" s="345">
        <f>VLOOKUP(B82,'26MY_PASSPORT_DATA'!B:AR,11,FALSE)</f>
        <v>722</v>
      </c>
      <c r="I82" s="347">
        <f>VLOOKUP($B82,'26MY_PASSPORT_DATA'!$B:$AR,12,FALSE)</f>
        <v>0</v>
      </c>
      <c r="J82" s="347">
        <f>VLOOKUP($B82,'26MY_PASSPORT_DATA'!$B:$AR,13,FALSE)</f>
        <v>0</v>
      </c>
      <c r="K82" s="347" t="str">
        <f>VLOOKUP(B82,'26MY_PASSPORT_DATA'!B:AR,14,FALSE)</f>
        <v>•</v>
      </c>
      <c r="L82" s="347" t="str">
        <f>VLOOKUP(B82,'26MY_PASSPORT_DATA'!B:AR,15,FALSE)</f>
        <v>•</v>
      </c>
      <c r="M82" s="347">
        <f>VLOOKUP($B82,'26MY_PASSPORT_DATA'!$B:$AR,16,FALSE)</f>
        <v>0</v>
      </c>
      <c r="N82" s="347">
        <f>VLOOKUP(B82,'26MY_PASSPORT_DATA'!B:AR,17,FALSE)</f>
        <v>0</v>
      </c>
      <c r="O82" s="347" t="str">
        <f>VLOOKUP(B82,'26MY_PASSPORT_DATA'!B:AR,18,FALSE)</f>
        <v>•</v>
      </c>
      <c r="P82" s="347" t="str">
        <f>VLOOKUP(B82,'26MY_PASSPORT_DATA'!B:AR,19,FALSE)</f>
        <v>•</v>
      </c>
      <c r="Q82" s="375"/>
    </row>
    <row r="83" spans="2:17" s="135" customFormat="1" ht="16.5">
      <c r="B83" s="298" t="s">
        <v>428</v>
      </c>
      <c r="C83" s="192" t="str">
        <f>VLOOKUP(B83,'26MY_PASSPORT_DATA'!B:AR,4,FALSE)</f>
        <v>Porte-planche de surf de toit</v>
      </c>
      <c r="D83" s="79" t="str">
        <f t="shared" ref="D83" si="20">B83</f>
        <v>08L05-E09-100</v>
      </c>
      <c r="E83" s="343">
        <f>VLOOKUP(B83,'26MY_PASSPORT_DATA'!B:AR,9,FALSE)</f>
        <v>207</v>
      </c>
      <c r="F83" s="343">
        <f>VLOOKUP(B83,'26MY_PASSPORT_DATA'!B:AR,10,FALSE)</f>
        <v>345</v>
      </c>
      <c r="G83" s="344">
        <f>VLOOKUP(B83,'26MY_PASSPORT_DATA'!B:AR,7,FALSE)</f>
        <v>0.4</v>
      </c>
      <c r="H83" s="345">
        <f>VLOOKUP(B83,'26MY_PASSPORT_DATA'!B:AR,11,FALSE)</f>
        <v>405</v>
      </c>
      <c r="I83" s="347">
        <f>VLOOKUP($B83,'26MY_PASSPORT_DATA'!$B:$AR,12,FALSE)</f>
        <v>0</v>
      </c>
      <c r="J83" s="347">
        <f>VLOOKUP($B83,'26MY_PASSPORT_DATA'!$B:$AR,13,FALSE)</f>
        <v>0</v>
      </c>
      <c r="K83" s="347" t="str">
        <f>VLOOKUP(B83,'26MY_PASSPORT_DATA'!B:AR,14,FALSE)</f>
        <v>•</v>
      </c>
      <c r="L83" s="347" t="str">
        <f>VLOOKUP(B83,'26MY_PASSPORT_DATA'!B:AR,15,FALSE)</f>
        <v>•</v>
      </c>
      <c r="M83" s="347">
        <f>VLOOKUP($B83,'26MY_PASSPORT_DATA'!$B:$AR,16,FALSE)</f>
        <v>0</v>
      </c>
      <c r="N83" s="347">
        <f>VLOOKUP(B83,'26MY_PASSPORT_DATA'!B:AR,17,FALSE)</f>
        <v>0</v>
      </c>
      <c r="O83" s="347" t="str">
        <f>VLOOKUP(B83,'26MY_PASSPORT_DATA'!B:AR,18,FALSE)</f>
        <v>•</v>
      </c>
      <c r="P83" s="347" t="str">
        <f>VLOOKUP(B83,'26MY_PASSPORT_DATA'!B:AR,19,FALSE)</f>
        <v>•</v>
      </c>
      <c r="Q83" s="375"/>
    </row>
    <row r="84" spans="2:17" s="135" customFormat="1" ht="15" customHeight="1">
      <c r="B84" s="298" t="s">
        <v>429</v>
      </c>
      <c r="C84" s="192" t="str">
        <f>VLOOKUP(B84,'26MY_PASSPORT_DATA'!B:AR,4,FALSE)</f>
        <v>Porte-kayak de toit</v>
      </c>
      <c r="D84" s="79" t="str">
        <f t="shared" ref="D84" si="21">B84</f>
        <v>08L09-E09-101</v>
      </c>
      <c r="E84" s="343">
        <f>VLOOKUP(B84,'26MY_PASSPORT_DATA'!B:AR,9,FALSE)</f>
        <v>430</v>
      </c>
      <c r="F84" s="343">
        <f>VLOOKUP(B84,'26MY_PASSPORT_DATA'!B:AR,10,FALSE)</f>
        <v>717</v>
      </c>
      <c r="G84" s="344">
        <f>VLOOKUP(B84,'26MY_PASSPORT_DATA'!B:AR,7,FALSE)</f>
        <v>0.4</v>
      </c>
      <c r="H84" s="345">
        <f>VLOOKUP(B84,'26MY_PASSPORT_DATA'!B:AR,11,FALSE)</f>
        <v>777</v>
      </c>
      <c r="I84" s="347">
        <f>VLOOKUP($B84,'26MY_PASSPORT_DATA'!$B:$AR,12,FALSE)</f>
        <v>0</v>
      </c>
      <c r="J84" s="347">
        <f>VLOOKUP($B84,'26MY_PASSPORT_DATA'!$B:$AR,13,FALSE)</f>
        <v>0</v>
      </c>
      <c r="K84" s="347" t="str">
        <f>VLOOKUP(B84,'26MY_PASSPORT_DATA'!B:AR,14,FALSE)</f>
        <v>•</v>
      </c>
      <c r="L84" s="347" t="str">
        <f>VLOOKUP(B84,'26MY_PASSPORT_DATA'!B:AR,15,FALSE)</f>
        <v>•</v>
      </c>
      <c r="M84" s="347">
        <f>VLOOKUP($B84,'26MY_PASSPORT_DATA'!$B:$AR,16,FALSE)</f>
        <v>0</v>
      </c>
      <c r="N84" s="347">
        <f>VLOOKUP(B84,'26MY_PASSPORT_DATA'!B:AR,17,FALSE)</f>
        <v>0</v>
      </c>
      <c r="O84" s="347" t="str">
        <f>VLOOKUP(B84,'26MY_PASSPORT_DATA'!B:AR,18,FALSE)</f>
        <v>•</v>
      </c>
      <c r="P84" s="347" t="str">
        <f>VLOOKUP(B84,'26MY_PASSPORT_DATA'!B:AR,19,FALSE)</f>
        <v>•</v>
      </c>
      <c r="Q84" s="375"/>
    </row>
    <row r="85" spans="2:17" s="135" customFormat="1" ht="15" customHeight="1">
      <c r="B85" s="298" t="s">
        <v>169</v>
      </c>
      <c r="C85" s="192" t="str">
        <f>VLOOKUP(B85,'26MY_PASSPORT_DATA'!B:AR,4,FALSE)</f>
        <v>Boîte de toit courte</v>
      </c>
      <c r="D85" s="79" t="str">
        <f t="shared" ref="D85:D86" si="22">B85</f>
        <v>08L20-E09-300B</v>
      </c>
      <c r="E85" s="343">
        <f>VLOOKUP(B85,'26MY_PASSPORT_DATA'!B:AR,9,FALSE)</f>
        <v>799</v>
      </c>
      <c r="F85" s="343">
        <f>VLOOKUP(B85,'26MY_PASSPORT_DATA'!B:AR,10,FALSE)</f>
        <v>1332</v>
      </c>
      <c r="G85" s="344">
        <f>VLOOKUP(B85,'26MY_PASSPORT_DATA'!B:AR,7,FALSE)</f>
        <v>0.2</v>
      </c>
      <c r="H85" s="345">
        <f>VLOOKUP(B85,'26MY_PASSPORT_DATA'!B:AR,11,FALSE)</f>
        <v>1362</v>
      </c>
      <c r="I85" s="347">
        <f>VLOOKUP($B85,'26MY_PASSPORT_DATA'!$B:$AR,12,FALSE)</f>
        <v>0</v>
      </c>
      <c r="J85" s="347">
        <f>VLOOKUP($B85,'26MY_PASSPORT_DATA'!$B:$AR,13,FALSE)</f>
        <v>0</v>
      </c>
      <c r="K85" s="347" t="str">
        <f>VLOOKUP(B85,'26MY_PASSPORT_DATA'!B:AR,14,FALSE)</f>
        <v>•</v>
      </c>
      <c r="L85" s="347" t="str">
        <f>VLOOKUP(B85,'26MY_PASSPORT_DATA'!B:AR,15,FALSE)</f>
        <v>•</v>
      </c>
      <c r="M85" s="347">
        <f>VLOOKUP($B85,'26MY_PASSPORT_DATA'!$B:$AR,16,FALSE)</f>
        <v>0</v>
      </c>
      <c r="N85" s="347">
        <f>VLOOKUP(B85,'26MY_PASSPORT_DATA'!B:AR,17,FALSE)</f>
        <v>0</v>
      </c>
      <c r="O85" s="347" t="str">
        <f>VLOOKUP(B85,'26MY_PASSPORT_DATA'!B:AR,18,FALSE)</f>
        <v>•</v>
      </c>
      <c r="P85" s="347" t="str">
        <f>VLOOKUP(B85,'26MY_PASSPORT_DATA'!B:AR,19,FALSE)</f>
        <v>•</v>
      </c>
      <c r="Q85" s="375"/>
    </row>
    <row r="86" spans="2:17" s="135" customFormat="1" ht="15" customHeight="1">
      <c r="B86" s="298" t="s">
        <v>194</v>
      </c>
      <c r="C86" s="192" t="str">
        <f>VLOOKUP(B86,'26MY_PASSPORT_DATA'!B:AR,4,FALSE)</f>
        <v>Boîte de toit longue</v>
      </c>
      <c r="D86" s="79" t="str">
        <f t="shared" si="22"/>
        <v>08L20-E09-300A</v>
      </c>
      <c r="E86" s="343">
        <f>VLOOKUP(B86,'26MY_PASSPORT_DATA'!B:AR,9,FALSE)</f>
        <v>875</v>
      </c>
      <c r="F86" s="343">
        <f>VLOOKUP(B86,'26MY_PASSPORT_DATA'!B:AR,10,FALSE)</f>
        <v>1458</v>
      </c>
      <c r="G86" s="344">
        <f>VLOOKUP(B86,'26MY_PASSPORT_DATA'!B:AR,7,FALSE)</f>
        <v>0.2</v>
      </c>
      <c r="H86" s="345">
        <f>VLOOKUP(B86,'26MY_PASSPORT_DATA'!B:AR,11,FALSE)</f>
        <v>1488</v>
      </c>
      <c r="I86" s="347">
        <f>VLOOKUP($B86,'26MY_PASSPORT_DATA'!$B:$AR,12,FALSE)</f>
        <v>0</v>
      </c>
      <c r="J86" s="347">
        <f>VLOOKUP($B86,'26MY_PASSPORT_DATA'!$B:$AR,13,FALSE)</f>
        <v>0</v>
      </c>
      <c r="K86" s="347" t="str">
        <f>VLOOKUP(B86,'26MY_PASSPORT_DATA'!B:AR,14,FALSE)</f>
        <v>•</v>
      </c>
      <c r="L86" s="347" t="str">
        <f>VLOOKUP(B86,'26MY_PASSPORT_DATA'!B:AR,15,FALSE)</f>
        <v>•</v>
      </c>
      <c r="M86" s="347">
        <f>VLOOKUP($B86,'26MY_PASSPORT_DATA'!$B:$AR,16,FALSE)</f>
        <v>0</v>
      </c>
      <c r="N86" s="347">
        <f>VLOOKUP(B86,'26MY_PASSPORT_DATA'!B:AR,17,FALSE)</f>
        <v>0</v>
      </c>
      <c r="O86" s="347" t="str">
        <f>VLOOKUP(B86,'26MY_PASSPORT_DATA'!B:AR,18,FALSE)</f>
        <v>•</v>
      </c>
      <c r="P86" s="347" t="str">
        <f>VLOOKUP(B86,'26MY_PASSPORT_DATA'!B:AR,19,FALSE)</f>
        <v>•</v>
      </c>
      <c r="Q86" s="375"/>
    </row>
    <row r="87" spans="2:17" s="135" customFormat="1" ht="15" customHeight="1">
      <c r="B87" s="298" t="s">
        <v>427</v>
      </c>
      <c r="C87" s="192" t="str">
        <f>VLOOKUP(B87,'26MY_PASSPORT_DATA'!B:AR,4,FALSE)</f>
        <v>Panier de toit</v>
      </c>
      <c r="D87" s="79" t="str">
        <f t="shared" ref="D87" si="23">B87</f>
        <v>08L20-E09-101C</v>
      </c>
      <c r="E87" s="343">
        <f>VLOOKUP(B87,'26MY_PASSPORT_DATA'!B:AR,9,FALSE)</f>
        <v>571</v>
      </c>
      <c r="F87" s="343">
        <f>VLOOKUP(B87,'26MY_PASSPORT_DATA'!B:AR,10,FALSE)</f>
        <v>952</v>
      </c>
      <c r="G87" s="344">
        <f>VLOOKUP(B87,'26MY_PASSPORT_DATA'!B:AR,7,FALSE)</f>
        <v>0.4</v>
      </c>
      <c r="H87" s="345">
        <f>VLOOKUP(B87,'26MY_PASSPORT_DATA'!B:AR,11,FALSE)</f>
        <v>1012</v>
      </c>
      <c r="I87" s="347">
        <f>VLOOKUP($B87,'26MY_PASSPORT_DATA'!$B:$AR,12,FALSE)</f>
        <v>0</v>
      </c>
      <c r="J87" s="347">
        <f>VLOOKUP($B87,'26MY_PASSPORT_DATA'!$B:$AR,13,FALSE)</f>
        <v>0</v>
      </c>
      <c r="K87" s="347" t="str">
        <f>VLOOKUP(B87,'26MY_PASSPORT_DATA'!B:AR,14,FALSE)</f>
        <v>•</v>
      </c>
      <c r="L87" s="347" t="str">
        <f>VLOOKUP(B87,'26MY_PASSPORT_DATA'!B:AR,15,FALSE)</f>
        <v>•</v>
      </c>
      <c r="M87" s="347">
        <f>VLOOKUP($B87,'26MY_PASSPORT_DATA'!$B:$AR,16,FALSE)</f>
        <v>0</v>
      </c>
      <c r="N87" s="347">
        <f>VLOOKUP(B87,'26MY_PASSPORT_DATA'!B:AR,17,FALSE)</f>
        <v>0</v>
      </c>
      <c r="O87" s="347" t="str">
        <f>VLOOKUP(B87,'26MY_PASSPORT_DATA'!B:AR,18,FALSE)</f>
        <v>•</v>
      </c>
      <c r="P87" s="347" t="str">
        <f>VLOOKUP(B87,'26MY_PASSPORT_DATA'!B:AR,19,FALSE)</f>
        <v>•</v>
      </c>
      <c r="Q87" s="375"/>
    </row>
    <row r="88" spans="2:17" s="135" customFormat="1" ht="15" customHeight="1">
      <c r="B88" s="298"/>
      <c r="C88" s="130"/>
      <c r="D88" s="130"/>
      <c r="E88" s="140"/>
      <c r="F88" s="140"/>
      <c r="G88" s="193"/>
      <c r="H88" s="140"/>
      <c r="I88" s="140"/>
      <c r="J88" s="140"/>
      <c r="K88" s="140"/>
      <c r="L88" s="140"/>
      <c r="M88" s="140"/>
      <c r="N88" s="140"/>
      <c r="O88" s="140"/>
      <c r="P88" s="140"/>
      <c r="Q88" s="140"/>
    </row>
    <row r="89" spans="2:17" s="133" customFormat="1" ht="18.75">
      <c r="B89" s="300"/>
      <c r="C89" s="152" t="s">
        <v>83</v>
      </c>
      <c r="D89" s="152"/>
      <c r="E89" s="194"/>
      <c r="F89" s="194"/>
      <c r="G89" s="194"/>
      <c r="H89" s="194"/>
      <c r="I89" s="194"/>
      <c r="J89" s="194"/>
      <c r="K89" s="194"/>
      <c r="L89" s="194"/>
      <c r="M89" s="194"/>
      <c r="N89" s="194"/>
      <c r="O89" s="194"/>
      <c r="P89" s="194"/>
      <c r="Q89" s="194"/>
    </row>
    <row r="90" spans="2:17" s="134" customFormat="1" ht="15" customHeight="1">
      <c r="B90" s="299"/>
      <c r="C90" s="387" t="s">
        <v>74</v>
      </c>
      <c r="D90" s="387" t="s">
        <v>75</v>
      </c>
      <c r="E90" s="387" t="s">
        <v>76</v>
      </c>
      <c r="F90" s="387" t="s">
        <v>77</v>
      </c>
      <c r="G90" s="387" t="s">
        <v>78</v>
      </c>
      <c r="H90" s="386" t="s">
        <v>79</v>
      </c>
      <c r="I90" s="387" t="s">
        <v>23</v>
      </c>
      <c r="J90" s="387"/>
      <c r="K90" s="387"/>
      <c r="L90" s="387"/>
      <c r="M90" s="387"/>
      <c r="N90" s="387"/>
      <c r="O90" s="387"/>
      <c r="P90" s="387"/>
      <c r="Q90" s="387" t="s">
        <v>80</v>
      </c>
    </row>
    <row r="91" spans="2:17" s="134" customFormat="1" ht="45">
      <c r="B91" s="299"/>
      <c r="C91" s="387"/>
      <c r="D91" s="387"/>
      <c r="E91" s="387"/>
      <c r="F91" s="387"/>
      <c r="G91" s="387"/>
      <c r="H91" s="386"/>
      <c r="I91" s="174">
        <f>'26MY_PASSPORT_DATA'!$M$6</f>
        <v>0</v>
      </c>
      <c r="J91" s="174">
        <f>'26MY_PASSPORT_DATA'!$M$6</f>
        <v>0</v>
      </c>
      <c r="K91" s="174" t="str">
        <f>'26MY_PASSPORT_DATA'!$O$6</f>
        <v>TrailSport</v>
      </c>
      <c r="L91" s="174" t="str">
        <f>'26MY_PASSPORT_DATA'!$P$6</f>
        <v>TrailSport Blackout</v>
      </c>
      <c r="M91" s="174">
        <f>'26MY_PASSPORT_DATA'!$R$6</f>
        <v>0</v>
      </c>
      <c r="N91" s="174">
        <f>'26MY_PASSPORT_DATA'!$R$6</f>
        <v>0</v>
      </c>
      <c r="O91" s="174" t="str">
        <f>'26MY_PASSPORT_DATA'!$S$6</f>
        <v>TrailSport Touring</v>
      </c>
      <c r="P91" s="174" t="str">
        <f>'26MY_PASSPORT_DATA'!$T$6</f>
        <v>Trailsport Touring Blackout</v>
      </c>
      <c r="Q91" s="387"/>
    </row>
    <row r="92" spans="2:17" s="135" customFormat="1" ht="15" customHeight="1">
      <c r="B92" s="298" t="s">
        <v>240</v>
      </c>
      <c r="C92" s="224" t="str">
        <f>VLOOKUP(B92,'26MY_PASSPORT_DATA'!B:AR,4,FALSE)</f>
        <v>Tapis toutes saisons (logo TrailSport)</v>
      </c>
      <c r="D92" s="79" t="str">
        <f t="shared" ref="D92:D103" si="24">B92</f>
        <v>08P17-3BM-120A</v>
      </c>
      <c r="E92" s="343">
        <f>VLOOKUP(B92,'26MY_PASSPORT_DATA'!B:AR,9,FALSE)</f>
        <v>210</v>
      </c>
      <c r="F92" s="343">
        <f>VLOOKUP(B92,'26MY_PASSPORT_DATA'!B:AR,10,FALSE)</f>
        <v>350</v>
      </c>
      <c r="G92" s="344">
        <f>VLOOKUP(B92,'26MY_PASSPORT_DATA'!B:AR,7,FALSE)</f>
        <v>0.1</v>
      </c>
      <c r="H92" s="345">
        <f>VLOOKUP(B92,'26MY_PASSPORT_DATA'!B:AR,11,FALSE)</f>
        <v>365</v>
      </c>
      <c r="I92" s="347">
        <f>VLOOKUP($B92,'26MY_PASSPORT_DATA'!$B:$AR,12,FALSE)</f>
        <v>0</v>
      </c>
      <c r="J92" s="347">
        <f>VLOOKUP($B92,'26MY_PASSPORT_DATA'!$B:$AR,13,FALSE)</f>
        <v>0</v>
      </c>
      <c r="K92" s="347" t="str">
        <f>VLOOKUP(B92,'26MY_PASSPORT_DATA'!B:AR,14,FALSE)</f>
        <v>•</v>
      </c>
      <c r="L92" s="347" t="str">
        <f>VLOOKUP(B92,'26MY_PASSPORT_DATA'!B:AR,15,FALSE)</f>
        <v>•</v>
      </c>
      <c r="M92" s="347">
        <f>VLOOKUP($B92,'26MY_PASSPORT_DATA'!$B:$AR,16,FALSE)</f>
        <v>0</v>
      </c>
      <c r="N92" s="347">
        <f>VLOOKUP(B92,'26MY_PASSPORT_DATA'!B:AR,17,FALSE)</f>
        <v>0</v>
      </c>
      <c r="O92" s="347" t="str">
        <f>VLOOKUP(B92,'26MY_PASSPORT_DATA'!B:AR,18,FALSE)</f>
        <v>•</v>
      </c>
      <c r="P92" s="347" t="str">
        <f>VLOOKUP(B92,'26MY_PASSPORT_DATA'!B:AR,19,FALSE)</f>
        <v>•</v>
      </c>
      <c r="Q92" s="346" t="str">
        <f>IF(VLOOKUP(B92,'26MY_PASSPORT_DATA'!B:AR,21,FALSE)="","",VLOOKUP(B92,'26MY_PASSPORT_DATA'!B:AR,21,FALSE))</f>
        <v/>
      </c>
    </row>
    <row r="93" spans="2:17" s="135" customFormat="1" ht="15" customHeight="1">
      <c r="B93" s="298" t="s">
        <v>244</v>
      </c>
      <c r="C93" s="224" t="str">
        <f>VLOOKUP(B93,'26MY_PASSPORT_DATA'!B:AR,4,FALSE)</f>
        <v>Plateau pour compartiment utilitaire</v>
      </c>
      <c r="D93" s="79" t="str">
        <f t="shared" si="24"/>
        <v>08U45-3BM-100</v>
      </c>
      <c r="E93" s="343">
        <f>VLOOKUP(B93,'26MY_PASSPORT_DATA'!B:AR,9,FALSE)</f>
        <v>120</v>
      </c>
      <c r="F93" s="343">
        <f>VLOOKUP(B93,'26MY_PASSPORT_DATA'!B:AR,10,FALSE)</f>
        <v>200</v>
      </c>
      <c r="G93" s="344">
        <f>VLOOKUP(B93,'26MY_PASSPORT_DATA'!B:AR,7,FALSE)</f>
        <v>0.1</v>
      </c>
      <c r="H93" s="345">
        <f>VLOOKUP(B93,'26MY_PASSPORT_DATA'!B:AR,11,FALSE)</f>
        <v>215</v>
      </c>
      <c r="I93" s="347">
        <f>VLOOKUP($B93,'26MY_PASSPORT_DATA'!$B:$AR,12,FALSE)</f>
        <v>0</v>
      </c>
      <c r="J93" s="347">
        <f>VLOOKUP($B93,'26MY_PASSPORT_DATA'!$B:$AR,13,FALSE)</f>
        <v>0</v>
      </c>
      <c r="K93" s="347" t="str">
        <f>VLOOKUP(B93,'26MY_PASSPORT_DATA'!B:AR,14,FALSE)</f>
        <v>•</v>
      </c>
      <c r="L93" s="347" t="str">
        <f>VLOOKUP(B93,'26MY_PASSPORT_DATA'!B:AR,15,FALSE)</f>
        <v>•</v>
      </c>
      <c r="M93" s="347">
        <f>VLOOKUP($B93,'26MY_PASSPORT_DATA'!$B:$AR,16,FALSE)</f>
        <v>0</v>
      </c>
      <c r="N93" s="347">
        <f>VLOOKUP(B93,'26MY_PASSPORT_DATA'!B:AR,17,FALSE)</f>
        <v>0</v>
      </c>
      <c r="O93" s="347" t="str">
        <f>VLOOKUP(B93,'26MY_PASSPORT_DATA'!B:AR,18,FALSE)</f>
        <v>•</v>
      </c>
      <c r="P93" s="347" t="str">
        <f>VLOOKUP(B93,'26MY_PASSPORT_DATA'!B:AR,19,FALSE)</f>
        <v>•</v>
      </c>
      <c r="Q93" s="346" t="str">
        <f>IF(VLOOKUP(B93,'26MY_PASSPORT_DATA'!B:AR,21,FALSE)="","",VLOOKUP(B93,'26MY_PASSPORT_DATA'!B:AR,21,FALSE))</f>
        <v/>
      </c>
    </row>
    <row r="94" spans="2:17" s="135" customFormat="1" ht="30">
      <c r="B94" s="298" t="s">
        <v>250</v>
      </c>
      <c r="C94" s="224" t="str">
        <f>VLOOKUP(B94,'26MY_PASSPORT_DATA'!B:AR,4,FALSE)</f>
        <v>Couvre-bagages</v>
      </c>
      <c r="D94" s="79" t="str">
        <f t="shared" si="24"/>
        <v>08U35-3BM-310</v>
      </c>
      <c r="E94" s="343">
        <f>VLOOKUP(B94,'26MY_PASSPORT_DATA'!B:AR,9,FALSE)</f>
        <v>273</v>
      </c>
      <c r="F94" s="343">
        <f>VLOOKUP(B94,'26MY_PASSPORT_DATA'!B:AR,10,FALSE)</f>
        <v>455</v>
      </c>
      <c r="G94" s="344">
        <f>VLOOKUP(B94,'26MY_PASSPORT_DATA'!B:AR,7,FALSE)</f>
        <v>0.1</v>
      </c>
      <c r="H94" s="345">
        <f>VLOOKUP(B94,'26MY_PASSPORT_DATA'!B:AR,11,FALSE)</f>
        <v>470</v>
      </c>
      <c r="I94" s="347">
        <f>VLOOKUP($B94,'26MY_PASSPORT_DATA'!$B:$AR,12,FALSE)</f>
        <v>0</v>
      </c>
      <c r="J94" s="347">
        <f>VLOOKUP($B94,'26MY_PASSPORT_DATA'!$B:$AR,13,FALSE)</f>
        <v>0</v>
      </c>
      <c r="K94" s="347" t="str">
        <f>VLOOKUP(B94,'26MY_PASSPORT_DATA'!B:AR,14,FALSE)</f>
        <v>•</v>
      </c>
      <c r="L94" s="347" t="str">
        <f>VLOOKUP(B94,'26MY_PASSPORT_DATA'!B:AR,15,FALSE)</f>
        <v>•</v>
      </c>
      <c r="M94" s="347">
        <f>VLOOKUP($B94,'26MY_PASSPORT_DATA'!$B:$AR,16,FALSE)</f>
        <v>0</v>
      </c>
      <c r="N94" s="347">
        <f>VLOOKUP(B94,'26MY_PASSPORT_DATA'!B:AR,17,FALSE)</f>
        <v>0</v>
      </c>
      <c r="O94" s="347" t="str">
        <f>VLOOKUP(B94,'26MY_PASSPORT_DATA'!B:AR,18,FALSE)</f>
        <v>•</v>
      </c>
      <c r="P94" s="347" t="str">
        <f>VLOOKUP(B94,'26MY_PASSPORT_DATA'!B:AR,19,FALSE)</f>
        <v>•</v>
      </c>
      <c r="Q94" s="346" t="str">
        <f>IF(VLOOKUP(B94,'26MY_PASSPORT_DATA'!B:AR,21,FALSE)="","",VLOOKUP(B94,'26MY_PASSPORT_DATA'!B:AR,21,FALSE))</f>
        <v>Ne peut pas être utilisé en conjonction avec tablette/table pour compartiment utilitaire.</v>
      </c>
    </row>
    <row r="95" spans="2:17" s="135" customFormat="1" ht="15" customHeight="1">
      <c r="B95" s="298" t="s">
        <v>241</v>
      </c>
      <c r="C95" s="224" t="str">
        <f>VLOOKUP(B95,'26MY_PASSPORT_DATA'!B:AR,4,FALSE)</f>
        <v>Protecteur de dossier de siège</v>
      </c>
      <c r="D95" s="79" t="str">
        <f t="shared" si="24"/>
        <v>08P42-3BM-100</v>
      </c>
      <c r="E95" s="343">
        <f>VLOOKUP(B95,'26MY_PASSPORT_DATA'!B:AR,9,FALSE)</f>
        <v>123</v>
      </c>
      <c r="F95" s="343">
        <f>VLOOKUP(B95,'26MY_PASSPORT_DATA'!B:AR,10,FALSE)</f>
        <v>205</v>
      </c>
      <c r="G95" s="344">
        <f>VLOOKUP(B95,'26MY_PASSPORT_DATA'!B:AR,7,FALSE)</f>
        <v>0.2</v>
      </c>
      <c r="H95" s="345">
        <f>VLOOKUP(B95,'26MY_PASSPORT_DATA'!B:AR,11,FALSE)</f>
        <v>235</v>
      </c>
      <c r="I95" s="347">
        <f>VLOOKUP($B95,'26MY_PASSPORT_DATA'!$B:$AR,12,FALSE)</f>
        <v>0</v>
      </c>
      <c r="J95" s="347">
        <f>VLOOKUP($B95,'26MY_PASSPORT_DATA'!$B:$AR,13,FALSE)</f>
        <v>0</v>
      </c>
      <c r="K95" s="347" t="str">
        <f>VLOOKUP(B95,'26MY_PASSPORT_DATA'!B:AR,14,FALSE)</f>
        <v>•</v>
      </c>
      <c r="L95" s="347" t="str">
        <f>VLOOKUP(B95,'26MY_PASSPORT_DATA'!B:AR,15,FALSE)</f>
        <v>•</v>
      </c>
      <c r="M95" s="347">
        <f>VLOOKUP($B95,'26MY_PASSPORT_DATA'!$B:$AR,16,FALSE)</f>
        <v>0</v>
      </c>
      <c r="N95" s="347">
        <f>VLOOKUP(B95,'26MY_PASSPORT_DATA'!B:AR,17,FALSE)</f>
        <v>0</v>
      </c>
      <c r="O95" s="347" t="str">
        <f>VLOOKUP(B95,'26MY_PASSPORT_DATA'!B:AR,18,FALSE)</f>
        <v>•</v>
      </c>
      <c r="P95" s="347" t="str">
        <f>VLOOKUP(B95,'26MY_PASSPORT_DATA'!B:AR,19,FALSE)</f>
        <v>•</v>
      </c>
      <c r="Q95" s="346" t="str">
        <f>IF(VLOOKUP(B95,'26MY_PASSPORT_DATA'!B:AR,21,FALSE)="","",VLOOKUP(B95,'26MY_PASSPORT_DATA'!B:AR,21,FALSE))</f>
        <v/>
      </c>
    </row>
    <row r="96" spans="2:17" s="135" customFormat="1" ht="15" customHeight="1">
      <c r="B96" s="298" t="s">
        <v>249</v>
      </c>
      <c r="C96" s="224" t="str">
        <f>VLOOKUP(B96,'26MY_PASSPORT_DATA'!B:AR,4,FALSE)</f>
        <v>Barrière de séparation</v>
      </c>
      <c r="D96" s="79" t="str">
        <f t="shared" si="24"/>
        <v>08U35-3BM-300A</v>
      </c>
      <c r="E96" s="343">
        <f>VLOOKUP(B96,'26MY_PASSPORT_DATA'!B:AR,9,FALSE)</f>
        <v>621</v>
      </c>
      <c r="F96" s="343">
        <f>VLOOKUP(B96,'26MY_PASSPORT_DATA'!B:AR,10,FALSE)</f>
        <v>1035</v>
      </c>
      <c r="G96" s="344">
        <f>VLOOKUP(B96,'26MY_PASSPORT_DATA'!B:AR,7,FALSE)</f>
        <v>0.4</v>
      </c>
      <c r="H96" s="345">
        <f>VLOOKUP(B96,'26MY_PASSPORT_DATA'!B:AR,11,FALSE)</f>
        <v>1095</v>
      </c>
      <c r="I96" s="347">
        <f>VLOOKUP($B96,'26MY_PASSPORT_DATA'!$B:$AR,12,FALSE)</f>
        <v>0</v>
      </c>
      <c r="J96" s="347">
        <f>VLOOKUP($B96,'26MY_PASSPORT_DATA'!$B:$AR,13,FALSE)</f>
        <v>0</v>
      </c>
      <c r="K96" s="347" t="str">
        <f>VLOOKUP(B96,'26MY_PASSPORT_DATA'!B:AR,14,FALSE)</f>
        <v>•</v>
      </c>
      <c r="L96" s="347" t="str">
        <f>VLOOKUP(B96,'26MY_PASSPORT_DATA'!B:AR,15,FALSE)</f>
        <v>•</v>
      </c>
      <c r="M96" s="347">
        <f>VLOOKUP($B96,'26MY_PASSPORT_DATA'!$B:$AR,16,FALSE)</f>
        <v>0</v>
      </c>
      <c r="N96" s="347">
        <f>VLOOKUP(B96,'26MY_PASSPORT_DATA'!B:AR,17,FALSE)</f>
        <v>0</v>
      </c>
      <c r="O96" s="347" t="str">
        <f>VLOOKUP(B96,'26MY_PASSPORT_DATA'!B:AR,18,FALSE)</f>
        <v>•</v>
      </c>
      <c r="P96" s="347" t="str">
        <f>VLOOKUP(B96,'26MY_PASSPORT_DATA'!B:AR,19,FALSE)</f>
        <v>•</v>
      </c>
      <c r="Q96" s="346" t="str">
        <f>IF(VLOOKUP(B96,'26MY_PASSPORT_DATA'!B:AR,21,FALSE)="","",VLOOKUP(B96,'26MY_PASSPORT_DATA'!B:AR,21,FALSE))</f>
        <v/>
      </c>
    </row>
    <row r="97" spans="2:17" s="135" customFormat="1" ht="15" customHeight="1">
      <c r="B97" s="298" t="s">
        <v>253</v>
      </c>
      <c r="C97" s="224" t="str">
        <f>VLOOKUP(B97,'26MY_PASSPORT_DATA'!B:AR,4,FALSE)</f>
        <v>Panneau utilitaire</v>
      </c>
      <c r="D97" s="79" t="str">
        <f t="shared" si="24"/>
        <v>08Z03-3BM-300</v>
      </c>
      <c r="E97" s="343">
        <f>VLOOKUP(B97,'26MY_PASSPORT_DATA'!B:AR,9,FALSE)</f>
        <v>171</v>
      </c>
      <c r="F97" s="343">
        <f>VLOOKUP(B97,'26MY_PASSPORT_DATA'!B:AR,10,FALSE)</f>
        <v>285</v>
      </c>
      <c r="G97" s="344">
        <f>VLOOKUP(B97,'26MY_PASSPORT_DATA'!B:AR,7,FALSE)</f>
        <v>0.3</v>
      </c>
      <c r="H97" s="345">
        <f>VLOOKUP(B97,'26MY_PASSPORT_DATA'!B:AR,11,FALSE)</f>
        <v>330</v>
      </c>
      <c r="I97" s="347">
        <f>VLOOKUP($B97,'26MY_PASSPORT_DATA'!$B:$AR,12,FALSE)</f>
        <v>0</v>
      </c>
      <c r="J97" s="347">
        <f>VLOOKUP($B97,'26MY_PASSPORT_DATA'!$B:$AR,13,FALSE)</f>
        <v>0</v>
      </c>
      <c r="K97" s="347" t="str">
        <f>VLOOKUP(B97,'26MY_PASSPORT_DATA'!B:AR,14,FALSE)</f>
        <v>•</v>
      </c>
      <c r="L97" s="347" t="str">
        <f>VLOOKUP(B97,'26MY_PASSPORT_DATA'!B:AR,15,FALSE)</f>
        <v>•</v>
      </c>
      <c r="M97" s="347">
        <f>VLOOKUP($B97,'26MY_PASSPORT_DATA'!$B:$AR,16,FALSE)</f>
        <v>0</v>
      </c>
      <c r="N97" s="347">
        <f>VLOOKUP(B97,'26MY_PASSPORT_DATA'!B:AR,17,FALSE)</f>
        <v>0</v>
      </c>
      <c r="O97" s="347" t="str">
        <f>VLOOKUP(B97,'26MY_PASSPORT_DATA'!B:AR,18,FALSE)</f>
        <v>•</v>
      </c>
      <c r="P97" s="347" t="str">
        <f>VLOOKUP(B97,'26MY_PASSPORT_DATA'!B:AR,19,FALSE)</f>
        <v>•</v>
      </c>
      <c r="Q97" s="346" t="str">
        <f>IF(VLOOKUP(B97,'26MY_PASSPORT_DATA'!B:AR,21,FALSE)="","",VLOOKUP(B97,'26MY_PASSPORT_DATA'!B:AR,21,FALSE))</f>
        <v/>
      </c>
    </row>
    <row r="98" spans="2:17" s="135" customFormat="1" ht="15" customHeight="1">
      <c r="B98" s="298" t="s">
        <v>248</v>
      </c>
      <c r="C98" s="224" t="str">
        <f>VLOOKUP(B98,'26MY_PASSPORT_DATA'!B:AR,4,FALSE)</f>
        <v>Filet pour compartiment utilitaire</v>
      </c>
      <c r="D98" s="79" t="str">
        <f t="shared" ref="D98:D102" si="25">B98</f>
        <v>08L96-3BM-300</v>
      </c>
      <c r="E98" s="343">
        <f>VLOOKUP(B98,'26MY_PASSPORT_DATA'!B:AR,9,FALSE)</f>
        <v>58</v>
      </c>
      <c r="F98" s="343">
        <f>VLOOKUP(B98,'26MY_PASSPORT_DATA'!B:AR,10,FALSE)</f>
        <v>97</v>
      </c>
      <c r="G98" s="344">
        <f>VLOOKUP(B98,'26MY_PASSPORT_DATA'!B:AR,7,FALSE)</f>
        <v>0.1</v>
      </c>
      <c r="H98" s="345">
        <f>VLOOKUP(B98,'26MY_PASSPORT_DATA'!B:AR,11,FALSE)</f>
        <v>112</v>
      </c>
      <c r="I98" s="347">
        <f>VLOOKUP($B98,'26MY_PASSPORT_DATA'!$B:$AR,12,FALSE)</f>
        <v>0</v>
      </c>
      <c r="J98" s="347">
        <f>VLOOKUP($B98,'26MY_PASSPORT_DATA'!$B:$AR,13,FALSE)</f>
        <v>0</v>
      </c>
      <c r="K98" s="347" t="str">
        <f>VLOOKUP(B98,'26MY_PASSPORT_DATA'!B:AR,14,FALSE)</f>
        <v>•</v>
      </c>
      <c r="L98" s="347" t="str">
        <f>VLOOKUP(B98,'26MY_PASSPORT_DATA'!B:AR,15,FALSE)</f>
        <v>•</v>
      </c>
      <c r="M98" s="347">
        <f>VLOOKUP($B98,'26MY_PASSPORT_DATA'!$B:$AR,16,FALSE)</f>
        <v>0</v>
      </c>
      <c r="N98" s="347">
        <f>VLOOKUP(B98,'26MY_PASSPORT_DATA'!B:AR,17,FALSE)</f>
        <v>0</v>
      </c>
      <c r="O98" s="347" t="str">
        <f>VLOOKUP(B98,'26MY_PASSPORT_DATA'!B:AR,18,FALSE)</f>
        <v>•</v>
      </c>
      <c r="P98" s="347" t="str">
        <f>VLOOKUP(B98,'26MY_PASSPORT_DATA'!B:AR,19,FALSE)</f>
        <v>•</v>
      </c>
      <c r="Q98" s="346" t="str">
        <f>IF(VLOOKUP(B98,'26MY_PASSPORT_DATA'!B:AR,21,FALSE)="","",VLOOKUP(B98,'26MY_PASSPORT_DATA'!B:AR,21,FALSE))</f>
        <v/>
      </c>
    </row>
    <row r="99" spans="2:17" s="135" customFormat="1" ht="15" customHeight="1">
      <c r="B99" s="298" t="s">
        <v>265</v>
      </c>
      <c r="C99" s="224" t="str">
        <f>VLOOKUP(B99,'26MY_PASSPORT_DATA'!B:AR,4,FALSE)</f>
        <v>Tablette/table pour compartiment utilitaire</v>
      </c>
      <c r="D99" s="79" t="str">
        <f t="shared" si="25"/>
        <v>08Z05-3BM-100</v>
      </c>
      <c r="E99" s="343">
        <f>VLOOKUP(B99,'26MY_PASSPORT_DATA'!B:AR,9,FALSE)</f>
        <v>575</v>
      </c>
      <c r="F99" s="343">
        <f>VLOOKUP(B99,'26MY_PASSPORT_DATA'!B:AR,10,FALSE)</f>
        <v>958</v>
      </c>
      <c r="G99" s="344">
        <f>VLOOKUP(B99,'26MY_PASSPORT_DATA'!B:AR,7,FALSE)</f>
        <v>0.5</v>
      </c>
      <c r="H99" s="345">
        <f>VLOOKUP(B99,'26MY_PASSPORT_DATA'!B:AR,11,FALSE)</f>
        <v>1033</v>
      </c>
      <c r="I99" s="347">
        <f>VLOOKUP($B99,'26MY_PASSPORT_DATA'!$B:$AR,12,FALSE)</f>
        <v>0</v>
      </c>
      <c r="J99" s="347">
        <f>VLOOKUP($B99,'26MY_PASSPORT_DATA'!$B:$AR,13,FALSE)</f>
        <v>0</v>
      </c>
      <c r="K99" s="347" t="str">
        <f>VLOOKUP(B99,'26MY_PASSPORT_DATA'!B:AR,14,FALSE)</f>
        <v>•</v>
      </c>
      <c r="L99" s="347" t="str">
        <f>VLOOKUP(B99,'26MY_PASSPORT_DATA'!B:AR,15,FALSE)</f>
        <v>•</v>
      </c>
      <c r="M99" s="347">
        <f>VLOOKUP($B99,'26MY_PASSPORT_DATA'!$B:$AR,16,FALSE)</f>
        <v>0</v>
      </c>
      <c r="N99" s="347">
        <f>VLOOKUP(B99,'26MY_PASSPORT_DATA'!B:AR,17,FALSE)</f>
        <v>0</v>
      </c>
      <c r="O99" s="347" t="str">
        <f>VLOOKUP(B99,'26MY_PASSPORT_DATA'!B:AR,18,FALSE)</f>
        <v>•</v>
      </c>
      <c r="P99" s="347" t="str">
        <f>VLOOKUP(B99,'26MY_PASSPORT_DATA'!B:AR,19,FALSE)</f>
        <v>•</v>
      </c>
      <c r="Q99" s="346" t="str">
        <f>IF(VLOOKUP(B99,'26MY_PASSPORT_DATA'!B:AR,21,FALSE)="","",VLOOKUP(B99,'26MY_PASSPORT_DATA'!B:AR,21,FALSE))</f>
        <v>Ne peut pas être utilisé en conjonction avec couvre-bagages</v>
      </c>
    </row>
    <row r="100" spans="2:17" s="135" customFormat="1" ht="15" customHeight="1">
      <c r="B100" s="298" t="s">
        <v>238</v>
      </c>
      <c r="C100" s="224" t="str">
        <f>VLOOKUP(B100,'26MY_PASSPORT_DATA'!B:AR,4,FALSE)</f>
        <v>Pellicule protectrice de seuil de portière</v>
      </c>
      <c r="D100" s="79" t="str">
        <f t="shared" si="25"/>
        <v>08P04-3BM-100</v>
      </c>
      <c r="E100" s="343">
        <f>VLOOKUP(B100,'26MY_PASSPORT_DATA'!B:AR,9,FALSE)</f>
        <v>115</v>
      </c>
      <c r="F100" s="343">
        <f>VLOOKUP(B100,'26MY_PASSPORT_DATA'!B:AR,10,FALSE)</f>
        <v>192</v>
      </c>
      <c r="G100" s="344">
        <f>VLOOKUP(B100,'26MY_PASSPORT_DATA'!B:AR,7,FALSE)</f>
        <v>0.4</v>
      </c>
      <c r="H100" s="345">
        <f>VLOOKUP(B100,'26MY_PASSPORT_DATA'!B:AR,11,FALSE)</f>
        <v>252</v>
      </c>
      <c r="I100" s="347">
        <f>VLOOKUP($B100,'26MY_PASSPORT_DATA'!$B:$AR,12,FALSE)</f>
        <v>0</v>
      </c>
      <c r="J100" s="347">
        <f>VLOOKUP($B100,'26MY_PASSPORT_DATA'!$B:$AR,13,FALSE)</f>
        <v>0</v>
      </c>
      <c r="K100" s="347" t="str">
        <f>VLOOKUP(B100,'26MY_PASSPORT_DATA'!B:AR,14,FALSE)</f>
        <v>•</v>
      </c>
      <c r="L100" s="347" t="str">
        <f>VLOOKUP(B100,'26MY_PASSPORT_DATA'!B:AR,15,FALSE)</f>
        <v>•</v>
      </c>
      <c r="M100" s="347">
        <f>VLOOKUP($B100,'26MY_PASSPORT_DATA'!$B:$AR,16,FALSE)</f>
        <v>0</v>
      </c>
      <c r="N100" s="347">
        <f>VLOOKUP(B100,'26MY_PASSPORT_DATA'!B:AR,17,FALSE)</f>
        <v>0</v>
      </c>
      <c r="O100" s="347" t="str">
        <f>VLOOKUP(B100,'26MY_PASSPORT_DATA'!B:AR,18,FALSE)</f>
        <v>•</v>
      </c>
      <c r="P100" s="347" t="str">
        <f>VLOOKUP(B100,'26MY_PASSPORT_DATA'!B:AR,19,FALSE)</f>
        <v>•</v>
      </c>
      <c r="Q100" s="346" t="str">
        <f>IF(VLOOKUP(B100,'26MY_PASSPORT_DATA'!B:AR,21,FALSE)="","",VLOOKUP(B100,'26MY_PASSPORT_DATA'!B:AR,21,FALSE))</f>
        <v/>
      </c>
    </row>
    <row r="101" spans="2:17" s="135" customFormat="1" ht="15" customHeight="1">
      <c r="B101" s="298" t="s">
        <v>271</v>
      </c>
      <c r="C101" s="224" t="str">
        <f>VLOOKUP(B101,'26MY_PASSPORT_DATA'!B:AR,4,FALSE)</f>
        <v>Organisateur souple pour compartiment utilitaire</v>
      </c>
      <c r="D101" s="79" t="str">
        <f t="shared" si="25"/>
        <v>08U20-S9V-101</v>
      </c>
      <c r="E101" s="343">
        <f>VLOOKUP(B101,'26MY_PASSPORT_DATA'!B:AR,9,FALSE)</f>
        <v>86</v>
      </c>
      <c r="F101" s="343">
        <f>VLOOKUP(B101,'26MY_PASSPORT_DATA'!B:AR,10,FALSE)</f>
        <v>143</v>
      </c>
      <c r="G101" s="344">
        <f>VLOOKUP(B101,'26MY_PASSPORT_DATA'!B:AR,7,FALSE)</f>
        <v>0</v>
      </c>
      <c r="H101" s="345">
        <f>VLOOKUP(B101,'26MY_PASSPORT_DATA'!B:AR,11,FALSE)</f>
        <v>143</v>
      </c>
      <c r="I101" s="347">
        <f>VLOOKUP($B101,'26MY_PASSPORT_DATA'!$B:$AR,12,FALSE)</f>
        <v>0</v>
      </c>
      <c r="J101" s="347">
        <f>VLOOKUP($B101,'26MY_PASSPORT_DATA'!$B:$AR,13,FALSE)</f>
        <v>0</v>
      </c>
      <c r="K101" s="347" t="str">
        <f>VLOOKUP(B101,'26MY_PASSPORT_DATA'!B:AR,14,FALSE)</f>
        <v>•</v>
      </c>
      <c r="L101" s="347" t="str">
        <f>VLOOKUP(B101,'26MY_PASSPORT_DATA'!B:AR,15,FALSE)</f>
        <v>•</v>
      </c>
      <c r="M101" s="347">
        <f>VLOOKUP($B101,'26MY_PASSPORT_DATA'!$B:$AR,16,FALSE)</f>
        <v>0</v>
      </c>
      <c r="N101" s="347">
        <f>VLOOKUP(B101,'26MY_PASSPORT_DATA'!B:AR,17,FALSE)</f>
        <v>0</v>
      </c>
      <c r="O101" s="347" t="str">
        <f>VLOOKUP(B101,'26MY_PASSPORT_DATA'!B:AR,18,FALSE)</f>
        <v>•</v>
      </c>
      <c r="P101" s="347" t="str">
        <f>VLOOKUP(B101,'26MY_PASSPORT_DATA'!B:AR,19,FALSE)</f>
        <v>•</v>
      </c>
      <c r="Q101" s="346" t="str">
        <f>IF(VLOOKUP(B101,'26MY_PASSPORT_DATA'!B:AR,21,FALSE)="","",VLOOKUP(B101,'26MY_PASSPORT_DATA'!B:AR,21,FALSE))</f>
        <v/>
      </c>
    </row>
    <row r="102" spans="2:17" s="135" customFormat="1" ht="15" customHeight="1">
      <c r="B102" s="298" t="s">
        <v>272</v>
      </c>
      <c r="C102" s="224" t="str">
        <f>VLOOKUP(B102,'26MY_PASSPORT_DATA'!B:AR,4,FALSE)</f>
        <v>Cendrier</v>
      </c>
      <c r="D102" s="79" t="str">
        <f t="shared" si="25"/>
        <v>08U25-S5D-106</v>
      </c>
      <c r="E102" s="343">
        <f>VLOOKUP(B102,'26MY_PASSPORT_DATA'!B:AR,9,FALSE)</f>
        <v>39</v>
      </c>
      <c r="F102" s="343">
        <f>VLOOKUP(B102,'26MY_PASSPORT_DATA'!B:AR,10,FALSE)</f>
        <v>65</v>
      </c>
      <c r="G102" s="344">
        <f>VLOOKUP(B102,'26MY_PASSPORT_DATA'!B:AR,7,FALSE)</f>
        <v>0</v>
      </c>
      <c r="H102" s="345">
        <f>VLOOKUP(B102,'26MY_PASSPORT_DATA'!B:AR,11,FALSE)</f>
        <v>65</v>
      </c>
      <c r="I102" s="347">
        <f>VLOOKUP($B102,'26MY_PASSPORT_DATA'!$B:$AR,12,FALSE)</f>
        <v>0</v>
      </c>
      <c r="J102" s="347">
        <f>VLOOKUP($B102,'26MY_PASSPORT_DATA'!$B:$AR,13,FALSE)</f>
        <v>0</v>
      </c>
      <c r="K102" s="347" t="str">
        <f>VLOOKUP(B102,'26MY_PASSPORT_DATA'!B:AR,14,FALSE)</f>
        <v>•</v>
      </c>
      <c r="L102" s="347" t="str">
        <f>VLOOKUP(B102,'26MY_PASSPORT_DATA'!B:AR,15,FALSE)</f>
        <v>•</v>
      </c>
      <c r="M102" s="347">
        <f>VLOOKUP($B102,'26MY_PASSPORT_DATA'!$B:$AR,16,FALSE)</f>
        <v>0</v>
      </c>
      <c r="N102" s="347">
        <f>VLOOKUP(B102,'26MY_PASSPORT_DATA'!B:AR,17,FALSE)</f>
        <v>0</v>
      </c>
      <c r="O102" s="347" t="str">
        <f>VLOOKUP(B102,'26MY_PASSPORT_DATA'!B:AR,18,FALSE)</f>
        <v>•</v>
      </c>
      <c r="P102" s="347" t="str">
        <f>VLOOKUP(B102,'26MY_PASSPORT_DATA'!B:AR,19,FALSE)</f>
        <v>•</v>
      </c>
      <c r="Q102" s="346" t="str">
        <f>IF(VLOOKUP(B102,'26MY_PASSPORT_DATA'!B:AR,21,FALSE)="","",VLOOKUP(B102,'26MY_PASSPORT_DATA'!B:AR,21,FALSE))</f>
        <v/>
      </c>
    </row>
    <row r="103" spans="2:17" s="135" customFormat="1" ht="16.5">
      <c r="B103" s="298" t="s">
        <v>280</v>
      </c>
      <c r="C103" s="224" t="str">
        <f>VLOOKUP(B103,'26MY_PASSPORT_DATA'!B:AR,4,FALSE)</f>
        <v>Organisateur d’outils</v>
      </c>
      <c r="D103" s="79" t="str">
        <f t="shared" si="24"/>
        <v>08U08-3BM-100</v>
      </c>
      <c r="E103" s="343">
        <f>VLOOKUP(B103,'26MY_PASSPORT_DATA'!B:AR,9,FALSE)</f>
        <v>105</v>
      </c>
      <c r="F103" s="343">
        <f>VLOOKUP(B103,'26MY_PASSPORT_DATA'!B:AR,10,FALSE)</f>
        <v>175</v>
      </c>
      <c r="G103" s="344">
        <f>VLOOKUP(B103,'26MY_PASSPORT_DATA'!B:AR,7,FALSE)</f>
        <v>0</v>
      </c>
      <c r="H103" s="345">
        <f>VLOOKUP(B103,'26MY_PASSPORT_DATA'!B:AR,11,FALSE)</f>
        <v>175</v>
      </c>
      <c r="I103" s="347">
        <f>VLOOKUP($B103,'26MY_PASSPORT_DATA'!$B:$AR,12,FALSE)</f>
        <v>0</v>
      </c>
      <c r="J103" s="347">
        <f>VLOOKUP($B103,'26MY_PASSPORT_DATA'!$B:$AR,13,FALSE)</f>
        <v>0</v>
      </c>
      <c r="K103" s="347" t="str">
        <f>VLOOKUP(B103,'26MY_PASSPORT_DATA'!B:AR,14,FALSE)</f>
        <v>•</v>
      </c>
      <c r="L103" s="347" t="str">
        <f>VLOOKUP(B103,'26MY_PASSPORT_DATA'!B:AR,15,FALSE)</f>
        <v>•</v>
      </c>
      <c r="M103" s="347">
        <f>VLOOKUP($B103,'26MY_PASSPORT_DATA'!$B:$AR,16,FALSE)</f>
        <v>0</v>
      </c>
      <c r="N103" s="347">
        <f>VLOOKUP(B103,'26MY_PASSPORT_DATA'!B:AR,17,FALSE)</f>
        <v>0</v>
      </c>
      <c r="O103" s="347" t="str">
        <f>VLOOKUP(B103,'26MY_PASSPORT_DATA'!B:AR,18,FALSE)</f>
        <v>•</v>
      </c>
      <c r="P103" s="347" t="str">
        <f>VLOOKUP(B103,'26MY_PASSPORT_DATA'!B:AR,19,FALSE)</f>
        <v>•</v>
      </c>
      <c r="Q103" s="346" t="str">
        <f>IF(VLOOKUP(B103,'26MY_PASSPORT_DATA'!B:AR,21,FALSE)="","",VLOOKUP(B103,'26MY_PASSPORT_DATA'!B:AR,21,FALSE))</f>
        <v/>
      </c>
    </row>
    <row r="104" spans="2:17" s="135" customFormat="1" ht="12" customHeight="1">
      <c r="B104" s="298"/>
      <c r="C104" s="19"/>
      <c r="D104" s="27"/>
      <c r="E104" s="21"/>
      <c r="F104" s="21"/>
      <c r="G104" s="22"/>
      <c r="H104" s="23"/>
      <c r="I104" s="24"/>
      <c r="J104" s="24"/>
      <c r="K104" s="24"/>
      <c r="L104" s="24"/>
      <c r="M104" s="24"/>
      <c r="N104" s="24"/>
      <c r="O104" s="24"/>
      <c r="P104" s="24"/>
      <c r="Q104" s="25"/>
    </row>
    <row r="105" spans="2:17" s="133" customFormat="1" ht="18.75">
      <c r="B105" s="300"/>
      <c r="C105" s="152" t="s">
        <v>84</v>
      </c>
      <c r="D105" s="152"/>
      <c r="E105" s="48"/>
      <c r="F105" s="49"/>
      <c r="G105" s="49"/>
      <c r="H105" s="49"/>
      <c r="I105" s="49"/>
      <c r="J105" s="49"/>
      <c r="K105" s="49"/>
      <c r="L105" s="49"/>
      <c r="M105" s="49"/>
      <c r="N105" s="49"/>
      <c r="O105" s="49"/>
      <c r="P105" s="49"/>
      <c r="Q105" s="49"/>
    </row>
    <row r="106" spans="2:17" s="134" customFormat="1" ht="15" customHeight="1">
      <c r="B106" s="299"/>
      <c r="C106" s="387" t="s">
        <v>74</v>
      </c>
      <c r="D106" s="387" t="s">
        <v>75</v>
      </c>
      <c r="E106" s="387" t="s">
        <v>76</v>
      </c>
      <c r="F106" s="387" t="s">
        <v>77</v>
      </c>
      <c r="G106" s="387" t="s">
        <v>78</v>
      </c>
      <c r="H106" s="386" t="s">
        <v>79</v>
      </c>
      <c r="I106" s="387" t="s">
        <v>23</v>
      </c>
      <c r="J106" s="387"/>
      <c r="K106" s="387"/>
      <c r="L106" s="387"/>
      <c r="M106" s="387"/>
      <c r="N106" s="387"/>
      <c r="O106" s="387"/>
      <c r="P106" s="387"/>
      <c r="Q106" s="387" t="s">
        <v>80</v>
      </c>
    </row>
    <row r="107" spans="2:17" s="134" customFormat="1" ht="45">
      <c r="B107" s="299"/>
      <c r="C107" s="387"/>
      <c r="D107" s="387"/>
      <c r="E107" s="387"/>
      <c r="F107" s="387"/>
      <c r="G107" s="387"/>
      <c r="H107" s="386"/>
      <c r="I107" s="174">
        <f>'26MY_PASSPORT_DATA'!$M$6</f>
        <v>0</v>
      </c>
      <c r="J107" s="174">
        <f>'26MY_PASSPORT_DATA'!$M$6</f>
        <v>0</v>
      </c>
      <c r="K107" s="174" t="str">
        <f>'26MY_PASSPORT_DATA'!$O$6</f>
        <v>TrailSport</v>
      </c>
      <c r="L107" s="174" t="str">
        <f>'26MY_PASSPORT_DATA'!$P$6</f>
        <v>TrailSport Blackout</v>
      </c>
      <c r="M107" s="174">
        <f>'26MY_PASSPORT_DATA'!$R$6</f>
        <v>0</v>
      </c>
      <c r="N107" s="174">
        <f>'26MY_PASSPORT_DATA'!$R$6</f>
        <v>0</v>
      </c>
      <c r="O107" s="174" t="str">
        <f>'26MY_PASSPORT_DATA'!$S$6</f>
        <v>TrailSport Touring</v>
      </c>
      <c r="P107" s="174" t="str">
        <f>'26MY_PASSPORT_DATA'!$T$6</f>
        <v>Trailsport Touring Blackout</v>
      </c>
      <c r="Q107" s="387"/>
    </row>
    <row r="108" spans="2:17" s="135" customFormat="1" ht="15" customHeight="1">
      <c r="B108" s="298" t="s">
        <v>251</v>
      </c>
      <c r="C108" s="224" t="str">
        <f>VLOOKUP(B108,'26MY_PASSPORT_DATA'!B:AR,4,FALSE)</f>
        <v>Lampe pour compartiment utilitaire</v>
      </c>
      <c r="D108" s="79" t="str">
        <f t="shared" ref="D108" si="26">B108</f>
        <v>08V30-3BM-300</v>
      </c>
      <c r="E108" s="343">
        <f>VLOOKUP(B108,'26MY_PASSPORT_DATA'!B:AR,9,FALSE)</f>
        <v>83</v>
      </c>
      <c r="F108" s="343">
        <f>VLOOKUP(B108,'26MY_PASSPORT_DATA'!B:AR,10,FALSE)</f>
        <v>138</v>
      </c>
      <c r="G108" s="344">
        <f>VLOOKUP(B108,'26MY_PASSPORT_DATA'!B:AR,7,FALSE)</f>
        <v>0.1</v>
      </c>
      <c r="H108" s="345">
        <f>VLOOKUP(B108,'26MY_PASSPORT_DATA'!B:AR,11,FALSE)</f>
        <v>153</v>
      </c>
      <c r="I108" s="347">
        <f>VLOOKUP($B108,'26MY_PASSPORT_DATA'!$B:$AR,12,FALSE)</f>
        <v>0</v>
      </c>
      <c r="J108" s="347">
        <f>VLOOKUP($B108,'26MY_PASSPORT_DATA'!$B:$AR,13,FALSE)</f>
        <v>0</v>
      </c>
      <c r="K108" s="347" t="str">
        <f>VLOOKUP(B108,'26MY_PASSPORT_DATA'!B:AR,14,FALSE)</f>
        <v>•</v>
      </c>
      <c r="L108" s="347" t="str">
        <f>VLOOKUP(B108,'26MY_PASSPORT_DATA'!B:AR,15,FALSE)</f>
        <v>•</v>
      </c>
      <c r="M108" s="347">
        <f>VLOOKUP($B108,'26MY_PASSPORT_DATA'!$B:$AR,16,FALSE)</f>
        <v>0</v>
      </c>
      <c r="N108" s="347">
        <f>VLOOKUP(B108,'26MY_PASSPORT_DATA'!B:AR,17,FALSE)</f>
        <v>0</v>
      </c>
      <c r="O108" s="347" t="str">
        <f>VLOOKUP(B108,'26MY_PASSPORT_DATA'!B:AR,18,FALSE)</f>
        <v>•</v>
      </c>
      <c r="P108" s="347" t="str">
        <f>VLOOKUP(B108,'26MY_PASSPORT_DATA'!B:AR,19,FALSE)</f>
        <v>•</v>
      </c>
      <c r="Q108" s="350" t="str">
        <f>IF(VLOOKUP(B108,'26MY_PASSPORT_DATA'!B:AR,21,FALSE)="","",VLOOKUP(B108,'26MY_PASSPORT_DATA'!B:AR,21,FALSE))</f>
        <v/>
      </c>
    </row>
    <row r="109" spans="2:17" s="135" customFormat="1" ht="15" hidden="1" customHeight="1">
      <c r="B109" s="298" t="s">
        <v>282</v>
      </c>
      <c r="C109" s="224" t="e">
        <f>VLOOKUP(B109,'26MY_PASSPORT_DATA'!B:AR,4,FALSE)</f>
        <v>#N/A</v>
      </c>
      <c r="D109" s="79" t="str">
        <f t="shared" ref="D109:D113" si="27">B109</f>
        <v>08V03-3BM-100</v>
      </c>
      <c r="E109" s="343" t="e">
        <f>VLOOKUP(B109,'26MY_PASSPORT_DATA'!B:AR,9,FALSE)</f>
        <v>#N/A</v>
      </c>
      <c r="F109" s="343" t="e">
        <f>VLOOKUP(B109,'26MY_PASSPORT_DATA'!B:AR,10,FALSE)</f>
        <v>#N/A</v>
      </c>
      <c r="G109" s="344" t="e">
        <f>VLOOKUP(B109,'26MY_PASSPORT_DATA'!B:AR,7,FALSE)</f>
        <v>#N/A</v>
      </c>
      <c r="H109" s="345" t="e">
        <f>VLOOKUP(B109,'26MY_PASSPORT_DATA'!B:AR,11,FALSE)</f>
        <v>#N/A</v>
      </c>
      <c r="I109" s="347" t="e">
        <f>VLOOKUP($B109,'26MY_PASSPORT_DATA'!$B:$AR,12,FALSE)</f>
        <v>#N/A</v>
      </c>
      <c r="J109" s="347" t="e">
        <f>VLOOKUP($B109,'26MY_PASSPORT_DATA'!$B:$AR,13,FALSE)</f>
        <v>#N/A</v>
      </c>
      <c r="K109" s="347" t="e">
        <f>VLOOKUP(B109,'26MY_PASSPORT_DATA'!B:AR,14,FALSE)</f>
        <v>#N/A</v>
      </c>
      <c r="L109" s="347" t="e">
        <f>VLOOKUP(B109,'26MY_PASSPORT_DATA'!B:AR,15,FALSE)</f>
        <v>#N/A</v>
      </c>
      <c r="M109" s="347" t="e">
        <f>VLOOKUP($B109,'26MY_PASSPORT_DATA'!$B:$AR,16,FALSE)</f>
        <v>#N/A</v>
      </c>
      <c r="N109" s="347" t="e">
        <f>VLOOKUP(B109,'26MY_PASSPORT_DATA'!B:AR,17,FALSE)</f>
        <v>#N/A</v>
      </c>
      <c r="O109" s="347" t="e">
        <f>VLOOKUP(B109,'26MY_PASSPORT_DATA'!B:AR,18,FALSE)</f>
        <v>#N/A</v>
      </c>
      <c r="P109" s="347" t="e">
        <f>VLOOKUP(B109,'26MY_PASSPORT_DATA'!B:AR,19,FALSE)</f>
        <v>#N/A</v>
      </c>
      <c r="Q109" s="350" t="e">
        <f>IF(VLOOKUP(B109,'26MY_PASSPORT_DATA'!B:AR,21,FALSE)="","",VLOOKUP(B109,'26MY_PASSPORT_DATA'!B:AR,21,FALSE))</f>
        <v>#N/A</v>
      </c>
    </row>
    <row r="110" spans="2:17" s="135" customFormat="1" ht="14.45" customHeight="1">
      <c r="B110" s="298" t="s">
        <v>531</v>
      </c>
      <c r="C110" s="224" t="str">
        <f>VLOOKUP(B110,'26MY_PASSPORT_DATA'!B:AR,4,FALSE)</f>
        <v>Rétroviseur intérieur Homelink</v>
      </c>
      <c r="D110" s="79" t="str">
        <f t="shared" ref="D110" si="28">B110</f>
        <v>76400-T90-A01</v>
      </c>
      <c r="E110" s="343">
        <f>VLOOKUP(B110,'26MY_PASSPORT_DATA'!B:AR,9,FALSE)</f>
        <v>343.03</v>
      </c>
      <c r="F110" s="343">
        <f>VLOOKUP(B110,'26MY_PASSPORT_DATA'!B:AR,10,FALSE)</f>
        <v>571.71</v>
      </c>
      <c r="G110" s="344">
        <f>VLOOKUP(B110,'26MY_PASSPORT_DATA'!B:AR,7,FALSE)</f>
        <v>1</v>
      </c>
      <c r="H110" s="345">
        <f>VLOOKUP(B110,'26MY_PASSPORT_DATA'!B:AR,11,FALSE)</f>
        <v>721.71</v>
      </c>
      <c r="I110" s="347">
        <f>VLOOKUP($B110,'26MY_PASSPORT_DATA'!$B:$AR,12,FALSE)</f>
        <v>0</v>
      </c>
      <c r="J110" s="347">
        <f>VLOOKUP($B110,'26MY_PASSPORT_DATA'!$B:$AR,13,FALSE)</f>
        <v>0</v>
      </c>
      <c r="K110" s="347" t="str">
        <f>VLOOKUP(B110,'26MY_PASSPORT_DATA'!B:AR,14,FALSE)</f>
        <v>•</v>
      </c>
      <c r="L110" s="347" t="str">
        <f>VLOOKUP(B110,'26MY_PASSPORT_DATA'!B:AR,15,FALSE)</f>
        <v>•</v>
      </c>
      <c r="M110" s="347">
        <f>VLOOKUP($B110,'26MY_PASSPORT_DATA'!$B:$AR,16,FALSE)</f>
        <v>0</v>
      </c>
      <c r="N110" s="347">
        <f>VLOOKUP(B110,'26MY_PASSPORT_DATA'!B:AR,17,FALSE)</f>
        <v>0</v>
      </c>
      <c r="O110" s="347" t="str">
        <f>VLOOKUP(B110,'26MY_PASSPORT_DATA'!B:AR,18,FALSE)</f>
        <v>•</v>
      </c>
      <c r="P110" s="347" t="str">
        <f>VLOOKUP(B110,'26MY_PASSPORT_DATA'!B:AR,19,FALSE)</f>
        <v>•</v>
      </c>
      <c r="Q110" s="350" t="str">
        <f>IF(VLOOKUP(B110,'26MY_PASSPORT_DATA'!B:AR,21,FALSE)="","",VLOOKUP(B110,'26MY_PASSPORT_DATA'!B:AR,21,FALSE))</f>
        <v/>
      </c>
    </row>
    <row r="111" spans="2:17" s="135" customFormat="1" ht="14.45" customHeight="1">
      <c r="B111" s="298" t="s">
        <v>426</v>
      </c>
      <c r="C111" s="224" t="str">
        <f>VLOOKUP(B111,'26MY_PASSPORT_DATA'!B:AR,4,FALSE)</f>
        <v xml:space="preserve">Chauffe-moteur   </v>
      </c>
      <c r="D111" s="79" t="str">
        <f t="shared" si="27"/>
        <v>08T44-SNA-302</v>
      </c>
      <c r="E111" s="343">
        <f>VLOOKUP(B111,'26MY_PASSPORT_DATA'!B:AR,9,FALSE)</f>
        <v>145</v>
      </c>
      <c r="F111" s="343">
        <f>VLOOKUP(B111,'26MY_PASSPORT_DATA'!B:AR,10,FALSE)</f>
        <v>242</v>
      </c>
      <c r="G111" s="344">
        <f>VLOOKUP(B111,'26MY_PASSPORT_DATA'!B:AR,7,FALSE)</f>
        <v>1.2</v>
      </c>
      <c r="H111" s="345">
        <f>VLOOKUP(B111,'26MY_PASSPORT_DATA'!B:AR,11,FALSE)</f>
        <v>422</v>
      </c>
      <c r="I111" s="347">
        <f>VLOOKUP($B111,'26MY_PASSPORT_DATA'!$B:$AR,12,FALSE)</f>
        <v>0</v>
      </c>
      <c r="J111" s="347">
        <f>VLOOKUP($B111,'26MY_PASSPORT_DATA'!$B:$AR,13,FALSE)</f>
        <v>0</v>
      </c>
      <c r="K111" s="347" t="str">
        <f>VLOOKUP(B111,'26MY_PASSPORT_DATA'!B:AR,14,FALSE)</f>
        <v>•</v>
      </c>
      <c r="L111" s="347" t="str">
        <f>VLOOKUP(B111,'26MY_PASSPORT_DATA'!B:AR,15,FALSE)</f>
        <v>•</v>
      </c>
      <c r="M111" s="347">
        <f>VLOOKUP($B111,'26MY_PASSPORT_DATA'!$B:$AR,16,FALSE)</f>
        <v>0</v>
      </c>
      <c r="N111" s="347">
        <f>VLOOKUP(B111,'26MY_PASSPORT_DATA'!B:AR,17,FALSE)</f>
        <v>0</v>
      </c>
      <c r="O111" s="347" t="str">
        <f>VLOOKUP(B111,'26MY_PASSPORT_DATA'!B:AR,18,FALSE)</f>
        <v>•</v>
      </c>
      <c r="P111" s="347" t="str">
        <f>VLOOKUP(B111,'26MY_PASSPORT_DATA'!B:AR,19,FALSE)</f>
        <v>•</v>
      </c>
      <c r="Q111" s="350" t="str">
        <f>IF(VLOOKUP(B111,'26MY_PASSPORT_DATA'!B:AR,21,FALSE)="","",VLOOKUP(B111,'26MY_PASSPORT_DATA'!B:AR,21,FALSE))</f>
        <v/>
      </c>
    </row>
    <row r="112" spans="2:17" s="135" customFormat="1" ht="15" customHeight="1">
      <c r="B112" s="298" t="s">
        <v>258</v>
      </c>
      <c r="C112" s="224" t="str">
        <f>VLOOKUP(B112,'26MY_PASSPORT_DATA'!B:AR,4,FALSE)</f>
        <v>Chargeur/mainteneur de batterie automobile 12 V Optimate</v>
      </c>
      <c r="D112" s="79" t="str">
        <f t="shared" si="27"/>
        <v>31670-BMS-004H</v>
      </c>
      <c r="E112" s="343">
        <f>VLOOKUP(B112,'26MY_PASSPORT_DATA'!B:AR,9,FALSE)</f>
        <v>91</v>
      </c>
      <c r="F112" s="343">
        <f>VLOOKUP(B112,'26MY_PASSPORT_DATA'!B:AR,10,FALSE)</f>
        <v>152</v>
      </c>
      <c r="G112" s="344">
        <f>VLOOKUP(B112,'26MY_PASSPORT_DATA'!B:AR,7,FALSE)</f>
        <v>0</v>
      </c>
      <c r="H112" s="345">
        <f>VLOOKUP(B112,'26MY_PASSPORT_DATA'!B:AR,11,FALSE)</f>
        <v>152</v>
      </c>
      <c r="I112" s="347">
        <f>VLOOKUP($B112,'26MY_PASSPORT_DATA'!$B:$AR,12,FALSE)</f>
        <v>0</v>
      </c>
      <c r="J112" s="347">
        <f>VLOOKUP($B112,'26MY_PASSPORT_DATA'!$B:$AR,13,FALSE)</f>
        <v>0</v>
      </c>
      <c r="K112" s="347" t="str">
        <f>VLOOKUP(B112,'26MY_PASSPORT_DATA'!B:AR,14,FALSE)</f>
        <v>•</v>
      </c>
      <c r="L112" s="347" t="str">
        <f>VLOOKUP(B112,'26MY_PASSPORT_DATA'!B:AR,15,FALSE)</f>
        <v>•</v>
      </c>
      <c r="M112" s="347">
        <f>VLOOKUP($B112,'26MY_PASSPORT_DATA'!$B:$AR,16,FALSE)</f>
        <v>0</v>
      </c>
      <c r="N112" s="347">
        <f>VLOOKUP(B112,'26MY_PASSPORT_DATA'!B:AR,17,FALSE)</f>
        <v>0</v>
      </c>
      <c r="O112" s="347" t="str">
        <f>VLOOKUP(B112,'26MY_PASSPORT_DATA'!B:AR,18,FALSE)</f>
        <v>•</v>
      </c>
      <c r="P112" s="347" t="str">
        <f>VLOOKUP(B112,'26MY_PASSPORT_DATA'!B:AR,19,FALSE)</f>
        <v>•</v>
      </c>
      <c r="Q112" s="350" t="str">
        <f>IF(VLOOKUP(B112,'26MY_PASSPORT_DATA'!B:AR,21,FALSE)="","",VLOOKUP(B112,'26MY_PASSPORT_DATA'!B:AR,21,FALSE))</f>
        <v/>
      </c>
    </row>
    <row r="113" spans="2:17" s="135" customFormat="1" ht="15" customHeight="1">
      <c r="B113" s="298" t="s">
        <v>262</v>
      </c>
      <c r="C113" s="224" t="str">
        <f>VLOOKUP(B113,'26MY_PASSPORT_DATA'!B:AR,4,FALSE)</f>
        <v>Câble de batterie</v>
      </c>
      <c r="D113" s="79" t="str">
        <f t="shared" si="27"/>
        <v>31670-BMS-LEAD</v>
      </c>
      <c r="E113" s="343">
        <f>VLOOKUP(B113,'26MY_PASSPORT_DATA'!B:AR,9,FALSE)</f>
        <v>18</v>
      </c>
      <c r="F113" s="343">
        <f>VLOOKUP(B113,'26MY_PASSPORT_DATA'!B:AR,10,FALSE)</f>
        <v>26</v>
      </c>
      <c r="G113" s="344">
        <f>VLOOKUP(B113,'26MY_PASSPORT_DATA'!B:AR,7,FALSE)</f>
        <v>0</v>
      </c>
      <c r="H113" s="345">
        <f>VLOOKUP(B113,'26MY_PASSPORT_DATA'!B:AR,11,FALSE)</f>
        <v>26</v>
      </c>
      <c r="I113" s="347">
        <f>VLOOKUP($B113,'26MY_PASSPORT_DATA'!$B:$AR,12,FALSE)</f>
        <v>0</v>
      </c>
      <c r="J113" s="347">
        <f>VLOOKUP($B113,'26MY_PASSPORT_DATA'!$B:$AR,13,FALSE)</f>
        <v>0</v>
      </c>
      <c r="K113" s="347" t="str">
        <f>VLOOKUP(B113,'26MY_PASSPORT_DATA'!B:AR,14,FALSE)</f>
        <v>•</v>
      </c>
      <c r="L113" s="347" t="str">
        <f>VLOOKUP(B113,'26MY_PASSPORT_DATA'!B:AR,15,FALSE)</f>
        <v>•</v>
      </c>
      <c r="M113" s="347">
        <f>VLOOKUP($B113,'26MY_PASSPORT_DATA'!$B:$AR,16,FALSE)</f>
        <v>0</v>
      </c>
      <c r="N113" s="347">
        <f>VLOOKUP(B113,'26MY_PASSPORT_DATA'!B:AR,17,FALSE)</f>
        <v>0</v>
      </c>
      <c r="O113" s="347" t="str">
        <f>VLOOKUP(B113,'26MY_PASSPORT_DATA'!B:AR,18,FALSE)</f>
        <v>•</v>
      </c>
      <c r="P113" s="347" t="str">
        <f>VLOOKUP(B113,'26MY_PASSPORT_DATA'!B:AR,19,FALSE)</f>
        <v>•</v>
      </c>
      <c r="Q113" s="350" t="str">
        <f>IF(VLOOKUP(B113,'26MY_PASSPORT_DATA'!B:AR,21,FALSE)="","",VLOOKUP(B113,'26MY_PASSPORT_DATA'!B:AR,21,FALSE))</f>
        <v/>
      </c>
    </row>
    <row r="114" spans="2:17" s="135" customFormat="1" ht="15" customHeight="1">
      <c r="B114" s="298"/>
      <c r="C114" s="136"/>
      <c r="D114" s="200"/>
      <c r="E114" s="132"/>
      <c r="F114" s="132"/>
      <c r="G114" s="201"/>
      <c r="H114" s="132"/>
      <c r="I114" s="132"/>
      <c r="J114" s="132"/>
      <c r="K114" s="132"/>
      <c r="L114" s="132"/>
      <c r="M114" s="132"/>
      <c r="N114" s="132"/>
      <c r="O114" s="132"/>
      <c r="P114" s="132"/>
      <c r="Q114" s="132"/>
    </row>
    <row r="115" spans="2:17" s="133" customFormat="1" ht="18.75">
      <c r="B115" s="298"/>
      <c r="C115" s="152" t="s">
        <v>85</v>
      </c>
      <c r="D115" s="152"/>
      <c r="E115" s="143"/>
      <c r="F115" s="143"/>
      <c r="G115" s="143"/>
      <c r="H115" s="143"/>
      <c r="I115" s="143"/>
      <c r="J115" s="143"/>
      <c r="K115" s="143"/>
      <c r="L115" s="143"/>
      <c r="M115" s="143"/>
      <c r="N115" s="143"/>
      <c r="O115" s="143"/>
      <c r="P115" s="143"/>
      <c r="Q115" s="143"/>
    </row>
    <row r="116" spans="2:17" s="134" customFormat="1" ht="15" customHeight="1">
      <c r="B116" s="299"/>
      <c r="C116" s="387" t="s">
        <v>74</v>
      </c>
      <c r="D116" s="387" t="s">
        <v>75</v>
      </c>
      <c r="E116" s="387" t="s">
        <v>76</v>
      </c>
      <c r="F116" s="387" t="s">
        <v>77</v>
      </c>
      <c r="G116" s="387" t="s">
        <v>78</v>
      </c>
      <c r="H116" s="386" t="s">
        <v>79</v>
      </c>
      <c r="I116" s="387" t="s">
        <v>23</v>
      </c>
      <c r="J116" s="387"/>
      <c r="K116" s="387"/>
      <c r="L116" s="387"/>
      <c r="M116" s="387"/>
      <c r="N116" s="387"/>
      <c r="O116" s="387"/>
      <c r="P116" s="387"/>
      <c r="Q116" s="387" t="s">
        <v>80</v>
      </c>
    </row>
    <row r="117" spans="2:17" s="134" customFormat="1" ht="45">
      <c r="B117" s="299"/>
      <c r="C117" s="387"/>
      <c r="D117" s="387"/>
      <c r="E117" s="387"/>
      <c r="F117" s="387"/>
      <c r="G117" s="387"/>
      <c r="H117" s="386"/>
      <c r="I117" s="174">
        <f>'26MY_PASSPORT_DATA'!$M$6</f>
        <v>0</v>
      </c>
      <c r="J117" s="174">
        <f>'26MY_PASSPORT_DATA'!$M$6</f>
        <v>0</v>
      </c>
      <c r="K117" s="174" t="str">
        <f>'26MY_PASSPORT_DATA'!$O$6</f>
        <v>TrailSport</v>
      </c>
      <c r="L117" s="174" t="str">
        <f>'26MY_PASSPORT_DATA'!$P$6</f>
        <v>TrailSport Blackout</v>
      </c>
      <c r="M117" s="174">
        <f>'26MY_PASSPORT_DATA'!$R$6</f>
        <v>0</v>
      </c>
      <c r="N117" s="174">
        <f>'26MY_PASSPORT_DATA'!$R$6</f>
        <v>0</v>
      </c>
      <c r="O117" s="174" t="str">
        <f>'26MY_PASSPORT_DATA'!$S$6</f>
        <v>TrailSport Touring</v>
      </c>
      <c r="P117" s="174" t="str">
        <f>'26MY_PASSPORT_DATA'!$T$6</f>
        <v>Trailsport Touring Blackout</v>
      </c>
      <c r="Q117" s="387"/>
    </row>
    <row r="118" spans="2:17" s="135" customFormat="1" ht="15" customHeight="1">
      <c r="B118" s="298" t="s">
        <v>160</v>
      </c>
      <c r="C118" s="224" t="str">
        <f>VLOOKUP(B118,'26MY_PASSPORT_DATA'!B:AR,4,FALSE)</f>
        <v>Blanc platine nacré (NH-883P)</v>
      </c>
      <c r="D118" s="79" t="str">
        <f t="shared" ref="D118:D123" si="29">B118</f>
        <v>TUCH-NH883P-A1</v>
      </c>
      <c r="E118" s="377">
        <f>VLOOKUP(B118,'26MY_PASSPORT_DATA'!B:AR,9,FALSE)</f>
        <v>13</v>
      </c>
      <c r="F118" s="377">
        <f>VLOOKUP(B118,'26MY_PASSPORT_DATA'!B:AR,10,FALSE)</f>
        <v>21.5</v>
      </c>
      <c r="G118" s="380">
        <f>VLOOKUP(B118,'26MY_PASSPORT_DATA'!B:AR,7,FALSE)</f>
        <v>0</v>
      </c>
      <c r="H118" s="383">
        <f>VLOOKUP(B118,'26MY_PASSPORT_DATA'!B:AR,11,FALSE)</f>
        <v>21.5</v>
      </c>
      <c r="I118" s="347">
        <f>VLOOKUP($B118,'26MY_PASSPORT_DATA'!$B:$AR,12,FALSE)</f>
        <v>0</v>
      </c>
      <c r="J118" s="347">
        <f>VLOOKUP($B118,'26MY_PASSPORT_DATA'!$B:$AR,13,FALSE)</f>
        <v>0</v>
      </c>
      <c r="K118" s="347" t="str">
        <f>VLOOKUP(B118,'26MY_PASSPORT_DATA'!B:AR,14,FALSE)</f>
        <v>•</v>
      </c>
      <c r="L118" s="347" t="str">
        <f>VLOOKUP(B118,'26MY_PASSPORT_DATA'!B:AR,15,FALSE)</f>
        <v>•</v>
      </c>
      <c r="M118" s="347">
        <f>VLOOKUP($B118,'26MY_PASSPORT_DATA'!$B:$AR,16,FALSE)</f>
        <v>0</v>
      </c>
      <c r="N118" s="347">
        <f>VLOOKUP(B118,'26MY_PASSPORT_DATA'!B:AR,17,FALSE)</f>
        <v>0</v>
      </c>
      <c r="O118" s="347" t="str">
        <f>VLOOKUP(B118,'26MY_PASSPORT_DATA'!B:AR,18,FALSE)</f>
        <v>•</v>
      </c>
      <c r="P118" s="347" t="str">
        <f>VLOOKUP(B118,'26MY_PASSPORT_DATA'!B:AR,19,FALSE)</f>
        <v>•</v>
      </c>
      <c r="Q118" s="350" t="str">
        <f>IF(VLOOKUP(B118,'26MY_PASSPORT_DATA'!B:AR,21,FALSE)="","",VLOOKUP(B118,'26MY_PASSPORT_DATA'!B:AR,21,FALSE))</f>
        <v/>
      </c>
    </row>
    <row r="119" spans="2:17" s="135" customFormat="1" ht="15" customHeight="1">
      <c r="B119" s="299" t="s">
        <v>213</v>
      </c>
      <c r="C119" s="224" t="str">
        <f>VLOOKUP(B119,'26MY_PASSPORT_DATA'!B:AR,4,FALSE)</f>
        <v>Acier moderne métallisé (NH-797M)</v>
      </c>
      <c r="D119" s="79" t="str">
        <f t="shared" si="29"/>
        <v>TUCH-NH797M-A1</v>
      </c>
      <c r="E119" s="378"/>
      <c r="F119" s="378"/>
      <c r="G119" s="381"/>
      <c r="H119" s="384"/>
      <c r="I119" s="347">
        <f>VLOOKUP($B119,'26MY_PASSPORT_DATA'!$B:$AR,12,FALSE)</f>
        <v>0</v>
      </c>
      <c r="J119" s="347">
        <f>VLOOKUP($B119,'26MY_PASSPORT_DATA'!$B:$AR,13,FALSE)</f>
        <v>0</v>
      </c>
      <c r="K119" s="347" t="str">
        <f>VLOOKUP(B119,'26MY_PASSPORT_DATA'!B:AR,14,FALSE)</f>
        <v>•</v>
      </c>
      <c r="L119" s="347" t="str">
        <f>VLOOKUP(B119,'26MY_PASSPORT_DATA'!B:AR,15,FALSE)</f>
        <v>N/A</v>
      </c>
      <c r="M119" s="347">
        <f>VLOOKUP($B119,'26MY_PASSPORT_DATA'!$B:$AR,16,FALSE)</f>
        <v>0</v>
      </c>
      <c r="N119" s="347">
        <f>VLOOKUP(B119,'26MY_PASSPORT_DATA'!B:AR,17,FALSE)</f>
        <v>0</v>
      </c>
      <c r="O119" s="347" t="str">
        <f>VLOOKUP(B119,'26MY_PASSPORT_DATA'!B:AR,18,FALSE)</f>
        <v>•</v>
      </c>
      <c r="P119" s="347" t="str">
        <f>VLOOKUP(B119,'26MY_PASSPORT_DATA'!B:AR,19,FALSE)</f>
        <v>N/A</v>
      </c>
      <c r="Q119" s="350" t="str">
        <f>IF(VLOOKUP(B119,'26MY_PASSPORT_DATA'!B:AR,21,FALSE)="","",VLOOKUP(B119,'26MY_PASSPORT_DATA'!B:AR,21,FALSE))</f>
        <v/>
      </c>
    </row>
    <row r="120" spans="2:17" s="135" customFormat="1" ht="15" customHeight="1">
      <c r="B120" s="299" t="s">
        <v>216</v>
      </c>
      <c r="C120" s="224" t="str">
        <f>VLOOKUP(B120,'26MY_PASSPORT_DATA'!B:AR,4,FALSE)</f>
        <v>Noir cristal nacré  (NH-731P)</v>
      </c>
      <c r="D120" s="79" t="str">
        <f t="shared" si="29"/>
        <v>TUCH-NH731P-A1</v>
      </c>
      <c r="E120" s="378"/>
      <c r="F120" s="378"/>
      <c r="G120" s="381"/>
      <c r="H120" s="384"/>
      <c r="I120" s="347">
        <f>VLOOKUP($B120,'26MY_PASSPORT_DATA'!$B:$AR,12,FALSE)</f>
        <v>0</v>
      </c>
      <c r="J120" s="347">
        <f>VLOOKUP($B120,'26MY_PASSPORT_DATA'!$B:$AR,13,FALSE)</f>
        <v>0</v>
      </c>
      <c r="K120" s="347" t="str">
        <f>VLOOKUP(B120,'26MY_PASSPORT_DATA'!B:AR,14,FALSE)</f>
        <v>•</v>
      </c>
      <c r="L120" s="347" t="str">
        <f>VLOOKUP(B120,'26MY_PASSPORT_DATA'!B:AR,15,FALSE)</f>
        <v>•</v>
      </c>
      <c r="M120" s="347">
        <f>VLOOKUP($B120,'26MY_PASSPORT_DATA'!$B:$AR,16,FALSE)</f>
        <v>0</v>
      </c>
      <c r="N120" s="347">
        <f>VLOOKUP(B120,'26MY_PASSPORT_DATA'!B:AR,17,FALSE)</f>
        <v>0</v>
      </c>
      <c r="O120" s="347" t="str">
        <f>VLOOKUP(B120,'26MY_PASSPORT_DATA'!B:AR,18,FALSE)</f>
        <v>•</v>
      </c>
      <c r="P120" s="347" t="str">
        <f>VLOOKUP(B120,'26MY_PASSPORT_DATA'!B:AR,19,FALSE)</f>
        <v>•</v>
      </c>
      <c r="Q120" s="350" t="str">
        <f>IF(VLOOKUP(B120,'26MY_PASSPORT_DATA'!B:AR,21,FALSE)="","",VLOOKUP(B120,'26MY_PASSPORT_DATA'!B:AR,21,FALSE))</f>
        <v/>
      </c>
    </row>
    <row r="121" spans="2:17" s="135" customFormat="1" ht="15" customHeight="1">
      <c r="B121" s="299" t="s">
        <v>218</v>
      </c>
      <c r="C121" s="224" t="str">
        <f>VLOOKUP(B121,'26MY_PASSPORT_DATA'!B:AR,4,FALSE)</f>
        <v>Radiant rouge métallisé II (R-580M)</v>
      </c>
      <c r="D121" s="79" t="str">
        <f t="shared" si="29"/>
        <v>TUCH-R580M-A1</v>
      </c>
      <c r="E121" s="378"/>
      <c r="F121" s="378"/>
      <c r="G121" s="381"/>
      <c r="H121" s="384"/>
      <c r="I121" s="347">
        <f>VLOOKUP($B121,'26MY_PASSPORT_DATA'!$B:$AR,12,FALSE)</f>
        <v>0</v>
      </c>
      <c r="J121" s="347">
        <f>VLOOKUP($B121,'26MY_PASSPORT_DATA'!$B:$AR,13,FALSE)</f>
        <v>0</v>
      </c>
      <c r="K121" s="347" t="str">
        <f>VLOOKUP(B121,'26MY_PASSPORT_DATA'!B:AR,14,FALSE)</f>
        <v>•</v>
      </c>
      <c r="L121" s="347" t="str">
        <f>VLOOKUP(B121,'26MY_PASSPORT_DATA'!B:AR,15,FALSE)</f>
        <v>•</v>
      </c>
      <c r="M121" s="347">
        <f>VLOOKUP($B121,'26MY_PASSPORT_DATA'!$B:$AR,16,FALSE)</f>
        <v>0</v>
      </c>
      <c r="N121" s="347">
        <f>VLOOKUP(B121,'26MY_PASSPORT_DATA'!B:AR,17,FALSE)</f>
        <v>0</v>
      </c>
      <c r="O121" s="347" t="str">
        <f>VLOOKUP(B121,'26MY_PASSPORT_DATA'!B:AR,18,FALSE)</f>
        <v>•</v>
      </c>
      <c r="P121" s="347" t="str">
        <f>VLOOKUP(B121,'26MY_PASSPORT_DATA'!B:AR,19,FALSE)</f>
        <v>•</v>
      </c>
      <c r="Q121" s="350" t="str">
        <f>IF(VLOOKUP(B121,'26MY_PASSPORT_DATA'!B:AR,21,FALSE)="","",VLOOKUP(B121,'26MY_PASSPORT_DATA'!B:AR,21,FALSE))</f>
        <v/>
      </c>
    </row>
    <row r="122" spans="2:17" s="135" customFormat="1" ht="15" customHeight="1">
      <c r="B122" s="298" t="s">
        <v>221</v>
      </c>
      <c r="C122" s="224" t="str">
        <f>VLOOKUP(B122,'26MY_PASSPORT_DATA'!B:AR,4,FALSE)</f>
        <v>Coucher de soleil orangé (YR-585)</v>
      </c>
      <c r="D122" s="79" t="str">
        <f t="shared" si="29"/>
        <v>TUCH-YR585-A1</v>
      </c>
      <c r="E122" s="378"/>
      <c r="F122" s="378"/>
      <c r="G122" s="381"/>
      <c r="H122" s="384"/>
      <c r="I122" s="347">
        <f>VLOOKUP($B122,'26MY_PASSPORT_DATA'!$B:$AR,12,FALSE)</f>
        <v>0</v>
      </c>
      <c r="J122" s="347">
        <f>VLOOKUP($B122,'26MY_PASSPORT_DATA'!$B:$AR,13,FALSE)</f>
        <v>0</v>
      </c>
      <c r="K122" s="347" t="str">
        <f>VLOOKUP(B122,'26MY_PASSPORT_DATA'!B:AR,14,FALSE)</f>
        <v>N/A</v>
      </c>
      <c r="L122" s="347" t="str">
        <f>VLOOKUP(B122,'26MY_PASSPORT_DATA'!B:AR,15,FALSE)</f>
        <v>N/A</v>
      </c>
      <c r="M122" s="347">
        <f>VLOOKUP($B122,'26MY_PASSPORT_DATA'!$B:$AR,16,FALSE)</f>
        <v>0</v>
      </c>
      <c r="N122" s="347">
        <f>VLOOKUP(B122,'26MY_PASSPORT_DATA'!B:AR,17,FALSE)</f>
        <v>0</v>
      </c>
      <c r="O122" s="347" t="str">
        <f>VLOOKUP(B122,'26MY_PASSPORT_DATA'!B:AR,18,FALSE)</f>
        <v>•</v>
      </c>
      <c r="P122" s="347" t="str">
        <f>VLOOKUP(B122,'26MY_PASSPORT_DATA'!B:AR,19,FALSE)</f>
        <v>•</v>
      </c>
      <c r="Q122" s="350" t="str">
        <f>IF(VLOOKUP(B122,'26MY_PASSPORT_DATA'!B:AR,21,FALSE)="","",VLOOKUP(B122,'26MY_PASSPORT_DATA'!B:AR,21,FALSE))</f>
        <v/>
      </c>
    </row>
    <row r="123" spans="2:17" s="135" customFormat="1" ht="15" customHeight="1">
      <c r="B123" s="298" t="s">
        <v>223</v>
      </c>
      <c r="C123" s="224" t="str">
        <f>VLOOKUP(B123,'26MY_PASSPORT_DATA'!B:AR,4,FALSE)</f>
        <v>Vert cendré métallisé (G-545M)</v>
      </c>
      <c r="D123" s="79" t="str">
        <f t="shared" si="29"/>
        <v>TUCH-G545M-A1</v>
      </c>
      <c r="E123" s="379"/>
      <c r="F123" s="379"/>
      <c r="G123" s="382"/>
      <c r="H123" s="385"/>
      <c r="I123" s="347">
        <f>VLOOKUP($B123,'26MY_PASSPORT_DATA'!$B:$AR,12,FALSE)</f>
        <v>0</v>
      </c>
      <c r="J123" s="347">
        <f>VLOOKUP($B123,'26MY_PASSPORT_DATA'!$B:$AR,13,FALSE)</f>
        <v>0</v>
      </c>
      <c r="K123" s="347" t="str">
        <f>VLOOKUP(B123,'26MY_PASSPORT_DATA'!B:AR,14,FALSE)</f>
        <v>N/A</v>
      </c>
      <c r="L123" s="347" t="str">
        <f>VLOOKUP(B123,'26MY_PASSPORT_DATA'!B:AR,15,FALSE)</f>
        <v>N/A</v>
      </c>
      <c r="M123" s="347">
        <f>VLOOKUP($B123,'26MY_PASSPORT_DATA'!$B:$AR,16,FALSE)</f>
        <v>0</v>
      </c>
      <c r="N123" s="347">
        <f>VLOOKUP(B123,'26MY_PASSPORT_DATA'!B:AR,17,FALSE)</f>
        <v>0</v>
      </c>
      <c r="O123" s="347" t="str">
        <f>VLOOKUP(B123,'26MY_PASSPORT_DATA'!B:AR,18,FALSE)</f>
        <v>•</v>
      </c>
      <c r="P123" s="347" t="str">
        <f>VLOOKUP(B123,'26MY_PASSPORT_DATA'!B:AR,19,FALSE)</f>
        <v>•</v>
      </c>
      <c r="Q123" s="350" t="str">
        <f>IF(VLOOKUP(B123,'26MY_PASSPORT_DATA'!B:AR,21,FALSE)="","",VLOOKUP(B123,'26MY_PASSPORT_DATA'!B:AR,21,FALSE))</f>
        <v/>
      </c>
    </row>
    <row r="124" spans="2:17" s="134" customFormat="1" ht="6.95" customHeight="1">
      <c r="B124" s="298"/>
      <c r="C124" s="199"/>
      <c r="D124" s="189"/>
      <c r="E124" s="189"/>
      <c r="F124" s="189"/>
      <c r="G124" s="189"/>
      <c r="H124" s="189"/>
      <c r="I124" s="189"/>
      <c r="J124" s="189"/>
      <c r="K124" s="189"/>
      <c r="L124" s="189"/>
      <c r="M124" s="189"/>
      <c r="N124" s="189"/>
      <c r="O124" s="189"/>
      <c r="P124" s="189"/>
      <c r="Q124" s="351"/>
    </row>
    <row r="125" spans="2:17" s="135" customFormat="1" ht="15" customHeight="1">
      <c r="B125" s="298" t="s">
        <v>58</v>
      </c>
      <c r="C125" s="224" t="str">
        <f>VLOOKUP(B125,'26MY_PASSPORT_DATA'!B:AR,4,FALSE)</f>
        <v>Aiguilles abrasives fines</v>
      </c>
      <c r="D125" s="79" t="str">
        <f t="shared" ref="D125:D127" si="30">B125</f>
        <v>TUCH-NEEDLES</v>
      </c>
      <c r="E125" s="343">
        <f>VLOOKUP(B125,'26MY_PASSPORT_DATA'!B:AR,9,FALSE)</f>
        <v>9.5</v>
      </c>
      <c r="F125" s="343">
        <f>VLOOKUP(B125,'26MY_PASSPORT_DATA'!B:AR,10,FALSE)</f>
        <v>15.75</v>
      </c>
      <c r="G125" s="344">
        <f>VLOOKUP(B125,'26MY_PASSPORT_DATA'!B:AR,7,FALSE)</f>
        <v>0</v>
      </c>
      <c r="H125" s="345">
        <f>VLOOKUP(B125,'26MY_PASSPORT_DATA'!B:AR,11,FALSE)</f>
        <v>15.75</v>
      </c>
      <c r="I125" s="347">
        <f>VLOOKUP($B125,'26MY_PASSPORT_DATA'!$B:$AR,12,FALSE)</f>
        <v>0</v>
      </c>
      <c r="J125" s="347">
        <f>VLOOKUP($B125,'26MY_PASSPORT_DATA'!$B:$AR,13,FALSE)</f>
        <v>0</v>
      </c>
      <c r="K125" s="347" t="str">
        <f>VLOOKUP(B125,'26MY_PASSPORT_DATA'!B:AR,14,FALSE)</f>
        <v>•</v>
      </c>
      <c r="L125" s="347" t="str">
        <f>VLOOKUP(B125,'26MY_PASSPORT_DATA'!B:AR,15,FALSE)</f>
        <v>•</v>
      </c>
      <c r="M125" s="347">
        <f>VLOOKUP($B125,'26MY_PASSPORT_DATA'!$B:$AR,16,FALSE)</f>
        <v>0</v>
      </c>
      <c r="N125" s="347">
        <f>VLOOKUP(B125,'26MY_PASSPORT_DATA'!B:AR,17,FALSE)</f>
        <v>0</v>
      </c>
      <c r="O125" s="347" t="str">
        <f>VLOOKUP(B125,'26MY_PASSPORT_DATA'!B:AR,18,FALSE)</f>
        <v>•</v>
      </c>
      <c r="P125" s="347" t="str">
        <f>VLOOKUP(B125,'26MY_PASSPORT_DATA'!B:AR,19,FALSE)</f>
        <v>•</v>
      </c>
      <c r="Q125" s="350" t="str">
        <f>IF(VLOOKUP(B125,'26MY_PASSPORT_DATA'!B:AR,21,FALSE)="","",VLOOKUP(B125,'26MY_PASSPORT_DATA'!B:AR,21,FALSE))</f>
        <v>Quantité de 5</v>
      </c>
    </row>
    <row r="126" spans="2:17" s="135" customFormat="1" ht="15" customHeight="1">
      <c r="B126" s="298" t="s">
        <v>57</v>
      </c>
      <c r="C126" s="224" t="str">
        <f>VLOOKUP(B126,'26MY_PASSPORT_DATA'!B:AR,4,FALSE)</f>
        <v>Bâtons abrasifs fins</v>
      </c>
      <c r="D126" s="79" t="str">
        <f t="shared" si="30"/>
        <v>TUCH-STICKS</v>
      </c>
      <c r="E126" s="343">
        <f>VLOOKUP(B126,'26MY_PASSPORT_DATA'!B:AR,9,FALSE)</f>
        <v>2.4500000000000002</v>
      </c>
      <c r="F126" s="343">
        <f>VLOOKUP(B126,'26MY_PASSPORT_DATA'!B:AR,10,FALSE)</f>
        <v>4</v>
      </c>
      <c r="G126" s="344">
        <f>VLOOKUP(B126,'26MY_PASSPORT_DATA'!B:AR,7,FALSE)</f>
        <v>0</v>
      </c>
      <c r="H126" s="345">
        <f>VLOOKUP(B126,'26MY_PASSPORT_DATA'!B:AR,11,FALSE)</f>
        <v>4</v>
      </c>
      <c r="I126" s="347">
        <f>VLOOKUP($B126,'26MY_PASSPORT_DATA'!$B:$AR,12,FALSE)</f>
        <v>0</v>
      </c>
      <c r="J126" s="347">
        <f>VLOOKUP($B126,'26MY_PASSPORT_DATA'!$B:$AR,13,FALSE)</f>
        <v>0</v>
      </c>
      <c r="K126" s="347" t="str">
        <f>VLOOKUP(B126,'26MY_PASSPORT_DATA'!B:AR,14,FALSE)</f>
        <v>•</v>
      </c>
      <c r="L126" s="347" t="str">
        <f>VLOOKUP(B126,'26MY_PASSPORT_DATA'!B:AR,15,FALSE)</f>
        <v>•</v>
      </c>
      <c r="M126" s="347">
        <f>VLOOKUP($B126,'26MY_PASSPORT_DATA'!$B:$AR,16,FALSE)</f>
        <v>0</v>
      </c>
      <c r="N126" s="347">
        <f>VLOOKUP(B126,'26MY_PASSPORT_DATA'!B:AR,17,FALSE)</f>
        <v>0</v>
      </c>
      <c r="O126" s="347" t="str">
        <f>VLOOKUP(B126,'26MY_PASSPORT_DATA'!B:AR,18,FALSE)</f>
        <v>•</v>
      </c>
      <c r="P126" s="347" t="str">
        <f>VLOOKUP(B126,'26MY_PASSPORT_DATA'!B:AR,19,FALSE)</f>
        <v>•</v>
      </c>
      <c r="Q126" s="350" t="str">
        <f>IF(VLOOKUP(B126,'26MY_PASSPORT_DATA'!B:AR,21,FALSE)="","",VLOOKUP(B126,'26MY_PASSPORT_DATA'!B:AR,21,FALSE))</f>
        <v>Quantité de 5</v>
      </c>
    </row>
    <row r="127" spans="2:17" s="135" customFormat="1" ht="15" customHeight="1">
      <c r="B127" s="299" t="s">
        <v>56</v>
      </c>
      <c r="C127" s="224" t="str">
        <f>VLOOKUP(B127,'26MY_PASSPORT_DATA'!B:AR,4,FALSE)</f>
        <v>Pointes de remplacement pour stylos de peinture</v>
      </c>
      <c r="D127" s="79" t="str">
        <f t="shared" si="30"/>
        <v>TUCH-TIPS</v>
      </c>
      <c r="E127" s="343">
        <f>VLOOKUP(B127,'26MY_PASSPORT_DATA'!B:AR,9,FALSE)</f>
        <v>13.75</v>
      </c>
      <c r="F127" s="343">
        <f>VLOOKUP(B127,'26MY_PASSPORT_DATA'!B:AR,10,FALSE)</f>
        <v>23</v>
      </c>
      <c r="G127" s="344">
        <f>VLOOKUP(B127,'26MY_PASSPORT_DATA'!B:AR,7,FALSE)</f>
        <v>0</v>
      </c>
      <c r="H127" s="345">
        <f>VLOOKUP(B127,'26MY_PASSPORT_DATA'!B:AR,11,FALSE)</f>
        <v>23</v>
      </c>
      <c r="I127" s="347">
        <f>VLOOKUP($B127,'26MY_PASSPORT_DATA'!$B:$AR,12,FALSE)</f>
        <v>0</v>
      </c>
      <c r="J127" s="347">
        <f>VLOOKUP($B127,'26MY_PASSPORT_DATA'!$B:$AR,13,FALSE)</f>
        <v>0</v>
      </c>
      <c r="K127" s="347" t="str">
        <f>VLOOKUP(B127,'26MY_PASSPORT_DATA'!B:AR,14,FALSE)</f>
        <v>•</v>
      </c>
      <c r="L127" s="347" t="str">
        <f>VLOOKUP(B127,'26MY_PASSPORT_DATA'!B:AR,15,FALSE)</f>
        <v>•</v>
      </c>
      <c r="M127" s="347">
        <f>VLOOKUP($B127,'26MY_PASSPORT_DATA'!$B:$AR,16,FALSE)</f>
        <v>0</v>
      </c>
      <c r="N127" s="347">
        <f>VLOOKUP(B127,'26MY_PASSPORT_DATA'!B:AR,17,FALSE)</f>
        <v>0</v>
      </c>
      <c r="O127" s="347" t="str">
        <f>VLOOKUP(B127,'26MY_PASSPORT_DATA'!B:AR,18,FALSE)</f>
        <v>•</v>
      </c>
      <c r="P127" s="347" t="str">
        <f>VLOOKUP(B127,'26MY_PASSPORT_DATA'!B:AR,19,FALSE)</f>
        <v>•</v>
      </c>
      <c r="Q127" s="350" t="str">
        <f>IF(VLOOKUP(B127,'26MY_PASSPORT_DATA'!B:AR,21,FALSE)="","",VLOOKUP(B127,'26MY_PASSPORT_DATA'!B:AR,21,FALSE))</f>
        <v>Quantité de 25</v>
      </c>
    </row>
    <row r="128" spans="2:17" s="135" customFormat="1" ht="15" customHeight="1">
      <c r="B128" s="299"/>
      <c r="C128" s="20"/>
      <c r="D128" s="26"/>
      <c r="E128" s="18"/>
      <c r="F128" s="18"/>
      <c r="G128" s="16"/>
      <c r="H128" s="17"/>
      <c r="I128" s="16"/>
      <c r="J128" s="16"/>
      <c r="K128" s="16"/>
      <c r="L128" s="16"/>
      <c r="M128" s="16"/>
      <c r="N128" s="16"/>
      <c r="O128" s="16"/>
      <c r="P128" s="16"/>
      <c r="Q128" s="16"/>
    </row>
    <row r="129" spans="2:17" s="135" customFormat="1" ht="15" customHeight="1">
      <c r="B129" s="301"/>
      <c r="C129" s="44" t="s">
        <v>104</v>
      </c>
      <c r="D129" s="43" t="s">
        <v>88</v>
      </c>
      <c r="E129" s="129"/>
      <c r="F129" s="129"/>
      <c r="G129" s="129"/>
      <c r="H129" s="129"/>
      <c r="I129" s="129"/>
      <c r="J129" s="129"/>
      <c r="K129" s="129"/>
      <c r="L129" s="129"/>
      <c r="M129" s="129"/>
      <c r="N129" s="129"/>
      <c r="O129" s="129"/>
      <c r="P129" s="129"/>
      <c r="Q129" s="129"/>
    </row>
    <row r="130" spans="2:17" ht="14.25" customHeight="1">
      <c r="C130" s="137">
        <f>'26MY_PASSPORT_DATA'!$C$4</f>
        <v>45953</v>
      </c>
      <c r="D130" s="43" t="s">
        <v>158</v>
      </c>
      <c r="E130" s="51"/>
      <c r="F130" s="51"/>
      <c r="G130" s="51"/>
      <c r="H130" s="51"/>
      <c r="I130" s="51"/>
      <c r="J130" s="51"/>
      <c r="K130" s="51"/>
      <c r="L130" s="51"/>
      <c r="M130" s="51"/>
      <c r="N130" s="51"/>
      <c r="O130" s="51"/>
      <c r="P130" s="51"/>
      <c r="Q130" s="51"/>
    </row>
    <row r="131" spans="2:17" ht="14.25" customHeight="1"/>
    <row r="132" spans="2:17" ht="14.25" customHeight="1"/>
    <row r="133" spans="2:17" ht="14.25" customHeight="1"/>
    <row r="134" spans="2:17" ht="14.25" customHeight="1"/>
    <row r="135" spans="2:17" ht="14.25" customHeight="1"/>
    <row r="136" spans="2:17" ht="14.25" customHeight="1"/>
    <row r="137" spans="2:17" ht="14.25" customHeight="1"/>
    <row r="138" spans="2:17" ht="14.25" customHeight="1"/>
    <row r="139" spans="2:17" ht="14.25" customHeight="1"/>
    <row r="140" spans="2:17" ht="14.25" customHeight="1"/>
    <row r="141" spans="2:17" ht="14.25" customHeight="1"/>
    <row r="142" spans="2:17" ht="14.25" customHeight="1"/>
    <row r="143" spans="2:17" ht="14.25" customHeight="1"/>
    <row r="144" spans="2:17" ht="14.25" customHeight="1"/>
    <row r="145" ht="14.25" customHeight="1"/>
    <row r="146" ht="14.25" customHeight="1"/>
    <row r="147" ht="14.25" customHeight="1"/>
    <row r="148" ht="14.25" customHeight="1"/>
    <row r="149" ht="14.25" customHeight="1"/>
  </sheetData>
  <sheetProtection algorithmName="SHA-512" hashValue="lhg2KnWrXNJdj642vGV3N3JlIs3XuYJxEdjF8gnRRDOSj4X9qtAXbu8JKHSopxH7XPXWp8f/nZpjKoY3a/9ftQ==" saltValue="yfsTc+d1H0xbnrErOKPK8w==" spinCount="100000" sheet="1" objects="1" scenarios="1"/>
  <mergeCells count="148">
    <mergeCell ref="K28:K31"/>
    <mergeCell ref="L28:L31"/>
    <mergeCell ref="Q12:Q13"/>
    <mergeCell ref="P14:P16"/>
    <mergeCell ref="Q14:Q16"/>
    <mergeCell ref="N24:N26"/>
    <mergeCell ref="N28:N31"/>
    <mergeCell ref="H14:H16"/>
    <mergeCell ref="I14:I16"/>
    <mergeCell ref="K14:K16"/>
    <mergeCell ref="L14:L16"/>
    <mergeCell ref="M14:M16"/>
    <mergeCell ref="O14:O16"/>
    <mergeCell ref="Q18:Q22"/>
    <mergeCell ref="I24:I26"/>
    <mergeCell ref="K24:K26"/>
    <mergeCell ref="H24:H26"/>
    <mergeCell ref="C12:C13"/>
    <mergeCell ref="D12:D13"/>
    <mergeCell ref="E12:E13"/>
    <mergeCell ref="F12:F13"/>
    <mergeCell ref="G12:G13"/>
    <mergeCell ref="H12:H13"/>
    <mergeCell ref="I12:P12"/>
    <mergeCell ref="M18:M22"/>
    <mergeCell ref="O18:O22"/>
    <mergeCell ref="P18:P22"/>
    <mergeCell ref="L18:L22"/>
    <mergeCell ref="E18:E22"/>
    <mergeCell ref="F18:F22"/>
    <mergeCell ref="G18:G22"/>
    <mergeCell ref="H18:H22"/>
    <mergeCell ref="I18:I22"/>
    <mergeCell ref="K18:K22"/>
    <mergeCell ref="J14:J16"/>
    <mergeCell ref="J18:J22"/>
    <mergeCell ref="N14:N16"/>
    <mergeCell ref="N18:N22"/>
    <mergeCell ref="E14:E16"/>
    <mergeCell ref="F14:F16"/>
    <mergeCell ref="G14:G16"/>
    <mergeCell ref="J33:J36"/>
    <mergeCell ref="J38:J43"/>
    <mergeCell ref="C50:C51"/>
    <mergeCell ref="D50:D51"/>
    <mergeCell ref="E50:E51"/>
    <mergeCell ref="F50:F51"/>
    <mergeCell ref="G50:G51"/>
    <mergeCell ref="H50:H51"/>
    <mergeCell ref="J28:J31"/>
    <mergeCell ref="G45:G47"/>
    <mergeCell ref="H45:H47"/>
    <mergeCell ref="I45:I47"/>
    <mergeCell ref="H28:H31"/>
    <mergeCell ref="I28:I31"/>
    <mergeCell ref="K45:K47"/>
    <mergeCell ref="C116:C117"/>
    <mergeCell ref="D116:D117"/>
    <mergeCell ref="E116:E117"/>
    <mergeCell ref="F116:F117"/>
    <mergeCell ref="G116:G117"/>
    <mergeCell ref="H116:H117"/>
    <mergeCell ref="C59:C60"/>
    <mergeCell ref="D59:D60"/>
    <mergeCell ref="E59:E60"/>
    <mergeCell ref="F59:F60"/>
    <mergeCell ref="G59:G60"/>
    <mergeCell ref="H59:H60"/>
    <mergeCell ref="C106:C107"/>
    <mergeCell ref="D106:D107"/>
    <mergeCell ref="E106:E107"/>
    <mergeCell ref="F106:F107"/>
    <mergeCell ref="G106:G107"/>
    <mergeCell ref="H106:H107"/>
    <mergeCell ref="C90:C91"/>
    <mergeCell ref="D90:D91"/>
    <mergeCell ref="Q116:Q117"/>
    <mergeCell ref="Q90:Q91"/>
    <mergeCell ref="E90:E91"/>
    <mergeCell ref="F90:F91"/>
    <mergeCell ref="G90:G91"/>
    <mergeCell ref="H90:H91"/>
    <mergeCell ref="C5:O5"/>
    <mergeCell ref="C6:O6"/>
    <mergeCell ref="C7:O7"/>
    <mergeCell ref="C8:O8"/>
    <mergeCell ref="I50:P50"/>
    <mergeCell ref="E38:E43"/>
    <mergeCell ref="F38:F43"/>
    <mergeCell ref="G38:G43"/>
    <mergeCell ref="H38:H43"/>
    <mergeCell ref="I38:I43"/>
    <mergeCell ref="K38:K43"/>
    <mergeCell ref="L38:L43"/>
    <mergeCell ref="M38:M43"/>
    <mergeCell ref="O38:O43"/>
    <mergeCell ref="P38:P43"/>
    <mergeCell ref="M28:M31"/>
    <mergeCell ref="O28:O31"/>
    <mergeCell ref="E24:E26"/>
    <mergeCell ref="H118:H123"/>
    <mergeCell ref="E118:E123"/>
    <mergeCell ref="F118:F123"/>
    <mergeCell ref="G118:G123"/>
    <mergeCell ref="F24:F26"/>
    <mergeCell ref="G24:G26"/>
    <mergeCell ref="L24:L26"/>
    <mergeCell ref="I116:P116"/>
    <mergeCell ref="J45:J47"/>
    <mergeCell ref="E33:E36"/>
    <mergeCell ref="F33:F36"/>
    <mergeCell ref="G33:G36"/>
    <mergeCell ref="H33:H36"/>
    <mergeCell ref="I33:I36"/>
    <mergeCell ref="K33:K36"/>
    <mergeCell ref="L33:L36"/>
    <mergeCell ref="M33:M36"/>
    <mergeCell ref="O33:O36"/>
    <mergeCell ref="P45:P47"/>
    <mergeCell ref="E28:E31"/>
    <mergeCell ref="F28:F31"/>
    <mergeCell ref="G28:G31"/>
    <mergeCell ref="E45:E47"/>
    <mergeCell ref="F45:F47"/>
    <mergeCell ref="Q45:Q47"/>
    <mergeCell ref="I106:P106"/>
    <mergeCell ref="Q106:Q107"/>
    <mergeCell ref="I90:P90"/>
    <mergeCell ref="M24:M26"/>
    <mergeCell ref="O24:O26"/>
    <mergeCell ref="P24:P26"/>
    <mergeCell ref="J24:J26"/>
    <mergeCell ref="Q24:Q26"/>
    <mergeCell ref="Q28:Q31"/>
    <mergeCell ref="P33:P36"/>
    <mergeCell ref="Q33:Q36"/>
    <mergeCell ref="Q38:Q43"/>
    <mergeCell ref="Q50:Q51"/>
    <mergeCell ref="I59:P59"/>
    <mergeCell ref="Q80:Q87"/>
    <mergeCell ref="M45:M47"/>
    <mergeCell ref="O45:O47"/>
    <mergeCell ref="Q59:Q60"/>
    <mergeCell ref="L45:L47"/>
    <mergeCell ref="N33:N36"/>
    <mergeCell ref="N38:N43"/>
    <mergeCell ref="N45:N47"/>
    <mergeCell ref="P28:P31"/>
  </mergeCells>
  <conditionalFormatting sqref="E124:F124 E1:F13 E48:F51 E56:F60 E69:F69 E78:F78 E88:F91 E104:F107 E114:F117 E128:F1048576">
    <cfRule type="containsText" dxfId="9" priority="10" operator="containsText" text=".99">
      <formula>NOT(ISERROR(SEARCH(".99",E1)))</formula>
    </cfRule>
  </conditionalFormatting>
  <conditionalFormatting sqref="E14:F14 E17:F18 E27:F28 E23:F24 E44:F45 E37:F38 E32:F33">
    <cfRule type="containsText" dxfId="8" priority="9" operator="containsText" text=".99">
      <formula>NOT(ISERROR(SEARCH(".99",E14)))</formula>
    </cfRule>
  </conditionalFormatting>
  <conditionalFormatting sqref="E52:F55">
    <cfRule type="containsText" dxfId="7" priority="8" operator="containsText" text=".99">
      <formula>NOT(ISERROR(SEARCH(".99",E52)))</formula>
    </cfRule>
  </conditionalFormatting>
  <conditionalFormatting sqref="E61:F68">
    <cfRule type="containsText" dxfId="6" priority="7" operator="containsText" text=".99">
      <formula>NOT(ISERROR(SEARCH(".99",E61)))</formula>
    </cfRule>
  </conditionalFormatting>
  <conditionalFormatting sqref="E70:F77">
    <cfRule type="containsText" dxfId="5" priority="6" operator="containsText" text=".99">
      <formula>NOT(ISERROR(SEARCH(".99",E70)))</formula>
    </cfRule>
  </conditionalFormatting>
  <conditionalFormatting sqref="E79:F87">
    <cfRule type="containsText" dxfId="4" priority="5" operator="containsText" text=".99">
      <formula>NOT(ISERROR(SEARCH(".99",E79)))</formula>
    </cfRule>
  </conditionalFormatting>
  <conditionalFormatting sqref="E92:F103">
    <cfRule type="containsText" dxfId="3" priority="4" operator="containsText" text=".99">
      <formula>NOT(ISERROR(SEARCH(".99",E92)))</formula>
    </cfRule>
  </conditionalFormatting>
  <conditionalFormatting sqref="E108:F113">
    <cfRule type="containsText" dxfId="2" priority="3" operator="containsText" text=".99">
      <formula>NOT(ISERROR(SEARCH(".99",E108)))</formula>
    </cfRule>
  </conditionalFormatting>
  <conditionalFormatting sqref="E118:F118">
    <cfRule type="containsText" dxfId="1" priority="2" operator="containsText" text=".99">
      <formula>NOT(ISERROR(SEARCH(".99",E118)))</formula>
    </cfRule>
  </conditionalFormatting>
  <conditionalFormatting sqref="E125:F127">
    <cfRule type="containsText" dxfId="0" priority="1" operator="containsText" text=".99">
      <formula>NOT(ISERROR(SEARCH(".99",E125)))</formula>
    </cfRule>
  </conditionalFormatting>
  <printOptions horizontalCentered="1"/>
  <pageMargins left="0.23622047244094499" right="0.23622047244094499" top="0.39370078740157499" bottom="0.39370078740157499" header="0.31496062992126" footer="0.31496062992126"/>
  <pageSetup scale="48" fitToHeight="0" orientation="portrait" horizontalDpi="1200" verticalDpi="1200" r:id="rId1"/>
  <headerFooter>
    <oddFooter>&amp;CPage &amp;P of &amp;N</oddFooter>
  </headerFooter>
  <rowBreaks count="1" manualBreakCount="1">
    <brk id="88" min="2"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Normal="100" zoomScaleSheetLayoutView="100" workbookViewId="0">
      <selection activeCell="Y6" sqref="Y6"/>
    </sheetView>
  </sheetViews>
  <sheetFormatPr defaultColWidth="8.85546875" defaultRowHeight="12.75"/>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8.1" customHeight="1">
      <c r="B2" s="50"/>
      <c r="C2" s="51"/>
      <c r="D2" s="51"/>
      <c r="E2" s="51"/>
      <c r="F2" s="51"/>
      <c r="G2" s="51"/>
      <c r="H2" s="51"/>
      <c r="I2" s="51"/>
      <c r="J2" s="51"/>
      <c r="K2" s="51"/>
      <c r="L2" s="51"/>
      <c r="M2" s="51"/>
      <c r="N2" s="51"/>
      <c r="O2" s="51"/>
      <c r="R2" s="47"/>
    </row>
    <row r="3" spans="2:22" ht="24.95" customHeight="1">
      <c r="B3" s="398" t="s">
        <v>300</v>
      </c>
      <c r="C3" s="398"/>
      <c r="D3" s="398"/>
      <c r="E3" s="398"/>
      <c r="F3" s="398"/>
      <c r="G3" s="398"/>
      <c r="H3" s="398"/>
      <c r="I3" s="398"/>
      <c r="J3" s="398"/>
      <c r="K3" s="398"/>
      <c r="L3" s="398"/>
      <c r="M3" s="398"/>
      <c r="N3" s="398"/>
      <c r="O3" s="398"/>
      <c r="P3" s="398"/>
      <c r="Q3" s="398"/>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9" t="s">
        <v>91</v>
      </c>
      <c r="C6" s="399"/>
      <c r="D6" s="399"/>
      <c r="E6" s="399"/>
      <c r="F6" s="399"/>
      <c r="G6" s="399"/>
      <c r="H6" s="399"/>
      <c r="I6" s="399"/>
      <c r="J6" s="399"/>
      <c r="K6" s="399"/>
      <c r="L6" s="399"/>
      <c r="M6" s="399"/>
      <c r="N6" s="399"/>
      <c r="O6" s="399"/>
      <c r="P6" s="399"/>
      <c r="Q6" s="399"/>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0"/>
      <c r="D8" s="390"/>
      <c r="E8" s="390"/>
      <c r="F8" s="390"/>
      <c r="G8" s="51"/>
      <c r="H8" s="390"/>
      <c r="I8" s="390"/>
      <c r="J8" s="390"/>
      <c r="K8" s="390"/>
      <c r="L8" s="51"/>
      <c r="M8" s="390"/>
      <c r="N8" s="390"/>
      <c r="O8" s="390"/>
      <c r="P8" s="390"/>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91" t="str">
        <f>'26MY_Passport_APP_FR'!$C$92</f>
        <v>Tapis toutes saisons (logo TrailSport)</v>
      </c>
      <c r="D10" s="392"/>
      <c r="E10" s="392"/>
      <c r="F10" s="393"/>
      <c r="G10" s="55"/>
      <c r="H10" s="395" t="str">
        <f>'26MY_Passport_APP_FR'!$C$93</f>
        <v>Plateau pour compartiment utilitaire</v>
      </c>
      <c r="I10" s="396"/>
      <c r="J10" s="396"/>
      <c r="K10" s="397"/>
      <c r="L10" s="55"/>
      <c r="M10" s="391" t="str">
        <f>'26MY_Passport_APP_FR'!$C$94</f>
        <v>Couvre-bagages</v>
      </c>
      <c r="N10" s="392"/>
      <c r="O10" s="392"/>
      <c r="P10" s="393"/>
      <c r="Q10" s="51"/>
      <c r="R10" s="47"/>
    </row>
    <row r="11" spans="2:22" ht="15" customHeight="1">
      <c r="B11" s="53">
        <v>20</v>
      </c>
      <c r="C11" s="74">
        <f>'26MY_Passport_APP_FR'!$H$92</f>
        <v>365</v>
      </c>
      <c r="D11" s="72">
        <f>-PMT($D$29/52,5*52,C11)</f>
        <v>1.6643630723544598</v>
      </c>
      <c r="E11" s="58" t="s">
        <v>28</v>
      </c>
      <c r="F11" s="75" t="str">
        <f>$C$29</f>
        <v>(6.99%)</v>
      </c>
      <c r="G11" s="51"/>
      <c r="H11" s="74">
        <f>'26MY_Passport_APP_FR'!$H$93</f>
        <v>215</v>
      </c>
      <c r="I11" s="72">
        <f>-PMT($D$29/52,5*52,H11)</f>
        <v>0.98037824809920227</v>
      </c>
      <c r="J11" s="58" t="s">
        <v>28</v>
      </c>
      <c r="K11" s="75" t="str">
        <f>$C$29</f>
        <v>(6.99%)</v>
      </c>
      <c r="L11" s="51"/>
      <c r="M11" s="74">
        <f>'26MY_Passport_APP_FR'!$H$94</f>
        <v>470</v>
      </c>
      <c r="N11" s="72">
        <f>-PMT($D$29/52,5*52,M11)</f>
        <v>2.1431524493331398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0"/>
      <c r="D13" s="390"/>
      <c r="E13" s="390"/>
      <c r="F13" s="390"/>
      <c r="G13" s="51"/>
      <c r="H13" s="390"/>
      <c r="I13" s="390"/>
      <c r="J13" s="390"/>
      <c r="K13" s="390"/>
      <c r="L13" s="51"/>
      <c r="M13" s="390"/>
      <c r="N13" s="390"/>
      <c r="O13" s="390"/>
      <c r="P13" s="390"/>
      <c r="Q13" s="51"/>
      <c r="R13" s="47"/>
    </row>
    <row r="14" spans="2:22" ht="9" customHeight="1">
      <c r="B14" s="52"/>
      <c r="C14" s="80"/>
      <c r="D14" s="80"/>
      <c r="E14" s="80"/>
      <c r="F14" s="80"/>
      <c r="G14" s="51"/>
      <c r="H14" s="80"/>
      <c r="I14" s="80"/>
      <c r="J14" s="80"/>
      <c r="K14" s="80"/>
      <c r="L14" s="51"/>
      <c r="M14" s="80"/>
      <c r="N14" s="80"/>
      <c r="O14" s="80"/>
      <c r="P14" s="80"/>
      <c r="Q14" s="51"/>
      <c r="R14" s="47"/>
    </row>
    <row r="15" spans="2:22" ht="21.95" customHeight="1">
      <c r="B15" s="52">
        <v>20</v>
      </c>
      <c r="C15" s="391" t="str">
        <f>'26MY_Passport_APP_FR'!$C$79</f>
        <v>Plateforme de toit</v>
      </c>
      <c r="D15" s="392"/>
      <c r="E15" s="392"/>
      <c r="F15" s="393"/>
      <c r="G15" s="64"/>
      <c r="H15" s="391" t="str">
        <f>'26MY_Passport_APP_FR'!$C$63</f>
        <v>Marchepieds</v>
      </c>
      <c r="I15" s="392"/>
      <c r="J15" s="392"/>
      <c r="K15" s="393"/>
      <c r="L15" s="64"/>
      <c r="M15" s="391" t="str">
        <f>'26MY_Passport_APP_FR'!$C$68</f>
        <v>Visière de portière</v>
      </c>
      <c r="N15" s="392"/>
      <c r="O15" s="392"/>
      <c r="P15" s="393"/>
      <c r="Q15" s="51"/>
      <c r="R15" s="47"/>
    </row>
    <row r="16" spans="2:22" s="63" customFormat="1" ht="15.75">
      <c r="B16" s="56">
        <v>50</v>
      </c>
      <c r="C16" s="74">
        <f>'26MY_Passport_APP_FR'!$H$79</f>
        <v>1421</v>
      </c>
      <c r="D16" s="72">
        <f>-PMT($D$29/52,5*52,C16)</f>
        <v>6.4796162351114726</v>
      </c>
      <c r="E16" s="58" t="s">
        <v>28</v>
      </c>
      <c r="F16" s="75" t="str">
        <f>$C$29</f>
        <v>(6.99%)</v>
      </c>
      <c r="G16" s="60"/>
      <c r="H16" s="74">
        <f>'26MY_Passport_APP_FR'!$H$63</f>
        <v>1427</v>
      </c>
      <c r="I16" s="294">
        <f>-PMT($D$29/52,5*52,H16)</f>
        <v>6.5069756280816824</v>
      </c>
      <c r="J16" s="58" t="s">
        <v>28</v>
      </c>
      <c r="K16" s="75" t="str">
        <f>$C$29</f>
        <v>(6.99%)</v>
      </c>
      <c r="L16" s="60"/>
      <c r="M16" s="74">
        <f>'26MY_Passport_APP_FR'!$H$68</f>
        <v>520</v>
      </c>
      <c r="N16" s="72">
        <f>-PMT($D$29/52,5*52,M16)</f>
        <v>2.3711473907515588</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0"/>
      <c r="D18" s="390"/>
      <c r="E18" s="390"/>
      <c r="F18" s="390"/>
      <c r="G18" s="51"/>
      <c r="H18" s="390"/>
      <c r="I18" s="390"/>
      <c r="J18" s="390"/>
      <c r="K18" s="390"/>
      <c r="L18" s="51"/>
      <c r="M18" s="390"/>
      <c r="N18" s="390"/>
      <c r="O18" s="390"/>
      <c r="P18" s="390"/>
      <c r="Q18" s="51"/>
    </row>
    <row r="19" spans="1:20" ht="9.75" customHeight="1">
      <c r="B19" s="52"/>
      <c r="C19" s="80"/>
      <c r="D19" s="80"/>
      <c r="E19" s="80"/>
      <c r="F19" s="80"/>
      <c r="G19" s="51"/>
      <c r="H19" s="80"/>
      <c r="I19" s="80"/>
      <c r="J19" s="80"/>
      <c r="K19" s="80"/>
      <c r="L19" s="51"/>
      <c r="M19" s="80"/>
      <c r="N19" s="80"/>
      <c r="O19" s="80"/>
      <c r="P19" s="80"/>
      <c r="Q19" s="51"/>
    </row>
    <row r="20" spans="1:20" ht="21.95" customHeight="1">
      <c r="B20" s="52">
        <v>20</v>
      </c>
      <c r="C20" s="409" t="s">
        <v>329</v>
      </c>
      <c r="D20" s="410"/>
      <c r="E20" s="410"/>
      <c r="F20" s="411"/>
      <c r="G20" s="64"/>
      <c r="H20" s="391" t="str">
        <f>'26MY_Passport_APP_FR'!$C$108</f>
        <v>Lampe pour compartiment utilitaire</v>
      </c>
      <c r="I20" s="392"/>
      <c r="J20" s="392"/>
      <c r="K20" s="393"/>
      <c r="L20" s="64"/>
      <c r="M20" s="391" t="str">
        <f>'26MY_Passport_APP_FR'!$C$97</f>
        <v>Panneau utilitaire</v>
      </c>
      <c r="N20" s="392"/>
      <c r="O20" s="392"/>
      <c r="P20" s="393"/>
      <c r="Q20" s="51"/>
    </row>
    <row r="21" spans="1:20" ht="15.75">
      <c r="B21" s="52">
        <v>50</v>
      </c>
      <c r="C21" s="74">
        <f>'26MY_Passport_APP_FR'!$H$28</f>
        <v>343.9</v>
      </c>
      <c r="D21" s="72">
        <f>-PMT($D$29/52,5*52,C21)</f>
        <v>1.5681492070758867</v>
      </c>
      <c r="E21" s="58" t="s">
        <v>28</v>
      </c>
      <c r="F21" s="76" t="str">
        <f>$C$29</f>
        <v>(6.99%)</v>
      </c>
      <c r="G21" s="60"/>
      <c r="H21" s="74">
        <f>'26MY_Passport_APP_FR'!$H$108</f>
        <v>153</v>
      </c>
      <c r="I21" s="72">
        <f>-PMT($D$29/52,5*52,H21)</f>
        <v>0.69766452074036245</v>
      </c>
      <c r="J21" s="58" t="s">
        <v>28</v>
      </c>
      <c r="K21" s="76" t="str">
        <f>$C$29</f>
        <v>(6.99%)</v>
      </c>
      <c r="L21" s="60"/>
      <c r="M21" s="74">
        <f>'26MY_Passport_APP_FR'!$H$97</f>
        <v>330</v>
      </c>
      <c r="N21" s="72">
        <f>-PMT($D$29/52,5*52,M21)</f>
        <v>1.5047666133615665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47</v>
      </c>
      <c r="D23" s="51"/>
      <c r="E23" s="51"/>
      <c r="F23" s="51"/>
      <c r="G23" s="51"/>
      <c r="H23" s="51"/>
      <c r="I23" s="51"/>
      <c r="J23" s="51"/>
      <c r="K23" s="51"/>
      <c r="L23" s="51"/>
      <c r="M23" s="51"/>
      <c r="N23" s="51"/>
      <c r="O23" s="51"/>
      <c r="P23" s="51"/>
      <c r="Q23" s="51"/>
    </row>
    <row r="24" spans="1:20" ht="15" customHeight="1">
      <c r="B24" s="65"/>
      <c r="C24" s="66" t="s">
        <v>48</v>
      </c>
      <c r="D24" s="51"/>
      <c r="E24" s="51"/>
      <c r="F24" s="51"/>
      <c r="G24" s="67"/>
      <c r="H24" s="67"/>
      <c r="I24" s="67"/>
      <c r="J24" s="67"/>
      <c r="K24" s="67"/>
      <c r="L24" s="67"/>
      <c r="M24" s="67"/>
      <c r="N24" s="67"/>
      <c r="O24" s="67"/>
      <c r="P24" s="67"/>
      <c r="Q24" s="51"/>
    </row>
    <row r="25" spans="1:20" ht="15" customHeight="1">
      <c r="B25" s="65">
        <v>20</v>
      </c>
      <c r="C25" s="66" t="s">
        <v>90</v>
      </c>
      <c r="D25" s="51"/>
      <c r="E25" s="51"/>
      <c r="F25" s="51"/>
      <c r="G25" s="67"/>
      <c r="H25" s="67"/>
      <c r="I25" s="67"/>
      <c r="J25" s="67"/>
      <c r="K25" s="67"/>
      <c r="L25" s="67"/>
      <c r="M25" s="67"/>
      <c r="N25" s="67"/>
      <c r="O25" s="67"/>
      <c r="P25" s="67"/>
      <c r="Q25" s="51"/>
    </row>
    <row r="26" spans="1:20" ht="85.5" customHeight="1">
      <c r="B26" s="52">
        <v>60</v>
      </c>
      <c r="C26" s="388" t="s">
        <v>105</v>
      </c>
      <c r="D26" s="388"/>
      <c r="E26" s="388"/>
      <c r="F26" s="388"/>
      <c r="G26" s="388"/>
      <c r="H26" s="388"/>
      <c r="I26" s="388"/>
      <c r="J26" s="388"/>
      <c r="K26" s="388"/>
      <c r="L26" s="388"/>
      <c r="M26" s="388"/>
      <c r="N26" s="388"/>
      <c r="O26" s="388"/>
      <c r="P26" s="388"/>
      <c r="Q26" s="51"/>
    </row>
    <row r="27" spans="1:20" ht="20.25" customHeight="1" thickBot="1">
      <c r="B27" s="236"/>
      <c r="C27" s="237" t="s">
        <v>89</v>
      </c>
      <c r="D27" s="238"/>
      <c r="E27" s="239"/>
      <c r="F27" s="238"/>
      <c r="G27" s="240"/>
      <c r="H27" s="240"/>
      <c r="I27" s="240"/>
      <c r="J27" s="240"/>
      <c r="K27" s="241"/>
      <c r="L27" s="241"/>
      <c r="M27" s="241"/>
      <c r="N27" s="242"/>
      <c r="O27" s="389"/>
      <c r="P27" s="389"/>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106</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5" customHeight="1">
      <c r="A31" s="69"/>
      <c r="B31" s="235" t="s">
        <v>104</v>
      </c>
      <c r="C31" s="228">
        <f>'26MY_PASSPORT_DATA'!$C$4</f>
        <v>45953</v>
      </c>
      <c r="D31" s="67" t="s">
        <v>88</v>
      </c>
      <c r="E31" s="225"/>
      <c r="F31" s="225"/>
      <c r="G31" s="225"/>
      <c r="H31" s="225"/>
      <c r="I31" s="225"/>
      <c r="J31" s="225"/>
      <c r="K31" s="225"/>
      <c r="L31" s="225"/>
      <c r="M31" s="225"/>
      <c r="N31" s="225"/>
      <c r="O31" s="65"/>
      <c r="P31" s="227" t="s">
        <v>54</v>
      </c>
      <c r="Q31" s="226" t="str">
        <f>'26MY_PASSPORT_DATA'!L6</f>
        <v>ON</v>
      </c>
    </row>
    <row r="32" spans="1:20" ht="15.75">
      <c r="D32" s="81"/>
      <c r="P32" s="82"/>
      <c r="Q32" s="83"/>
      <c r="T32" s="71"/>
    </row>
    <row r="33" spans="2:2">
      <c r="B33" s="86"/>
    </row>
  </sheetData>
  <sheetProtection algorithmName="SHA-512" hashValue="dp4vRkHoefMnVJe9OMnHuyUgTCWMquCHUHR1AYeTYjJsHPeTA8v8gP2Y4NkuONN8/kbfyPouBR6GNW6AMerkkg==" saltValue="FrV78b3NpvWs/9x4sA+NfQ==" spinCount="100000" sheet="1" objects="1" scenarios="1"/>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6"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26MY_PASSPORT_DATA</vt:lpstr>
      <vt:lpstr>SELECT PROVINCE</vt:lpstr>
      <vt:lpstr>26MY_Passport_APP_EN</vt:lpstr>
      <vt:lpstr>26MY_Passport_SELL_EN</vt:lpstr>
      <vt:lpstr>26MY_Passport_APP_FR</vt:lpstr>
      <vt:lpstr>26MY_Passport_SELL_FR</vt:lpstr>
      <vt:lpstr>'26MY_Passport_APP_EN'!Print_Area</vt:lpstr>
      <vt:lpstr>'26MY_Passport_APP_FR'!Print_Area</vt:lpstr>
      <vt:lpstr>'26MY_Passport_SELL_EN'!Print_Area</vt:lpstr>
      <vt:lpstr>'26MY_Passport_SELL_FR'!Print_Area</vt:lpstr>
      <vt:lpstr>'SELECT PROVINCE'!Print_Area</vt:lpstr>
      <vt:lpstr>'26MY_Passport_APP_EN'!Print_Titles</vt:lpstr>
      <vt:lpstr>'26MY_Passport_APP_FR'!Print_Titles</vt:lpstr>
      <vt:lpstr>'26MY_PASSPORT_DATA'!Print_Titles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Anishan Ravikandan</cp:lastModifiedBy>
  <cp:lastPrinted>2025-06-06T15:21:58Z</cp:lastPrinted>
  <dcterms:created xsi:type="dcterms:W3CDTF">2013-01-30T20:30:05Z</dcterms:created>
  <dcterms:modified xsi:type="dcterms:W3CDTF">2026-02-12T13:59:30Z</dcterms:modified>
</cp:coreProperties>
</file>