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Accord\"/>
    </mc:Choice>
  </mc:AlternateContent>
  <xr:revisionPtr revIDLastSave="0" documentId="13_ncr:1_{0BB7A188-BF84-4450-BD90-2EEDD022A556}" xr6:coauthVersionLast="47" xr6:coauthVersionMax="47" xr10:uidLastSave="{00000000-0000-0000-0000-000000000000}"/>
  <workbookProtection workbookAlgorithmName="SHA-512" workbookHashValue="LwIh1Kg+Hl3WnbMt2riwvBKjdR+E+M/UIgDUn+01DWA3ax87j9NZhEz7xQWbyZ9Z/z6JNWLdwAn7tM9JtYTB5w==" workbookSaltValue="nbrQK8iUNddp80V+biWa0Q==" workbookSpinCount="100000" lockStructure="1"/>
  <bookViews>
    <workbookView xWindow="-108" yWindow="-108" windowWidth="30936" windowHeight="16776" tabRatio="847" firstSheet="3" activeTab="5" xr2:uid="{00000000-000D-0000-FFFF-FFFF00000000}"/>
  </bookViews>
  <sheets>
    <sheet name="Sell Sheet Formula" sheetId="128" state="hidden" r:id="rId1"/>
    <sheet name="Hierarchy" sheetId="201" state="hidden" r:id="rId2"/>
    <sheet name="26MY_ACCORD_DATA" sheetId="174" state="hidden" r:id="rId3"/>
    <sheet name="SELECT PROVINCE" sheetId="1" r:id="rId4"/>
    <sheet name="26MY_ACCORD_APP_EN" sheetId="197" r:id="rId5"/>
    <sheet name="26MY_ACCORD_APP_FR" sheetId="202" r:id="rId6"/>
    <sheet name="26MY_ACCORD_SELL_EN" sheetId="195" r:id="rId7"/>
    <sheet name="26MY_ACCORD_SELL_FR" sheetId="204" r:id="rId8"/>
  </sheets>
  <externalReferences>
    <externalReference r:id="rId9"/>
    <externalReference r:id="rId10"/>
  </externalReferences>
  <definedNames>
    <definedName name="_xlnm._FilterDatabase" localSheetId="2" hidden="1">'26MY_ACCORD_DATA'!$A$7:$BH$96</definedName>
    <definedName name="_xlnm._FilterDatabase" localSheetId="1" hidden="1">Hierarchy!$D$1:$M$53</definedName>
    <definedName name="BC" localSheetId="0">#REF!</definedName>
    <definedName name="_xlnm.Print_Area" localSheetId="4">'26MY_ACCORD_APP_EN'!$C$2:$Q$156</definedName>
    <definedName name="_xlnm.Print_Area" localSheetId="5">'26MY_ACCORD_APP_FR'!$C$2:$Q$154</definedName>
    <definedName name="_xlnm.Print_Area" localSheetId="6">'26MY_ACCORD_SELL_EN'!$B$2:$Q$31</definedName>
    <definedName name="_xlnm.Print_Area" localSheetId="7">'26MY_ACCORD_SELL_FR'!$B$2:$Q$31</definedName>
    <definedName name="_xlnm.Print_Area" localSheetId="3">'SELECT PROVINCE'!$A$1:$M$34</definedName>
    <definedName name="_xlnm.Print_Titles" localSheetId="4">'26MY_ACCORD_APP_EN'!$12:$13</definedName>
    <definedName name="_xlnm.Print_Titles" localSheetId="5">'26MY_ACCORD_APP_FR'!$12:$13</definedName>
    <definedName name="_xlnm.Print_Titles" localSheetId="2">'26MY_ACCORD_DATA'!$2:$3</definedName>
    <definedName name="prov_cd" localSheetId="0">'[1]SELECT PROVINCE'!$B$1</definedName>
    <definedName name="prov_cd">'SELECT PROVINCE'!$B$1</definedName>
    <definedName name="province_codes" localSheetId="0">'[1]SELECT PROVINCE'!$B$5:$B$15</definedName>
    <definedName name="province_codes">'SELECT PROVINCE'!$B$6:$B$16</definedName>
    <definedName name="RA" localSheetId="0">#REF!</definedName>
    <definedName name="rate_table" localSheetId="0">'[1]SELECT PROVINCE'!$B$5:$C$15</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78" i="174" l="1"/>
  <c r="H10" i="174"/>
  <c r="C78" i="174"/>
  <c r="Q78" i="202"/>
  <c r="P78" i="202"/>
  <c r="O78" i="202"/>
  <c r="N78" i="202"/>
  <c r="M78" i="202"/>
  <c r="L78" i="202"/>
  <c r="K78" i="202"/>
  <c r="J78" i="202"/>
  <c r="I78" i="202"/>
  <c r="G78" i="202"/>
  <c r="D78" i="202"/>
  <c r="C78" i="202"/>
  <c r="D28" i="202"/>
  <c r="C28" i="202"/>
  <c r="D27" i="202"/>
  <c r="C27" i="202"/>
  <c r="C10" i="174"/>
  <c r="D28" i="197"/>
  <c r="C28" i="197"/>
  <c r="D27" i="197"/>
  <c r="C27" i="197"/>
  <c r="Q78" i="197"/>
  <c r="P78" i="197"/>
  <c r="O78" i="197"/>
  <c r="N78" i="197"/>
  <c r="M78" i="197"/>
  <c r="L78" i="197"/>
  <c r="K78" i="197"/>
  <c r="J78" i="197"/>
  <c r="I78" i="197"/>
  <c r="G78" i="197"/>
  <c r="D78" i="197"/>
  <c r="C78" i="197"/>
  <c r="Q77" i="197"/>
  <c r="P77" i="197"/>
  <c r="O77" i="197"/>
  <c r="N77" i="197"/>
  <c r="M77" i="197"/>
  <c r="L77" i="197"/>
  <c r="K77" i="197"/>
  <c r="J77" i="197"/>
  <c r="I77" i="197"/>
  <c r="G77" i="197"/>
  <c r="D77" i="197"/>
  <c r="C77" i="197"/>
  <c r="K25" i="174"/>
  <c r="L25" i="174" s="1"/>
  <c r="J25" i="174"/>
  <c r="C25" i="174"/>
  <c r="K26" i="174" l="1"/>
  <c r="J26" i="174"/>
  <c r="E77" i="197" s="1"/>
  <c r="C26" i="174"/>
  <c r="K24" i="174"/>
  <c r="J24" i="174"/>
  <c r="C24" i="174"/>
  <c r="L24" i="174" l="1"/>
  <c r="L26" i="174"/>
  <c r="H77" i="197" s="1"/>
  <c r="F77" i="197"/>
  <c r="C33" i="174"/>
  <c r="Q53" i="202"/>
  <c r="Q49" i="202"/>
  <c r="Q42" i="202"/>
  <c r="Q37" i="202"/>
  <c r="Q30" i="202"/>
  <c r="Q24" i="202"/>
  <c r="Q18" i="202"/>
  <c r="Q14" i="202"/>
  <c r="P53" i="202"/>
  <c r="O53" i="202"/>
  <c r="N53" i="202"/>
  <c r="M53" i="202"/>
  <c r="L53" i="202"/>
  <c r="K53" i="202"/>
  <c r="J53" i="202"/>
  <c r="I53" i="202"/>
  <c r="P49" i="202"/>
  <c r="O49" i="202"/>
  <c r="N49" i="202"/>
  <c r="M49" i="202"/>
  <c r="L49" i="202"/>
  <c r="K49" i="202"/>
  <c r="J49" i="202"/>
  <c r="I49" i="202"/>
  <c r="P42" i="202"/>
  <c r="O42" i="202"/>
  <c r="N42" i="202"/>
  <c r="M42" i="202"/>
  <c r="L42" i="202"/>
  <c r="K42" i="202"/>
  <c r="J42" i="202"/>
  <c r="I42" i="202"/>
  <c r="P37" i="202"/>
  <c r="O37" i="202"/>
  <c r="N37" i="202"/>
  <c r="M37" i="202"/>
  <c r="L37" i="202"/>
  <c r="K37" i="202"/>
  <c r="J37" i="202"/>
  <c r="I37" i="202"/>
  <c r="P30" i="202"/>
  <c r="O30" i="202"/>
  <c r="N30" i="202"/>
  <c r="M30" i="202"/>
  <c r="L30" i="202"/>
  <c r="K30" i="202"/>
  <c r="J30" i="202"/>
  <c r="I30" i="202"/>
  <c r="P24" i="202"/>
  <c r="O24" i="202"/>
  <c r="N24" i="202"/>
  <c r="M24" i="202"/>
  <c r="L24" i="202"/>
  <c r="K24" i="202"/>
  <c r="J24" i="202"/>
  <c r="I24" i="202"/>
  <c r="P18" i="202"/>
  <c r="O18" i="202"/>
  <c r="N18" i="202"/>
  <c r="M18" i="202"/>
  <c r="L18" i="202"/>
  <c r="K18" i="202"/>
  <c r="J18" i="202"/>
  <c r="I18" i="202"/>
  <c r="P14" i="202"/>
  <c r="O14" i="202"/>
  <c r="N14" i="202"/>
  <c r="M14" i="202"/>
  <c r="L14" i="202"/>
  <c r="K14" i="202"/>
  <c r="J14" i="202"/>
  <c r="I14" i="202"/>
  <c r="Q65" i="202"/>
  <c r="Q64" i="202"/>
  <c r="Q63" i="202"/>
  <c r="Q62" i="202"/>
  <c r="Q61" i="202"/>
  <c r="Q60" i="202"/>
  <c r="P65" i="202"/>
  <c r="O65" i="202"/>
  <c r="N65" i="202"/>
  <c r="M65" i="202"/>
  <c r="L65" i="202"/>
  <c r="K65" i="202"/>
  <c r="J65" i="202"/>
  <c r="I65" i="202"/>
  <c r="G65" i="202"/>
  <c r="D65" i="202"/>
  <c r="P64" i="202"/>
  <c r="O64" i="202"/>
  <c r="N64" i="202"/>
  <c r="M64" i="202"/>
  <c r="L64" i="202"/>
  <c r="K64" i="202"/>
  <c r="J64" i="202"/>
  <c r="I64" i="202"/>
  <c r="G64" i="202"/>
  <c r="D64" i="202"/>
  <c r="P63" i="202"/>
  <c r="O63" i="202"/>
  <c r="N63" i="202"/>
  <c r="M63" i="202"/>
  <c r="L63" i="202"/>
  <c r="K63" i="202"/>
  <c r="J63" i="202"/>
  <c r="I63" i="202"/>
  <c r="G63" i="202"/>
  <c r="D63" i="202"/>
  <c r="P62" i="202"/>
  <c r="O62" i="202"/>
  <c r="N62" i="202"/>
  <c r="M62" i="202"/>
  <c r="L62" i="202"/>
  <c r="K62" i="202"/>
  <c r="J62" i="202"/>
  <c r="I62" i="202"/>
  <c r="G62" i="202"/>
  <c r="D62" i="202"/>
  <c r="P61" i="202"/>
  <c r="O61" i="202"/>
  <c r="N61" i="202"/>
  <c r="M61" i="202"/>
  <c r="L61" i="202"/>
  <c r="K61" i="202"/>
  <c r="J61" i="202"/>
  <c r="I61" i="202"/>
  <c r="G61" i="202"/>
  <c r="D61" i="202"/>
  <c r="P60" i="202"/>
  <c r="O60" i="202"/>
  <c r="N60" i="202"/>
  <c r="M60" i="202"/>
  <c r="L60" i="202"/>
  <c r="K60" i="202"/>
  <c r="J60" i="202"/>
  <c r="I60" i="202"/>
  <c r="G60" i="202"/>
  <c r="D60" i="202"/>
  <c r="Q83" i="202"/>
  <c r="Q82" i="202"/>
  <c r="Q81" i="202"/>
  <c r="Q80" i="202"/>
  <c r="Q79" i="202"/>
  <c r="Q77" i="202"/>
  <c r="Q76" i="202"/>
  <c r="Q75" i="202"/>
  <c r="Q74" i="202"/>
  <c r="Q73" i="202"/>
  <c r="Q72" i="202"/>
  <c r="Q71" i="202"/>
  <c r="Q70" i="202"/>
  <c r="Q84" i="202"/>
  <c r="Q85" i="202"/>
  <c r="Q87" i="202"/>
  <c r="Q96" i="202"/>
  <c r="Q105" i="202"/>
  <c r="P112" i="202"/>
  <c r="O112" i="202"/>
  <c r="N112" i="202"/>
  <c r="M112" i="202"/>
  <c r="L112" i="202"/>
  <c r="K112" i="202"/>
  <c r="J112" i="202"/>
  <c r="I112" i="202"/>
  <c r="G112" i="202"/>
  <c r="P111" i="202"/>
  <c r="O111" i="202"/>
  <c r="N111" i="202"/>
  <c r="M111" i="202"/>
  <c r="L111" i="202"/>
  <c r="K111" i="202"/>
  <c r="J111" i="202"/>
  <c r="I111" i="202"/>
  <c r="G111" i="202"/>
  <c r="P110" i="202"/>
  <c r="O110" i="202"/>
  <c r="N110" i="202"/>
  <c r="M110" i="202"/>
  <c r="L110" i="202"/>
  <c r="K110" i="202"/>
  <c r="J110" i="202"/>
  <c r="I110" i="202"/>
  <c r="G110" i="202"/>
  <c r="P109" i="202"/>
  <c r="O109" i="202"/>
  <c r="N109" i="202"/>
  <c r="M109" i="202"/>
  <c r="L109" i="202"/>
  <c r="K109" i="202"/>
  <c r="J109" i="202"/>
  <c r="I109" i="202"/>
  <c r="G109" i="202"/>
  <c r="P108" i="202"/>
  <c r="O108" i="202"/>
  <c r="N108" i="202"/>
  <c r="M108" i="202"/>
  <c r="L108" i="202"/>
  <c r="K108" i="202"/>
  <c r="J108" i="202"/>
  <c r="I108" i="202"/>
  <c r="G108" i="202"/>
  <c r="P107" i="202"/>
  <c r="O107" i="202"/>
  <c r="N107" i="202"/>
  <c r="M107" i="202"/>
  <c r="L107" i="202"/>
  <c r="K107" i="202"/>
  <c r="J107" i="202"/>
  <c r="I107" i="202"/>
  <c r="G107" i="202"/>
  <c r="P106" i="202"/>
  <c r="O106" i="202"/>
  <c r="N106" i="202"/>
  <c r="M106" i="202"/>
  <c r="L106" i="202"/>
  <c r="K106" i="202"/>
  <c r="J106" i="202"/>
  <c r="I106" i="202"/>
  <c r="G106" i="202"/>
  <c r="P105" i="202"/>
  <c r="O105" i="202"/>
  <c r="N105" i="202"/>
  <c r="M105" i="202"/>
  <c r="L105" i="202"/>
  <c r="K105" i="202"/>
  <c r="J105" i="202"/>
  <c r="I105" i="202"/>
  <c r="G105" i="202"/>
  <c r="P103" i="202"/>
  <c r="O103" i="202"/>
  <c r="N103" i="202"/>
  <c r="M103" i="202"/>
  <c r="L103" i="202"/>
  <c r="K103" i="202"/>
  <c r="J103" i="202"/>
  <c r="I103" i="202"/>
  <c r="G103" i="202"/>
  <c r="P102" i="202"/>
  <c r="O102" i="202"/>
  <c r="N102" i="202"/>
  <c r="M102" i="202"/>
  <c r="L102" i="202"/>
  <c r="K102" i="202"/>
  <c r="J102" i="202"/>
  <c r="I102" i="202"/>
  <c r="G102" i="202"/>
  <c r="P101" i="202"/>
  <c r="O101" i="202"/>
  <c r="N101" i="202"/>
  <c r="M101" i="202"/>
  <c r="L101" i="202"/>
  <c r="K101" i="202"/>
  <c r="J101" i="202"/>
  <c r="I101" i="202"/>
  <c r="G101" i="202"/>
  <c r="P100" i="202"/>
  <c r="O100" i="202"/>
  <c r="N100" i="202"/>
  <c r="M100" i="202"/>
  <c r="L100" i="202"/>
  <c r="K100" i="202"/>
  <c r="J100" i="202"/>
  <c r="I100" i="202"/>
  <c r="G100" i="202"/>
  <c r="P99" i="202"/>
  <c r="O99" i="202"/>
  <c r="N99" i="202"/>
  <c r="M99" i="202"/>
  <c r="L99" i="202"/>
  <c r="K99" i="202"/>
  <c r="J99" i="202"/>
  <c r="I99" i="202"/>
  <c r="G99" i="202"/>
  <c r="P98" i="202"/>
  <c r="O98" i="202"/>
  <c r="N98" i="202"/>
  <c r="M98" i="202"/>
  <c r="L98" i="202"/>
  <c r="K98" i="202"/>
  <c r="J98" i="202"/>
  <c r="I98" i="202"/>
  <c r="G98" i="202"/>
  <c r="P97" i="202"/>
  <c r="O97" i="202"/>
  <c r="N97" i="202"/>
  <c r="M97" i="202"/>
  <c r="L97" i="202"/>
  <c r="K97" i="202"/>
  <c r="J97" i="202"/>
  <c r="I97" i="202"/>
  <c r="G97" i="202"/>
  <c r="P96" i="202"/>
  <c r="O96" i="202"/>
  <c r="N96" i="202"/>
  <c r="M96" i="202"/>
  <c r="L96" i="202"/>
  <c r="K96" i="202"/>
  <c r="J96" i="202"/>
  <c r="I96" i="202"/>
  <c r="G96" i="202"/>
  <c r="P94" i="202"/>
  <c r="O94" i="202"/>
  <c r="N94" i="202"/>
  <c r="M94" i="202"/>
  <c r="L94" i="202"/>
  <c r="K94" i="202"/>
  <c r="J94" i="202"/>
  <c r="I94" i="202"/>
  <c r="G94" i="202"/>
  <c r="P93" i="202"/>
  <c r="O93" i="202"/>
  <c r="N93" i="202"/>
  <c r="M93" i="202"/>
  <c r="L93" i="202"/>
  <c r="K93" i="202"/>
  <c r="J93" i="202"/>
  <c r="I93" i="202"/>
  <c r="G93" i="202"/>
  <c r="P92" i="202"/>
  <c r="O92" i="202"/>
  <c r="N92" i="202"/>
  <c r="M92" i="202"/>
  <c r="L92" i="202"/>
  <c r="K92" i="202"/>
  <c r="J92" i="202"/>
  <c r="I92" i="202"/>
  <c r="G92" i="202"/>
  <c r="P91" i="202"/>
  <c r="O91" i="202"/>
  <c r="N91" i="202"/>
  <c r="M91" i="202"/>
  <c r="L91" i="202"/>
  <c r="K91" i="202"/>
  <c r="J91" i="202"/>
  <c r="I91" i="202"/>
  <c r="G91" i="202"/>
  <c r="P90" i="202"/>
  <c r="O90" i="202"/>
  <c r="N90" i="202"/>
  <c r="M90" i="202"/>
  <c r="L90" i="202"/>
  <c r="K90" i="202"/>
  <c r="J90" i="202"/>
  <c r="I90" i="202"/>
  <c r="G90" i="202"/>
  <c r="P89" i="202"/>
  <c r="O89" i="202"/>
  <c r="N89" i="202"/>
  <c r="M89" i="202"/>
  <c r="L89" i="202"/>
  <c r="K89" i="202"/>
  <c r="J89" i="202"/>
  <c r="I89" i="202"/>
  <c r="G89" i="202"/>
  <c r="P88" i="202"/>
  <c r="O88" i="202"/>
  <c r="N88" i="202"/>
  <c r="M88" i="202"/>
  <c r="L88" i="202"/>
  <c r="K88" i="202"/>
  <c r="J88" i="202"/>
  <c r="I88" i="202"/>
  <c r="G88" i="202"/>
  <c r="P87" i="202"/>
  <c r="O87" i="202"/>
  <c r="N87" i="202"/>
  <c r="M87" i="202"/>
  <c r="L87" i="202"/>
  <c r="K87" i="202"/>
  <c r="J87" i="202"/>
  <c r="I87" i="202"/>
  <c r="G87" i="202"/>
  <c r="P85" i="202"/>
  <c r="O85" i="202"/>
  <c r="N85" i="202"/>
  <c r="M85" i="202"/>
  <c r="L85" i="202"/>
  <c r="K85" i="202"/>
  <c r="J85" i="202"/>
  <c r="I85" i="202"/>
  <c r="G85" i="202"/>
  <c r="P84" i="202"/>
  <c r="O84" i="202"/>
  <c r="N84" i="202"/>
  <c r="M84" i="202"/>
  <c r="L84" i="202"/>
  <c r="K84" i="202"/>
  <c r="J84" i="202"/>
  <c r="I84" i="202"/>
  <c r="G84" i="202"/>
  <c r="P83" i="202"/>
  <c r="O83" i="202"/>
  <c r="N83" i="202"/>
  <c r="M83" i="202"/>
  <c r="L83" i="202"/>
  <c r="K83" i="202"/>
  <c r="J83" i="202"/>
  <c r="I83" i="202"/>
  <c r="G83" i="202"/>
  <c r="P82" i="202"/>
  <c r="O82" i="202"/>
  <c r="N82" i="202"/>
  <c r="M82" i="202"/>
  <c r="L82" i="202"/>
  <c r="K82" i="202"/>
  <c r="J82" i="202"/>
  <c r="I82" i="202"/>
  <c r="G82" i="202"/>
  <c r="P81" i="202"/>
  <c r="O81" i="202"/>
  <c r="N81" i="202"/>
  <c r="M81" i="202"/>
  <c r="L81" i="202"/>
  <c r="K81" i="202"/>
  <c r="J81" i="202"/>
  <c r="I81" i="202"/>
  <c r="G81" i="202"/>
  <c r="P80" i="202"/>
  <c r="O80" i="202"/>
  <c r="N80" i="202"/>
  <c r="M80" i="202"/>
  <c r="L80" i="202"/>
  <c r="K80" i="202"/>
  <c r="J80" i="202"/>
  <c r="I80" i="202"/>
  <c r="G80" i="202"/>
  <c r="P79" i="202"/>
  <c r="O79" i="202"/>
  <c r="N79" i="202"/>
  <c r="M79" i="202"/>
  <c r="L79" i="202"/>
  <c r="K79" i="202"/>
  <c r="J79" i="202"/>
  <c r="I79" i="202"/>
  <c r="G79" i="202"/>
  <c r="P77" i="202"/>
  <c r="O77" i="202"/>
  <c r="N77" i="202"/>
  <c r="M77" i="202"/>
  <c r="L77" i="202"/>
  <c r="K77" i="202"/>
  <c r="J77" i="202"/>
  <c r="I77" i="202"/>
  <c r="G77" i="202"/>
  <c r="P76" i="202"/>
  <c r="O76" i="202"/>
  <c r="N76" i="202"/>
  <c r="M76" i="202"/>
  <c r="L76" i="202"/>
  <c r="K76" i="202"/>
  <c r="J76" i="202"/>
  <c r="I76" i="202"/>
  <c r="G76" i="202"/>
  <c r="P75" i="202"/>
  <c r="O75" i="202"/>
  <c r="N75" i="202"/>
  <c r="M75" i="202"/>
  <c r="L75" i="202"/>
  <c r="K75" i="202"/>
  <c r="J75" i="202"/>
  <c r="I75" i="202"/>
  <c r="G75" i="202"/>
  <c r="P74" i="202"/>
  <c r="O74" i="202"/>
  <c r="N74" i="202"/>
  <c r="M74" i="202"/>
  <c r="L74" i="202"/>
  <c r="K74" i="202"/>
  <c r="J74" i="202"/>
  <c r="I74" i="202"/>
  <c r="G74" i="202"/>
  <c r="P73" i="202"/>
  <c r="O73" i="202"/>
  <c r="N73" i="202"/>
  <c r="M73" i="202"/>
  <c r="L73" i="202"/>
  <c r="K73" i="202"/>
  <c r="J73" i="202"/>
  <c r="I73" i="202"/>
  <c r="G73" i="202"/>
  <c r="P72" i="202"/>
  <c r="O72" i="202"/>
  <c r="N72" i="202"/>
  <c r="M72" i="202"/>
  <c r="L72" i="202"/>
  <c r="K72" i="202"/>
  <c r="J72" i="202"/>
  <c r="I72" i="202"/>
  <c r="G72" i="202"/>
  <c r="P71" i="202"/>
  <c r="O71" i="202"/>
  <c r="N71" i="202"/>
  <c r="M71" i="202"/>
  <c r="L71" i="202"/>
  <c r="K71" i="202"/>
  <c r="J71" i="202"/>
  <c r="I71" i="202"/>
  <c r="G71" i="202"/>
  <c r="P70" i="202"/>
  <c r="O70" i="202"/>
  <c r="N70" i="202"/>
  <c r="M70" i="202"/>
  <c r="L70" i="202"/>
  <c r="K70" i="202"/>
  <c r="J70" i="202"/>
  <c r="I70" i="202"/>
  <c r="G70" i="202"/>
  <c r="Q123" i="202"/>
  <c r="Q122" i="202"/>
  <c r="Q121" i="202"/>
  <c r="Q120" i="202"/>
  <c r="Q119" i="202"/>
  <c r="Q118" i="202"/>
  <c r="Q117" i="202"/>
  <c r="P123" i="202"/>
  <c r="O123" i="202"/>
  <c r="N123" i="202"/>
  <c r="M123" i="202"/>
  <c r="L123" i="202"/>
  <c r="K123" i="202"/>
  <c r="J123" i="202"/>
  <c r="I123" i="202"/>
  <c r="G123" i="202"/>
  <c r="P122" i="202"/>
  <c r="O122" i="202"/>
  <c r="N122" i="202"/>
  <c r="M122" i="202"/>
  <c r="L122" i="202"/>
  <c r="K122" i="202"/>
  <c r="J122" i="202"/>
  <c r="I122" i="202"/>
  <c r="G122" i="202"/>
  <c r="P121" i="202"/>
  <c r="O121" i="202"/>
  <c r="N121" i="202"/>
  <c r="M121" i="202"/>
  <c r="L121" i="202"/>
  <c r="K121" i="202"/>
  <c r="J121" i="202"/>
  <c r="I121" i="202"/>
  <c r="G121" i="202"/>
  <c r="P120" i="202"/>
  <c r="O120" i="202"/>
  <c r="N120" i="202"/>
  <c r="M120" i="202"/>
  <c r="L120" i="202"/>
  <c r="K120" i="202"/>
  <c r="J120" i="202"/>
  <c r="I120" i="202"/>
  <c r="G120" i="202"/>
  <c r="P119" i="202"/>
  <c r="O119" i="202"/>
  <c r="N119" i="202"/>
  <c r="M119" i="202"/>
  <c r="L119" i="202"/>
  <c r="K119" i="202"/>
  <c r="J119" i="202"/>
  <c r="I119" i="202"/>
  <c r="G119" i="202"/>
  <c r="P118" i="202"/>
  <c r="O118" i="202"/>
  <c r="N118" i="202"/>
  <c r="M118" i="202"/>
  <c r="L118" i="202"/>
  <c r="K118" i="202"/>
  <c r="J118" i="202"/>
  <c r="I118" i="202"/>
  <c r="G118" i="202"/>
  <c r="P117" i="202"/>
  <c r="O117" i="202"/>
  <c r="N117" i="202"/>
  <c r="M117" i="202"/>
  <c r="L117" i="202"/>
  <c r="K117" i="202"/>
  <c r="J117" i="202"/>
  <c r="I117" i="202"/>
  <c r="G117" i="202"/>
  <c r="Q135" i="202"/>
  <c r="Q134" i="202"/>
  <c r="Q133" i="202"/>
  <c r="Q132" i="202"/>
  <c r="Q131" i="202"/>
  <c r="Q130" i="202"/>
  <c r="Q129" i="202"/>
  <c r="Q128" i="202"/>
  <c r="P135" i="202"/>
  <c r="O135" i="202"/>
  <c r="N135" i="202"/>
  <c r="M135" i="202"/>
  <c r="L135" i="202"/>
  <c r="K135" i="202"/>
  <c r="J135" i="202"/>
  <c r="I135" i="202"/>
  <c r="G135" i="202"/>
  <c r="P134" i="202"/>
  <c r="O134" i="202"/>
  <c r="N134" i="202"/>
  <c r="M134" i="202"/>
  <c r="L134" i="202"/>
  <c r="K134" i="202"/>
  <c r="J134" i="202"/>
  <c r="I134" i="202"/>
  <c r="G134" i="202"/>
  <c r="P133" i="202"/>
  <c r="O133" i="202"/>
  <c r="N133" i="202"/>
  <c r="M133" i="202"/>
  <c r="L133" i="202"/>
  <c r="K133" i="202"/>
  <c r="J133" i="202"/>
  <c r="I133" i="202"/>
  <c r="G133" i="202"/>
  <c r="P132" i="202"/>
  <c r="O132" i="202"/>
  <c r="N132" i="202"/>
  <c r="M132" i="202"/>
  <c r="L132" i="202"/>
  <c r="K132" i="202"/>
  <c r="J132" i="202"/>
  <c r="I132" i="202"/>
  <c r="G132" i="202"/>
  <c r="P131" i="202"/>
  <c r="O131" i="202"/>
  <c r="N131" i="202"/>
  <c r="M131" i="202"/>
  <c r="L131" i="202"/>
  <c r="K131" i="202"/>
  <c r="J131" i="202"/>
  <c r="I131" i="202"/>
  <c r="G131" i="202"/>
  <c r="P130" i="202"/>
  <c r="O130" i="202"/>
  <c r="N130" i="202"/>
  <c r="M130" i="202"/>
  <c r="L130" i="202"/>
  <c r="K130" i="202"/>
  <c r="J130" i="202"/>
  <c r="I130" i="202"/>
  <c r="G130" i="202"/>
  <c r="P129" i="202"/>
  <c r="O129" i="202"/>
  <c r="N129" i="202"/>
  <c r="M129" i="202"/>
  <c r="L129" i="202"/>
  <c r="K129" i="202"/>
  <c r="J129" i="202"/>
  <c r="I129" i="202"/>
  <c r="G129" i="202"/>
  <c r="P128" i="202"/>
  <c r="O128" i="202"/>
  <c r="N128" i="202"/>
  <c r="M128" i="202"/>
  <c r="L128" i="202"/>
  <c r="K128" i="202"/>
  <c r="J128" i="202"/>
  <c r="I128" i="202"/>
  <c r="G128" i="202"/>
  <c r="Q151" i="202"/>
  <c r="Q150" i="202"/>
  <c r="Q149" i="202"/>
  <c r="Q140" i="202"/>
  <c r="P151" i="202"/>
  <c r="O151" i="202"/>
  <c r="N151" i="202"/>
  <c r="M151" i="202"/>
  <c r="L151" i="202"/>
  <c r="K151" i="202"/>
  <c r="J151" i="202"/>
  <c r="I151" i="202"/>
  <c r="G151" i="202"/>
  <c r="P150" i="202"/>
  <c r="O150" i="202"/>
  <c r="N150" i="202"/>
  <c r="M150" i="202"/>
  <c r="L150" i="202"/>
  <c r="K150" i="202"/>
  <c r="J150" i="202"/>
  <c r="I150" i="202"/>
  <c r="G150" i="202"/>
  <c r="P149" i="202"/>
  <c r="O149" i="202"/>
  <c r="N149" i="202"/>
  <c r="M149" i="202"/>
  <c r="L149" i="202"/>
  <c r="K149" i="202"/>
  <c r="J149" i="202"/>
  <c r="I149" i="202"/>
  <c r="G149" i="202"/>
  <c r="P147" i="202"/>
  <c r="O147" i="202"/>
  <c r="N147" i="202"/>
  <c r="M147" i="202"/>
  <c r="L147" i="202"/>
  <c r="K147" i="202"/>
  <c r="J147" i="202"/>
  <c r="I147" i="202"/>
  <c r="P146" i="202"/>
  <c r="O146" i="202"/>
  <c r="N146" i="202"/>
  <c r="M146" i="202"/>
  <c r="L146" i="202"/>
  <c r="K146" i="202"/>
  <c r="J146" i="202"/>
  <c r="I146" i="202"/>
  <c r="P145" i="202"/>
  <c r="O145" i="202"/>
  <c r="N145" i="202"/>
  <c r="M145" i="202"/>
  <c r="L145" i="202"/>
  <c r="K145" i="202"/>
  <c r="J145" i="202"/>
  <c r="I145" i="202"/>
  <c r="P144" i="202"/>
  <c r="O144" i="202"/>
  <c r="N144" i="202"/>
  <c r="M144" i="202"/>
  <c r="L144" i="202"/>
  <c r="K144" i="202"/>
  <c r="J144" i="202"/>
  <c r="I144" i="202"/>
  <c r="P143" i="202"/>
  <c r="O143" i="202"/>
  <c r="N143" i="202"/>
  <c r="M143" i="202"/>
  <c r="L143" i="202"/>
  <c r="K143" i="202"/>
  <c r="J143" i="202"/>
  <c r="I143" i="202"/>
  <c r="P142" i="202"/>
  <c r="O142" i="202"/>
  <c r="N142" i="202"/>
  <c r="M142" i="202"/>
  <c r="L142" i="202"/>
  <c r="K142" i="202"/>
  <c r="J142" i="202"/>
  <c r="I142" i="202"/>
  <c r="P141" i="202"/>
  <c r="O141" i="202"/>
  <c r="N141" i="202"/>
  <c r="M141" i="202"/>
  <c r="L141" i="202"/>
  <c r="K141" i="202"/>
  <c r="J141" i="202"/>
  <c r="I141" i="202"/>
  <c r="P140" i="202"/>
  <c r="O140" i="202"/>
  <c r="N140" i="202"/>
  <c r="M140" i="202"/>
  <c r="L140" i="202"/>
  <c r="K140" i="202"/>
  <c r="J140" i="202"/>
  <c r="I140" i="202"/>
  <c r="G140" i="202"/>
  <c r="G150" i="197"/>
  <c r="I150" i="197"/>
  <c r="J150" i="197"/>
  <c r="K150" i="197"/>
  <c r="L150" i="197"/>
  <c r="M150" i="197"/>
  <c r="N150" i="197"/>
  <c r="O150" i="197"/>
  <c r="P150" i="197"/>
  <c r="Q150" i="197"/>
  <c r="G151" i="197"/>
  <c r="I151" i="197"/>
  <c r="J151" i="197"/>
  <c r="K151" i="197"/>
  <c r="L151" i="197"/>
  <c r="M151" i="197"/>
  <c r="N151" i="197"/>
  <c r="O151" i="197"/>
  <c r="P151" i="197"/>
  <c r="Q151" i="197"/>
  <c r="Q149" i="197"/>
  <c r="P149" i="197"/>
  <c r="O149" i="197"/>
  <c r="N149" i="197"/>
  <c r="M149" i="197"/>
  <c r="L149" i="197"/>
  <c r="K149" i="197"/>
  <c r="J149" i="197"/>
  <c r="I149" i="197"/>
  <c r="G149" i="197"/>
  <c r="I141" i="197"/>
  <c r="J141" i="197"/>
  <c r="K141" i="197"/>
  <c r="L141" i="197"/>
  <c r="M141" i="197"/>
  <c r="N141" i="197"/>
  <c r="O141" i="197"/>
  <c r="P141" i="197"/>
  <c r="I142" i="197"/>
  <c r="J142" i="197"/>
  <c r="K142" i="197"/>
  <c r="L142" i="197"/>
  <c r="M142" i="197"/>
  <c r="N142" i="197"/>
  <c r="O142" i="197"/>
  <c r="P142" i="197"/>
  <c r="I143" i="197"/>
  <c r="J143" i="197"/>
  <c r="K143" i="197"/>
  <c r="L143" i="197"/>
  <c r="M143" i="197"/>
  <c r="N143" i="197"/>
  <c r="O143" i="197"/>
  <c r="P143" i="197"/>
  <c r="I144" i="197"/>
  <c r="J144" i="197"/>
  <c r="K144" i="197"/>
  <c r="L144" i="197"/>
  <c r="M144" i="197"/>
  <c r="N144" i="197"/>
  <c r="O144" i="197"/>
  <c r="P144" i="197"/>
  <c r="I145" i="197"/>
  <c r="J145" i="197"/>
  <c r="K145" i="197"/>
  <c r="L145" i="197"/>
  <c r="M145" i="197"/>
  <c r="N145" i="197"/>
  <c r="O145" i="197"/>
  <c r="P145" i="197"/>
  <c r="I146" i="197"/>
  <c r="J146" i="197"/>
  <c r="K146" i="197"/>
  <c r="L146" i="197"/>
  <c r="M146" i="197"/>
  <c r="N146" i="197"/>
  <c r="O146" i="197"/>
  <c r="P146" i="197"/>
  <c r="I147" i="197"/>
  <c r="J147" i="197"/>
  <c r="K147" i="197"/>
  <c r="L147" i="197"/>
  <c r="M147" i="197"/>
  <c r="N147" i="197"/>
  <c r="O147" i="197"/>
  <c r="P147" i="197"/>
  <c r="Q140" i="197"/>
  <c r="P140" i="197"/>
  <c r="O140" i="197"/>
  <c r="N140" i="197"/>
  <c r="M140" i="197"/>
  <c r="L140" i="197"/>
  <c r="K140" i="197"/>
  <c r="J140" i="197"/>
  <c r="I140" i="197"/>
  <c r="G140" i="197"/>
  <c r="G129" i="197"/>
  <c r="I129" i="197"/>
  <c r="J129" i="197"/>
  <c r="K129" i="197"/>
  <c r="L129" i="197"/>
  <c r="M129" i="197"/>
  <c r="N129" i="197"/>
  <c r="O129" i="197"/>
  <c r="P129" i="197"/>
  <c r="Q129" i="197"/>
  <c r="G130" i="197"/>
  <c r="I130" i="197"/>
  <c r="J130" i="197"/>
  <c r="K130" i="197"/>
  <c r="L130" i="197"/>
  <c r="M130" i="197"/>
  <c r="N130" i="197"/>
  <c r="O130" i="197"/>
  <c r="P130" i="197"/>
  <c r="Q130" i="197"/>
  <c r="G131" i="197"/>
  <c r="I131" i="197"/>
  <c r="J131" i="197"/>
  <c r="K131" i="197"/>
  <c r="L131" i="197"/>
  <c r="M131" i="197"/>
  <c r="N131" i="197"/>
  <c r="O131" i="197"/>
  <c r="P131" i="197"/>
  <c r="Q131" i="197"/>
  <c r="G132" i="197"/>
  <c r="I132" i="197"/>
  <c r="J132" i="197"/>
  <c r="K132" i="197"/>
  <c r="L132" i="197"/>
  <c r="M132" i="197"/>
  <c r="N132" i="197"/>
  <c r="O132" i="197"/>
  <c r="P132" i="197"/>
  <c r="Q132" i="197"/>
  <c r="G133" i="197"/>
  <c r="I133" i="197"/>
  <c r="J133" i="197"/>
  <c r="K133" i="197"/>
  <c r="L133" i="197"/>
  <c r="M133" i="197"/>
  <c r="N133" i="197"/>
  <c r="O133" i="197"/>
  <c r="P133" i="197"/>
  <c r="Q133" i="197"/>
  <c r="G134" i="197"/>
  <c r="I134" i="197"/>
  <c r="J134" i="197"/>
  <c r="K134" i="197"/>
  <c r="L134" i="197"/>
  <c r="M134" i="197"/>
  <c r="N134" i="197"/>
  <c r="O134" i="197"/>
  <c r="P134" i="197"/>
  <c r="Q134" i="197"/>
  <c r="G135" i="197"/>
  <c r="I135" i="197"/>
  <c r="J135" i="197"/>
  <c r="K135" i="197"/>
  <c r="L135" i="197"/>
  <c r="M135" i="197"/>
  <c r="N135" i="197"/>
  <c r="O135" i="197"/>
  <c r="P135" i="197"/>
  <c r="Q135" i="197"/>
  <c r="G118" i="197"/>
  <c r="I118" i="197"/>
  <c r="J118" i="197"/>
  <c r="K118" i="197"/>
  <c r="L118" i="197"/>
  <c r="M118" i="197"/>
  <c r="N118" i="197"/>
  <c r="O118" i="197"/>
  <c r="P118" i="197"/>
  <c r="Q118" i="197"/>
  <c r="G119" i="197"/>
  <c r="I119" i="197"/>
  <c r="J119" i="197"/>
  <c r="K119" i="197"/>
  <c r="L119" i="197"/>
  <c r="M119" i="197"/>
  <c r="N119" i="197"/>
  <c r="O119" i="197"/>
  <c r="P119" i="197"/>
  <c r="Q119" i="197"/>
  <c r="G120" i="197"/>
  <c r="I120" i="197"/>
  <c r="J120" i="197"/>
  <c r="K120" i="197"/>
  <c r="L120" i="197"/>
  <c r="M120" i="197"/>
  <c r="N120" i="197"/>
  <c r="O120" i="197"/>
  <c r="P120" i="197"/>
  <c r="Q120" i="197"/>
  <c r="G121" i="197"/>
  <c r="I121" i="197"/>
  <c r="J121" i="197"/>
  <c r="K121" i="197"/>
  <c r="L121" i="197"/>
  <c r="M121" i="197"/>
  <c r="N121" i="197"/>
  <c r="O121" i="197"/>
  <c r="P121" i="197"/>
  <c r="Q121" i="197"/>
  <c r="G122" i="197"/>
  <c r="I122" i="197"/>
  <c r="J122" i="197"/>
  <c r="K122" i="197"/>
  <c r="L122" i="197"/>
  <c r="M122" i="197"/>
  <c r="N122" i="197"/>
  <c r="O122" i="197"/>
  <c r="P122" i="197"/>
  <c r="Q122" i="197"/>
  <c r="G123" i="197"/>
  <c r="I123" i="197"/>
  <c r="J123" i="197"/>
  <c r="K123" i="197"/>
  <c r="L123" i="197"/>
  <c r="M123" i="197"/>
  <c r="N123" i="197"/>
  <c r="O123" i="197"/>
  <c r="P123" i="197"/>
  <c r="Q123" i="197"/>
  <c r="Q128" i="197"/>
  <c r="P128" i="197"/>
  <c r="O128" i="197"/>
  <c r="N128" i="197"/>
  <c r="M128" i="197"/>
  <c r="L128" i="197"/>
  <c r="K128" i="197"/>
  <c r="J128" i="197"/>
  <c r="I128" i="197"/>
  <c r="G128" i="197"/>
  <c r="Q117" i="197"/>
  <c r="P117" i="197"/>
  <c r="O117" i="197"/>
  <c r="N117" i="197"/>
  <c r="M117" i="197"/>
  <c r="L117" i="197"/>
  <c r="K117" i="197"/>
  <c r="J117" i="197"/>
  <c r="I117" i="197"/>
  <c r="G117" i="197"/>
  <c r="G106" i="197"/>
  <c r="I106" i="197"/>
  <c r="J106" i="197"/>
  <c r="K106" i="197"/>
  <c r="L106" i="197"/>
  <c r="M106" i="197"/>
  <c r="N106" i="197"/>
  <c r="O106" i="197"/>
  <c r="P106" i="197"/>
  <c r="G107" i="197"/>
  <c r="I107" i="197"/>
  <c r="J107" i="197"/>
  <c r="K107" i="197"/>
  <c r="L107" i="197"/>
  <c r="M107" i="197"/>
  <c r="N107" i="197"/>
  <c r="O107" i="197"/>
  <c r="P107" i="197"/>
  <c r="G108" i="197"/>
  <c r="I108" i="197"/>
  <c r="J108" i="197"/>
  <c r="K108" i="197"/>
  <c r="L108" i="197"/>
  <c r="M108" i="197"/>
  <c r="N108" i="197"/>
  <c r="O108" i="197"/>
  <c r="P108" i="197"/>
  <c r="G109" i="197"/>
  <c r="I109" i="197"/>
  <c r="J109" i="197"/>
  <c r="K109" i="197"/>
  <c r="L109" i="197"/>
  <c r="M109" i="197"/>
  <c r="N109" i="197"/>
  <c r="O109" i="197"/>
  <c r="P109" i="197"/>
  <c r="G110" i="197"/>
  <c r="I110" i="197"/>
  <c r="J110" i="197"/>
  <c r="K110" i="197"/>
  <c r="L110" i="197"/>
  <c r="M110" i="197"/>
  <c r="N110" i="197"/>
  <c r="O110" i="197"/>
  <c r="P110" i="197"/>
  <c r="G111" i="197"/>
  <c r="I111" i="197"/>
  <c r="J111" i="197"/>
  <c r="K111" i="197"/>
  <c r="L111" i="197"/>
  <c r="M111" i="197"/>
  <c r="N111" i="197"/>
  <c r="O111" i="197"/>
  <c r="P111" i="197"/>
  <c r="G112" i="197"/>
  <c r="I112" i="197"/>
  <c r="J112" i="197"/>
  <c r="K112" i="197"/>
  <c r="L112" i="197"/>
  <c r="M112" i="197"/>
  <c r="N112" i="197"/>
  <c r="O112" i="197"/>
  <c r="P112" i="197"/>
  <c r="Q105" i="197"/>
  <c r="P105" i="197"/>
  <c r="O105" i="197"/>
  <c r="N105" i="197"/>
  <c r="M105" i="197"/>
  <c r="L105" i="197"/>
  <c r="K105" i="197"/>
  <c r="J105" i="197"/>
  <c r="I105" i="197"/>
  <c r="G105" i="197"/>
  <c r="G97" i="197"/>
  <c r="I97" i="197"/>
  <c r="J97" i="197"/>
  <c r="K97" i="197"/>
  <c r="L97" i="197"/>
  <c r="M97" i="197"/>
  <c r="N97" i="197"/>
  <c r="O97" i="197"/>
  <c r="P97" i="197"/>
  <c r="G98" i="197"/>
  <c r="I98" i="197"/>
  <c r="J98" i="197"/>
  <c r="K98" i="197"/>
  <c r="L98" i="197"/>
  <c r="M98" i="197"/>
  <c r="N98" i="197"/>
  <c r="O98" i="197"/>
  <c r="P98" i="197"/>
  <c r="G99" i="197"/>
  <c r="I99" i="197"/>
  <c r="J99" i="197"/>
  <c r="K99" i="197"/>
  <c r="L99" i="197"/>
  <c r="M99" i="197"/>
  <c r="N99" i="197"/>
  <c r="O99" i="197"/>
  <c r="P99" i="197"/>
  <c r="G100" i="197"/>
  <c r="I100" i="197"/>
  <c r="J100" i="197"/>
  <c r="K100" i="197"/>
  <c r="L100" i="197"/>
  <c r="M100" i="197"/>
  <c r="N100" i="197"/>
  <c r="O100" i="197"/>
  <c r="P100" i="197"/>
  <c r="G101" i="197"/>
  <c r="I101" i="197"/>
  <c r="J101" i="197"/>
  <c r="K101" i="197"/>
  <c r="L101" i="197"/>
  <c r="M101" i="197"/>
  <c r="N101" i="197"/>
  <c r="O101" i="197"/>
  <c r="P101" i="197"/>
  <c r="G102" i="197"/>
  <c r="I102" i="197"/>
  <c r="J102" i="197"/>
  <c r="K102" i="197"/>
  <c r="L102" i="197"/>
  <c r="M102" i="197"/>
  <c r="N102" i="197"/>
  <c r="O102" i="197"/>
  <c r="P102" i="197"/>
  <c r="G103" i="197"/>
  <c r="I103" i="197"/>
  <c r="J103" i="197"/>
  <c r="K103" i="197"/>
  <c r="L103" i="197"/>
  <c r="M103" i="197"/>
  <c r="N103" i="197"/>
  <c r="O103" i="197"/>
  <c r="P103" i="197"/>
  <c r="Q96" i="197"/>
  <c r="P96" i="197"/>
  <c r="O96" i="197"/>
  <c r="N96" i="197"/>
  <c r="M96" i="197"/>
  <c r="L96" i="197"/>
  <c r="K96" i="197"/>
  <c r="J96" i="197"/>
  <c r="I96" i="197"/>
  <c r="G96" i="197"/>
  <c r="G88" i="197"/>
  <c r="I88" i="197"/>
  <c r="J88" i="197"/>
  <c r="K88" i="197"/>
  <c r="L88" i="197"/>
  <c r="M88" i="197"/>
  <c r="N88" i="197"/>
  <c r="O88" i="197"/>
  <c r="P88" i="197"/>
  <c r="G89" i="197"/>
  <c r="I89" i="197"/>
  <c r="J89" i="197"/>
  <c r="K89" i="197"/>
  <c r="L89" i="197"/>
  <c r="M89" i="197"/>
  <c r="N89" i="197"/>
  <c r="O89" i="197"/>
  <c r="P89" i="197"/>
  <c r="G90" i="197"/>
  <c r="I90" i="197"/>
  <c r="J90" i="197"/>
  <c r="K90" i="197"/>
  <c r="L90" i="197"/>
  <c r="M90" i="197"/>
  <c r="N90" i="197"/>
  <c r="O90" i="197"/>
  <c r="P90" i="197"/>
  <c r="G91" i="197"/>
  <c r="I91" i="197"/>
  <c r="J91" i="197"/>
  <c r="K91" i="197"/>
  <c r="L91" i="197"/>
  <c r="M91" i="197"/>
  <c r="N91" i="197"/>
  <c r="O91" i="197"/>
  <c r="P91" i="197"/>
  <c r="G92" i="197"/>
  <c r="I92" i="197"/>
  <c r="J92" i="197"/>
  <c r="K92" i="197"/>
  <c r="L92" i="197"/>
  <c r="M92" i="197"/>
  <c r="N92" i="197"/>
  <c r="O92" i="197"/>
  <c r="P92" i="197"/>
  <c r="G93" i="197"/>
  <c r="I93" i="197"/>
  <c r="J93" i="197"/>
  <c r="K93" i="197"/>
  <c r="L93" i="197"/>
  <c r="M93" i="197"/>
  <c r="N93" i="197"/>
  <c r="O93" i="197"/>
  <c r="P93" i="197"/>
  <c r="G94" i="197"/>
  <c r="I94" i="197"/>
  <c r="J94" i="197"/>
  <c r="K94" i="197"/>
  <c r="L94" i="197"/>
  <c r="M94" i="197"/>
  <c r="N94" i="197"/>
  <c r="O94" i="197"/>
  <c r="P94" i="197"/>
  <c r="Q87" i="197"/>
  <c r="P87" i="197"/>
  <c r="O87" i="197"/>
  <c r="N87" i="197"/>
  <c r="M87" i="197"/>
  <c r="L87" i="197"/>
  <c r="K87" i="197"/>
  <c r="J87" i="197"/>
  <c r="I87" i="197"/>
  <c r="G87" i="197"/>
  <c r="G71" i="197"/>
  <c r="I71" i="197"/>
  <c r="J71" i="197"/>
  <c r="K71" i="197"/>
  <c r="L71" i="197"/>
  <c r="M71" i="197"/>
  <c r="N71" i="197"/>
  <c r="O71" i="197"/>
  <c r="P71" i="197"/>
  <c r="Q71" i="197"/>
  <c r="G72" i="197"/>
  <c r="I72" i="197"/>
  <c r="J72" i="197"/>
  <c r="K72" i="197"/>
  <c r="L72" i="197"/>
  <c r="M72" i="197"/>
  <c r="N72" i="197"/>
  <c r="O72" i="197"/>
  <c r="P72" i="197"/>
  <c r="Q72" i="197"/>
  <c r="G73" i="197"/>
  <c r="I73" i="197"/>
  <c r="J73" i="197"/>
  <c r="K73" i="197"/>
  <c r="L73" i="197"/>
  <c r="M73" i="197"/>
  <c r="N73" i="197"/>
  <c r="O73" i="197"/>
  <c r="P73" i="197"/>
  <c r="Q73" i="197"/>
  <c r="G74" i="197"/>
  <c r="I74" i="197"/>
  <c r="J74" i="197"/>
  <c r="K74" i="197"/>
  <c r="L74" i="197"/>
  <c r="M74" i="197"/>
  <c r="N74" i="197"/>
  <c r="O74" i="197"/>
  <c r="P74" i="197"/>
  <c r="Q74" i="197"/>
  <c r="G75" i="197"/>
  <c r="I75" i="197"/>
  <c r="J75" i="197"/>
  <c r="K75" i="197"/>
  <c r="L75" i="197"/>
  <c r="M75" i="197"/>
  <c r="N75" i="197"/>
  <c r="O75" i="197"/>
  <c r="P75" i="197"/>
  <c r="Q75" i="197"/>
  <c r="G76" i="197"/>
  <c r="I76" i="197"/>
  <c r="J76" i="197"/>
  <c r="K76" i="197"/>
  <c r="L76" i="197"/>
  <c r="M76" i="197"/>
  <c r="N76" i="197"/>
  <c r="O76" i="197"/>
  <c r="P76" i="197"/>
  <c r="Q76" i="197"/>
  <c r="G79" i="197"/>
  <c r="I79" i="197"/>
  <c r="J79" i="197"/>
  <c r="K79" i="197"/>
  <c r="L79" i="197"/>
  <c r="M79" i="197"/>
  <c r="N79" i="197"/>
  <c r="O79" i="197"/>
  <c r="P79" i="197"/>
  <c r="Q79" i="197"/>
  <c r="G80" i="197"/>
  <c r="I80" i="197"/>
  <c r="J80" i="197"/>
  <c r="K80" i="197"/>
  <c r="L80" i="197"/>
  <c r="M80" i="197"/>
  <c r="N80" i="197"/>
  <c r="O80" i="197"/>
  <c r="P80" i="197"/>
  <c r="Q80" i="197"/>
  <c r="G81" i="197"/>
  <c r="I81" i="197"/>
  <c r="J81" i="197"/>
  <c r="K81" i="197"/>
  <c r="L81" i="197"/>
  <c r="M81" i="197"/>
  <c r="N81" i="197"/>
  <c r="O81" i="197"/>
  <c r="P81" i="197"/>
  <c r="Q81" i="197"/>
  <c r="G82" i="197"/>
  <c r="I82" i="197"/>
  <c r="J82" i="197"/>
  <c r="K82" i="197"/>
  <c r="L82" i="197"/>
  <c r="M82" i="197"/>
  <c r="N82" i="197"/>
  <c r="O82" i="197"/>
  <c r="P82" i="197"/>
  <c r="Q82" i="197"/>
  <c r="G83" i="197"/>
  <c r="I83" i="197"/>
  <c r="J83" i="197"/>
  <c r="K83" i="197"/>
  <c r="L83" i="197"/>
  <c r="M83" i="197"/>
  <c r="N83" i="197"/>
  <c r="O83" i="197"/>
  <c r="P83" i="197"/>
  <c r="Q83" i="197"/>
  <c r="G84" i="197"/>
  <c r="I84" i="197"/>
  <c r="J84" i="197"/>
  <c r="K84" i="197"/>
  <c r="L84" i="197"/>
  <c r="M84" i="197"/>
  <c r="N84" i="197"/>
  <c r="O84" i="197"/>
  <c r="P84" i="197"/>
  <c r="Q84" i="197"/>
  <c r="G85" i="197"/>
  <c r="I85" i="197"/>
  <c r="J85" i="197"/>
  <c r="K85" i="197"/>
  <c r="L85" i="197"/>
  <c r="M85" i="197"/>
  <c r="N85" i="197"/>
  <c r="O85" i="197"/>
  <c r="P85" i="197"/>
  <c r="Q85" i="197"/>
  <c r="Q70" i="197"/>
  <c r="P70" i="197"/>
  <c r="O70" i="197"/>
  <c r="N70" i="197"/>
  <c r="M70" i="197"/>
  <c r="L70" i="197"/>
  <c r="K70" i="197"/>
  <c r="J70" i="197"/>
  <c r="I70" i="197"/>
  <c r="G70" i="197"/>
  <c r="G61" i="197"/>
  <c r="I61" i="197"/>
  <c r="J61" i="197"/>
  <c r="K61" i="197"/>
  <c r="L61" i="197"/>
  <c r="M61" i="197"/>
  <c r="N61" i="197"/>
  <c r="O61" i="197"/>
  <c r="P61" i="197"/>
  <c r="Q61" i="197"/>
  <c r="G62" i="197"/>
  <c r="I62" i="197"/>
  <c r="J62" i="197"/>
  <c r="K62" i="197"/>
  <c r="L62" i="197"/>
  <c r="M62" i="197"/>
  <c r="N62" i="197"/>
  <c r="O62" i="197"/>
  <c r="P62" i="197"/>
  <c r="Q62" i="197"/>
  <c r="G63" i="197"/>
  <c r="I63" i="197"/>
  <c r="J63" i="197"/>
  <c r="K63" i="197"/>
  <c r="L63" i="197"/>
  <c r="M63" i="197"/>
  <c r="N63" i="197"/>
  <c r="O63" i="197"/>
  <c r="P63" i="197"/>
  <c r="Q63" i="197"/>
  <c r="G64" i="197"/>
  <c r="I64" i="197"/>
  <c r="J64" i="197"/>
  <c r="K64" i="197"/>
  <c r="L64" i="197"/>
  <c r="M64" i="197"/>
  <c r="N64" i="197"/>
  <c r="O64" i="197"/>
  <c r="P64" i="197"/>
  <c r="Q64" i="197"/>
  <c r="G65" i="197"/>
  <c r="I65" i="197"/>
  <c r="J65" i="197"/>
  <c r="K65" i="197"/>
  <c r="L65" i="197"/>
  <c r="M65" i="197"/>
  <c r="N65" i="197"/>
  <c r="O65" i="197"/>
  <c r="P65" i="197"/>
  <c r="Q65" i="197"/>
  <c r="Q60" i="197"/>
  <c r="P60" i="197"/>
  <c r="O60" i="197"/>
  <c r="N60" i="197"/>
  <c r="M60" i="197"/>
  <c r="L60" i="197"/>
  <c r="K60" i="197"/>
  <c r="J60" i="197"/>
  <c r="I60" i="197"/>
  <c r="G60" i="197"/>
  <c r="Q42" i="197"/>
  <c r="P42" i="197"/>
  <c r="O42" i="197"/>
  <c r="N42" i="197"/>
  <c r="M42" i="197"/>
  <c r="L42" i="197"/>
  <c r="K42" i="197"/>
  <c r="J42" i="197"/>
  <c r="I42" i="197"/>
  <c r="Q37" i="197"/>
  <c r="P37" i="197"/>
  <c r="O37" i="197"/>
  <c r="N37" i="197"/>
  <c r="M37" i="197"/>
  <c r="L37" i="197"/>
  <c r="K37" i="197"/>
  <c r="J37" i="197"/>
  <c r="I37" i="197"/>
  <c r="Q30" i="197"/>
  <c r="P30" i="197"/>
  <c r="O30" i="197"/>
  <c r="N30" i="197"/>
  <c r="M30" i="197"/>
  <c r="L30" i="197"/>
  <c r="K30" i="197"/>
  <c r="J30" i="197"/>
  <c r="I30" i="197"/>
  <c r="Q18" i="197"/>
  <c r="P18" i="197"/>
  <c r="O18" i="197"/>
  <c r="N18" i="197"/>
  <c r="M18" i="197"/>
  <c r="L18" i="197"/>
  <c r="K18" i="197"/>
  <c r="J18" i="197"/>
  <c r="I18" i="197"/>
  <c r="Q53" i="197"/>
  <c r="P53" i="197"/>
  <c r="O53" i="197"/>
  <c r="N53" i="197"/>
  <c r="M53" i="197"/>
  <c r="L53" i="197"/>
  <c r="K53" i="197"/>
  <c r="J53" i="197"/>
  <c r="I53" i="197"/>
  <c r="Q49" i="197"/>
  <c r="P49" i="197"/>
  <c r="O49" i="197"/>
  <c r="N49" i="197"/>
  <c r="M49" i="197"/>
  <c r="L49" i="197"/>
  <c r="K49" i="197"/>
  <c r="J49" i="197"/>
  <c r="I49" i="197"/>
  <c r="Q24" i="197"/>
  <c r="P24" i="197"/>
  <c r="O24" i="197"/>
  <c r="N24" i="197"/>
  <c r="M24" i="197"/>
  <c r="L24" i="197"/>
  <c r="K24" i="197"/>
  <c r="J24" i="197"/>
  <c r="I24" i="197"/>
  <c r="Q14" i="197"/>
  <c r="O14" i="197"/>
  <c r="I14" i="197"/>
  <c r="J14" i="197"/>
  <c r="P14" i="197"/>
  <c r="N14" i="197"/>
  <c r="M14" i="197"/>
  <c r="L14" i="197"/>
  <c r="K14" i="197"/>
  <c r="O139" i="197"/>
  <c r="O127" i="197"/>
  <c r="O116" i="197"/>
  <c r="O69" i="197"/>
  <c r="O59" i="197"/>
  <c r="O13" i="197"/>
  <c r="I139" i="197"/>
  <c r="I127" i="197"/>
  <c r="I116" i="197"/>
  <c r="I69" i="197"/>
  <c r="I59" i="197"/>
  <c r="I13" i="197"/>
  <c r="O139" i="202"/>
  <c r="O127" i="202"/>
  <c r="O116" i="202"/>
  <c r="O69" i="202"/>
  <c r="O59" i="202"/>
  <c r="O13" i="202"/>
  <c r="J139" i="202"/>
  <c r="J127" i="202"/>
  <c r="J116" i="202"/>
  <c r="J69" i="202"/>
  <c r="J59" i="202"/>
  <c r="J13" i="202"/>
  <c r="H14" i="174" l="1"/>
  <c r="H15" i="174"/>
  <c r="H8" i="174"/>
  <c r="H9" i="174"/>
  <c r="H102" i="174"/>
  <c r="C71" i="197"/>
  <c r="D71" i="197"/>
  <c r="C72" i="197"/>
  <c r="D72" i="197"/>
  <c r="C73" i="197"/>
  <c r="D73" i="197"/>
  <c r="C74" i="197"/>
  <c r="D74" i="197"/>
  <c r="C75" i="197"/>
  <c r="D75" i="197"/>
  <c r="C76" i="197"/>
  <c r="D76" i="197"/>
  <c r="C79" i="197"/>
  <c r="D79" i="197"/>
  <c r="C80" i="197"/>
  <c r="D80" i="197"/>
  <c r="C81" i="197"/>
  <c r="D81" i="197"/>
  <c r="C82" i="197"/>
  <c r="D82" i="197"/>
  <c r="C83" i="197"/>
  <c r="D83" i="197"/>
  <c r="C84" i="197"/>
  <c r="D84" i="197"/>
  <c r="C85" i="197"/>
  <c r="D85" i="197"/>
  <c r="D70" i="197"/>
  <c r="C70" i="197"/>
  <c r="C61" i="197"/>
  <c r="D61" i="197"/>
  <c r="C62" i="197"/>
  <c r="D62" i="197"/>
  <c r="C63" i="197"/>
  <c r="D63" i="197"/>
  <c r="C64" i="197"/>
  <c r="D64" i="197"/>
  <c r="C65" i="197"/>
  <c r="D65" i="197"/>
  <c r="G18" i="197" l="1"/>
  <c r="G18" i="202"/>
  <c r="G14" i="202"/>
  <c r="G14" i="197"/>
  <c r="G53" i="197"/>
  <c r="G53" i="202"/>
  <c r="G49" i="197"/>
  <c r="G49" i="202"/>
  <c r="J67" i="174"/>
  <c r="K67" i="174"/>
  <c r="F94" i="202" l="1"/>
  <c r="F94" i="197"/>
  <c r="E94" i="197"/>
  <c r="E94" i="202"/>
  <c r="D3" i="197"/>
  <c r="D3" i="202"/>
  <c r="D4" i="202"/>
  <c r="D4" i="197"/>
  <c r="C131" i="202" l="1"/>
  <c r="D131" i="202"/>
  <c r="C132" i="202"/>
  <c r="D132" i="202"/>
  <c r="C133" i="202"/>
  <c r="D133" i="202"/>
  <c r="C134" i="202"/>
  <c r="D134" i="202"/>
  <c r="C135" i="202"/>
  <c r="D135" i="202"/>
  <c r="C107" i="202"/>
  <c r="D107" i="202"/>
  <c r="C108" i="202"/>
  <c r="D108" i="202"/>
  <c r="C109" i="202"/>
  <c r="D109" i="202"/>
  <c r="C110" i="202"/>
  <c r="D110" i="202"/>
  <c r="C99" i="202"/>
  <c r="D99" i="202"/>
  <c r="C100" i="202"/>
  <c r="D100" i="202"/>
  <c r="C101" i="202"/>
  <c r="D101" i="202"/>
  <c r="C82" i="202"/>
  <c r="D82" i="202"/>
  <c r="C83" i="202"/>
  <c r="D83" i="202"/>
  <c r="C84" i="202"/>
  <c r="D84" i="202"/>
  <c r="C85" i="202"/>
  <c r="D85" i="202"/>
  <c r="C44" i="202"/>
  <c r="D44" i="202"/>
  <c r="C45" i="202"/>
  <c r="D45" i="202"/>
  <c r="C46" i="202"/>
  <c r="D46" i="202"/>
  <c r="C39" i="202"/>
  <c r="D39" i="202"/>
  <c r="C32" i="202"/>
  <c r="D32" i="202"/>
  <c r="C33" i="202"/>
  <c r="D33" i="202"/>
  <c r="C34" i="202"/>
  <c r="D34" i="202"/>
  <c r="D18" i="202"/>
  <c r="C20" i="202"/>
  <c r="D20" i="202"/>
  <c r="C21" i="202"/>
  <c r="D21" i="202"/>
  <c r="C22" i="202"/>
  <c r="D22" i="202"/>
  <c r="D14" i="202"/>
  <c r="C15" i="195"/>
  <c r="C90" i="197"/>
  <c r="D90" i="197"/>
  <c r="C91" i="197"/>
  <c r="D91" i="197"/>
  <c r="C92" i="197"/>
  <c r="D92" i="197"/>
  <c r="C41" i="174"/>
  <c r="D106" i="197"/>
  <c r="D107" i="197"/>
  <c r="C106" i="197"/>
  <c r="C107" i="197"/>
  <c r="C108" i="197"/>
  <c r="C109" i="197"/>
  <c r="C110" i="197"/>
  <c r="C111" i="197"/>
  <c r="C99" i="197"/>
  <c r="D99" i="197"/>
  <c r="C100" i="197"/>
  <c r="D100" i="197"/>
  <c r="C50" i="174"/>
  <c r="C130" i="197"/>
  <c r="M10" i="195" s="1"/>
  <c r="D130" i="197"/>
  <c r="C131" i="197"/>
  <c r="D131" i="197"/>
  <c r="C133" i="197"/>
  <c r="D133" i="197"/>
  <c r="C134" i="197"/>
  <c r="D134" i="197"/>
  <c r="N139" i="197"/>
  <c r="N127" i="197"/>
  <c r="N116" i="197"/>
  <c r="N69" i="197"/>
  <c r="C44" i="197"/>
  <c r="D44" i="197"/>
  <c r="C45" i="197"/>
  <c r="D45" i="197"/>
  <c r="C46" i="197"/>
  <c r="D46" i="197"/>
  <c r="C32" i="197"/>
  <c r="D32" i="197"/>
  <c r="C33" i="197"/>
  <c r="D33" i="197"/>
  <c r="C34" i="197"/>
  <c r="D34" i="197"/>
  <c r="C35" i="197"/>
  <c r="D35" i="197"/>
  <c r="H13" i="174"/>
  <c r="H12" i="174"/>
  <c r="H11" i="174"/>
  <c r="H101" i="174"/>
  <c r="C9" i="174"/>
  <c r="C18" i="197"/>
  <c r="D14" i="197"/>
  <c r="C20" i="197"/>
  <c r="D20" i="197"/>
  <c r="C21" i="197"/>
  <c r="D21" i="197"/>
  <c r="G24" i="202" l="1"/>
  <c r="G24" i="197"/>
  <c r="G42" i="197"/>
  <c r="G42" i="202"/>
  <c r="G30" i="202"/>
  <c r="G30" i="197"/>
  <c r="G37" i="202"/>
  <c r="G37" i="197"/>
  <c r="C15" i="204"/>
  <c r="H20" i="204"/>
  <c r="C15" i="197"/>
  <c r="D15" i="197"/>
  <c r="C14" i="174"/>
  <c r="C15" i="174"/>
  <c r="C11" i="174"/>
  <c r="C12" i="174"/>
  <c r="C13" i="174"/>
  <c r="C101" i="174"/>
  <c r="C102" i="174"/>
  <c r="C8" i="174"/>
  <c r="J30" i="174" l="1"/>
  <c r="K30" i="174"/>
  <c r="J31" i="174"/>
  <c r="K31" i="174"/>
  <c r="J32" i="174"/>
  <c r="K32" i="174"/>
  <c r="J33" i="174"/>
  <c r="K33" i="174"/>
  <c r="J34" i="174"/>
  <c r="K34" i="174"/>
  <c r="J35" i="174"/>
  <c r="K35" i="174"/>
  <c r="C34" i="174"/>
  <c r="C35" i="174"/>
  <c r="C31" i="174"/>
  <c r="C32" i="174"/>
  <c r="C30" i="174"/>
  <c r="C29" i="174"/>
  <c r="J29" i="174"/>
  <c r="K29" i="174"/>
  <c r="C27" i="174"/>
  <c r="C104" i="174"/>
  <c r="C103" i="174"/>
  <c r="C36" i="174"/>
  <c r="J36" i="174"/>
  <c r="K36" i="174"/>
  <c r="C37" i="174"/>
  <c r="C40" i="174"/>
  <c r="C39" i="174"/>
  <c r="C38" i="174"/>
  <c r="G75" i="174"/>
  <c r="F75" i="174"/>
  <c r="C75" i="174"/>
  <c r="J105" i="174"/>
  <c r="C106" i="174"/>
  <c r="G78" i="174"/>
  <c r="F78" i="174"/>
  <c r="D78" i="174"/>
  <c r="C83" i="174"/>
  <c r="C82" i="174"/>
  <c r="C81" i="174"/>
  <c r="L32" i="174" l="1"/>
  <c r="H71" i="202" s="1"/>
  <c r="F71" i="197"/>
  <c r="F71" i="202"/>
  <c r="L34" i="174"/>
  <c r="H73" i="202" s="1"/>
  <c r="F73" i="197"/>
  <c r="F73" i="202"/>
  <c r="L29" i="174"/>
  <c r="H80" i="202" s="1"/>
  <c r="F80" i="197"/>
  <c r="F80" i="202"/>
  <c r="L33" i="174"/>
  <c r="H72" i="202" s="1"/>
  <c r="F72" i="197"/>
  <c r="F72" i="202"/>
  <c r="E71" i="202"/>
  <c r="E71" i="197"/>
  <c r="F70" i="202"/>
  <c r="F70" i="197"/>
  <c r="E70" i="202"/>
  <c r="E70" i="197"/>
  <c r="L35" i="174"/>
  <c r="H74" i="202" s="1"/>
  <c r="F74" i="197"/>
  <c r="F74" i="202"/>
  <c r="E74" i="202"/>
  <c r="E74" i="197"/>
  <c r="E73" i="197"/>
  <c r="E73" i="202"/>
  <c r="E80" i="202"/>
  <c r="E80" i="197"/>
  <c r="E72" i="202"/>
  <c r="E72" i="197"/>
  <c r="F84" i="197"/>
  <c r="F84" i="202"/>
  <c r="E84" i="202"/>
  <c r="E84" i="197"/>
  <c r="L30" i="174"/>
  <c r="H79" i="197" s="1"/>
  <c r="F79" i="197"/>
  <c r="F79" i="202"/>
  <c r="E79" i="197"/>
  <c r="E79" i="202"/>
  <c r="L36" i="174"/>
  <c r="J12" i="174"/>
  <c r="L31" i="174"/>
  <c r="K12" i="174"/>
  <c r="J82" i="174"/>
  <c r="K82" i="174"/>
  <c r="J83" i="174"/>
  <c r="K83" i="174"/>
  <c r="J84" i="174"/>
  <c r="K84" i="174"/>
  <c r="J15" i="174" l="1"/>
  <c r="K15" i="174"/>
  <c r="H73" i="197"/>
  <c r="H71" i="197"/>
  <c r="H80" i="197"/>
  <c r="H72" i="197"/>
  <c r="H79" i="202"/>
  <c r="F134" i="202"/>
  <c r="F134" i="197"/>
  <c r="F133" i="202"/>
  <c r="F133" i="197"/>
  <c r="L12" i="174"/>
  <c r="H37" i="197" s="1"/>
  <c r="F37" i="197"/>
  <c r="F37" i="202"/>
  <c r="E134" i="197"/>
  <c r="E134" i="202"/>
  <c r="E133" i="202"/>
  <c r="E133" i="197"/>
  <c r="H74" i="197"/>
  <c r="E37" i="197"/>
  <c r="E37" i="202"/>
  <c r="F135" i="202"/>
  <c r="F135" i="197"/>
  <c r="E135" i="197"/>
  <c r="E135" i="202"/>
  <c r="H70" i="202"/>
  <c r="H70" i="197"/>
  <c r="H84" i="202"/>
  <c r="H84" i="197"/>
  <c r="L84" i="174"/>
  <c r="L83" i="174"/>
  <c r="L82" i="174"/>
  <c r="Q78" i="174"/>
  <c r="O78" i="174"/>
  <c r="R75" i="174"/>
  <c r="Q75" i="174"/>
  <c r="O75" i="174"/>
  <c r="H78" i="174"/>
  <c r="H75" i="174"/>
  <c r="D75" i="174"/>
  <c r="E75" i="174"/>
  <c r="E78" i="174"/>
  <c r="C105" i="174"/>
  <c r="K105" i="174"/>
  <c r="J106" i="174"/>
  <c r="K106" i="174"/>
  <c r="L106" i="174" s="1"/>
  <c r="J81" i="174"/>
  <c r="J14" i="174" s="1"/>
  <c r="K81" i="174"/>
  <c r="K14" i="174" s="1"/>
  <c r="C68" i="174"/>
  <c r="C71" i="174"/>
  <c r="C72" i="174"/>
  <c r="C73" i="174"/>
  <c r="C74" i="174"/>
  <c r="J69" i="174"/>
  <c r="K69" i="174"/>
  <c r="C70" i="174"/>
  <c r="C69" i="174"/>
  <c r="J70" i="174"/>
  <c r="K70" i="174"/>
  <c r="J71" i="174"/>
  <c r="K71" i="174"/>
  <c r="J72" i="174"/>
  <c r="K72" i="174"/>
  <c r="J73" i="174"/>
  <c r="K73" i="174"/>
  <c r="J74" i="174"/>
  <c r="K74" i="174"/>
  <c r="J76" i="174"/>
  <c r="K76" i="174"/>
  <c r="J77" i="174"/>
  <c r="K77" i="174"/>
  <c r="J79" i="174"/>
  <c r="K79" i="174"/>
  <c r="J80" i="174"/>
  <c r="K80" i="174"/>
  <c r="J68" i="174"/>
  <c r="K68" i="174"/>
  <c r="F130" i="197" l="1"/>
  <c r="F130" i="202"/>
  <c r="L71" i="174"/>
  <c r="H119" i="202" s="1"/>
  <c r="F119" i="202"/>
  <c r="F119" i="197"/>
  <c r="E130" i="197"/>
  <c r="E130" i="202"/>
  <c r="E119" i="202"/>
  <c r="E119" i="197"/>
  <c r="F132" i="202"/>
  <c r="F132" i="197"/>
  <c r="L70" i="174"/>
  <c r="H118" i="202" s="1"/>
  <c r="F118" i="202"/>
  <c r="F118" i="197"/>
  <c r="E129" i="197"/>
  <c r="E129" i="202"/>
  <c r="E118" i="202"/>
  <c r="E118" i="197"/>
  <c r="H37" i="202"/>
  <c r="L76" i="174"/>
  <c r="H128" i="202" s="1"/>
  <c r="F128" i="202"/>
  <c r="F128" i="197"/>
  <c r="E128" i="197"/>
  <c r="E128" i="202"/>
  <c r="E131" i="197"/>
  <c r="E131" i="202"/>
  <c r="E120" i="202"/>
  <c r="E120" i="197"/>
  <c r="L77" i="174"/>
  <c r="H129" i="197" s="1"/>
  <c r="F129" i="202"/>
  <c r="F129" i="197"/>
  <c r="E132" i="202"/>
  <c r="E132" i="197"/>
  <c r="L74" i="174"/>
  <c r="H122" i="202" s="1"/>
  <c r="F122" i="202"/>
  <c r="F122" i="197"/>
  <c r="F117" i="202"/>
  <c r="F117" i="197"/>
  <c r="E49" i="202"/>
  <c r="E49" i="197"/>
  <c r="E122" i="197"/>
  <c r="E122" i="202"/>
  <c r="E117" i="197"/>
  <c r="E117" i="202"/>
  <c r="L14" i="174"/>
  <c r="H49" i="197" s="1"/>
  <c r="F49" i="202"/>
  <c r="F49" i="197"/>
  <c r="E123" i="197"/>
  <c r="E123" i="202"/>
  <c r="E121" i="202"/>
  <c r="E121" i="197"/>
  <c r="L68" i="174"/>
  <c r="H123" i="197" s="1"/>
  <c r="F123" i="197"/>
  <c r="F123" i="202"/>
  <c r="L73" i="174"/>
  <c r="H121" i="202" s="1"/>
  <c r="F121" i="202"/>
  <c r="F121" i="197"/>
  <c r="F131" i="202"/>
  <c r="F131" i="197"/>
  <c r="L72" i="174"/>
  <c r="H120" i="197" s="1"/>
  <c r="F120" i="202"/>
  <c r="F120" i="197"/>
  <c r="H133" i="202"/>
  <c r="H133" i="197"/>
  <c r="H134" i="202"/>
  <c r="H134" i="197"/>
  <c r="H135" i="202"/>
  <c r="H135" i="197"/>
  <c r="L105" i="174"/>
  <c r="L81" i="174"/>
  <c r="J8" i="174"/>
  <c r="L80" i="174"/>
  <c r="L79" i="174"/>
  <c r="L69" i="174"/>
  <c r="K8" i="174"/>
  <c r="J78" i="174"/>
  <c r="J75" i="174"/>
  <c r="K75" i="174"/>
  <c r="L75" i="174" s="1"/>
  <c r="K78" i="174"/>
  <c r="L78" i="174" s="1"/>
  <c r="H123" i="202" l="1"/>
  <c r="H129" i="202"/>
  <c r="H128" i="197"/>
  <c r="H119" i="197"/>
  <c r="H120" i="202"/>
  <c r="H118" i="197"/>
  <c r="E14" i="197"/>
  <c r="E14" i="202"/>
  <c r="E53" i="202"/>
  <c r="E53" i="197"/>
  <c r="L15" i="174"/>
  <c r="H53" i="202" s="1"/>
  <c r="F53" i="202"/>
  <c r="F53" i="197"/>
  <c r="H121" i="197"/>
  <c r="H49" i="202"/>
  <c r="H122" i="197"/>
  <c r="L8" i="174"/>
  <c r="H14" i="197" s="1"/>
  <c r="F14" i="202"/>
  <c r="F14" i="197"/>
  <c r="H117" i="202"/>
  <c r="H117" i="197"/>
  <c r="H130" i="197"/>
  <c r="H130" i="202"/>
  <c r="H131" i="197"/>
  <c r="H131" i="202"/>
  <c r="H132" i="197"/>
  <c r="H132" i="202"/>
  <c r="H21" i="204" s="1"/>
  <c r="L67" i="174"/>
  <c r="C59" i="174"/>
  <c r="H14" i="202" l="1"/>
  <c r="H53" i="197"/>
  <c r="H94" i="202"/>
  <c r="H94" i="197"/>
  <c r="M11" i="195"/>
  <c r="J23" i="174"/>
  <c r="K23" i="174"/>
  <c r="J18" i="174"/>
  <c r="K18" i="174"/>
  <c r="J19" i="174"/>
  <c r="K19" i="174"/>
  <c r="C18" i="174"/>
  <c r="C19" i="174"/>
  <c r="E61" i="202" l="1"/>
  <c r="E61" i="197"/>
  <c r="E60" i="197"/>
  <c r="E60" i="202"/>
  <c r="E63" i="197"/>
  <c r="E63" i="202"/>
  <c r="L19" i="174"/>
  <c r="H61" i="202" s="1"/>
  <c r="F61" i="197"/>
  <c r="F61" i="202"/>
  <c r="L18" i="174"/>
  <c r="H60" i="202" s="1"/>
  <c r="F60" i="197"/>
  <c r="F60" i="202"/>
  <c r="L23" i="174"/>
  <c r="H63" i="202" s="1"/>
  <c r="F63" i="197"/>
  <c r="F63" i="202"/>
  <c r="C20" i="174"/>
  <c r="C21" i="174"/>
  <c r="C22" i="174"/>
  <c r="C23" i="174"/>
  <c r="H61" i="197" l="1"/>
  <c r="H63" i="197"/>
  <c r="H60" i="197"/>
  <c r="J88" i="174"/>
  <c r="K88" i="174"/>
  <c r="L88" i="174" s="1"/>
  <c r="J89" i="174"/>
  <c r="K89" i="174"/>
  <c r="L89" i="174" s="1"/>
  <c r="J90" i="174"/>
  <c r="K90" i="174"/>
  <c r="L90" i="174" s="1"/>
  <c r="J91" i="174"/>
  <c r="K91" i="174"/>
  <c r="L91" i="174" s="1"/>
  <c r="J92" i="174"/>
  <c r="K92" i="174"/>
  <c r="L92" i="174" s="1"/>
  <c r="P139" i="202" l="1"/>
  <c r="N139" i="202"/>
  <c r="M139" i="202"/>
  <c r="L139" i="202"/>
  <c r="K139" i="202"/>
  <c r="I139" i="202"/>
  <c r="P127" i="202"/>
  <c r="N127" i="202"/>
  <c r="M127" i="202"/>
  <c r="L127" i="202"/>
  <c r="K127" i="202"/>
  <c r="I127" i="202"/>
  <c r="P116" i="202"/>
  <c r="N116" i="202"/>
  <c r="M116" i="202"/>
  <c r="L116" i="202"/>
  <c r="K116" i="202"/>
  <c r="I116" i="202"/>
  <c r="P69" i="202"/>
  <c r="N69" i="202"/>
  <c r="M69" i="202"/>
  <c r="L69" i="202"/>
  <c r="K69" i="202"/>
  <c r="I69" i="202"/>
  <c r="P59" i="202"/>
  <c r="N59" i="202"/>
  <c r="M59" i="202"/>
  <c r="L59" i="202"/>
  <c r="K59" i="202"/>
  <c r="I59" i="202"/>
  <c r="C80" i="202"/>
  <c r="D80" i="202"/>
  <c r="C81" i="202"/>
  <c r="D81" i="202"/>
  <c r="C130" i="202"/>
  <c r="D130" i="202"/>
  <c r="C146" i="202"/>
  <c r="D146" i="202"/>
  <c r="P13" i="202"/>
  <c r="N13" i="202"/>
  <c r="M13" i="202"/>
  <c r="L13" i="202"/>
  <c r="K13" i="202"/>
  <c r="I13" i="202"/>
  <c r="P139" i="197"/>
  <c r="M139" i="197"/>
  <c r="L139" i="197"/>
  <c r="K139" i="197"/>
  <c r="J139" i="197"/>
  <c r="P127" i="197"/>
  <c r="M127" i="197"/>
  <c r="L127" i="197"/>
  <c r="K127" i="197"/>
  <c r="J127" i="197"/>
  <c r="P116" i="197"/>
  <c r="M116" i="197"/>
  <c r="L116" i="197"/>
  <c r="K116" i="197"/>
  <c r="J116" i="197"/>
  <c r="P69" i="197"/>
  <c r="M69" i="197"/>
  <c r="L69" i="197"/>
  <c r="K69" i="197"/>
  <c r="J69" i="197"/>
  <c r="P59" i="197"/>
  <c r="N59" i="197"/>
  <c r="M59" i="197"/>
  <c r="L59" i="197"/>
  <c r="K59" i="197"/>
  <c r="J59" i="197"/>
  <c r="P13" i="197"/>
  <c r="N13" i="197"/>
  <c r="M13" i="197"/>
  <c r="L13" i="197"/>
  <c r="K13" i="197"/>
  <c r="J13" i="197"/>
  <c r="D51" i="197"/>
  <c r="C51" i="197"/>
  <c r="D50" i="197"/>
  <c r="C50" i="197"/>
  <c r="D49" i="197"/>
  <c r="C49" i="197"/>
  <c r="C53" i="197"/>
  <c r="D53" i="197"/>
  <c r="K27" i="174"/>
  <c r="J27" i="174"/>
  <c r="E78" i="197" l="1"/>
  <c r="E78" i="202"/>
  <c r="J10" i="174"/>
  <c r="F78" i="197"/>
  <c r="F78" i="202"/>
  <c r="K10" i="174"/>
  <c r="E77" i="202"/>
  <c r="F77" i="202"/>
  <c r="M10" i="204"/>
  <c r="C129" i="197"/>
  <c r="D129" i="197"/>
  <c r="C132" i="197"/>
  <c r="H20" i="195" s="1"/>
  <c r="D132" i="197"/>
  <c r="C135" i="197"/>
  <c r="D135" i="197"/>
  <c r="C146" i="197"/>
  <c r="D146" i="197"/>
  <c r="C147" i="197"/>
  <c r="D147" i="197"/>
  <c r="D47" i="202" l="1"/>
  <c r="C47" i="202"/>
  <c r="D43" i="202"/>
  <c r="C43" i="202"/>
  <c r="D42" i="202"/>
  <c r="C42" i="202"/>
  <c r="M20" i="204" l="1"/>
  <c r="C93" i="202"/>
  <c r="C94" i="202"/>
  <c r="C154" i="197" l="1"/>
  <c r="C92" i="202"/>
  <c r="D92" i="202"/>
  <c r="D93" i="202"/>
  <c r="D94" i="202"/>
  <c r="C86" i="202"/>
  <c r="D112" i="197"/>
  <c r="C112" i="197"/>
  <c r="D111" i="197"/>
  <c r="D110" i="197"/>
  <c r="D109" i="197"/>
  <c r="D108" i="197"/>
  <c r="D105" i="197"/>
  <c r="C105" i="197"/>
  <c r="C104" i="197"/>
  <c r="H59" i="174" l="1"/>
  <c r="J60" i="174"/>
  <c r="K60" i="174"/>
  <c r="J61" i="174"/>
  <c r="K61" i="174"/>
  <c r="J62" i="174"/>
  <c r="K62" i="174"/>
  <c r="J63" i="174"/>
  <c r="K63" i="174"/>
  <c r="J64" i="174"/>
  <c r="K64" i="174"/>
  <c r="J65" i="174"/>
  <c r="K65" i="174"/>
  <c r="J66" i="174"/>
  <c r="K66" i="174"/>
  <c r="J93" i="174"/>
  <c r="K93" i="174"/>
  <c r="L93" i="174" s="1"/>
  <c r="K40" i="174"/>
  <c r="J40" i="174"/>
  <c r="E92" i="197" l="1"/>
  <c r="E92" i="202"/>
  <c r="E91" i="197"/>
  <c r="E91" i="202"/>
  <c r="E90" i="202"/>
  <c r="E90" i="197"/>
  <c r="J9" i="174"/>
  <c r="E81" i="202"/>
  <c r="E81" i="197"/>
  <c r="L62" i="174"/>
  <c r="H89" i="197" s="1"/>
  <c r="F89" i="202"/>
  <c r="F89" i="197"/>
  <c r="K9" i="174"/>
  <c r="F81" i="202"/>
  <c r="F81" i="197"/>
  <c r="E89" i="202"/>
  <c r="E89" i="197"/>
  <c r="L66" i="174"/>
  <c r="H93" i="202" s="1"/>
  <c r="F93" i="197"/>
  <c r="F93" i="202"/>
  <c r="K59" i="174"/>
  <c r="L59" i="174" s="1"/>
  <c r="F87" i="197"/>
  <c r="F87" i="202"/>
  <c r="E93" i="202"/>
  <c r="E93" i="197"/>
  <c r="J59" i="174"/>
  <c r="E87" i="197"/>
  <c r="E87" i="202"/>
  <c r="F91" i="202"/>
  <c r="F91" i="197"/>
  <c r="F90" i="202"/>
  <c r="F90" i="197"/>
  <c r="L61" i="174"/>
  <c r="H88" i="202" s="1"/>
  <c r="F88" i="197"/>
  <c r="F88" i="202"/>
  <c r="E88" i="202"/>
  <c r="E88" i="197"/>
  <c r="F92" i="197"/>
  <c r="F92" i="202"/>
  <c r="L63" i="174"/>
  <c r="K11" i="174"/>
  <c r="K13" i="174"/>
  <c r="L64" i="174"/>
  <c r="J13" i="174"/>
  <c r="J11" i="174"/>
  <c r="L65" i="174"/>
  <c r="H21" i="195"/>
  <c r="L60" i="174"/>
  <c r="K57" i="174"/>
  <c r="J57" i="174"/>
  <c r="K47" i="174"/>
  <c r="J47" i="174"/>
  <c r="H93" i="197" l="1"/>
  <c r="H88" i="197"/>
  <c r="F110" i="202"/>
  <c r="F110" i="197"/>
  <c r="E18" i="202"/>
  <c r="E18" i="197"/>
  <c r="E30" i="197"/>
  <c r="E30" i="202"/>
  <c r="H89" i="202"/>
  <c r="L13" i="174"/>
  <c r="H42" i="197" s="1"/>
  <c r="F42" i="202"/>
  <c r="F42" i="197"/>
  <c r="E102" i="202"/>
  <c r="E102" i="197"/>
  <c r="L57" i="174"/>
  <c r="H102" i="202" s="1"/>
  <c r="F102" i="202"/>
  <c r="F102" i="197"/>
  <c r="E42" i="202"/>
  <c r="E42" i="197"/>
  <c r="E110" i="202"/>
  <c r="E110" i="197"/>
  <c r="L11" i="174"/>
  <c r="H30" i="197" s="1"/>
  <c r="F30" i="197"/>
  <c r="F30" i="202"/>
  <c r="L9" i="174"/>
  <c r="F18" i="197"/>
  <c r="F18" i="202"/>
  <c r="H91" i="202"/>
  <c r="H91" i="197"/>
  <c r="H90" i="202"/>
  <c r="H90" i="197"/>
  <c r="H87" i="202"/>
  <c r="H87" i="197"/>
  <c r="H92" i="202"/>
  <c r="H92" i="197"/>
  <c r="L47" i="174"/>
  <c r="L6" i="174"/>
  <c r="H11" i="197"/>
  <c r="C53" i="202"/>
  <c r="J39" i="174"/>
  <c r="K96" i="174"/>
  <c r="J96" i="174"/>
  <c r="K95" i="174"/>
  <c r="J95" i="174"/>
  <c r="K94" i="174"/>
  <c r="J94" i="174"/>
  <c r="J87" i="174"/>
  <c r="K87" i="174"/>
  <c r="K86" i="174"/>
  <c r="J86" i="174"/>
  <c r="J52" i="174"/>
  <c r="K52" i="174"/>
  <c r="J53" i="174"/>
  <c r="K53" i="174"/>
  <c r="J54" i="174"/>
  <c r="K54" i="174"/>
  <c r="J55" i="174"/>
  <c r="K55" i="174"/>
  <c r="J56" i="174"/>
  <c r="K56" i="174"/>
  <c r="J58" i="174"/>
  <c r="K58" i="174"/>
  <c r="K51" i="174"/>
  <c r="J51" i="174"/>
  <c r="J43" i="174"/>
  <c r="K43" i="174"/>
  <c r="J44" i="174"/>
  <c r="K44" i="174"/>
  <c r="J45" i="174"/>
  <c r="K45" i="174"/>
  <c r="J46" i="174"/>
  <c r="K46" i="174"/>
  <c r="J48" i="174"/>
  <c r="K48" i="174"/>
  <c r="J49" i="174"/>
  <c r="K49" i="174"/>
  <c r="K42" i="174"/>
  <c r="J42" i="174"/>
  <c r="J21" i="174"/>
  <c r="K21" i="174"/>
  <c r="J22" i="174"/>
  <c r="K22" i="174"/>
  <c r="J37" i="174"/>
  <c r="K37" i="174"/>
  <c r="J38" i="174"/>
  <c r="K38" i="174"/>
  <c r="J103" i="174"/>
  <c r="J101" i="174" s="1"/>
  <c r="K103" i="174"/>
  <c r="K101" i="174" s="1"/>
  <c r="J104" i="174"/>
  <c r="K104" i="174"/>
  <c r="L10" i="174" s="1"/>
  <c r="K39" i="174"/>
  <c r="K20" i="174"/>
  <c r="J20" i="174"/>
  <c r="H102" i="197" l="1"/>
  <c r="F151" i="197"/>
  <c r="F151" i="202"/>
  <c r="F112" i="197"/>
  <c r="F112" i="202"/>
  <c r="F97" i="202"/>
  <c r="F97" i="197"/>
  <c r="E112" i="197"/>
  <c r="E112" i="202"/>
  <c r="E97" i="197"/>
  <c r="E97" i="202"/>
  <c r="F149" i="202"/>
  <c r="F149" i="197"/>
  <c r="H42" i="202"/>
  <c r="E101" i="202"/>
  <c r="E101" i="197"/>
  <c r="F100" i="202"/>
  <c r="F100" i="197"/>
  <c r="F99" i="197"/>
  <c r="F99" i="202"/>
  <c r="F105" i="197"/>
  <c r="F105" i="202"/>
  <c r="E106" i="197"/>
  <c r="E106" i="202"/>
  <c r="E98" i="197"/>
  <c r="E98" i="202"/>
  <c r="F75" i="202"/>
  <c r="F75" i="197"/>
  <c r="E96" i="202"/>
  <c r="E96" i="197"/>
  <c r="H18" i="197"/>
  <c r="H18" i="202"/>
  <c r="E75" i="202"/>
  <c r="E75" i="197"/>
  <c r="F96" i="202"/>
  <c r="F96" i="197"/>
  <c r="F82" i="197"/>
  <c r="F82" i="202"/>
  <c r="F111" i="202"/>
  <c r="F111" i="197"/>
  <c r="F103" i="202"/>
  <c r="F103" i="197"/>
  <c r="E140" i="197"/>
  <c r="E140" i="202"/>
  <c r="E82" i="202"/>
  <c r="E82" i="197"/>
  <c r="E111" i="197"/>
  <c r="E111" i="202"/>
  <c r="E103" i="197"/>
  <c r="E103" i="202"/>
  <c r="F140" i="197"/>
  <c r="F140" i="202"/>
  <c r="F85" i="197"/>
  <c r="F85" i="202"/>
  <c r="F109" i="202"/>
  <c r="F109" i="197"/>
  <c r="F101" i="202"/>
  <c r="F101" i="197"/>
  <c r="H30" i="202"/>
  <c r="E85" i="202"/>
  <c r="E85" i="197"/>
  <c r="E109" i="202"/>
  <c r="E109" i="197"/>
  <c r="F65" i="197"/>
  <c r="F65" i="202"/>
  <c r="F108" i="197"/>
  <c r="F108" i="202"/>
  <c r="E149" i="202"/>
  <c r="E149" i="197"/>
  <c r="E64" i="197"/>
  <c r="E64" i="202"/>
  <c r="E65" i="197"/>
  <c r="E65" i="202"/>
  <c r="E108" i="202"/>
  <c r="E108" i="197"/>
  <c r="E100" i="202"/>
  <c r="E100" i="197"/>
  <c r="F64" i="197"/>
  <c r="F64" i="202"/>
  <c r="F62" i="197"/>
  <c r="F62" i="202"/>
  <c r="F107" i="197"/>
  <c r="F107" i="202"/>
  <c r="E150" i="197"/>
  <c r="E150" i="202"/>
  <c r="F83" i="197"/>
  <c r="F83" i="202"/>
  <c r="E62" i="197"/>
  <c r="E62" i="202"/>
  <c r="E107" i="197"/>
  <c r="E107" i="202"/>
  <c r="E99" i="202"/>
  <c r="E99" i="197"/>
  <c r="F150" i="197"/>
  <c r="F150" i="202"/>
  <c r="E76" i="202"/>
  <c r="E76" i="197"/>
  <c r="E83" i="202"/>
  <c r="E83" i="197"/>
  <c r="F76" i="197"/>
  <c r="F76" i="202"/>
  <c r="E105" i="197"/>
  <c r="E105" i="202"/>
  <c r="F106" i="197"/>
  <c r="F106" i="202"/>
  <c r="F98" i="197"/>
  <c r="F98" i="202"/>
  <c r="E151" i="197"/>
  <c r="E151" i="202"/>
  <c r="H110" i="202"/>
  <c r="H110" i="197"/>
  <c r="K102" i="174"/>
  <c r="J102" i="174"/>
  <c r="J41" i="174"/>
  <c r="K41" i="174"/>
  <c r="C31" i="204"/>
  <c r="P21" i="204"/>
  <c r="K21" i="204"/>
  <c r="F21" i="204"/>
  <c r="P16" i="204"/>
  <c r="K16" i="204"/>
  <c r="F16" i="204"/>
  <c r="P11" i="204"/>
  <c r="K11" i="204"/>
  <c r="F11" i="204"/>
  <c r="C141" i="197"/>
  <c r="E24" i="197" l="1"/>
  <c r="E24" i="202"/>
  <c r="F24" i="202"/>
  <c r="F24" i="197"/>
  <c r="M21" i="204"/>
  <c r="C16" i="197" l="1"/>
  <c r="D16" i="197"/>
  <c r="C14" i="197"/>
  <c r="H85" i="174" l="1"/>
  <c r="H41" i="174"/>
  <c r="H50" i="174"/>
  <c r="L58" i="174"/>
  <c r="L55" i="174"/>
  <c r="L52" i="174"/>
  <c r="L51" i="174"/>
  <c r="L87" i="174"/>
  <c r="L86" i="174"/>
  <c r="L94" i="174"/>
  <c r="L95" i="174"/>
  <c r="J85" i="174"/>
  <c r="H96" i="202" l="1"/>
  <c r="H96" i="197"/>
  <c r="H100" i="202"/>
  <c r="H100" i="197"/>
  <c r="H150" i="202"/>
  <c r="H150" i="197"/>
  <c r="H149" i="197"/>
  <c r="H149" i="202"/>
  <c r="H140" i="202"/>
  <c r="H140" i="197"/>
  <c r="H97" i="202"/>
  <c r="H97" i="197"/>
  <c r="H103" i="202"/>
  <c r="H103" i="197"/>
  <c r="K85" i="174"/>
  <c r="C31" i="195"/>
  <c r="D31" i="195"/>
  <c r="C150" i="202" l="1"/>
  <c r="C151" i="202"/>
  <c r="C149" i="202"/>
  <c r="C141" i="202"/>
  <c r="C142" i="202"/>
  <c r="C143" i="202"/>
  <c r="C144" i="202"/>
  <c r="C145" i="202"/>
  <c r="C147" i="202"/>
  <c r="C140" i="202"/>
  <c r="C129" i="202"/>
  <c r="C128" i="202"/>
  <c r="C118" i="202"/>
  <c r="C119" i="202"/>
  <c r="C120" i="202"/>
  <c r="C121" i="202"/>
  <c r="C122" i="202"/>
  <c r="C123" i="202"/>
  <c r="C117" i="202"/>
  <c r="C106" i="202"/>
  <c r="C111" i="202"/>
  <c r="C112" i="202"/>
  <c r="C105" i="202"/>
  <c r="C104" i="202"/>
  <c r="C97" i="202"/>
  <c r="C98" i="202"/>
  <c r="C102" i="202"/>
  <c r="C103" i="202"/>
  <c r="D96" i="202"/>
  <c r="C96" i="202"/>
  <c r="C95" i="202"/>
  <c r="C20" i="204" s="1"/>
  <c r="C71" i="202"/>
  <c r="C72" i="202"/>
  <c r="C73" i="202"/>
  <c r="C74" i="202"/>
  <c r="C75" i="202"/>
  <c r="C76" i="202"/>
  <c r="C77" i="202"/>
  <c r="C79" i="202"/>
  <c r="C87" i="202"/>
  <c r="C88" i="202"/>
  <c r="C89" i="202"/>
  <c r="C90" i="202"/>
  <c r="C91" i="202"/>
  <c r="C70" i="202"/>
  <c r="C61" i="202"/>
  <c r="C62" i="202"/>
  <c r="C63" i="202"/>
  <c r="C64" i="202"/>
  <c r="C65" i="202"/>
  <c r="C60" i="202"/>
  <c r="D55" i="202"/>
  <c r="C55" i="202"/>
  <c r="D54" i="202"/>
  <c r="C54" i="202"/>
  <c r="D50" i="202"/>
  <c r="C50" i="202"/>
  <c r="D40" i="202"/>
  <c r="C40" i="202"/>
  <c r="D38" i="202"/>
  <c r="C38" i="202"/>
  <c r="D51" i="202"/>
  <c r="C51" i="202"/>
  <c r="D53" i="202"/>
  <c r="D49" i="202"/>
  <c r="C49" i="202"/>
  <c r="D37" i="202"/>
  <c r="C37" i="202"/>
  <c r="D35" i="202"/>
  <c r="C35" i="202"/>
  <c r="D31" i="202"/>
  <c r="C31" i="202"/>
  <c r="D30" i="202"/>
  <c r="C30" i="202"/>
  <c r="D26" i="202"/>
  <c r="C26" i="202"/>
  <c r="D25" i="202"/>
  <c r="C25" i="202"/>
  <c r="C24" i="202"/>
  <c r="C18" i="202"/>
  <c r="C14" i="202"/>
  <c r="D19" i="202"/>
  <c r="C19" i="202"/>
  <c r="C15" i="202"/>
  <c r="C16" i="202"/>
  <c r="D15" i="202"/>
  <c r="C154" i="202"/>
  <c r="D151" i="202"/>
  <c r="D150" i="202"/>
  <c r="D149" i="202"/>
  <c r="D147" i="202"/>
  <c r="D145" i="202"/>
  <c r="D144" i="202"/>
  <c r="D143" i="202"/>
  <c r="D142" i="202"/>
  <c r="D141" i="202"/>
  <c r="D140" i="202"/>
  <c r="D129" i="202"/>
  <c r="D128" i="202"/>
  <c r="D123" i="202"/>
  <c r="D122" i="202"/>
  <c r="D121" i="202"/>
  <c r="D120" i="202"/>
  <c r="D119" i="202"/>
  <c r="D118" i="202"/>
  <c r="D117" i="202"/>
  <c r="D112" i="202"/>
  <c r="D111" i="202"/>
  <c r="D106" i="202"/>
  <c r="D105" i="202"/>
  <c r="D103" i="202"/>
  <c r="D102" i="202"/>
  <c r="D98" i="202"/>
  <c r="D97" i="202"/>
  <c r="D91" i="202"/>
  <c r="D90" i="202"/>
  <c r="D89" i="202"/>
  <c r="D88" i="202"/>
  <c r="D87" i="202"/>
  <c r="D79" i="202"/>
  <c r="D77" i="202"/>
  <c r="D76" i="202"/>
  <c r="D75" i="202"/>
  <c r="D74" i="202"/>
  <c r="D73" i="202"/>
  <c r="D72" i="202"/>
  <c r="D71" i="202"/>
  <c r="D70" i="202"/>
  <c r="D24" i="202"/>
  <c r="D16" i="202"/>
  <c r="H11" i="202"/>
  <c r="D54" i="197"/>
  <c r="D55" i="197"/>
  <c r="C55" i="197"/>
  <c r="D42" i="197"/>
  <c r="D37" i="197"/>
  <c r="D30" i="197"/>
  <c r="D24" i="197"/>
  <c r="D18" i="197"/>
  <c r="D47" i="197"/>
  <c r="C47" i="197"/>
  <c r="D43" i="197"/>
  <c r="C43" i="197"/>
  <c r="C42" i="197"/>
  <c r="M20" i="195" s="1"/>
  <c r="D40" i="197"/>
  <c r="C40" i="197"/>
  <c r="D39" i="197"/>
  <c r="C39" i="197"/>
  <c r="D38" i="197"/>
  <c r="C38" i="197"/>
  <c r="C37" i="197"/>
  <c r="D31" i="197"/>
  <c r="C31" i="197"/>
  <c r="C30" i="197"/>
  <c r="D26" i="197"/>
  <c r="C26" i="197"/>
  <c r="D25" i="197"/>
  <c r="C25" i="197"/>
  <c r="C24" i="197"/>
  <c r="H15" i="204" l="1"/>
  <c r="M15" i="204"/>
  <c r="C10" i="204"/>
  <c r="H10" i="204"/>
  <c r="C54" i="197"/>
  <c r="D22" i="197"/>
  <c r="C22" i="197"/>
  <c r="D19" i="197"/>
  <c r="C19" i="197"/>
  <c r="H15" i="195"/>
  <c r="D60" i="197"/>
  <c r="C60" i="197"/>
  <c r="C150" i="197"/>
  <c r="D150" i="197"/>
  <c r="C151" i="197"/>
  <c r="D151" i="197"/>
  <c r="D149" i="197"/>
  <c r="C149" i="197"/>
  <c r="D141" i="197"/>
  <c r="C142" i="197"/>
  <c r="D142" i="197"/>
  <c r="C143" i="197"/>
  <c r="D143" i="197"/>
  <c r="C144" i="197"/>
  <c r="D144" i="197"/>
  <c r="C145" i="197"/>
  <c r="D145" i="197"/>
  <c r="D140" i="197"/>
  <c r="C140" i="197"/>
  <c r="D128" i="197"/>
  <c r="C128" i="197"/>
  <c r="C118" i="197"/>
  <c r="H10" i="195" s="1"/>
  <c r="D118" i="197"/>
  <c r="C119" i="197"/>
  <c r="D119" i="197"/>
  <c r="C120" i="197"/>
  <c r="D120" i="197"/>
  <c r="C121" i="197"/>
  <c r="D121" i="197"/>
  <c r="C122" i="197"/>
  <c r="D122" i="197"/>
  <c r="C123" i="197"/>
  <c r="D123" i="197"/>
  <c r="D117" i="197"/>
  <c r="C117" i="197"/>
  <c r="C10" i="195" s="1"/>
  <c r="C97" i="197"/>
  <c r="D97" i="197"/>
  <c r="C98" i="197"/>
  <c r="D98" i="197"/>
  <c r="C101" i="197"/>
  <c r="D101" i="197"/>
  <c r="C102" i="197"/>
  <c r="D102" i="197"/>
  <c r="C103" i="197"/>
  <c r="D103" i="197"/>
  <c r="D96" i="197"/>
  <c r="C96" i="197"/>
  <c r="C95" i="197"/>
  <c r="C20" i="195" s="1"/>
  <c r="C86" i="197"/>
  <c r="C88" i="197"/>
  <c r="D88" i="197"/>
  <c r="C89" i="197"/>
  <c r="D89" i="197"/>
  <c r="C93" i="197"/>
  <c r="D93" i="197"/>
  <c r="C94" i="197"/>
  <c r="D94" i="197"/>
  <c r="D87" i="197"/>
  <c r="C87" i="197"/>
  <c r="M15" i="195"/>
  <c r="Q31" i="204"/>
  <c r="Q31" i="195" l="1"/>
  <c r="J50" i="174"/>
  <c r="K50" i="174"/>
  <c r="L54" i="174"/>
  <c r="L46" i="174"/>
  <c r="L45" i="174"/>
  <c r="L44" i="174"/>
  <c r="L38" i="174"/>
  <c r="L43" i="174"/>
  <c r="L27" i="174"/>
  <c r="L42" i="174"/>
  <c r="L37" i="174"/>
  <c r="L96" i="174"/>
  <c r="L40" i="174"/>
  <c r="L22" i="174"/>
  <c r="L53" i="174"/>
  <c r="L49" i="174"/>
  <c r="L39" i="174"/>
  <c r="L21" i="174"/>
  <c r="L20" i="174"/>
  <c r="L48" i="174"/>
  <c r="L104" i="174"/>
  <c r="L56" i="174"/>
  <c r="L103" i="174"/>
  <c r="L41" i="174"/>
  <c r="L85" i="174"/>
  <c r="H78" i="197" l="1"/>
  <c r="H78" i="202"/>
  <c r="H85" i="202"/>
  <c r="H85" i="197"/>
  <c r="H76" i="202"/>
  <c r="H76" i="197"/>
  <c r="H107" i="202"/>
  <c r="H107" i="197"/>
  <c r="H98" i="202"/>
  <c r="H98" i="197"/>
  <c r="H77" i="202"/>
  <c r="H65" i="202"/>
  <c r="H65" i="197"/>
  <c r="H82" i="202"/>
  <c r="C16" i="204" s="1"/>
  <c r="H82" i="197"/>
  <c r="C16" i="195" s="1"/>
  <c r="H75" i="202"/>
  <c r="M16" i="204" s="1"/>
  <c r="H75" i="197"/>
  <c r="M16" i="195" s="1"/>
  <c r="H101" i="202"/>
  <c r="H101" i="197"/>
  <c r="H105" i="202"/>
  <c r="H105" i="197"/>
  <c r="H111" i="202"/>
  <c r="H111" i="197"/>
  <c r="H106" i="202"/>
  <c r="H106" i="197"/>
  <c r="H64" i="197"/>
  <c r="H64" i="202"/>
  <c r="H62" i="202"/>
  <c r="H62" i="197"/>
  <c r="H83" i="202"/>
  <c r="H83" i="197"/>
  <c r="H108" i="202"/>
  <c r="H108" i="197"/>
  <c r="H112" i="202"/>
  <c r="H112" i="197"/>
  <c r="H109" i="202"/>
  <c r="H109" i="197"/>
  <c r="H99" i="202"/>
  <c r="H99" i="197"/>
  <c r="H81" i="202"/>
  <c r="H81" i="197"/>
  <c r="H151" i="197"/>
  <c r="H151" i="202"/>
  <c r="M11" i="204"/>
  <c r="L50" i="174"/>
  <c r="C21" i="204"/>
  <c r="H16" i="195"/>
  <c r="C11" i="204"/>
  <c r="D11" i="204" s="1"/>
  <c r="H11" i="204"/>
  <c r="I11" i="204" s="1"/>
  <c r="C21" i="195"/>
  <c r="H16" i="204"/>
  <c r="H11" i="195"/>
  <c r="C11" i="195"/>
  <c r="L101" i="174"/>
  <c r="L102" i="174"/>
  <c r="H24" i="197" l="1"/>
  <c r="H24" i="202"/>
  <c r="N16" i="204"/>
  <c r="D21" i="204"/>
  <c r="D16" i="204"/>
  <c r="I21" i="204"/>
  <c r="I16" i="204"/>
  <c r="I16" i="195"/>
  <c r="M21" i="195"/>
  <c r="N11" i="204"/>
  <c r="N21" i="204" l="1"/>
  <c r="P21" i="195"/>
  <c r="K21" i="195"/>
  <c r="F21" i="195"/>
  <c r="P16" i="195"/>
  <c r="K16" i="195"/>
  <c r="F16" i="195"/>
  <c r="P11" i="195"/>
  <c r="K11" i="195"/>
  <c r="F11" i="195"/>
  <c r="N16" i="195" l="1"/>
  <c r="N21" i="195" l="1"/>
  <c r="I11" i="195" l="1"/>
  <c r="D21" i="195"/>
  <c r="I21" i="195"/>
  <c r="D16" i="195"/>
  <c r="D11" i="195" l="1"/>
  <c r="N11" i="195"/>
  <c r="C8" i="128"/>
  <c r="F1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W7" authorId="0" shapeId="0" xr:uid="{BCF7566F-FFF2-4A2D-9B52-C229A70C84EB}">
      <text>
        <r>
          <rPr>
            <b/>
            <sz val="9"/>
            <color indexed="81"/>
            <rFont val="Tahoma"/>
            <family val="2"/>
          </rPr>
          <t xml:space="preserve">Display order 1-100 for packages
</t>
        </r>
      </text>
    </comment>
    <comment ref="AR7" authorId="0" shapeId="0" xr:uid="{E170194C-DC25-48A9-AB35-68DB46774764}">
      <text>
        <r>
          <rPr>
            <b/>
            <sz val="9"/>
            <color indexed="81"/>
            <rFont val="Tahoma"/>
            <family val="2"/>
          </rPr>
          <t>Dependencies, go one-way (unless applied backwards)</t>
        </r>
      </text>
    </comment>
    <comment ref="AS7" authorId="0" shapeId="0" xr:uid="{9C70A6C5-D76E-44EB-906F-3D4A1587A97E}">
      <text>
        <r>
          <rPr>
            <b/>
            <sz val="9"/>
            <color indexed="81"/>
            <rFont val="Tahoma"/>
            <family val="2"/>
          </rPr>
          <t>Exclusions, auto-generate on the other part.</t>
        </r>
      </text>
    </comment>
    <comment ref="B41" authorId="0" shapeId="0" xr:uid="{67B1D50F-CE9B-4CE4-A157-39EA42518A03}">
      <text>
        <r>
          <rPr>
            <sz val="9"/>
            <color indexed="81"/>
            <rFont val="Tahoma"/>
            <family val="2"/>
          </rPr>
          <t>not a real PN, just for app chart reference</t>
        </r>
      </text>
    </comment>
    <comment ref="B50" authorId="0" shapeId="0" xr:uid="{465D5D70-24E9-4EE7-BA32-752324BF9024}">
      <text>
        <r>
          <rPr>
            <sz val="9"/>
            <color indexed="81"/>
            <rFont val="Tahoma"/>
            <family val="2"/>
          </rPr>
          <t>not a real PN, just for app chart reference</t>
        </r>
      </text>
    </comment>
    <comment ref="B59" authorId="0" shapeId="0" xr:uid="{74EE930C-6164-49E4-B031-4310E6E0D6DC}">
      <text>
        <r>
          <rPr>
            <sz val="9"/>
            <color indexed="81"/>
            <rFont val="Tahoma"/>
            <family val="2"/>
          </rPr>
          <t>not a real PN, just for app chart reference</t>
        </r>
      </text>
    </comment>
    <comment ref="B85" authorId="0" shapeId="0" xr:uid="{11BEF457-1A46-4A53-94BB-B281102F7183}">
      <text>
        <r>
          <rPr>
            <sz val="9"/>
            <color indexed="81"/>
            <rFont val="Tahoma"/>
            <family val="2"/>
          </rPr>
          <t>not a real PN, just for app chart reference</t>
        </r>
      </text>
    </comment>
  </commentList>
</comments>
</file>

<file path=xl/sharedStrings.xml><?xml version="1.0" encoding="utf-8"?>
<sst xmlns="http://schemas.openxmlformats.org/spreadsheetml/2006/main" count="1414" uniqueCount="527">
  <si>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</si>
  <si>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</si>
  <si>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</si>
  <si>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</si>
  <si>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</si>
  <si>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</si>
  <si>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</si>
  <si>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</si>
  <si>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</si>
  <si>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</si>
  <si>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</si>
  <si>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</si>
  <si>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</si>
  <si>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</si>
  <si>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</si>
  <si>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</si>
  <si>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</si>
  <si>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</si>
  <si>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</si>
  <si>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</si>
  <si>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Moonroof Visor</t>
  </si>
  <si>
    <t>E</t>
  </si>
  <si>
    <t>Fine Sanding Needles</t>
  </si>
  <si>
    <t>Fine Sanding Sticks</t>
  </si>
  <si>
    <t>Paint Pen Replacement Tips</t>
  </si>
  <si>
    <t>Application</t>
  </si>
  <si>
    <t>31670-BMS-004H</t>
  </si>
  <si>
    <t>Current Labor Rates</t>
  </si>
  <si>
    <t>Door Sill Protection Film</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</si>
  <si>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</si>
  <si>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</si>
  <si>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</si>
  <si>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</si>
  <si>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</si>
  <si>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</si>
  <si>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</si>
  <si>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</si>
  <si>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</si>
  <si>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</si>
  <si>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</si>
  <si>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</si>
  <si>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</si>
  <si>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</si>
  <si>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</si>
  <si>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</si>
  <si>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</si>
  <si>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</si>
  <si>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</si>
  <si>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</si>
  <si>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</si>
  <si>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</si>
  <si>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</si>
  <si>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</si>
  <si>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</si>
  <si>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</si>
  <si>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</si>
  <si>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Crystal Black Pearl (NH-731P)</t>
  </si>
  <si>
    <t>Platinum White Pearl (NH-883P)</t>
  </si>
  <si>
    <t>PEI</t>
  </si>
  <si>
    <t>5% Discount Applied.</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</si>
  <si>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</si>
  <si>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</si>
  <si>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</si>
  <si>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</si>
  <si>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</si>
  <si>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</si>
  <si>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</si>
  <si>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</si>
  <si>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</si>
  <si>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</si>
  <si>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</si>
  <si>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</si>
  <si>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</si>
  <si>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</si>
  <si>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</si>
  <si>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</si>
  <si>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</si>
  <si>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</si>
  <si>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</si>
  <si>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</si>
  <si>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</si>
  <si>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</si>
  <si>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</si>
  <si>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</si>
  <si>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</si>
  <si>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</si>
  <si>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</si>
  <si>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</si>
  <si>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Écrous de roue antivols - Noirs</t>
  </si>
  <si>
    <t>Écrous de roue antivols - Chromés</t>
  </si>
  <si>
    <t>3.0 Extérieur</t>
  </si>
  <si>
    <t>Pellicule pour rebord de portière</t>
  </si>
  <si>
    <t>Déflecteur de toit ouvrant</t>
  </si>
  <si>
    <t>Moulure latérale</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</si>
  <si>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</si>
  <si>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</si>
  <si>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</si>
  <si>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</si>
  <si>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</si>
  <si>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</si>
  <si>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</si>
  <si>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</si>
  <si>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</si>
  <si>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Net</t>
  </si>
  <si>
    <t>Door Edge Film</t>
  </si>
  <si>
    <t>08F20-TVA-100C</t>
  </si>
  <si>
    <t>Door Edge Guards</t>
  </si>
  <si>
    <t>Optimate 12V Auto Battery Charger/Maintainer</t>
  </si>
  <si>
    <t>Wheel Lug Nuts - Black</t>
  </si>
  <si>
    <t>Illuminated Door Sill Trim</t>
  </si>
  <si>
    <t>Wheel Locks - Black</t>
  </si>
  <si>
    <t>Wheel Locks - Chrome</t>
  </si>
  <si>
    <t>Écrous de roue - Noir</t>
  </si>
  <si>
    <t>Cendrier de type porte-gobelet</t>
  </si>
  <si>
    <t>Plateau de coffre</t>
  </si>
  <si>
    <t>Garde-boue arrière</t>
  </si>
  <si>
    <t>Front and Rear H-Mark Logo.</t>
  </si>
  <si>
    <t>Pointes de remplacement pour stylos de peinture</t>
  </si>
  <si>
    <t>Blanc platine nacré (NH-883P)</t>
  </si>
  <si>
    <t>Gris météore nacré (NH-904M)</t>
  </si>
  <si>
    <t>Noir cristal nacré (NH-731P)</t>
  </si>
  <si>
    <t>Garniture de seuil de portière illuminée</t>
  </si>
  <si>
    <t>Pare-soleil pour glaces latérales arrière</t>
  </si>
  <si>
    <t>Logo H-Mark à l'avant et à l'arrière.</t>
  </si>
  <si>
    <t>Rabais de 5 % appliqué.</t>
  </si>
  <si>
    <t>Ashtray</t>
  </si>
  <si>
    <t>T</t>
  </si>
  <si>
    <t>Ambient Lighting, Blue</t>
  </si>
  <si>
    <t>10% Discount Applied.</t>
  </si>
  <si>
    <t>Rabais de 10 % appliqué.</t>
  </si>
  <si>
    <t>Meteoroid Gray Pearl (NH-904M)</t>
  </si>
  <si>
    <t>TUCHNH904MA1</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</si>
  <si>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</si>
  <si>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</si>
  <si>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</si>
  <si>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</si>
  <si>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</si>
  <si>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</si>
  <si>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</si>
  <si>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</si>
  <si>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</si>
  <si>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</si>
  <si>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</si>
  <si>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</si>
  <si>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</si>
  <si>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</si>
  <si>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</si>
  <si>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</si>
  <si>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</si>
  <si>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</si>
  <si>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</si>
  <si>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</si>
  <si>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</si>
  <si>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All Accessories</t>
  </si>
  <si>
    <t>Safety &amp; Exterior Protection</t>
  </si>
  <si>
    <t>Winter Season</t>
  </si>
  <si>
    <t>Exterior &amp; Interior Utility</t>
  </si>
  <si>
    <t>Interior Styling</t>
  </si>
  <si>
    <t xml:space="preserve">Exterior Styling </t>
  </si>
  <si>
    <t>Misc-ellaneous</t>
  </si>
  <si>
    <t>L’ensemble inclut : Chauffe-moteur et chargeur/mainteneur automatique de batterie de 12 V Optimate. Offerts en ensemble avec une remise de 5 %.</t>
  </si>
  <si>
    <t>* if it's "N/A" or "S" do not show on trim</t>
  </si>
  <si>
    <t>Trim Application*</t>
  </si>
  <si>
    <t>Paint Pens</t>
  </si>
  <si>
    <t>TUPP-HONDA</t>
  </si>
  <si>
    <t>Crayon de retouche de peinture</t>
  </si>
  <si>
    <t>Yes</t>
  </si>
  <si>
    <t>S</t>
  </si>
  <si>
    <t>=</t>
  </si>
  <si>
    <t>Package includes: Engine Block Heater and Auto Battery Charger/Maintainer. Packaged together with a 5% discount.</t>
  </si>
  <si>
    <t>Des roues en acier offrent un excellent rapport qualité-prix et vous permettent de préserver les roues d’origine de votre véhicule de nos rigoureux hivers canadiens. Le prix indiqué exclut les pneus d'hiver et l'installation. Ensemble de quatre.</t>
  </si>
  <si>
    <t>Steel wheels offer great value and allow you to save your factory wheels from our harsh Canadian winters. Price listed excludes winter tires and installation. Set of 4.</t>
  </si>
  <si>
    <t>A great way to help ensure that your wheels stay on your vehicle where they belong.</t>
  </si>
  <si>
    <t>Un excellent moyen de vous assurer que les roues demeurent sur votre véhicule là où elles devraient se trouver.</t>
  </si>
  <si>
    <t>A great way to help ensure that your wheels stay on your vehicle where they belong. Chrome-plated triple-nickel finish for a brilliant shine and corrosion prevention</t>
  </si>
  <si>
    <t>Help protect against unsightly nicks and scrapes around your door edges.</t>
  </si>
  <si>
    <t>La pellicule aide à protéger les surfaces des rebords de portières contre des égratignures et éraflures inesthétiques.</t>
  </si>
  <si>
    <t>Le déflecteur de toit contribue à réduire le bruit du vent et l'éblouissement pour une expérience de conduite plus confortable et plus agréable.</t>
  </si>
  <si>
    <t>The Moonroof Visor helps reduce wind noise and glare for a more comfortable and enjoyable driving experience.</t>
  </si>
  <si>
    <t>Door Edge Guards help protect your doors from nicks and scrapes that can be expensive to repair.</t>
  </si>
  <si>
    <t>Les protecteurs de rebords de portières aident à protéger les portières de votre véhicule contre les égratignures et éraflures dont la réparation serait coûteuse.</t>
  </si>
  <si>
    <t>Front seat passengers can enjoy the added convenience of an ashtray.</t>
  </si>
  <si>
    <t>Les passagers avant apprécieront la commodité d'un cendrier.</t>
  </si>
  <si>
    <t>The Cargo Net helps keep your grocery bags upright and holds most loose items securely in place.</t>
  </si>
  <si>
    <t>Les pare-soleil pour glaces latérales arrière offrent un confort accru pour vos passagers arrière, en fournissant une protection contre l’éblouissement et la chaleur du soleil. Inclut le côté gauche et droit.</t>
  </si>
  <si>
    <t>Il arrive souvent que les objets que vous transportez dans votre coffre se renversent, laissent des taches ou abîment la moquette d’origine, faisant du plateau de coffre un investissement judicieux.</t>
  </si>
  <si>
    <t>Ne laissez pas nos hivers froids vous priver du plaisir de votre voiture. L'ajout du chauffe-bloc aidera à assurer le démarrage de votre voiture, même aux températures les plus basses.</t>
  </si>
  <si>
    <t>Don't let the cold Canadian winters stop you from enjoying your new car. The addition of the Engine Block Heater will help ensure a smooth start even on the coldest days.</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</si>
  <si>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</si>
  <si>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</si>
  <si>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Vie prolongée de la batterie Honda en maintenant la charge au niveau ideal.</t>
  </si>
  <si>
    <t>Extended battery life by charging/maintaining a Honda battery to ideal charge levels.</t>
  </si>
  <si>
    <t>Bread and Butter</t>
  </si>
  <si>
    <t xml:space="preserve">High Impact 
Exterior Aesthetic </t>
  </si>
  <si>
    <t>Engine Heaters 
- function</t>
  </si>
  <si>
    <t xml:space="preserve">Exterior Protection </t>
  </si>
  <si>
    <t>Interior Aesthetic &amp; 
Film Protection</t>
  </si>
  <si>
    <t>Interior Funtion</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</si>
  <si>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</si>
  <si>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</si>
  <si>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</si>
  <si>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</si>
  <si>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</si>
  <si>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</si>
  <si>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Cannot be installed with Door Edge Guards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</si>
  <si>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</si>
  <si>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</si>
  <si>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</si>
  <si>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</si>
  <si>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</si>
  <si>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</si>
  <si>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</si>
  <si>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</si>
  <si>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</si>
  <si>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Solar Reflection Silver (NH-932M)</t>
  </si>
  <si>
    <t>Refl et solaire argent métallisé (NH-932M)</t>
  </si>
  <si>
    <t>TUCHNH912PA1</t>
  </si>
  <si>
    <t>Urban Grey Pearl (NH-912P)</t>
  </si>
  <si>
    <t>Gris urbain nacré  (NH-912P)</t>
  </si>
  <si>
    <t>TUCH-NH731P-A1</t>
  </si>
  <si>
    <t>TUCH-NH883P-A1</t>
  </si>
  <si>
    <t xml:space="preserve">Add a unique and bold style with these gloss black emblems.  Pair up with with H-Mark &amp; Civic emblems to complete the look - sold separately. </t>
  </si>
  <si>
    <t>Wheels
Steel wheels first if applicable. 
Then the other wheels
Then Wheel locks</t>
  </si>
  <si>
    <t>Un excellent moyen de vous assurer que les roues demeurent sur votre véhicule, où elles devraient se trouver. La finition chromée triple nickel procure un éclat brillant et une prévention contre la corrosion.</t>
  </si>
  <si>
    <t xml:space="preserve">Donnez un style unique et audacieux avec ces emblèmes noir lustré. Jumelez-les aux emblèmes « H » et Civic pour compléter le style (vendus séparément). </t>
  </si>
  <si>
    <t>Déflecteur de bas de caisse avant</t>
  </si>
  <si>
    <t>Ne peut être installé simultanément avec protecteurs de bordure de porte.</t>
  </si>
  <si>
    <t>Quantity of 25.</t>
  </si>
  <si>
    <t>Quantity of 5.</t>
  </si>
  <si>
    <t>Quantité de 25</t>
  </si>
  <si>
    <t>Quantité de 5</t>
  </si>
  <si>
    <t>Residual-ized $</t>
  </si>
  <si>
    <t>08W42-S2A-101</t>
  </si>
  <si>
    <t>08W42-SCV-302</t>
  </si>
  <si>
    <t>Body Side Moulding</t>
  </si>
  <si>
    <t>L’ensemble inclut : Tapis toutes saisons et plateau de coffre.</t>
  </si>
  <si>
    <t>Accord</t>
  </si>
  <si>
    <t>SE</t>
  </si>
  <si>
    <t>Sport -L Hybrid</t>
  </si>
  <si>
    <t>Touring Hybrid</t>
  </si>
  <si>
    <t>Sport -L Hybride</t>
  </si>
  <si>
    <t>Touring Hybride</t>
  </si>
  <si>
    <t>Radiant Red Metallic (R-569M)</t>
  </si>
  <si>
    <t>Radiant rouge métallisé (R-569M)</t>
  </si>
  <si>
    <t>TUCH-R569M-A1</t>
  </si>
  <si>
    <t>Canyon River Blue Metallic (B-640M)</t>
  </si>
  <si>
    <t>Bleu rivière canyon métallisé (B-640M)</t>
  </si>
  <si>
    <t>TUCH-B640M-A1</t>
  </si>
  <si>
    <t>Still Night Pearl (B-575P)</t>
  </si>
  <si>
    <t>Nuit paisible fini nacré (B-575P)</t>
  </si>
  <si>
    <t xml:space="preserve">TUCH-B575P-A1 </t>
  </si>
  <si>
    <t>08W42-SNA-301</t>
  </si>
  <si>
    <t>Wheel Locks, Chrome - Exposed</t>
  </si>
  <si>
    <t>Écrous de roue antivol, chromée - exposés</t>
  </si>
  <si>
    <t>08W42-PL4-100</t>
  </si>
  <si>
    <t>set of 20 lug nuts</t>
  </si>
  <si>
    <t>lot de 20 écrous de roue</t>
  </si>
  <si>
    <t>Create a different look with a set of black lug nuts. Each package has a quantity of 20 lugs.</t>
  </si>
  <si>
    <t>Créez un aspect différent grâce à cet ensemble d’écrous de roue noirs qui complète les roues en alliage du véhicule. Chaque paquet contient 20 écrous de roue.</t>
  </si>
  <si>
    <t>08W17-PC4-300</t>
  </si>
  <si>
    <t xml:space="preserve">17" Steel Wheels </t>
  </si>
  <si>
    <t>08W19-30A-300</t>
  </si>
  <si>
    <t>19" HPD Alloy Wheels, Black</t>
  </si>
  <si>
    <t xml:space="preserve">17 po en acier de roues </t>
  </si>
  <si>
    <t>Jantes de 19 pouces HPD en alliage noir</t>
  </si>
  <si>
    <t>Priced as a set of 4 wheels. Tires sold separately.</t>
  </si>
  <si>
    <t>Prix pour un ensemble de 4 roues. Pneus vendus séparément.</t>
  </si>
  <si>
    <t>Attract even more attention with these stunning 19" HPD Black Alloy Wheels structurally matched to the original vehicle design so that handling remains undisturbed. Priced as a set of 4. Recommended tires sold separately.</t>
  </si>
  <si>
    <t>Attirez encore plus l’attention avec ces superbes jantes HPD de 19 pouces en alliage noir dont la structure est adaptée à la conception originale du véhicule afin que la maniabilité reste inchangée. Prix pour ensemble de 4. Pneus recommandés vendus séparément.</t>
  </si>
  <si>
    <t>Decklid Spoiler</t>
  </si>
  <si>
    <t>Déflecteur arrière de coffre</t>
  </si>
  <si>
    <t>08F10-30A-110</t>
  </si>
  <si>
    <t>08F02-30A-XXX</t>
  </si>
  <si>
    <t>08P05-30A-140</t>
  </si>
  <si>
    <t>08P05-30A-150</t>
  </si>
  <si>
    <t>08P05-30A-170</t>
  </si>
  <si>
    <t>08P05-30A-1A0</t>
  </si>
  <si>
    <t>08P05-30A-1D0</t>
  </si>
  <si>
    <t>08P05-30A-1C0</t>
  </si>
  <si>
    <t>08F10-30A-140</t>
  </si>
  <si>
    <t>08F10-30A-1D0</t>
  </si>
  <si>
    <t>08F10-30A-150</t>
  </si>
  <si>
    <t>08F10-30A-170</t>
  </si>
  <si>
    <t>08F10-30A-1A0</t>
  </si>
  <si>
    <t>08F10-30A-1C0</t>
  </si>
  <si>
    <t>08P05-30A-1H0</t>
  </si>
  <si>
    <t>08P05-30A-110</t>
  </si>
  <si>
    <t>08P20-30A-1D0</t>
  </si>
  <si>
    <t>08P20-30A-1C0</t>
  </si>
  <si>
    <t>08P20-30A-1H0</t>
  </si>
  <si>
    <t>08P20-30A-1A0</t>
  </si>
  <si>
    <t>08P20-30A-170</t>
  </si>
  <si>
    <t>08P20-30A-150</t>
  </si>
  <si>
    <t>08P20-30A-140</t>
  </si>
  <si>
    <t>08P20-30A-110</t>
  </si>
  <si>
    <t>Body Side Moulding accentuates the styling of the Accord and is ideally positioned where the side panel extends out the most, in order to help protect against door dings and scratches.</t>
  </si>
  <si>
    <t>Non seulement la moulure latérale accentue le style du Accord, son positionnement est idéal à l’endroit où les panneaux latéraux sont le plus en saillie, contribuant à protéger les portières des bosselures et des égratignures.</t>
  </si>
  <si>
    <t>Rear Splash Guards are a nice finishing touch. They give your Accord a great look and help protect your paint from chips and stains.</t>
  </si>
  <si>
    <t>Les garde-boue arrière ajoutent une touche finale soignée. Les garde-boue procurent une belle apparence à votre Accord et contribuent à protéger la peinture contre les éclats et les taches.</t>
  </si>
  <si>
    <t>The Decklid Spoiler adds a subtle, tasteful enhancement that makes a big contribution to the sleek aerodynamics of your Accord.</t>
  </si>
  <si>
    <t>Le déflecteur arrière de coffre ajoute une touche subtile et raffinée qui contribue grandement à l’aérodynamisme de votre Accord.</t>
  </si>
  <si>
    <t>08U25-STK-413</t>
  </si>
  <si>
    <t>08P17-30A-110</t>
  </si>
  <si>
    <t>08U45-30A-100</t>
  </si>
  <si>
    <t>All Season Floor Mats</t>
  </si>
  <si>
    <t xml:space="preserve">Protège-tapis toutes saisons </t>
  </si>
  <si>
    <t>Trunk Tray</t>
  </si>
  <si>
    <t>08L96-TA0-301A</t>
  </si>
  <si>
    <t>08L96-TVA-300</t>
  </si>
  <si>
    <t>08P04-30A-100</t>
  </si>
  <si>
    <t>08R13-30A-100</t>
  </si>
  <si>
    <t>Cargo Hook</t>
  </si>
  <si>
    <t>Crochets de cargaison</t>
  </si>
  <si>
    <t>Filet de cargaison</t>
  </si>
  <si>
    <t>Protecteur de panneau de portière</t>
  </si>
  <si>
    <t>Rear Window Shade</t>
  </si>
  <si>
    <t>08E12-30A-110</t>
  </si>
  <si>
    <t>08E12-30A-100A</t>
  </si>
  <si>
    <t>08V03-3A0-100</t>
  </si>
  <si>
    <t>08V03-30A-100</t>
  </si>
  <si>
    <t>08U58-30A-110A</t>
  </si>
  <si>
    <t>08U58-30A-110B</t>
  </si>
  <si>
    <t>31670-BMS-LEAD</t>
  </si>
  <si>
    <t>Illuminated Door Sill Trim Attachment</t>
  </si>
  <si>
    <t>Fixation de garniture de seuil de portière illuminée</t>
  </si>
  <si>
    <t>Auto Day/Night Mirror with Home Link</t>
  </si>
  <si>
    <t>Rétroviseur automatique jour/nuit avec HomeLink</t>
  </si>
  <si>
    <t>Auto Day/Night Mirror Attachment</t>
  </si>
  <si>
    <t>Fixation pour rétroviseur jour/nuit automatique</t>
  </si>
  <si>
    <t>Wireless Charger</t>
  </si>
  <si>
    <t>Chargeur sans fil</t>
  </si>
  <si>
    <t>Web only</t>
  </si>
  <si>
    <t>Câble de batterie</t>
  </si>
  <si>
    <t>08T44-30A-300A</t>
  </si>
  <si>
    <t>08T44-30B-300A</t>
  </si>
  <si>
    <t>Engine Block Heater</t>
  </si>
  <si>
    <t>Chauffe-moteur</t>
  </si>
  <si>
    <t>Chargeur/mainteneur de batterie automobile 12 V Optimate</t>
  </si>
  <si>
    <t>Optimate Battery Lead</t>
  </si>
  <si>
    <t>N/A App Chart only</t>
  </si>
  <si>
    <t>The Wireless Phone Charger provides a hassle-free charging zone that's easy to access and use. No more need for adapters and cords, flat charging surface keeps interior sleek and clean. Requires Qi enabled wireless device.</t>
  </si>
  <si>
    <t>Le chargeur de téléphone sans fil offre un espace de charge convivial, facile d’accès et d’utilisation. Plus besoin d’adaptateurs et de cordons, la surface de chargement plate permet de conserver un intérieur propre et élégant. Nécessite un appareil sans fil Qi pour téléphones compatibles.</t>
  </si>
  <si>
    <t>Un véhicule approche rapidement à l’arrière. Les phares commencent à vous éblouir. Soyez sans crainte. Le rétroviseur à gradation automatique s’assombrit pour réduire l’éblouissement. Aucun réglage manuel n’est requis. Comprend le système de commande sans fil HomeLink qui peut être programmé pour activer des dispositifs tels que des ouvre-portes de garage, des portails et des éclairages contrôlés par radiofréquence.</t>
  </si>
  <si>
    <t>A car is fast approaching from the rear. Headlights begin to blind you. No worries. The Automatic-Dimming Mirror with HomeLink darkens to reduce the glare. No hand adjustment necessary. Includes HomeLink Wireless Control System that can be programmed to activate devices such as garage door openers, gates, and RF controlled lighting.</t>
  </si>
  <si>
    <t>Nécessite une fixation pour rétroviseur jour/nuit automatique.  08V03-30A-100</t>
  </si>
  <si>
    <t>Requires Auto Day/Night Mirror Attachment. 08V03-30A-100</t>
  </si>
  <si>
    <t>DROPPED for 25MY</t>
  </si>
  <si>
    <t>Requires Illuminated Door Sill Trim Attachment. 08E12-30A-100A</t>
  </si>
  <si>
    <t>Nécessite une fixation degarniture de seuil de portière illuminée. 08E12-30A-100A</t>
  </si>
  <si>
    <t>La garniture de seuil de portière illuminée rend l’habitacle plus attrayant tout en protégeant le seuil de portière des éraflures. Les lumières blanches à DEL illuminent le périmètre extérieur du logo Accord lors de l’ouverture de la portière. Livrable en noir ou en gris.</t>
  </si>
  <si>
    <t>The Illuminated Door Sill Trim dresses up the interior while helping protect the lower door sill from scuff marks. White LED lights illuminate the outer perimeters of the Accord logo when the door is open.</t>
  </si>
  <si>
    <t>The extended sidewalls of the high wall All-Season Floor Mats add extra protection to shield your original carpets from the wear and tear of everyday driving.</t>
  </si>
  <si>
    <t>The things you haul in your trunk often spill, leave stains or otherwise mar the original carpeting, making a Trunk Tray a wise investment.</t>
  </si>
  <si>
    <t>Avoid having to pick up groceries and other items that have spilled out of their bags and scattered all around the trunk.</t>
  </si>
  <si>
    <t>The Lower Door Sill Protection Film helps provide the lower door sill with protection from scuffing.</t>
  </si>
  <si>
    <t>The Rear Passenger Window Shades provide added comfort for your rear seated passengers by shielding them from the sun’s heat and glare. Includes both left and right rear window shades. Integrated pull tabs for ease of operation</t>
  </si>
  <si>
    <t>Les parois hautes des tapis toutes saisons offrent une protection accrue de la moquette d’origine contre l’usure et la détérioration dues à la conduite quotidienne</t>
  </si>
  <si>
    <t>Évitez d’avoir à ramasser les articles d’épicerie et autres objets sortis des sacs et éparpillés partout dans le coffre.</t>
  </si>
  <si>
    <t>Le filet de cargaison contribue à garder vos sacs d’épicerie à la verticale et garde en place la plupart des articles en toute sécurité.</t>
  </si>
  <si>
    <t>Le protecteur de panneau de portière protège des égratignures lors de l’entrée et de la sortie du véhicule.</t>
  </si>
  <si>
    <t>08P09-30A-300</t>
  </si>
  <si>
    <t>Rear Splash Gaurds</t>
  </si>
  <si>
    <t>08R01-30A-300</t>
  </si>
  <si>
    <t>08R04-TVA-101</t>
  </si>
  <si>
    <t>Door Visors</t>
  </si>
  <si>
    <t>Déflecteurs de portières</t>
  </si>
  <si>
    <t>This tinted Door Visor helps to protect you and your passengers from sun glare and minimizes outside noise when the windows are partially open.</t>
  </si>
  <si>
    <t>Cet ensemble de déflecteur de portière teinté aide à réduire les reflets du soleil ainsi que le bruit provenant de l'extérieur quand les glaces sont partiellement ouvertes. Image si dessous est un ancient model</t>
  </si>
  <si>
    <t>08P20-30A-100A</t>
  </si>
  <si>
    <t>08P48-30A-100</t>
  </si>
  <si>
    <t>Film Set - Door Handle &amp; Rear Bumper Film</t>
  </si>
  <si>
    <t>Ensemble de pellicule – Pellicule de poignée de portière et de pare-chocs arrière</t>
  </si>
  <si>
    <t>La pellicule transparente en uréthane dans le puits de la poignée de portière aide à protéger la peinture des rayures disgracieuses causées par les ongles, les bijoux et les clés. S’ajoute à celle-ci la pellicule du pare-chocs arrière pour procurer une protection supplémentaire lors du chargement et du déchargement du coffre.</t>
  </si>
  <si>
    <t>Transparent urethane film in the well of the door handle helps safeguard the paint finish from unsightly scratches from nails, jewelry, and keys combined with The Rear Bumper Applique provides extra protection when loading and unloading the trunk.</t>
  </si>
  <si>
    <t>08F20-30A-100</t>
  </si>
  <si>
    <t>08F20-3A0-100C</t>
  </si>
  <si>
    <t xml:space="preserve">Emblème, noirs lustré arrière  « H »  mark et  « Accord » </t>
  </si>
  <si>
    <t xml:space="preserve">Emblème, noirs lustré « Sport » </t>
  </si>
  <si>
    <t xml:space="preserve">Emblème, noirs lustré « Touring » </t>
  </si>
  <si>
    <t>Black Emblem Rear "H" mark &amp; Accord</t>
  </si>
  <si>
    <t>Black Emblem, Touring</t>
  </si>
  <si>
    <t>Black Emblem, Sport</t>
  </si>
  <si>
    <t>HPD Badge</t>
  </si>
  <si>
    <t>Emblème HPD</t>
  </si>
  <si>
    <t>08F20-30A-100B</t>
  </si>
  <si>
    <t>Fender Emblem</t>
  </si>
  <si>
    <t>Emblème d’aile</t>
  </si>
  <si>
    <t>08F59-30A-100</t>
  </si>
  <si>
    <t>08F04-30A-1F0</t>
  </si>
  <si>
    <t>08P98-30A-1F0</t>
  </si>
  <si>
    <t>08P99-30A-1F0</t>
  </si>
  <si>
    <t>Side Underbody Spoiler</t>
  </si>
  <si>
    <t>Becquet de bas de caisse, latéral</t>
  </si>
  <si>
    <t>Front Aero Bumper</t>
  </si>
  <si>
    <t>Becquet de bas de caisse, avant</t>
  </si>
  <si>
    <t>Rear Aero Bumper</t>
  </si>
  <si>
    <t>Becquet de bas de caisse, arrière</t>
  </si>
  <si>
    <t>Door Mirror Covers &amp; Lower Intake Accents</t>
  </si>
  <si>
    <t>Couvercle de rétroviseur de portière et élément inférieur d’admission d’air</t>
  </si>
  <si>
    <t>08R06-30A-110</t>
  </si>
  <si>
    <t>08R06-30A-110A</t>
  </si>
  <si>
    <t>HPD - Honda Performance Development emblem with gloss black finish. A sporty, black HPD emblem finishes off the look of the other available HPD accessories.</t>
  </si>
  <si>
    <t>If attention to detail is important to you, then you’re sure to love the look of the Fender Emblems. Their bold feature not only completes your Accord’s original unique exterior style, but also accentuates it.</t>
  </si>
  <si>
    <t>The Side Underbody Spoiler adds a sporty, low-profile custom look that creates an accentuated aerodynamic style. Requires the Front Splash Guards to be removed.</t>
  </si>
  <si>
    <t>The Front Underbody Spoiler adds a sporty, low-profile custom look that creates an accentuated aerodynamic style.</t>
  </si>
  <si>
    <t>The Rear Underbody Spoiler adds a sporty, low-profile custom look that creates an accentuated aerodynamic style. Cannot be combined with Rear Splash Guards.</t>
  </si>
  <si>
    <t>Enhance the look of your car with these black Door Mirror Covers and Lower Intake Accents. Designed and engineered by Honda for a precise fit</t>
  </si>
  <si>
    <t>Le becquet de bas de caisse arrière confère une allure sportive et un profil abaissé personnalisé qui accentue le style aérodynamique. Ne peut être combiné aux garde-boue arrière.</t>
  </si>
  <si>
    <t>Le becquet de bas de caisse avant confère une allure sportive et un profil abaissé personnalisé qui accentue le style aérodynamique.</t>
  </si>
  <si>
    <t>Le becquet de bas de caisse latéral confère une allure sportive et un profil abaissé personnalisé qui accentue le style aérodynamique. Nécessite le retrait des garde-boue avant.</t>
  </si>
  <si>
    <t>Si l’attention aux détails est importante pour vous, alors vous aimerez certainement l’allure des emblèmes d’ailes. Leurs lignes audacieuses complètent non seulement le style extérieur original et unique de votre Accord, mais le mettent également en valeur.</t>
  </si>
  <si>
    <t>HPD – Emblème Honda Performance Development avec fini noir brillant. L'emblème HPD noir, d’allure sport, vient parfaire l'apparence des autres accessoires HPD disponibles.</t>
  </si>
  <si>
    <t>Rehaussez l’apparence de votre voiture avec ces couvercles de rétroviseurs de portières noirs et éléments visuels d’admission d’air. Conçus et fabriqués par Honda pour un ajustement précis.</t>
  </si>
  <si>
    <t>23ACC-ARO-EX</t>
  </si>
  <si>
    <t>Aero Kit - EX Trim</t>
  </si>
  <si>
    <t>23ACC-PRO-PK</t>
  </si>
  <si>
    <t xml:space="preserve">Protection Package </t>
  </si>
  <si>
    <t>Ensemble de protection</t>
  </si>
  <si>
    <t>Package includes: All-Season Floor Mats and Trunk Tray.</t>
  </si>
  <si>
    <t>Protection Package Advance</t>
  </si>
  <si>
    <t>Ensemble de protection avancée</t>
  </si>
  <si>
    <t>Keep your car protected from the elements, inside and out. Includes All Season Floor Mats, Trunk Tray, Rear Splash Guards and Cargo Net. Packaged together with a 10% discount.</t>
  </si>
  <si>
    <t>Protégez votre voiture contre les intempéries, à l’intérieur comme à l’extérieur. Comprend les tapis toutes saisons, le plateau de coffre, les garde-boue arrière et le filet de cargaison. Offerts en ensemble avec une réduction de 10 %.</t>
  </si>
  <si>
    <t>23ACC-BLK-SPHY</t>
  </si>
  <si>
    <t>Black Emblem Set - Sport</t>
  </si>
  <si>
    <t>Ensemble d’emblèmes noirs – Sport</t>
  </si>
  <si>
    <t>23ACC-BLK-TRHY</t>
  </si>
  <si>
    <t>Black Emblem Set - Touring</t>
  </si>
  <si>
    <t>Ensemble d’emblèmes noirs – Touring</t>
  </si>
  <si>
    <t>Includes Rear "H" mark, "Accord" and "Sport" black emblems. Packaged together with a 5% discount.</t>
  </si>
  <si>
    <t>Comprend les emblèmes noirs « H » arrière, « Accord » et « Sport ». Offerts en ensemble avec une réduction de 5%.</t>
  </si>
  <si>
    <t>Comprend les emblèmes noirs « H » arrière, « Accord » et « Touring ». Offerts en ensemble avec une réduction de 5%.</t>
  </si>
  <si>
    <t>Includes Rear "H" mark, "Accord" and "Touring" black emblems. Packaged together with a 5% discount.</t>
  </si>
  <si>
    <t>L’ensemble Aero confère une allure sport et personnalisée à votre Accord. Inclus : Déflecteur latéral de bas de caisse, déflecteurs Aero de pare-chocs avant et arrière, couvercle de rétroviseur de portière, éléments visuels d’admission d’air et déflecteur de coffre noir. Offerts en ensemble avec une réduction de 10 %. Nécessite le retrait des garde-boue avant.</t>
  </si>
  <si>
    <t>Aero Kit - Touring Trim</t>
  </si>
  <si>
    <t>Ensemble Aero – Version Touring</t>
  </si>
  <si>
    <t>23ACC-ARO-TRHY</t>
  </si>
  <si>
    <t>10% Discount Applied
Decklid Spoiler - Crystal Black Pearl (NH-731P) colour</t>
  </si>
  <si>
    <t>Rabais de 10 % est appliqué
Déflecteur arrière de coffre - Noir cristal nacré couleur (NH-731P)</t>
  </si>
  <si>
    <t>Rabais de 10 % est appliqué
Version Sport Hybride est livrée de série avec le becquet de bas de caisse, arrière</t>
  </si>
  <si>
    <t>10% Discount Applied
Sport Trim already comes standard with Decklid Spoiler</t>
  </si>
  <si>
    <t>The Areo Kit adds a sporty and custom look to your Accord. Includes: Side Underbody Spoiler, Front &amp; Rear Aero Bumpers, Door Mirror Cover, Lower Intake Accents and Black Decklid Spoiler. Packaged togther with a 10% discount. Requires the Front Splash Guards to be removed.</t>
  </si>
  <si>
    <t>Aero Kit - Sport Trim</t>
  </si>
  <si>
    <t>Ensemble Aero – Version Sport</t>
  </si>
  <si>
    <t>23ACC-ARO-SPHY</t>
  </si>
  <si>
    <t>The Areo Kit adds a sporty and custom look to your Accord. Includes: Side Underbody Spoiler, Front &amp; Rear Aero Bumpers, Door Mirror Cover and Lower Intake Accents. Packaged togther with a 10% discount. Requires the Front Splash Guards to be removed.</t>
  </si>
  <si>
    <t>L’ensemble Aero confère une allure sport et personnalisée à votre Accord. Inclus : Déflecteur latéral de bas de caisse, déflecteurs Aero de pare-chocs avant et arrière, couvercle de rétroviseur de portière et éléments visuels d’admission d’air. Offerts en ensemble avec une réduction de 10 %. Nécessite le retrait des garde-boue avant.</t>
  </si>
  <si>
    <t>L’ensemble Aero confère une allure sport et personnalisée à votre Accord. Inclus : Déflecteur latéral de bas de caisse, déflecteurs Aero de pare-chocs avant et arrière, couvercle de rétroviseur de portière, éléments visuels d’admission d’air et déflecteur de coffre noir. Offerts en ensemble avec une réduction de 10 %. Nécessite le retrait des garde-boue avant.</t>
  </si>
  <si>
    <t>23ACC-COLD-PKP</t>
  </si>
  <si>
    <t>Cold Weather Package</t>
  </si>
  <si>
    <t xml:space="preserve">Ensemble de temps froid </t>
  </si>
  <si>
    <t>23ACC-COLD-PKH</t>
  </si>
  <si>
    <t>23ACC-PRO-PKA</t>
  </si>
  <si>
    <t>TUCH-NH932M-A1</t>
  </si>
  <si>
    <t>08P05-30A-XXXX</t>
  </si>
  <si>
    <t>08P20-30A-XXXX</t>
  </si>
  <si>
    <t>Article à prix promotionnel offert pour une durée limitée seulement. La disponibilité et le prix de l’article peuvent être modifiés sans préavis. Communiquez avec votre concessionnaire Honda pour plus d’information.  Rehaussez l’apparence de votre voiture avec ces couvercles de rétroviseurs de portières noirs et éléments visuels d’admission d’air. Conçus et fabriqués par Honda pour un ajustement précis.</t>
  </si>
  <si>
    <t>Promotional Priced Item offered for a limited time only.  Item availability and price are subject to change without prior notice.  Contact your local Honda Dealer for more information. Enhance the look of your car with these black Door Mirror Covers and Lower Intake Accents. Designed and engineered by Honda for a precise fit</t>
  </si>
  <si>
    <t>08F10-30A-1H0</t>
  </si>
  <si>
    <t>yyyy/mm/dd</t>
  </si>
  <si>
    <t>no image</t>
  </si>
  <si>
    <t>Images</t>
  </si>
  <si>
    <t>Wheels</t>
  </si>
  <si>
    <t>Charging</t>
  </si>
  <si>
    <t>Accessories</t>
  </si>
  <si>
    <t xml:space="preserve">Included </t>
  </si>
  <si>
    <t>SiteCore</t>
  </si>
  <si>
    <t>08P20-30A-100A   Door Edge Film</t>
  </si>
  <si>
    <t>08P20-30A-110  Door Edge Guards</t>
  </si>
  <si>
    <t>23ACC-PRO-PK  Protection Package 
23ACC-PRO-PKA   Protection Package Advance</t>
  </si>
  <si>
    <t>23ACC-PRO-PKA   Protection Package Advance</t>
  </si>
  <si>
    <t>23ACC-BLK-SPHY   Black Emblem Set - Sport</t>
  </si>
  <si>
    <t>23ACC-BLK-SPHY   Black Emblem Set - Sport
23ACC-BLK-TRHY   Black Emblem Set - Touring</t>
  </si>
  <si>
    <t>23ACC-ARO-EX   Aeto Kit - EX Trim
23ACC-ARO-SPHY    Aero Kit - Sport Trim
23ACC-ARO-TRHY    Aero Kit - Touring Trim</t>
  </si>
  <si>
    <t>23ACC-ARO-TRHY    Aero Kit - Touring Trim</t>
  </si>
  <si>
    <t>23ACC-COLD-PKP   Cold Weather Package</t>
  </si>
  <si>
    <t>23ACC-COLD-PKH   Cold Weather Package</t>
  </si>
  <si>
    <t>08W42-S2A-101	Wheel Locks - Black</t>
  </si>
  <si>
    <t>08W42-SCV-302	Wheel Locks - Chrome</t>
  </si>
  <si>
    <t>08F20-30A-100	Black Emblem Rear "H" mark &amp; Accord
08F20-3A0-100C	Black Emblem, Touring</t>
  </si>
  <si>
    <t>08F20-30A-100	Black Emblem Rear "H" mark &amp; Accord
08F20-TVA-100C	Black Emblem, Sport</t>
  </si>
  <si>
    <t>23ACC-PRO-PKA	Protection Package Advance
08P17-30A-110	All Season Floor Mats
08U45-30A-100	Trunk Tray</t>
  </si>
  <si>
    <t>23ACC-PRO-PK	Protection Package
08P17-30A-110	All Season Floor Mats
08U45-30A-100	Trunk Tray
08L96-TVA-300	Cargo Net
08P09-30A-300	Rear Splash Gaurds</t>
  </si>
  <si>
    <t xml:space="preserve">08F04-30A-1F0	Side Underbody Spoiler
08P98-30A-1F0	Front Aero Bumper
08P99-30A-1F0	Rear Aero Bumper
08R06-30A-110	Door Mirror Covers &amp; Lower Intake Accents
08F10-30A-110	Decklid Spoiler
</t>
  </si>
  <si>
    <t>08F04-30A-1F0	Side Underbody Spoiler
08P98-30A-1F0	Front Aero Bumper
08P99-30A-1F0	Rear Aero Bumper
08R06-30A-110A	Door Mirror Covers &amp; Lower Intake Accents
08F10-30A-110	Decklid Spoiler</t>
  </si>
  <si>
    <t>08T44-30B-300A	Engine Block Heater
31670-BMS-004H	Optimate 12V Auto Battery Charger/Maintainer</t>
  </si>
  <si>
    <t>08T44-30A-300A	Engine Block Heater
31670-BMS-004H	Optimate 12V Auto Battery Charger/Maintainer</t>
  </si>
  <si>
    <t>23ACC-ARO-EX   Aeto Kit - EX Trim
23ACC-ARO-SPHY    Aero Kit - Sport Trim</t>
  </si>
  <si>
    <t>23ACC-COLD-PKP	Cold Weather Package
23ACC-COLD-PKH	Cold Weather Package</t>
  </si>
  <si>
    <t>Overlay 1</t>
  </si>
  <si>
    <t>Overlay 2</t>
  </si>
  <si>
    <t>Overlay 3</t>
  </si>
  <si>
    <t>Overlay 4</t>
  </si>
  <si>
    <t>Overlay 5</t>
  </si>
  <si>
    <t>Overlay 6</t>
  </si>
  <si>
    <t>Overlay 7</t>
  </si>
  <si>
    <t>Overlay 8</t>
  </si>
  <si>
    <t xml:space="preserve">08F04-30A-1F0	Side Underbody Spoiler
08P98-30A-1F0	Front Aero Bumper
08P99-30A-1F0	Rear Aero Bumper
08R06-30A-110	Door Mirror Covers &amp; Lower Intake Accents
</t>
  </si>
  <si>
    <t>23ACC-ARO-EX   Aeto Kit - EX Trim
23ACC-ARO-TRHY    Aero Kit - Touring Trim</t>
  </si>
  <si>
    <t>DROPPED for 26MY</t>
  </si>
  <si>
    <t>26MY Honda Accord</t>
  </si>
  <si>
    <t>26MY Accord</t>
  </si>
  <si>
    <t>Rear Splash Guards</t>
  </si>
  <si>
    <t>08F20-30A-100D</t>
  </si>
  <si>
    <t>Black Emblem Rear "H" mark</t>
  </si>
  <si>
    <t>Emblème, noirs lustré arrière  « H »  mark</t>
  </si>
  <si>
    <t>New</t>
  </si>
  <si>
    <t>08F20-T20-100B</t>
  </si>
  <si>
    <t>Black Emblem, Hybrid</t>
  </si>
  <si>
    <t xml:space="preserve">Emblème, noirs lustré « Hybride » </t>
  </si>
  <si>
    <t>Si l’attention aux détails est importante pour vous, vous aimerez certainement l’allure des emblèmes « H » et Accord noir lustré.</t>
  </si>
  <si>
    <t>If attention to detail is important to you then you’re sure to love the look of the Gloss Black H-Mark and Accord Emblems.</t>
  </si>
  <si>
    <t>Black Emblem, Accord</t>
  </si>
  <si>
    <t>Emblème, noirs lustré arrière  « Accord »</t>
  </si>
  <si>
    <t>08F20-30A-100C</t>
  </si>
  <si>
    <t>Rear H-Mark Logo.</t>
  </si>
  <si>
    <t>Logo H-Mark l'arrière.</t>
  </si>
  <si>
    <t>26ACC-BLK-EMB</t>
  </si>
  <si>
    <t>Includes Rear "H" mark, "Accord," "Hybrid" and "Touring" black emblems. Packaged together with a 5% discount.</t>
  </si>
  <si>
    <t>Comprend les emblèmes noirs « H » arrière, « Accord » , « Hybride » et « Touring ». Offerts en ensemble avec une réduction de 5%.</t>
  </si>
  <si>
    <t>26ACC-BLK-EMB Black Emblem Set - Touring</t>
  </si>
  <si>
    <t>Add a unique and bold style with these gloss black emblems.  Pair up with H-Mark, Accord, and Touring emblems to complete the look - sold separately.</t>
  </si>
  <si>
    <t>Donnez un style unique et audacieux avec ces emblèmes noir lustré. Jumelez-les aux emblèmes « H », Accord et Touring pour compléter l’apparence (vendus séparément).</t>
  </si>
  <si>
    <t>NEW</t>
  </si>
  <si>
    <t>08F20-30A-100CBlack Emblem Rear "H" mark
08F20-30A-100DBlack Emblem, Accord
08F20-3A0-100CBlack Emblem, Touring
08F20-T20-100B Black Emblem, Hybrid</t>
  </si>
  <si>
    <t>Aero Kit - SE Trim</t>
  </si>
  <si>
    <t>Ensemble Aero – Version 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</si>
</sst>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yyyy\-mm\-dd;@"/>
  </numFmts>
  <fonts count="14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sz val="10.5"/>
      <name val="Calibri"/>
      <family val="2"/>
      <scheme val="minor"/>
    </font>
    <font>
      <b/>
      <sz val="8.5"/>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sz val="10"/>
      <name val="Arial"/>
      <family val="2"/>
    </font>
    <font>
      <i/>
      <sz val="10"/>
      <color theme="0" tint="-0.34998626667073579"/>
      <name val="Arial Narrow"/>
      <family val="2"/>
    </font>
    <font>
      <i/>
      <sz val="11"/>
      <color theme="0" tint="-0.34998626667073579"/>
      <name val="Arial Narrow"/>
      <family val="2"/>
    </font>
    <font>
      <i/>
      <sz val="14"/>
      <color theme="0" tint="-0.34998626667073579"/>
      <name val="Arial Narrow"/>
      <family val="2"/>
    </font>
    <font>
      <sz val="11"/>
      <color theme="0" tint="-0.34998626667073579"/>
      <name val="Arial Narrow"/>
      <family val="2"/>
    </font>
    <font>
      <sz val="10"/>
      <color theme="0" tint="-0.34998626667073579"/>
      <name val="Arial Narrow"/>
      <family val="2"/>
    </font>
    <font>
      <b/>
      <i/>
      <sz val="12"/>
      <color theme="1" tint="0.499984740745262"/>
      <name val="Calibri"/>
      <family val="2"/>
      <scheme val="minor"/>
    </font>
  </fonts>
  <fills count="4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theme="6" tint="-0.249977111117893"/>
        <bgColor indexed="64"/>
      </patternFill>
    </fill>
  </fills>
  <borders count="5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theme="0"/>
      </right>
      <top/>
      <bottom/>
      <diagonal/>
    </border>
  </borders>
  <cellStyleXfs count="705">
    <xf numFmtId="0" fontId="0" fillId="0" borderId="0"/>
    <xf numFmtId="0" fontId="48" fillId="2" borderId="0" applyNumberFormat="0" applyBorder="0" applyAlignment="0" applyProtection="0">
      <alignment vertical="center"/>
    </xf>
    <xf numFmtId="0" fontId="48" fillId="3" borderId="0" applyNumberFormat="0" applyBorder="0" applyAlignment="0" applyProtection="0">
      <alignment vertical="center"/>
    </xf>
    <xf numFmtId="0" fontId="48" fillId="4" borderId="0" applyNumberFormat="0" applyBorder="0" applyAlignment="0" applyProtection="0">
      <alignment vertical="center"/>
    </xf>
    <xf numFmtId="0" fontId="48" fillId="5" borderId="0" applyNumberFormat="0" applyBorder="0" applyAlignment="0" applyProtection="0">
      <alignment vertical="center"/>
    </xf>
    <xf numFmtId="0" fontId="48" fillId="6" borderId="0" applyNumberFormat="0" applyBorder="0" applyAlignment="0" applyProtection="0">
      <alignment vertical="center"/>
    </xf>
    <xf numFmtId="0" fontId="48" fillId="7" borderId="0" applyNumberFormat="0" applyBorder="0" applyAlignment="0" applyProtection="0">
      <alignment vertical="center"/>
    </xf>
    <xf numFmtId="0" fontId="48" fillId="8" borderId="0" applyNumberFormat="0" applyBorder="0" applyAlignment="0" applyProtection="0">
      <alignment vertical="center"/>
    </xf>
    <xf numFmtId="0" fontId="48" fillId="9" borderId="0" applyNumberFormat="0" applyBorder="0" applyAlignment="0" applyProtection="0">
      <alignment vertical="center"/>
    </xf>
    <xf numFmtId="0" fontId="48" fillId="10" borderId="0" applyNumberFormat="0" applyBorder="0" applyAlignment="0" applyProtection="0">
      <alignment vertical="center"/>
    </xf>
    <xf numFmtId="0" fontId="48" fillId="5" borderId="0" applyNumberFormat="0" applyBorder="0" applyAlignment="0" applyProtection="0">
      <alignment vertical="center"/>
    </xf>
    <xf numFmtId="0" fontId="48" fillId="8" borderId="0" applyNumberFormat="0" applyBorder="0" applyAlignment="0" applyProtection="0">
      <alignment vertical="center"/>
    </xf>
    <xf numFmtId="0" fontId="48" fillId="11" borderId="0" applyNumberFormat="0" applyBorder="0" applyAlignment="0" applyProtection="0">
      <alignment vertical="center"/>
    </xf>
    <xf numFmtId="0" fontId="49" fillId="12" borderId="0" applyNumberFormat="0" applyBorder="0" applyAlignment="0" applyProtection="0">
      <alignment vertical="center"/>
    </xf>
    <xf numFmtId="0" fontId="49" fillId="9" borderId="0" applyNumberFormat="0" applyBorder="0" applyAlignment="0" applyProtection="0">
      <alignment vertical="center"/>
    </xf>
    <xf numFmtId="0" fontId="49" fillId="10" borderId="0" applyNumberFormat="0" applyBorder="0" applyAlignment="0" applyProtection="0">
      <alignment vertical="center"/>
    </xf>
    <xf numFmtId="0" fontId="49"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4" fontId="4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45"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 fontId="41" fillId="0" borderId="0" applyFont="0" applyFill="0" applyBorder="0" applyAlignment="0" applyProtection="0"/>
    <xf numFmtId="40" fontId="40" fillId="0" borderId="0" applyFont="0" applyFill="0" applyBorder="0" applyAlignment="0" applyProtection="0">
      <alignment vertical="center"/>
    </xf>
    <xf numFmtId="4" fontId="41" fillId="0" borderId="0" applyFont="0" applyFill="0" applyBorder="0" applyAlignment="0" applyProtection="0"/>
    <xf numFmtId="43" fontId="37"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73" fillId="0" borderId="0" applyFont="0" applyFill="0" applyBorder="0" applyAlignment="0" applyProtection="0"/>
    <xf numFmtId="43"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8" fontId="40" fillId="0" borderId="0" applyFont="0" applyFill="0" applyBorder="0" applyAlignment="0" applyProtection="0">
      <alignment vertical="center"/>
    </xf>
    <xf numFmtId="44" fontId="37" fillId="0" borderId="0" applyFont="0" applyFill="0" applyBorder="0" applyAlignment="0" applyProtection="0"/>
    <xf numFmtId="44" fontId="37" fillId="0" borderId="0" applyFont="0" applyFill="0" applyBorder="0" applyAlignment="0" applyProtection="0"/>
    <xf numFmtId="44" fontId="46"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72" fillId="0" borderId="0" applyFont="0" applyFill="0" applyBorder="0" applyAlignment="0" applyProtection="0"/>
    <xf numFmtId="44" fontId="72"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168" fontId="37" fillId="0" borderId="0" applyFont="0" applyFill="0" applyBorder="0" applyAlignment="0" applyProtection="0"/>
    <xf numFmtId="0" fontId="50" fillId="0" borderId="0" applyNumberFormat="0" applyFill="0" applyBorder="0" applyAlignment="0" applyProtection="0">
      <alignment vertical="center"/>
      <protection locked="0"/>
    </xf>
    <xf numFmtId="38" fontId="47" fillId="22" borderId="0" applyNumberFormat="0" applyBorder="0" applyAlignment="0" applyProtection="0"/>
    <xf numFmtId="0" fontId="38" fillId="0" borderId="3" applyNumberFormat="0" applyAlignment="0" applyProtection="0">
      <alignment horizontal="left" vertical="center"/>
    </xf>
    <xf numFmtId="0" fontId="38" fillId="0" borderId="4">
      <alignment horizontal="left" vertical="center"/>
    </xf>
    <xf numFmtId="10" fontId="47" fillId="23" borderId="8" applyNumberFormat="0" applyBorder="0" applyAlignment="0" applyProtection="0"/>
    <xf numFmtId="170" fontId="37" fillId="0" borderId="0" applyFont="0" applyFill="0" applyBorder="0" applyAlignment="0" applyProtection="0"/>
    <xf numFmtId="169" fontId="37" fillId="0" borderId="0" applyFont="0" applyFill="0" applyBorder="0" applyAlignment="0" applyProtection="0"/>
    <xf numFmtId="38" fontId="51" fillId="0" borderId="0" applyFont="0" applyFill="0" applyBorder="0" applyAlignment="0" applyProtection="0"/>
    <xf numFmtId="40" fontId="51" fillId="0" borderId="0" applyFont="0" applyFill="0" applyBorder="0" applyAlignment="0" applyProtection="0"/>
    <xf numFmtId="42" fontId="37" fillId="0" borderId="0" applyFont="0" applyFill="0" applyBorder="0" applyAlignment="0" applyProtection="0"/>
    <xf numFmtId="44" fontId="37" fillId="0" borderId="0" applyFont="0" applyFill="0" applyBorder="0" applyAlignment="0" applyProtection="0"/>
    <xf numFmtId="6" fontId="51" fillId="0" borderId="0" applyFont="0" applyFill="0" applyBorder="0" applyAlignment="0" applyProtection="0"/>
    <xf numFmtId="8" fontId="51" fillId="0" borderId="0" applyFont="0" applyFill="0" applyBorder="0" applyAlignment="0" applyProtection="0"/>
    <xf numFmtId="0" fontId="39" fillId="0" borderId="0">
      <alignment horizontal="left" indent="1"/>
    </xf>
    <xf numFmtId="37" fontId="52" fillId="0" borderId="0"/>
    <xf numFmtId="172" fontId="53" fillId="0" borderId="0"/>
    <xf numFmtId="0" fontId="72" fillId="0" borderId="0"/>
    <xf numFmtId="0" fontId="72" fillId="0" borderId="0"/>
    <xf numFmtId="0" fontId="40" fillId="0" borderId="0">
      <alignment vertical="center"/>
    </xf>
    <xf numFmtId="0" fontId="37" fillId="0" borderId="0"/>
    <xf numFmtId="0" fontId="37" fillId="0" borderId="0"/>
    <xf numFmtId="0" fontId="37" fillId="0" borderId="0"/>
    <xf numFmtId="0" fontId="37" fillId="0" borderId="0"/>
    <xf numFmtId="0" fontId="37" fillId="0" borderId="0"/>
    <xf numFmtId="0" fontId="70" fillId="0" borderId="0"/>
    <xf numFmtId="0" fontId="37" fillId="0" borderId="0"/>
    <xf numFmtId="0" fontId="37" fillId="0" borderId="0"/>
    <xf numFmtId="0" fontId="37" fillId="0" borderId="0"/>
    <xf numFmtId="0" fontId="72" fillId="0" borderId="0"/>
    <xf numFmtId="0" fontId="37" fillId="0" borderId="0"/>
    <xf numFmtId="0" fontId="72" fillId="0" borderId="0"/>
    <xf numFmtId="0" fontId="40" fillId="0" borderId="0">
      <alignment vertical="center"/>
    </xf>
    <xf numFmtId="0" fontId="72" fillId="0" borderId="0"/>
    <xf numFmtId="0" fontId="72" fillId="0" borderId="0"/>
    <xf numFmtId="0" fontId="40" fillId="0" borderId="0">
      <alignment vertical="center"/>
    </xf>
    <xf numFmtId="0" fontId="72" fillId="0" borderId="0"/>
    <xf numFmtId="0" fontId="40" fillId="0" borderId="0">
      <alignment vertical="center"/>
    </xf>
    <xf numFmtId="0" fontId="42" fillId="0" borderId="0"/>
    <xf numFmtId="0" fontId="40" fillId="0" borderId="0">
      <alignment vertical="center"/>
    </xf>
    <xf numFmtId="0" fontId="72" fillId="0" borderId="0"/>
    <xf numFmtId="0" fontId="40" fillId="0" borderId="0">
      <alignment vertical="center"/>
    </xf>
    <xf numFmtId="0" fontId="37" fillId="0" borderId="0"/>
    <xf numFmtId="0" fontId="37" fillId="0" borderId="0"/>
    <xf numFmtId="0" fontId="72" fillId="0" borderId="0"/>
    <xf numFmtId="0" fontId="40" fillId="0" borderId="0">
      <alignment vertical="center"/>
    </xf>
    <xf numFmtId="0" fontId="72" fillId="0" borderId="0"/>
    <xf numFmtId="0" fontId="40" fillId="0" borderId="0">
      <alignment vertical="center"/>
    </xf>
    <xf numFmtId="0" fontId="72" fillId="0" borderId="0"/>
    <xf numFmtId="0" fontId="40" fillId="0" borderId="0">
      <alignment vertical="center"/>
    </xf>
    <xf numFmtId="0" fontId="72" fillId="0" borderId="0"/>
    <xf numFmtId="0" fontId="40" fillId="0" borderId="0">
      <alignment vertical="center"/>
    </xf>
    <xf numFmtId="0" fontId="37" fillId="0" borderId="0"/>
    <xf numFmtId="0" fontId="42" fillId="0" borderId="0"/>
    <xf numFmtId="0" fontId="37" fillId="0" borderId="0"/>
    <xf numFmtId="0" fontId="42" fillId="0" borderId="0"/>
    <xf numFmtId="0" fontId="42" fillId="0" borderId="0"/>
    <xf numFmtId="0" fontId="42" fillId="0" borderId="0"/>
    <xf numFmtId="0" fontId="37" fillId="0" borderId="0"/>
    <xf numFmtId="0" fontId="42" fillId="0" borderId="0"/>
    <xf numFmtId="0" fontId="42" fillId="0" borderId="0"/>
    <xf numFmtId="0" fontId="42" fillId="0" borderId="0"/>
    <xf numFmtId="0" fontId="37" fillId="0" borderId="0"/>
    <xf numFmtId="0" fontId="42" fillId="0" borderId="0"/>
    <xf numFmtId="0" fontId="42"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72" fillId="0" borderId="0"/>
    <xf numFmtId="0" fontId="72" fillId="0" borderId="0"/>
    <xf numFmtId="0" fontId="72" fillId="0" borderId="0"/>
    <xf numFmtId="0" fontId="71" fillId="0" borderId="0"/>
    <xf numFmtId="0" fontId="37"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42" fillId="0" borderId="0"/>
    <xf numFmtId="0" fontId="72" fillId="0" borderId="0"/>
    <xf numFmtId="0" fontId="72" fillId="0" borderId="0"/>
    <xf numFmtId="0" fontId="72" fillId="0" borderId="0"/>
    <xf numFmtId="0" fontId="37"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37" fillId="0" borderId="0"/>
    <xf numFmtId="0" fontId="37" fillId="0" borderId="0"/>
    <xf numFmtId="0" fontId="73" fillId="0" borderId="0"/>
    <xf numFmtId="0" fontId="42" fillId="0" borderId="0"/>
    <xf numFmtId="0" fontId="37" fillId="0" borderId="0"/>
    <xf numFmtId="0" fontId="42" fillId="0" borderId="0"/>
    <xf numFmtId="0" fontId="72" fillId="0" borderId="0"/>
    <xf numFmtId="0" fontId="72"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2" fillId="0" borderId="0"/>
    <xf numFmtId="0" fontId="37" fillId="0" borderId="0"/>
    <xf numFmtId="0" fontId="42" fillId="0" borderId="0"/>
    <xf numFmtId="0" fontId="72" fillId="0" borderId="0"/>
    <xf numFmtId="0" fontId="72"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2" fillId="0" borderId="0"/>
    <xf numFmtId="0" fontId="37" fillId="0" borderId="0"/>
    <xf numFmtId="0" fontId="42" fillId="0" borderId="0"/>
    <xf numFmtId="0" fontId="42" fillId="0" borderId="0"/>
    <xf numFmtId="0" fontId="42" fillId="0" borderId="0"/>
    <xf numFmtId="0" fontId="37" fillId="0" borderId="0"/>
    <xf numFmtId="0" fontId="42" fillId="0" borderId="0"/>
    <xf numFmtId="0" fontId="42" fillId="0" borderId="0"/>
    <xf numFmtId="0" fontId="72" fillId="0" borderId="0"/>
    <xf numFmtId="0" fontId="42" fillId="0" borderId="0"/>
    <xf numFmtId="0" fontId="37" fillId="0" borderId="0"/>
    <xf numFmtId="0" fontId="42" fillId="0" borderId="0"/>
    <xf numFmtId="0" fontId="42" fillId="0" borderId="0"/>
    <xf numFmtId="0" fontId="42" fillId="0" borderId="0"/>
    <xf numFmtId="0" fontId="37" fillId="0" borderId="0"/>
    <xf numFmtId="0" fontId="42" fillId="0" borderId="0"/>
    <xf numFmtId="0" fontId="42" fillId="0" borderId="0"/>
    <xf numFmtId="0" fontId="72" fillId="0" borderId="0"/>
    <xf numFmtId="0" fontId="40" fillId="0" borderId="0">
      <alignment vertical="center"/>
    </xf>
    <xf numFmtId="0" fontId="72" fillId="0" borderId="0"/>
    <xf numFmtId="0" fontId="40" fillId="0" borderId="0">
      <alignment vertical="center"/>
    </xf>
    <xf numFmtId="0" fontId="72" fillId="0" borderId="0"/>
    <xf numFmtId="0" fontId="40" fillId="0" borderId="0">
      <alignment vertical="center"/>
    </xf>
    <xf numFmtId="0" fontId="72" fillId="0" borderId="0"/>
    <xf numFmtId="0" fontId="40" fillId="0" borderId="0">
      <alignment vertical="center"/>
    </xf>
    <xf numFmtId="0" fontId="72" fillId="0" borderId="0"/>
    <xf numFmtId="0" fontId="40" fillId="0" borderId="0">
      <alignment vertical="center"/>
    </xf>
    <xf numFmtId="0" fontId="37" fillId="0" borderId="0"/>
    <xf numFmtId="0" fontId="37" fillId="0" borderId="0"/>
    <xf numFmtId="0" fontId="72" fillId="0" borderId="0"/>
    <xf numFmtId="0" fontId="40" fillId="0" borderId="0">
      <alignment vertical="center"/>
    </xf>
    <xf numFmtId="0" fontId="72" fillId="0" borderId="0"/>
    <xf numFmtId="0" fontId="40" fillId="0" borderId="0">
      <alignment vertical="center"/>
    </xf>
    <xf numFmtId="0" fontId="37" fillId="0" borderId="0"/>
    <xf numFmtId="0" fontId="37" fillId="0" borderId="0"/>
    <xf numFmtId="0" fontId="72" fillId="0" borderId="0"/>
    <xf numFmtId="0" fontId="40" fillId="0" borderId="0">
      <alignment vertical="center"/>
    </xf>
    <xf numFmtId="0" fontId="37" fillId="0" borderId="0"/>
    <xf numFmtId="0" fontId="37" fillId="0" borderId="0"/>
    <xf numFmtId="0" fontId="72" fillId="0" borderId="0"/>
    <xf numFmtId="0" fontId="40" fillId="0" borderId="0">
      <alignment vertical="center"/>
    </xf>
    <xf numFmtId="0" fontId="72" fillId="0" borderId="0"/>
    <xf numFmtId="0" fontId="40" fillId="0" borderId="0">
      <alignment vertical="center"/>
    </xf>
    <xf numFmtId="0" fontId="37" fillId="0" borderId="0"/>
    <xf numFmtId="0" fontId="37" fillId="0" borderId="0"/>
    <xf numFmtId="0" fontId="42" fillId="0" borderId="0"/>
    <xf numFmtId="0" fontId="42" fillId="0" borderId="0"/>
    <xf numFmtId="0" fontId="73" fillId="0" borderId="0"/>
    <xf numFmtId="0" fontId="72" fillId="0" borderId="0"/>
    <xf numFmtId="0" fontId="40" fillId="0" borderId="0">
      <alignment vertical="center"/>
    </xf>
    <xf numFmtId="0" fontId="42" fillId="0" borderId="0"/>
    <xf numFmtId="0" fontId="40" fillId="0" borderId="0">
      <alignment vertical="center"/>
    </xf>
    <xf numFmtId="0" fontId="37" fillId="0" borderId="0"/>
    <xf numFmtId="0" fontId="40" fillId="0" borderId="0">
      <alignment vertical="center"/>
    </xf>
    <xf numFmtId="0" fontId="37" fillId="0" borderId="0"/>
    <xf numFmtId="0" fontId="40" fillId="0" borderId="0">
      <alignment vertical="center"/>
    </xf>
    <xf numFmtId="0" fontId="72" fillId="0" borderId="0"/>
    <xf numFmtId="0" fontId="40" fillId="0" borderId="0">
      <alignment vertical="center"/>
    </xf>
    <xf numFmtId="0" fontId="40" fillId="0" borderId="0">
      <alignment vertical="center"/>
    </xf>
    <xf numFmtId="0" fontId="40" fillId="0" borderId="0">
      <alignment vertical="center"/>
    </xf>
    <xf numFmtId="0" fontId="37" fillId="0" borderId="0"/>
    <xf numFmtId="0" fontId="40" fillId="0" borderId="0">
      <alignment vertical="center"/>
    </xf>
    <xf numFmtId="0" fontId="40" fillId="0" borderId="0">
      <alignment vertical="center"/>
    </xf>
    <xf numFmtId="0" fontId="37" fillId="0" borderId="0"/>
    <xf numFmtId="0" fontId="40" fillId="0" borderId="0">
      <alignment vertical="center"/>
    </xf>
    <xf numFmtId="0" fontId="37" fillId="0" borderId="0"/>
    <xf numFmtId="0" fontId="37" fillId="0" borderId="0"/>
    <xf numFmtId="0" fontId="42" fillId="0" borderId="0"/>
    <xf numFmtId="0" fontId="42" fillId="0" borderId="0"/>
    <xf numFmtId="0" fontId="40" fillId="0" borderId="0">
      <alignment vertical="center"/>
    </xf>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72" fillId="0" borderId="0"/>
    <xf numFmtId="0" fontId="40" fillId="0" borderId="0">
      <alignment vertical="center"/>
    </xf>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2"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37" fillId="0" borderId="0"/>
    <xf numFmtId="0" fontId="72" fillId="0" borderId="0"/>
    <xf numFmtId="0" fontId="37"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2" fillId="0" borderId="0"/>
    <xf numFmtId="0" fontId="4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42" fillId="0" borderId="0"/>
    <xf numFmtId="0" fontId="72" fillId="0" borderId="0"/>
    <xf numFmtId="0" fontId="72"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40" fillId="0" borderId="0">
      <alignment vertical="center"/>
    </xf>
    <xf numFmtId="0" fontId="37" fillId="0" borderId="0"/>
    <xf numFmtId="0" fontId="37" fillId="0" borderId="0"/>
    <xf numFmtId="0" fontId="37" fillId="0" borderId="0"/>
    <xf numFmtId="0" fontId="73" fillId="0" borderId="0"/>
    <xf numFmtId="0" fontId="73" fillId="0" borderId="0"/>
    <xf numFmtId="0" fontId="73" fillId="0" borderId="0"/>
    <xf numFmtId="0" fontId="73" fillId="0" borderId="0"/>
    <xf numFmtId="0" fontId="73" fillId="0" borderId="0"/>
    <xf numFmtId="0" fontId="73" fillId="0" borderId="0"/>
    <xf numFmtId="0" fontId="46" fillId="0" borderId="0">
      <alignment vertical="center"/>
    </xf>
    <xf numFmtId="0" fontId="37" fillId="0" borderId="0"/>
    <xf numFmtId="0" fontId="37" fillId="0" borderId="0"/>
    <xf numFmtId="0" fontId="37" fillId="0" borderId="0"/>
    <xf numFmtId="0" fontId="72" fillId="0" borderId="0"/>
    <xf numFmtId="0" fontId="37" fillId="0" borderId="0"/>
    <xf numFmtId="0" fontId="72" fillId="0" borderId="0"/>
    <xf numFmtId="0" fontId="40" fillId="0" borderId="0">
      <alignment vertical="center"/>
    </xf>
    <xf numFmtId="0" fontId="46" fillId="0" borderId="0">
      <alignment vertical="center"/>
    </xf>
    <xf numFmtId="0" fontId="73"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37" fillId="0" borderId="0"/>
    <xf numFmtId="0" fontId="42" fillId="0" borderId="0"/>
    <xf numFmtId="0" fontId="42" fillId="0" borderId="0"/>
    <xf numFmtId="0" fontId="42" fillId="0" borderId="0"/>
    <xf numFmtId="0" fontId="37" fillId="0" borderId="0"/>
    <xf numFmtId="0" fontId="42" fillId="0" borderId="0"/>
    <xf numFmtId="0" fontId="40"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4" fillId="0" borderId="0">
      <alignment vertical="center"/>
    </xf>
    <xf numFmtId="0" fontId="73" fillId="0" borderId="0"/>
    <xf numFmtId="0" fontId="73" fillId="0" borderId="0"/>
    <xf numFmtId="0" fontId="72" fillId="0" borderId="0"/>
    <xf numFmtId="0" fontId="72" fillId="0" borderId="0"/>
    <xf numFmtId="0" fontId="40" fillId="0" borderId="0">
      <alignment vertical="center"/>
    </xf>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10" fontId="37" fillId="0" borderId="0" applyFont="0" applyFill="0" applyBorder="0" applyAlignment="0" applyProtection="0"/>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72" fillId="0" borderId="0" applyFont="0" applyFill="0" applyBorder="0" applyAlignment="0" applyProtection="0"/>
    <xf numFmtId="9" fontId="72" fillId="0" borderId="0" applyFont="0" applyFill="0" applyBorder="0" applyAlignment="0" applyProtection="0"/>
    <xf numFmtId="9" fontId="40" fillId="0" borderId="0" applyFont="0" applyFill="0" applyBorder="0" applyAlignment="0" applyProtection="0">
      <alignment vertical="center"/>
    </xf>
    <xf numFmtId="9" fontId="37" fillId="0" borderId="0" applyFont="0" applyFill="0" applyBorder="0" applyAlignment="0" applyProtection="0"/>
    <xf numFmtId="9" fontId="37" fillId="0" borderId="0" applyFont="0" applyFill="0" applyBorder="0" applyAlignment="0" applyProtection="0"/>
    <xf numFmtId="9" fontId="45" fillId="0" borderId="0" applyFont="0" applyFill="0" applyBorder="0" applyAlignment="0" applyProtection="0"/>
    <xf numFmtId="9" fontId="41"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37" fillId="0" borderId="0" applyFont="0" applyFill="0" applyBorder="0" applyAlignment="0" applyProtection="0"/>
    <xf numFmtId="9" fontId="37" fillId="0" borderId="0" applyFont="0" applyFill="0" applyBorder="0" applyAlignment="0" applyProtection="0"/>
    <xf numFmtId="9" fontId="41"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0" fillId="0" borderId="0" applyFont="0" applyFill="0" applyBorder="0" applyAlignment="0" applyProtection="0">
      <alignment vertical="center"/>
    </xf>
    <xf numFmtId="9" fontId="41" fillId="0" borderId="0" applyFont="0" applyFill="0" applyBorder="0" applyAlignment="0" applyProtection="0"/>
    <xf numFmtId="9" fontId="37" fillId="0" borderId="0" applyFont="0" applyFill="0" applyBorder="0" applyAlignment="0" applyProtection="0"/>
    <xf numFmtId="9" fontId="40" fillId="0" borderId="0" applyFont="0" applyFill="0" applyBorder="0" applyAlignment="0" applyProtection="0">
      <alignment vertical="center"/>
    </xf>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73" fillId="0" borderId="0" applyFont="0" applyFill="0" applyBorder="0" applyAlignment="0" applyProtection="0"/>
    <xf numFmtId="9" fontId="43" fillId="0" borderId="0" applyFont="0" applyFill="0" applyBorder="0" applyAlignment="0" applyProtection="0"/>
    <xf numFmtId="9" fontId="40" fillId="0" borderId="0" applyFont="0" applyFill="0" applyBorder="0" applyAlignment="0" applyProtection="0">
      <alignment vertical="center"/>
    </xf>
    <xf numFmtId="9" fontId="37" fillId="0" borderId="0" applyFont="0" applyFill="0" applyBorder="0" applyAlignment="0" applyProtection="0"/>
    <xf numFmtId="9" fontId="40" fillId="0" borderId="0" applyFont="0" applyFill="0" applyBorder="0" applyAlignment="0" applyProtection="0">
      <alignment vertical="center"/>
    </xf>
    <xf numFmtId="9" fontId="72" fillId="0" borderId="0" applyFont="0" applyFill="0" applyBorder="0" applyAlignment="0" applyProtection="0"/>
    <xf numFmtId="9" fontId="40" fillId="0" borderId="0" applyFont="0" applyFill="0" applyBorder="0" applyAlignment="0" applyProtection="0">
      <alignment vertical="center"/>
    </xf>
    <xf numFmtId="9" fontId="72" fillId="0" borderId="0" applyFont="0" applyFill="0" applyBorder="0" applyAlignment="0" applyProtection="0"/>
    <xf numFmtId="9" fontId="73" fillId="0" borderId="0" applyFont="0" applyFill="0" applyBorder="0" applyAlignment="0" applyProtection="0"/>
    <xf numFmtId="9" fontId="40" fillId="0" borderId="0" applyFont="0" applyFill="0" applyBorder="0" applyAlignment="0" applyProtection="0">
      <alignment vertical="center"/>
    </xf>
    <xf numFmtId="9" fontId="73" fillId="0" borderId="0" applyFont="0" applyFill="0" applyBorder="0" applyAlignment="0" applyProtection="0"/>
    <xf numFmtId="9" fontId="40" fillId="0" borderId="0" applyFont="0" applyFill="0" applyBorder="0" applyAlignment="0" applyProtection="0">
      <alignment vertical="center"/>
    </xf>
    <xf numFmtId="0" fontId="75" fillId="26" borderId="13">
      <alignment horizontal="left" vertical="center" indent="1"/>
    </xf>
    <xf numFmtId="0" fontId="76" fillId="27" borderId="14" applyBorder="0">
      <alignment horizontal="center" vertical="center"/>
    </xf>
    <xf numFmtId="0" fontId="76" fillId="27" borderId="14" applyBorder="0">
      <alignment horizontal="center" vertical="center"/>
    </xf>
    <xf numFmtId="0" fontId="77" fillId="28" borderId="15" applyNumberFormat="0">
      <alignment horizontal="center" vertical="center"/>
    </xf>
    <xf numFmtId="0" fontId="75" fillId="29" borderId="16">
      <alignment horizontal="center" vertical="center"/>
    </xf>
    <xf numFmtId="0" fontId="49" fillId="16" borderId="0" applyNumberFormat="0" applyBorder="0" applyAlignment="0" applyProtection="0">
      <alignment vertical="center"/>
    </xf>
    <xf numFmtId="0" fontId="49" fillId="17" borderId="0" applyNumberFormat="0" applyBorder="0" applyAlignment="0" applyProtection="0">
      <alignment vertical="center"/>
    </xf>
    <xf numFmtId="0" fontId="49" fillId="18" borderId="0" applyNumberFormat="0" applyBorder="0" applyAlignment="0" applyProtection="0">
      <alignment vertical="center"/>
    </xf>
    <xf numFmtId="0" fontId="49" fillId="13" borderId="0" applyNumberFormat="0" applyBorder="0" applyAlignment="0" applyProtection="0">
      <alignment vertical="center"/>
    </xf>
    <xf numFmtId="0" fontId="49" fillId="14" borderId="0" applyNumberFormat="0" applyBorder="0" applyAlignment="0" applyProtection="0">
      <alignment vertical="center"/>
    </xf>
    <xf numFmtId="0" fontId="49" fillId="19" borderId="0" applyNumberFormat="0" applyBorder="0" applyAlignment="0" applyProtection="0">
      <alignment vertical="center"/>
    </xf>
    <xf numFmtId="0" fontId="55" fillId="0" borderId="0" applyNumberFormat="0" applyFill="0" applyBorder="0" applyAlignment="0" applyProtection="0">
      <alignment vertical="center"/>
    </xf>
    <xf numFmtId="0" fontId="56" fillId="21" borderId="2" applyNumberFormat="0" applyAlignment="0" applyProtection="0">
      <alignment vertical="center"/>
    </xf>
    <xf numFmtId="0" fontId="57" fillId="24" borderId="0" applyNumberFormat="0" applyBorder="0" applyAlignment="0" applyProtection="0">
      <alignment vertical="center"/>
    </xf>
    <xf numFmtId="0" fontId="50" fillId="25" borderId="10" applyNumberFormat="0" applyFont="0" applyAlignment="0" applyProtection="0">
      <alignment vertical="center"/>
    </xf>
    <xf numFmtId="0" fontId="58" fillId="0" borderId="9" applyNumberFormat="0" applyFill="0" applyAlignment="0" applyProtection="0">
      <alignment vertical="center"/>
    </xf>
    <xf numFmtId="42" fontId="54" fillId="0" borderId="0" applyFont="0" applyFill="0" applyBorder="0" applyAlignment="0" applyProtection="0"/>
    <xf numFmtId="44" fontId="54" fillId="0" borderId="0" applyFont="0" applyFill="0" applyBorder="0" applyAlignment="0" applyProtection="0"/>
    <xf numFmtId="0" fontId="54" fillId="0" borderId="0"/>
    <xf numFmtId="0" fontId="59" fillId="7" borderId="1" applyNumberFormat="0" applyAlignment="0" applyProtection="0">
      <alignment vertical="center"/>
    </xf>
    <xf numFmtId="0" fontId="60" fillId="20" borderId="11" applyNumberFormat="0" applyAlignment="0" applyProtection="0">
      <alignment vertical="center"/>
    </xf>
    <xf numFmtId="0" fontId="61" fillId="3" borderId="0" applyNumberFormat="0" applyBorder="0" applyAlignment="0" applyProtection="0">
      <alignment vertical="center"/>
    </xf>
    <xf numFmtId="169" fontId="37" fillId="0" borderId="0" applyFont="0" applyFill="0" applyBorder="0" applyAlignment="0" applyProtection="0"/>
    <xf numFmtId="170" fontId="37" fillId="0" borderId="0" applyFont="0" applyFill="0" applyBorder="0" applyAlignment="0" applyProtection="0"/>
    <xf numFmtId="0" fontId="37" fillId="0" borderId="0"/>
    <xf numFmtId="0" fontId="62" fillId="4" borderId="0" applyNumberFormat="0" applyBorder="0" applyAlignment="0" applyProtection="0">
      <alignment vertical="center"/>
    </xf>
    <xf numFmtId="0" fontId="63" fillId="0" borderId="5" applyNumberFormat="0" applyFill="0" applyAlignment="0" applyProtection="0">
      <alignment vertical="center"/>
    </xf>
    <xf numFmtId="0" fontId="64" fillId="0" borderId="6" applyNumberFormat="0" applyFill="0" applyAlignment="0" applyProtection="0">
      <alignment vertical="center"/>
    </xf>
    <xf numFmtId="0" fontId="65" fillId="0" borderId="7" applyNumberFormat="0" applyFill="0" applyAlignment="0" applyProtection="0">
      <alignment vertical="center"/>
    </xf>
    <xf numFmtId="0" fontId="65" fillId="0" borderId="0" applyNumberFormat="0" applyFill="0" applyBorder="0" applyAlignment="0" applyProtection="0">
      <alignment vertical="center"/>
    </xf>
    <xf numFmtId="0" fontId="66" fillId="20" borderId="1" applyNumberFormat="0" applyAlignment="0" applyProtection="0">
      <alignment vertical="center"/>
    </xf>
    <xf numFmtId="0" fontId="67" fillId="0" borderId="0" applyNumberFormat="0" applyFill="0" applyBorder="0" applyAlignment="0" applyProtection="0">
      <alignment vertical="center"/>
    </xf>
    <xf numFmtId="0" fontId="68" fillId="0" borderId="0" applyNumberFormat="0" applyFill="0" applyBorder="0" applyAlignment="0" applyProtection="0">
      <alignment vertical="center"/>
    </xf>
    <xf numFmtId="44" fontId="37" fillId="0" borderId="0" applyFont="0" applyFill="0" applyBorder="0" applyAlignment="0" applyProtection="0"/>
    <xf numFmtId="42" fontId="37" fillId="0" borderId="0" applyFont="0" applyFill="0" applyBorder="0" applyAlignment="0" applyProtection="0"/>
    <xf numFmtId="0" fontId="69" fillId="0" borderId="12" applyNumberFormat="0" applyFill="0" applyAlignment="0" applyProtection="0">
      <alignment vertical="center"/>
    </xf>
    <xf numFmtId="0" fontId="36" fillId="0" borderId="0"/>
    <xf numFmtId="0" fontId="35" fillId="0" borderId="0"/>
    <xf numFmtId="0" fontId="35" fillId="0" borderId="0"/>
    <xf numFmtId="0" fontId="34" fillId="0" borderId="0"/>
    <xf numFmtId="0" fontId="34"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8" fillId="0" borderId="0"/>
    <xf numFmtId="0" fontId="28" fillId="0" borderId="0"/>
    <xf numFmtId="0" fontId="27" fillId="0" borderId="0"/>
    <xf numFmtId="0" fontId="27" fillId="0" borderId="0"/>
    <xf numFmtId="0" fontId="27" fillId="0" borderId="0"/>
    <xf numFmtId="0" fontId="26" fillId="0" borderId="0"/>
    <xf numFmtId="0" fontId="26" fillId="0" borderId="0"/>
    <xf numFmtId="0" fontId="25" fillId="0" borderId="0"/>
    <xf numFmtId="0" fontId="25" fillId="0" borderId="0"/>
    <xf numFmtId="0" fontId="24" fillId="0" borderId="0"/>
    <xf numFmtId="0" fontId="24" fillId="0" borderId="0"/>
    <xf numFmtId="0" fontId="93" fillId="0" borderId="0" applyNumberFormat="0" applyFill="0" applyBorder="0" applyAlignment="0" applyProtection="0"/>
    <xf numFmtId="0" fontId="23" fillId="0" borderId="0"/>
    <xf numFmtId="0" fontId="23" fillId="0" borderId="0"/>
    <xf numFmtId="0" fontId="23" fillId="0" borderId="0"/>
    <xf numFmtId="0" fontId="23" fillId="0" borderId="0"/>
    <xf numFmtId="0" fontId="22"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17" fillId="0" borderId="0"/>
    <xf numFmtId="0" fontId="17" fillId="0" borderId="0"/>
    <xf numFmtId="0" fontId="16" fillId="0" borderId="0"/>
    <xf numFmtId="0" fontId="16" fillId="0" borderId="0"/>
    <xf numFmtId="0" fontId="91" fillId="35" borderId="0" applyNumberFormat="0" applyBorder="0" applyAlignment="0" applyProtection="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6" fillId="0" borderId="0"/>
    <xf numFmtId="0" fontId="6" fillId="0" borderId="0"/>
    <xf numFmtId="0" fontId="6" fillId="0" borderId="0"/>
    <xf numFmtId="0" fontId="5" fillId="0" borderId="0"/>
    <xf numFmtId="0" fontId="5" fillId="0" borderId="0"/>
    <xf numFmtId="0" fontId="5" fillId="0" borderId="0"/>
    <xf numFmtId="0" fontId="3" fillId="0" borderId="0"/>
    <xf numFmtId="0" fontId="3" fillId="0" borderId="0"/>
    <xf numFmtId="0" fontId="3" fillId="0" borderId="0"/>
    <xf numFmtId="165" fontId="37" fillId="0" borderId="0" applyFont="0" applyFill="0" applyBorder="0" applyAlignment="0" applyProtection="0"/>
    <xf numFmtId="9" fontId="135" fillId="0" borderId="0" applyFont="0" applyFill="0" applyBorder="0" applyAlignment="0" applyProtection="0"/>
  </cellStyleXfs>
  <cellXfs count="425">
    <xf numFmtId="0" fontId="0" fillId="0" borderId="0" xfId="0"/>
    <xf numFmtId="0" fontId="44" fillId="33" borderId="0" xfId="74" applyFont="1" applyFill="1"/>
    <xf numFmtId="0" fontId="81" fillId="33" borderId="15" xfId="594" applyNumberFormat="1" applyFont="1" applyFill="1" applyAlignment="1">
      <alignment vertical="center"/>
    </xf>
    <xf numFmtId="0" fontId="37" fillId="0" borderId="0" xfId="74"/>
    <xf numFmtId="0" fontId="37" fillId="33" borderId="0" xfId="74" applyFill="1"/>
    <xf numFmtId="44" fontId="44" fillId="33" borderId="8" xfId="36" applyFont="1" applyFill="1" applyBorder="1"/>
    <xf numFmtId="49" fontId="44" fillId="33" borderId="8" xfId="74" applyNumberFormat="1" applyFont="1" applyFill="1" applyBorder="1"/>
    <xf numFmtId="8" fontId="37" fillId="33" borderId="0" xfId="74" applyNumberFormat="1" applyFill="1"/>
    <xf numFmtId="0" fontId="93" fillId="0" borderId="0" xfId="652"/>
    <xf numFmtId="0" fontId="94" fillId="0" borderId="0" xfId="74" applyFont="1"/>
    <xf numFmtId="10" fontId="44" fillId="34" borderId="8" xfId="74" applyNumberFormat="1" applyFont="1" applyFill="1" applyBorder="1"/>
    <xf numFmtId="1" fontId="44" fillId="34" borderId="8" xfId="74" applyNumberFormat="1" applyFont="1" applyFill="1" applyBorder="1"/>
    <xf numFmtId="0" fontId="44" fillId="34" borderId="8" xfId="74" applyFont="1" applyFill="1" applyBorder="1"/>
    <xf numFmtId="0" fontId="95" fillId="33" borderId="0" xfId="74" applyFont="1" applyFill="1"/>
    <xf numFmtId="0" fontId="47" fillId="33" borderId="0" xfId="74" applyFont="1" applyFill="1"/>
    <xf numFmtId="0" fontId="83" fillId="33" borderId="15" xfId="592" applyFont="1" applyFill="1" applyBorder="1" applyAlignment="1">
      <alignment vertical="center"/>
    </xf>
    <xf numFmtId="0" fontId="88" fillId="33" borderId="18" xfId="594" applyNumberFormat="1" applyFont="1" applyFill="1" applyBorder="1">
      <alignment horizontal="center" vertical="center"/>
    </xf>
    <xf numFmtId="166" fontId="85" fillId="33" borderId="18" xfId="595" applyNumberFormat="1" applyFont="1" applyFill="1" applyBorder="1">
      <alignment horizontal="center" vertical="center"/>
    </xf>
    <xf numFmtId="166" fontId="88" fillId="33" borderId="18" xfId="594" applyNumberFormat="1" applyFont="1" applyFill="1" applyBorder="1">
      <alignment horizontal="center" vertical="center"/>
    </xf>
    <xf numFmtId="0" fontId="85" fillId="0" borderId="18" xfId="591" applyFont="1" applyFill="1" applyBorder="1" applyAlignment="1">
      <alignment horizontal="left" vertical="center"/>
    </xf>
    <xf numFmtId="0" fontId="85" fillId="33" borderId="18" xfId="591" applyFont="1" applyFill="1" applyBorder="1" applyAlignment="1">
      <alignment horizontal="left" vertical="center"/>
    </xf>
    <xf numFmtId="166" fontId="85" fillId="0" borderId="18" xfId="594" applyNumberFormat="1" applyFont="1" applyFill="1" applyBorder="1">
      <alignment horizontal="center" vertical="center"/>
    </xf>
    <xf numFmtId="0" fontId="85" fillId="0" borderId="18" xfId="594" applyNumberFormat="1" applyFont="1" applyFill="1" applyBorder="1">
      <alignment horizontal="center" vertical="center"/>
    </xf>
    <xf numFmtId="166" fontId="85" fillId="0" borderId="18" xfId="595" applyNumberFormat="1" applyFont="1" applyFill="1" applyBorder="1">
      <alignment horizontal="center" vertical="center"/>
    </xf>
    <xf numFmtId="0" fontId="88" fillId="0" borderId="18" xfId="594" applyNumberFormat="1" applyFont="1" applyFill="1" applyBorder="1">
      <alignment horizontal="center" vertical="center"/>
    </xf>
    <xf numFmtId="0" fontId="85" fillId="0" borderId="18" xfId="595" applyFont="1" applyFill="1" applyBorder="1" applyAlignment="1">
      <alignment horizontal="left" vertical="center" wrapText="1"/>
    </xf>
    <xf numFmtId="1" fontId="88" fillId="33" borderId="18" xfId="594" applyNumberFormat="1" applyFont="1" applyFill="1" applyBorder="1" applyAlignment="1">
      <alignment horizontal="left" vertical="center"/>
    </xf>
    <xf numFmtId="171" fontId="88" fillId="0" borderId="18" xfId="594" applyNumberFormat="1" applyFont="1" applyFill="1" applyBorder="1" applyAlignment="1">
      <alignment horizontal="left" vertical="center"/>
    </xf>
    <xf numFmtId="0" fontId="37" fillId="0" borderId="15" xfId="80" applyBorder="1" applyAlignment="1">
      <alignment vertical="center"/>
    </xf>
    <xf numFmtId="0" fontId="37" fillId="0" borderId="16" xfId="80" applyBorder="1" applyAlignment="1">
      <alignment vertical="center"/>
    </xf>
    <xf numFmtId="0" fontId="37" fillId="0" borderId="13" xfId="80" applyBorder="1" applyAlignment="1">
      <alignment vertical="center"/>
    </xf>
    <xf numFmtId="0" fontId="37" fillId="0" borderId="20" xfId="80" applyBorder="1" applyAlignment="1">
      <alignment vertical="center"/>
    </xf>
    <xf numFmtId="0" fontId="92" fillId="0" borderId="15" xfId="80" applyFont="1" applyBorder="1" applyAlignment="1">
      <alignment vertical="center"/>
    </xf>
    <xf numFmtId="0" fontId="37" fillId="0" borderId="33" xfId="80" applyBorder="1" applyAlignment="1">
      <alignment vertical="center"/>
    </xf>
    <xf numFmtId="0" fontId="37" fillId="0" borderId="0" xfId="80" applyAlignment="1">
      <alignment vertical="center"/>
    </xf>
    <xf numFmtId="0" fontId="37" fillId="0" borderId="18" xfId="80" applyBorder="1" applyAlignment="1">
      <alignment vertical="center"/>
    </xf>
    <xf numFmtId="0" fontId="82" fillId="32" borderId="22" xfId="80" applyFont="1" applyFill="1" applyBorder="1" applyAlignment="1">
      <alignment horizontal="center"/>
    </xf>
    <xf numFmtId="0" fontId="82" fillId="32" borderId="24" xfId="80" applyFont="1" applyFill="1" applyBorder="1" applyAlignment="1">
      <alignment horizontal="center"/>
    </xf>
    <xf numFmtId="0" fontId="91" fillId="35" borderId="27" xfId="80" applyFont="1" applyFill="1" applyBorder="1" applyAlignment="1">
      <alignment horizontal="centerContinuous"/>
    </xf>
    <xf numFmtId="0" fontId="37" fillId="0" borderId="26" xfId="80" applyBorder="1" applyAlignment="1">
      <alignment vertical="center"/>
    </xf>
    <xf numFmtId="0" fontId="91" fillId="35" borderId="28" xfId="80" applyFont="1" applyFill="1" applyBorder="1" applyAlignment="1">
      <alignment horizontal="centerContinuous"/>
    </xf>
    <xf numFmtId="173" fontId="82" fillId="31" borderId="23" xfId="80" applyNumberFormat="1" applyFont="1" applyFill="1" applyBorder="1"/>
    <xf numFmtId="173" fontId="82" fillId="31" borderId="25" xfId="80" applyNumberFormat="1" applyFont="1" applyFill="1" applyBorder="1"/>
    <xf numFmtId="0" fontId="84" fillId="33" borderId="15" xfId="689" applyFont="1" applyFill="1" applyBorder="1" applyAlignment="1">
      <alignment vertical="center"/>
    </xf>
    <xf numFmtId="0" fontId="78" fillId="33" borderId="15" xfId="690" applyFont="1" applyFill="1" applyBorder="1" applyAlignment="1">
      <alignment horizontal="left" vertical="center"/>
    </xf>
    <xf numFmtId="0" fontId="37" fillId="34" borderId="32" xfId="80" applyFill="1" applyBorder="1" applyAlignment="1">
      <alignment horizontal="center" vertical="center"/>
    </xf>
    <xf numFmtId="0" fontId="82" fillId="0" borderId="0" xfId="74" applyFont="1" applyAlignment="1">
      <alignment vertical="center"/>
    </xf>
    <xf numFmtId="0" fontId="82" fillId="30" borderId="0" xfId="74" applyFont="1" applyFill="1" applyAlignment="1">
      <alignment vertical="center"/>
    </xf>
    <xf numFmtId="0" fontId="87" fillId="33" borderId="26" xfId="691" applyFont="1" applyFill="1" applyBorder="1" applyAlignment="1">
      <alignment horizontal="left" vertical="center"/>
    </xf>
    <xf numFmtId="0" fontId="87" fillId="33" borderId="16" xfId="691" applyFont="1" applyFill="1" applyBorder="1" applyAlignment="1">
      <alignment horizontal="left" vertical="center"/>
    </xf>
    <xf numFmtId="0" fontId="101" fillId="33" borderId="0" xfId="74" applyFont="1" applyFill="1" applyAlignment="1">
      <alignment vertical="center"/>
    </xf>
    <xf numFmtId="0" fontId="82" fillId="33" borderId="0" xfId="74" applyFont="1" applyFill="1" applyAlignment="1">
      <alignment vertical="center"/>
    </xf>
    <xf numFmtId="0" fontId="105" fillId="33" borderId="0" xfId="74" applyFont="1" applyFill="1" applyAlignment="1">
      <alignment horizontal="center" vertical="center"/>
    </xf>
    <xf numFmtId="0" fontId="102" fillId="33" borderId="0" xfId="74" applyFont="1" applyFill="1" applyAlignment="1">
      <alignment horizontal="center" vertical="center"/>
    </xf>
    <xf numFmtId="164" fontId="82" fillId="0" borderId="0" xfId="74" applyNumberFormat="1" applyFont="1" applyAlignment="1">
      <alignment vertical="center"/>
    </xf>
    <xf numFmtId="0" fontId="79" fillId="33" borderId="0" xfId="74" applyFont="1" applyFill="1" applyAlignment="1">
      <alignment vertical="center"/>
    </xf>
    <xf numFmtId="0" fontId="105" fillId="33" borderId="0" xfId="74" applyFont="1" applyFill="1" applyAlignment="1">
      <alignment horizontal="center" vertical="top"/>
    </xf>
    <xf numFmtId="8" fontId="80" fillId="33" borderId="0" xfId="74" applyNumberFormat="1" applyFont="1" applyFill="1" applyAlignment="1">
      <alignment horizontal="right" vertical="top"/>
    </xf>
    <xf numFmtId="44" fontId="80" fillId="33" borderId="0" xfId="74" applyNumberFormat="1" applyFont="1" applyFill="1" applyAlignment="1">
      <alignment horizontal="left" vertical="top"/>
    </xf>
    <xf numFmtId="49" fontId="109" fillId="0" borderId="0" xfId="74" applyNumberFormat="1" applyFont="1" applyAlignment="1">
      <alignment vertical="top"/>
    </xf>
    <xf numFmtId="0" fontId="79" fillId="33" borderId="0" xfId="74" applyFont="1" applyFill="1" applyAlignment="1">
      <alignment vertical="top"/>
    </xf>
    <xf numFmtId="0" fontId="82" fillId="33" borderId="0" xfId="74" applyFont="1" applyFill="1" applyAlignment="1">
      <alignment vertical="top"/>
    </xf>
    <xf numFmtId="0" fontId="82" fillId="30" borderId="0" xfId="74" applyFont="1" applyFill="1" applyAlignment="1">
      <alignment vertical="top"/>
    </xf>
    <xf numFmtId="0" fontId="82" fillId="0" borderId="0" xfId="74" applyFont="1" applyAlignment="1">
      <alignment vertical="top"/>
    </xf>
    <xf numFmtId="0" fontId="80" fillId="33" borderId="0" xfId="74" applyFont="1" applyFill="1" applyAlignment="1">
      <alignment vertical="center"/>
    </xf>
    <xf numFmtId="0" fontId="102" fillId="33" borderId="0" xfId="74" applyFont="1" applyFill="1" applyAlignment="1">
      <alignment vertical="center"/>
    </xf>
    <xf numFmtId="0" fontId="108" fillId="33" borderId="0" xfId="74" applyFont="1" applyFill="1" applyAlignment="1">
      <alignment horizontal="left" vertical="center"/>
    </xf>
    <xf numFmtId="0" fontId="107" fillId="33" borderId="0" xfId="74" applyFont="1" applyFill="1" applyAlignment="1">
      <alignment vertical="center"/>
    </xf>
    <xf numFmtId="0" fontId="104" fillId="0" borderId="0" xfId="74" applyFont="1" applyAlignment="1">
      <alignment vertical="center"/>
    </xf>
    <xf numFmtId="0" fontId="104" fillId="33" borderId="0" xfId="74" applyFont="1" applyFill="1" applyAlignment="1">
      <alignment vertical="center"/>
    </xf>
    <xf numFmtId="0" fontId="101" fillId="0" borderId="0" xfId="74" applyFont="1" applyAlignment="1">
      <alignment vertical="center"/>
    </xf>
    <xf numFmtId="10" fontId="4" fillId="0" borderId="0" xfId="522" applyNumberFormat="1" applyFont="1" applyBorder="1" applyAlignment="1">
      <alignment vertical="center"/>
    </xf>
    <xf numFmtId="174" fontId="80" fillId="33" borderId="0" xfId="74" applyNumberFormat="1" applyFont="1" applyFill="1" applyAlignment="1">
      <alignment horizontal="right" vertical="top"/>
    </xf>
    <xf numFmtId="175" fontId="79" fillId="33" borderId="0" xfId="74" applyNumberFormat="1" applyFont="1" applyFill="1" applyAlignment="1">
      <alignment vertical="top"/>
    </xf>
    <xf numFmtId="176" fontId="79" fillId="33" borderId="0" xfId="74" applyNumberFormat="1" applyFont="1" applyFill="1" applyAlignment="1">
      <alignment vertical="top"/>
    </xf>
    <xf numFmtId="9" fontId="109" fillId="33" borderId="0" xfId="74" applyNumberFormat="1" applyFont="1" applyFill="1" applyAlignment="1">
      <alignment vertical="center"/>
    </xf>
    <xf numFmtId="9" fontId="109" fillId="33" borderId="0" xfId="74" applyNumberFormat="1" applyFont="1" applyFill="1" applyAlignment="1">
      <alignment vertical="top"/>
    </xf>
    <xf numFmtId="0" fontId="106" fillId="33" borderId="0" xfId="74" applyFont="1" applyFill="1" applyAlignment="1">
      <alignment vertical="center"/>
    </xf>
    <xf numFmtId="171" fontId="88" fillId="31" borderId="15" xfId="594" applyNumberFormat="1" applyFont="1" applyFill="1" applyAlignment="1">
      <alignment horizontal="left" vertical="center"/>
    </xf>
    <xf numFmtId="171" fontId="88" fillId="31" borderId="18" xfId="594" applyNumberFormat="1" applyFont="1" applyFill="1" applyBorder="1" applyAlignment="1">
      <alignment horizontal="left" vertical="center"/>
    </xf>
    <xf numFmtId="0" fontId="82" fillId="33" borderId="0" xfId="74" applyFont="1" applyFill="1" applyAlignment="1">
      <alignment horizontal="center" vertical="center"/>
    </xf>
    <xf numFmtId="0" fontId="107" fillId="0" borderId="0" xfId="74" applyFont="1" applyAlignment="1">
      <alignment vertical="center"/>
    </xf>
    <xf numFmtId="0" fontId="79" fillId="0" borderId="0" xfId="591" applyFont="1" applyFill="1" applyBorder="1" applyAlignment="1">
      <alignment horizontal="center" vertical="center" wrapText="1"/>
    </xf>
    <xf numFmtId="0" fontId="97" fillId="0" borderId="0" xfId="594" applyNumberFormat="1" applyFont="1" applyFill="1" applyBorder="1">
      <alignment horizontal="center" vertical="center"/>
    </xf>
    <xf numFmtId="0" fontId="116" fillId="33" borderId="0" xfId="74" applyFont="1" applyFill="1"/>
    <xf numFmtId="0" fontId="37" fillId="34" borderId="0" xfId="74" applyFill="1"/>
    <xf numFmtId="177" fontId="115" fillId="33" borderId="0" xfId="74" applyNumberFormat="1" applyFont="1" applyFill="1" applyAlignment="1">
      <alignment horizontal="left" vertical="center"/>
    </xf>
    <xf numFmtId="0" fontId="98" fillId="32" borderId="30" xfId="80" applyFont="1" applyFill="1" applyBorder="1" applyAlignment="1" applyProtection="1">
      <alignment horizontal="center" vertical="center"/>
      <protection locked="0"/>
    </xf>
    <xf numFmtId="0" fontId="89" fillId="30" borderId="29" xfId="80" applyFont="1" applyFill="1" applyBorder="1" applyAlignment="1">
      <alignment horizontal="center" wrapText="1"/>
    </xf>
    <xf numFmtId="0" fontId="81" fillId="33" borderId="0" xfId="594" applyNumberFormat="1" applyFont="1" applyFill="1" applyBorder="1">
      <alignment horizontal="center" vertical="center"/>
    </xf>
    <xf numFmtId="0" fontId="81" fillId="33" borderId="0" xfId="594" applyNumberFormat="1" applyFont="1" applyFill="1" applyBorder="1" applyAlignment="1">
      <alignment vertical="center"/>
    </xf>
    <xf numFmtId="0" fontId="88" fillId="33" borderId="0" xfId="594" applyNumberFormat="1" applyFont="1" applyFill="1" applyBorder="1">
      <alignment horizontal="center" vertical="center"/>
    </xf>
    <xf numFmtId="0" fontId="85" fillId="33" borderId="0" xfId="591" applyFont="1" applyFill="1" applyBorder="1" applyAlignment="1">
      <alignment horizontal="left" vertical="center" wrapText="1"/>
    </xf>
    <xf numFmtId="0" fontId="2" fillId="33" borderId="0" xfId="689" applyFont="1" applyFill="1" applyAlignment="1">
      <alignment horizontal="center" vertical="center"/>
    </xf>
    <xf numFmtId="0" fontId="2" fillId="33" borderId="0" xfId="689" applyFont="1" applyFill="1" applyAlignment="1">
      <alignment vertical="center"/>
    </xf>
    <xf numFmtId="0" fontId="118" fillId="33" borderId="0" xfId="74" applyFont="1" applyFill="1" applyAlignment="1">
      <alignment horizontal="left" vertical="center"/>
    </xf>
    <xf numFmtId="0" fontId="119" fillId="33" borderId="0" xfId="672" applyFont="1" applyFill="1" applyBorder="1" applyAlignment="1">
      <alignment vertical="center"/>
    </xf>
    <xf numFmtId="0" fontId="85" fillId="33" borderId="0" xfId="74" applyFont="1" applyFill="1" applyAlignment="1">
      <alignment vertical="center"/>
    </xf>
    <xf numFmtId="0" fontId="91" fillId="36" borderId="8" xfId="595" applyFont="1" applyFill="1" applyBorder="1" applyAlignment="1">
      <alignment horizontal="center" vertical="center" wrapText="1"/>
    </xf>
    <xf numFmtId="0" fontId="85" fillId="33" borderId="0" xfId="74" applyFont="1" applyFill="1" applyAlignment="1">
      <alignment horizontal="center" vertical="center"/>
    </xf>
    <xf numFmtId="0" fontId="85" fillId="33" borderId="0" xfId="74" applyFont="1" applyFill="1" applyAlignment="1">
      <alignment vertical="center" wrapText="1"/>
    </xf>
    <xf numFmtId="0" fontId="91" fillId="36" borderId="35" xfId="595" applyFont="1" applyFill="1" applyBorder="1" applyAlignment="1">
      <alignment horizontal="center" vertical="center" wrapText="1"/>
    </xf>
    <xf numFmtId="0" fontId="91" fillId="37" borderId="35" xfId="595" applyFont="1" applyFill="1" applyBorder="1" applyAlignment="1">
      <alignment vertical="center" wrapText="1"/>
    </xf>
    <xf numFmtId="0" fontId="82" fillId="33" borderId="37" xfId="74" applyFont="1" applyFill="1" applyBorder="1" applyAlignment="1">
      <alignment vertical="center"/>
    </xf>
    <xf numFmtId="0" fontId="91" fillId="36" borderId="37" xfId="591" applyFont="1" applyFill="1" applyBorder="1" applyAlignment="1">
      <alignment horizontal="left" vertical="center"/>
    </xf>
    <xf numFmtId="0" fontId="82" fillId="33" borderId="37" xfId="74" applyFont="1" applyFill="1" applyBorder="1" applyAlignment="1">
      <alignment horizontal="center" vertical="center"/>
    </xf>
    <xf numFmtId="0" fontId="81" fillId="33" borderId="0" xfId="594" applyNumberFormat="1" applyFont="1" applyFill="1" applyBorder="1" applyAlignment="1">
      <alignment horizontal="center" vertical="center" wrapText="1"/>
    </xf>
    <xf numFmtId="0" fontId="119" fillId="33" borderId="0" xfId="672" applyFont="1" applyFill="1" applyBorder="1" applyAlignment="1">
      <alignment vertical="center" wrapText="1"/>
    </xf>
    <xf numFmtId="0" fontId="82" fillId="33" borderId="37" xfId="74" applyFont="1" applyFill="1" applyBorder="1" applyAlignment="1">
      <alignment vertical="center" wrapText="1"/>
    </xf>
    <xf numFmtId="0" fontId="82" fillId="33" borderId="0" xfId="74" applyFont="1" applyFill="1" applyAlignment="1">
      <alignment vertical="center" wrapText="1"/>
    </xf>
    <xf numFmtId="0" fontId="118" fillId="33" borderId="0" xfId="74" applyFont="1" applyFill="1" applyAlignment="1">
      <alignment horizontal="left" vertical="center" wrapText="1"/>
    </xf>
    <xf numFmtId="0" fontId="111" fillId="33" borderId="0" xfId="594" applyNumberFormat="1" applyFont="1" applyFill="1" applyBorder="1" applyAlignment="1">
      <alignment horizontal="center" vertical="center" wrapText="1"/>
    </xf>
    <xf numFmtId="0" fontId="121" fillId="33" borderId="0" xfId="672" applyFont="1" applyFill="1" applyBorder="1" applyAlignment="1">
      <alignment vertical="center" wrapText="1"/>
    </xf>
    <xf numFmtId="0" fontId="122" fillId="33" borderId="0" xfId="74" applyFont="1" applyFill="1" applyAlignment="1">
      <alignment vertical="center" wrapText="1"/>
    </xf>
    <xf numFmtId="0" fontId="121" fillId="37" borderId="35" xfId="595" applyFont="1" applyFill="1" applyBorder="1" applyAlignment="1">
      <alignment horizontal="center" vertical="center" wrapText="1"/>
    </xf>
    <xf numFmtId="0" fontId="122" fillId="33" borderId="37" xfId="74" applyFont="1" applyFill="1" applyBorder="1" applyAlignment="1">
      <alignment vertical="center" wrapText="1"/>
    </xf>
    <xf numFmtId="0" fontId="119" fillId="33" borderId="0" xfId="672" applyFont="1" applyFill="1" applyBorder="1" applyAlignment="1">
      <alignment horizontal="center" vertical="center"/>
    </xf>
    <xf numFmtId="0" fontId="85" fillId="33" borderId="0" xfId="672" applyFont="1" applyFill="1" applyBorder="1" applyAlignment="1">
      <alignment vertical="center"/>
    </xf>
    <xf numFmtId="0" fontId="86" fillId="33" borderId="15" xfId="591" applyFont="1" applyFill="1" applyBorder="1" applyAlignment="1">
      <alignment horizontal="left" vertical="center"/>
    </xf>
    <xf numFmtId="0" fontId="124" fillId="0" borderId="15" xfId="80" applyFont="1" applyBorder="1" applyAlignment="1">
      <alignment vertical="center"/>
    </xf>
    <xf numFmtId="0" fontId="125" fillId="33" borderId="0" xfId="594" applyNumberFormat="1" applyFont="1" applyFill="1" applyBorder="1" applyAlignment="1">
      <alignment horizontal="center" vertical="center" wrapText="1"/>
    </xf>
    <xf numFmtId="0" fontId="127" fillId="33" borderId="0" xfId="689" applyFont="1" applyFill="1" applyAlignment="1">
      <alignment horizontal="center" vertical="center"/>
    </xf>
    <xf numFmtId="0" fontId="128" fillId="33" borderId="0" xfId="594" applyNumberFormat="1" applyFont="1" applyFill="1" applyBorder="1">
      <alignment horizontal="center" vertical="center"/>
    </xf>
    <xf numFmtId="0" fontId="122" fillId="33" borderId="0" xfId="74" applyFont="1" applyFill="1" applyAlignment="1">
      <alignment horizontal="center" vertical="center" wrapText="1"/>
    </xf>
    <xf numFmtId="0" fontId="126" fillId="33" borderId="0" xfId="672" applyFont="1" applyFill="1" applyBorder="1" applyAlignment="1">
      <alignment horizontal="center" vertical="center" wrapText="1"/>
    </xf>
    <xf numFmtId="0" fontId="122" fillId="33" borderId="37" xfId="74" applyFont="1" applyFill="1" applyBorder="1" applyAlignment="1">
      <alignment horizontal="center" vertical="center" wrapText="1"/>
    </xf>
    <xf numFmtId="0" fontId="122" fillId="38" borderId="37" xfId="74" applyFont="1" applyFill="1" applyBorder="1" applyAlignment="1">
      <alignment vertical="center" wrapText="1"/>
    </xf>
    <xf numFmtId="0" fontId="82" fillId="38" borderId="37" xfId="74" applyFont="1" applyFill="1" applyBorder="1" applyAlignment="1">
      <alignment horizontal="center" vertical="center"/>
    </xf>
    <xf numFmtId="0" fontId="82" fillId="38" borderId="37" xfId="74" applyFont="1" applyFill="1" applyBorder="1" applyAlignment="1">
      <alignment vertical="center"/>
    </xf>
    <xf numFmtId="0" fontId="1" fillId="33" borderId="15" xfId="689" applyFont="1" applyFill="1" applyBorder="1" applyAlignment="1">
      <alignment horizontal="center" vertical="center"/>
    </xf>
    <xf numFmtId="0" fontId="1" fillId="33" borderId="15" xfId="689" applyFont="1" applyFill="1" applyBorder="1" applyAlignment="1">
      <alignment vertical="center"/>
    </xf>
    <xf numFmtId="0" fontId="1" fillId="33" borderId="16" xfId="689" applyFont="1" applyFill="1" applyBorder="1" applyAlignment="1">
      <alignment vertical="center"/>
    </xf>
    <xf numFmtId="0" fontId="1" fillId="33" borderId="0" xfId="689" applyFont="1" applyFill="1" applyAlignment="1">
      <alignment horizontal="center" vertical="center"/>
    </xf>
    <xf numFmtId="0" fontId="1" fillId="33" borderId="0" xfId="689" applyFont="1" applyFill="1" applyAlignment="1">
      <alignment vertical="center"/>
    </xf>
    <xf numFmtId="0" fontId="118" fillId="0" borderId="0" xfId="74" applyFont="1" applyAlignment="1">
      <alignment horizontal="left" vertical="center"/>
    </xf>
    <xf numFmtId="0" fontId="85" fillId="30" borderId="0" xfId="74" applyFont="1" applyFill="1" applyAlignment="1">
      <alignment vertical="center"/>
    </xf>
    <xf numFmtId="0" fontId="85" fillId="0" borderId="0" xfId="74" applyFont="1" applyAlignment="1">
      <alignment vertical="center"/>
    </xf>
    <xf numFmtId="0" fontId="1" fillId="33" borderId="18" xfId="689" applyFont="1" applyFill="1" applyBorder="1" applyAlignment="1">
      <alignment vertical="center"/>
    </xf>
    <xf numFmtId="177" fontId="99" fillId="33" borderId="0" xfId="74" applyNumberFormat="1" applyFont="1" applyFill="1" applyAlignment="1">
      <alignment horizontal="left" vertical="center"/>
    </xf>
    <xf numFmtId="0" fontId="86" fillId="33" borderId="15" xfId="591" applyFont="1" applyFill="1" applyBorder="1" applyAlignment="1">
      <alignment vertical="center"/>
    </xf>
    <xf numFmtId="0" fontId="86" fillId="33" borderId="16" xfId="591" applyFont="1" applyFill="1" applyBorder="1" applyAlignment="1">
      <alignment vertical="center"/>
    </xf>
    <xf numFmtId="0" fontId="1" fillId="33" borderId="17" xfId="689" applyFont="1" applyFill="1" applyBorder="1" applyAlignment="1">
      <alignment vertical="center"/>
    </xf>
    <xf numFmtId="0" fontId="86" fillId="33" borderId="0" xfId="591" applyFont="1" applyFill="1" applyBorder="1" applyAlignment="1">
      <alignment vertical="center"/>
    </xf>
    <xf numFmtId="0" fontId="86" fillId="33" borderId="0" xfId="591" applyFont="1" applyFill="1" applyBorder="1" applyAlignment="1">
      <alignment horizontal="left" vertical="center"/>
    </xf>
    <xf numFmtId="0" fontId="87" fillId="33" borderId="0" xfId="691" applyFont="1" applyFill="1" applyAlignment="1">
      <alignment horizontal="left" vertical="center"/>
    </xf>
    <xf numFmtId="0" fontId="85" fillId="33" borderId="15" xfId="689" applyFont="1" applyFill="1" applyBorder="1" applyAlignment="1">
      <alignment vertical="center"/>
    </xf>
    <xf numFmtId="0" fontId="85" fillId="33" borderId="16" xfId="689" applyFont="1" applyFill="1" applyBorder="1" applyAlignment="1">
      <alignment vertical="center"/>
    </xf>
    <xf numFmtId="0" fontId="85" fillId="33" borderId="13" xfId="689" applyFont="1" applyFill="1" applyBorder="1" applyAlignment="1">
      <alignment vertical="center"/>
    </xf>
    <xf numFmtId="0" fontId="85" fillId="33" borderId="20" xfId="689" applyFont="1" applyFill="1" applyBorder="1" applyAlignment="1">
      <alignment vertical="center"/>
    </xf>
    <xf numFmtId="0" fontId="85" fillId="33" borderId="18" xfId="689" applyFont="1" applyFill="1" applyBorder="1" applyAlignment="1">
      <alignment vertical="center"/>
    </xf>
    <xf numFmtId="0" fontId="86" fillId="33" borderId="15" xfId="689" applyFont="1" applyFill="1" applyBorder="1" applyAlignment="1">
      <alignment vertical="center"/>
    </xf>
    <xf numFmtId="0" fontId="85" fillId="33" borderId="26" xfId="689" applyFont="1" applyFill="1" applyBorder="1" applyAlignment="1">
      <alignment vertical="center"/>
    </xf>
    <xf numFmtId="0" fontId="82" fillId="33" borderId="0" xfId="591" applyFont="1" applyFill="1" applyBorder="1" applyAlignment="1">
      <alignment horizontal="center" wrapText="1"/>
    </xf>
    <xf numFmtId="0" fontId="119" fillId="39" borderId="0" xfId="672" applyFont="1" applyFill="1" applyBorder="1" applyAlignment="1"/>
    <xf numFmtId="0" fontId="130" fillId="39" borderId="0" xfId="689" applyFont="1" applyFill="1" applyAlignment="1">
      <alignment vertical="center"/>
    </xf>
    <xf numFmtId="0" fontId="83" fillId="33" borderId="20" xfId="592" applyFont="1" applyFill="1" applyBorder="1" applyAlignment="1">
      <alignment vertical="center"/>
    </xf>
    <xf numFmtId="0" fontId="81" fillId="33" borderId="20" xfId="594" applyNumberFormat="1" applyFont="1" applyFill="1" applyBorder="1" applyAlignment="1">
      <alignment vertical="center"/>
    </xf>
    <xf numFmtId="0" fontId="86" fillId="33" borderId="18" xfId="591" applyFont="1" applyFill="1" applyBorder="1" applyAlignment="1">
      <alignment horizontal="left" vertical="center"/>
    </xf>
    <xf numFmtId="0" fontId="83" fillId="39" borderId="0" xfId="672" applyFont="1" applyFill="1" applyBorder="1" applyAlignment="1">
      <alignment vertical="center"/>
    </xf>
    <xf numFmtId="0" fontId="85" fillId="30" borderId="15" xfId="591" applyFont="1" applyFill="1" applyBorder="1" applyAlignment="1">
      <alignment horizontal="left" vertical="center"/>
    </xf>
    <xf numFmtId="0" fontId="86" fillId="33" borderId="26" xfId="689" applyFont="1" applyFill="1" applyBorder="1" applyAlignment="1">
      <alignment vertical="center"/>
    </xf>
    <xf numFmtId="2" fontId="2" fillId="33" borderId="37" xfId="689" applyNumberFormat="1" applyFont="1" applyFill="1" applyBorder="1" applyAlignment="1">
      <alignment vertical="center"/>
    </xf>
    <xf numFmtId="0" fontId="120" fillId="40" borderId="35" xfId="595" applyFont="1" applyFill="1" applyBorder="1" applyAlignment="1">
      <alignment horizontal="center" vertical="center" wrapText="1"/>
    </xf>
    <xf numFmtId="0" fontId="120" fillId="36" borderId="38" xfId="595" applyFont="1" applyFill="1" applyBorder="1" applyAlignment="1">
      <alignment horizontal="center" vertical="center" wrapText="1"/>
    </xf>
    <xf numFmtId="2" fontId="82" fillId="33" borderId="37" xfId="74" applyNumberFormat="1" applyFont="1" applyFill="1" applyBorder="1" applyAlignment="1">
      <alignment vertical="center"/>
    </xf>
    <xf numFmtId="167" fontId="82" fillId="33" borderId="37" xfId="74" applyNumberFormat="1" applyFont="1" applyFill="1" applyBorder="1" applyAlignment="1">
      <alignment horizontal="center" vertical="center"/>
    </xf>
    <xf numFmtId="0" fontId="82" fillId="41" borderId="37" xfId="74" applyFont="1" applyFill="1" applyBorder="1" applyAlignment="1">
      <alignment horizontal="center" vertical="center"/>
    </xf>
    <xf numFmtId="2" fontId="82" fillId="41" borderId="37" xfId="74" applyNumberFormat="1" applyFont="1" applyFill="1" applyBorder="1" applyAlignment="1">
      <alignment vertical="center"/>
    </xf>
    <xf numFmtId="2" fontId="2" fillId="41" borderId="37" xfId="689" applyNumberFormat="1" applyFont="1" applyFill="1" applyBorder="1" applyAlignment="1">
      <alignment vertical="center"/>
    </xf>
    <xf numFmtId="167" fontId="82" fillId="41" borderId="37" xfId="74" applyNumberFormat="1" applyFont="1" applyFill="1" applyBorder="1" applyAlignment="1">
      <alignment horizontal="center" vertical="center"/>
    </xf>
    <xf numFmtId="0" fontId="91" fillId="37" borderId="37" xfId="595" applyFont="1" applyFill="1" applyBorder="1" applyAlignment="1">
      <alignment horizontal="center" vertical="center" wrapText="1"/>
    </xf>
    <xf numFmtId="0" fontId="129" fillId="37" borderId="37" xfId="595" applyFont="1" applyFill="1" applyBorder="1" applyAlignment="1">
      <alignment horizontal="center" vertical="center" wrapText="1"/>
    </xf>
    <xf numFmtId="0" fontId="120" fillId="36" borderId="37" xfId="595" applyFont="1" applyFill="1" applyBorder="1" applyAlignment="1">
      <alignment horizontal="center" vertical="center" wrapText="1"/>
    </xf>
    <xf numFmtId="0" fontId="117" fillId="30" borderId="37" xfId="595" applyFont="1" applyFill="1" applyBorder="1">
      <alignment horizontal="center" vertical="center"/>
    </xf>
    <xf numFmtId="0" fontId="91" fillId="37" borderId="37" xfId="595" applyFont="1" applyFill="1" applyBorder="1" applyAlignment="1">
      <alignment vertical="center" wrapText="1"/>
    </xf>
    <xf numFmtId="0" fontId="82" fillId="28" borderId="37" xfId="74" applyFont="1" applyFill="1" applyBorder="1" applyAlignment="1">
      <alignment horizontal="center" vertical="center"/>
    </xf>
    <xf numFmtId="0" fontId="88" fillId="30" borderId="15" xfId="595" applyFont="1" applyFill="1" applyBorder="1" applyAlignment="1">
      <alignment horizontal="center" vertical="center" wrapText="1"/>
    </xf>
    <xf numFmtId="0" fontId="85" fillId="32" borderId="18" xfId="591" applyFont="1" applyFill="1" applyBorder="1" applyAlignment="1">
      <alignment horizontal="left" vertical="center"/>
    </xf>
    <xf numFmtId="0" fontId="85" fillId="32" borderId="18" xfId="595" applyFont="1" applyFill="1" applyBorder="1" applyAlignment="1">
      <alignment horizontal="left" vertical="center" wrapText="1"/>
    </xf>
    <xf numFmtId="0" fontId="82" fillId="33" borderId="34" xfId="74" applyFont="1" applyFill="1" applyBorder="1" applyAlignment="1">
      <alignment vertical="center"/>
    </xf>
    <xf numFmtId="0" fontId="88" fillId="33" borderId="34" xfId="594" applyNumberFormat="1" applyFont="1" applyFill="1" applyBorder="1">
      <alignment horizontal="center" vertical="center"/>
    </xf>
    <xf numFmtId="171" fontId="88" fillId="33" borderId="33" xfId="594" applyNumberFormat="1" applyFont="1" applyFill="1" applyBorder="1" applyAlignment="1">
      <alignment horizontal="left" vertical="center"/>
    </xf>
    <xf numFmtId="166" fontId="85" fillId="33" borderId="0" xfId="594" applyNumberFormat="1" applyFont="1" applyFill="1" applyBorder="1">
      <alignment horizontal="center" vertical="center"/>
    </xf>
    <xf numFmtId="0" fontId="85" fillId="33" borderId="0" xfId="594" applyNumberFormat="1" applyFont="1" applyFill="1" applyBorder="1">
      <alignment horizontal="center" vertical="center"/>
    </xf>
    <xf numFmtId="166" fontId="85" fillId="33" borderId="0" xfId="595" applyNumberFormat="1" applyFont="1" applyFill="1" applyBorder="1">
      <alignment horizontal="center" vertical="center"/>
    </xf>
    <xf numFmtId="0" fontId="85" fillId="33" borderId="0" xfId="595" applyFont="1" applyFill="1" applyBorder="1" applyAlignment="1">
      <alignment horizontal="left" vertical="center" wrapText="1"/>
    </xf>
    <xf numFmtId="0" fontId="79" fillId="28" borderId="37" xfId="74" applyFont="1" applyFill="1" applyBorder="1" applyAlignment="1">
      <alignment horizontal="center" vertical="center"/>
    </xf>
    <xf numFmtId="0" fontId="88" fillId="32" borderId="19" xfId="591" applyFont="1" applyFill="1" applyBorder="1" applyAlignment="1">
      <alignment vertical="center"/>
    </xf>
    <xf numFmtId="0" fontId="82" fillId="41" borderId="37" xfId="74" applyFont="1" applyFill="1" applyBorder="1" applyAlignment="1">
      <alignment horizontal="left" vertical="center"/>
    </xf>
    <xf numFmtId="0" fontId="82" fillId="33" borderId="37" xfId="74" applyFont="1" applyFill="1" applyBorder="1" applyAlignment="1">
      <alignment horizontal="left" vertical="center"/>
    </xf>
    <xf numFmtId="0" fontId="85" fillId="32" borderId="15" xfId="591" applyFont="1" applyFill="1" applyBorder="1">
      <alignment horizontal="left" vertical="center" indent="1"/>
    </xf>
    <xf numFmtId="0" fontId="90" fillId="33" borderId="17" xfId="689" applyFont="1" applyFill="1" applyBorder="1" applyAlignment="1">
      <alignment horizontal="center" vertical="center"/>
    </xf>
    <xf numFmtId="0" fontId="87" fillId="33" borderId="15" xfId="691" applyFont="1" applyFill="1" applyBorder="1" applyAlignment="1">
      <alignment horizontal="left" vertical="center"/>
    </xf>
    <xf numFmtId="0" fontId="85" fillId="32" borderId="20" xfId="595" applyFont="1" applyFill="1" applyBorder="1" applyAlignment="1">
      <alignment horizontal="left" vertical="center" wrapText="1"/>
    </xf>
    <xf numFmtId="0" fontId="88" fillId="32" borderId="15" xfId="591" applyFont="1" applyFill="1" applyBorder="1" applyAlignment="1">
      <alignment horizontal="left" vertical="center"/>
    </xf>
    <xf numFmtId="0" fontId="122" fillId="33" borderId="0" xfId="74" applyFont="1" applyFill="1" applyAlignment="1">
      <alignment vertical="center"/>
    </xf>
    <xf numFmtId="0" fontId="85" fillId="32" borderId="18" xfId="591" applyFont="1" applyFill="1" applyBorder="1">
      <alignment horizontal="left" vertical="center" indent="1"/>
    </xf>
    <xf numFmtId="0" fontId="88" fillId="32" borderId="18" xfId="591" applyFont="1" applyFill="1" applyBorder="1" applyAlignment="1">
      <alignment horizontal="left" vertical="center"/>
    </xf>
    <xf numFmtId="0" fontId="1" fillId="33" borderId="33" xfId="689" applyFont="1" applyFill="1" applyBorder="1" applyAlignment="1">
      <alignment vertical="center"/>
    </xf>
    <xf numFmtId="0" fontId="90" fillId="33" borderId="0" xfId="689" applyFont="1" applyFill="1" applyAlignment="1">
      <alignment horizontal="center" vertical="center"/>
    </xf>
    <xf numFmtId="1" fontId="85" fillId="31" borderId="15" xfId="594" applyNumberFormat="1" applyFont="1" applyFill="1" applyAlignment="1">
      <alignment horizontal="left" vertical="center" indent="1"/>
    </xf>
    <xf numFmtId="0" fontId="85" fillId="30" borderId="13" xfId="74" applyFont="1" applyFill="1" applyBorder="1" applyAlignment="1">
      <alignment vertical="center"/>
    </xf>
    <xf numFmtId="0" fontId="85" fillId="30" borderId="19" xfId="74" applyFont="1" applyFill="1" applyBorder="1" applyAlignment="1">
      <alignment vertical="center"/>
    </xf>
    <xf numFmtId="0" fontId="82" fillId="42" borderId="0" xfId="74" applyFont="1" applyFill="1" applyAlignment="1">
      <alignment vertical="center"/>
    </xf>
    <xf numFmtId="0" fontId="82" fillId="42" borderId="37" xfId="74" applyFont="1" applyFill="1" applyBorder="1" applyAlignment="1">
      <alignment vertical="center"/>
    </xf>
    <xf numFmtId="0" fontId="82" fillId="42" borderId="37" xfId="74" applyFont="1" applyFill="1" applyBorder="1" applyAlignment="1">
      <alignment vertical="center" wrapText="1"/>
    </xf>
    <xf numFmtId="0" fontId="122" fillId="42" borderId="37" xfId="74" applyFont="1" applyFill="1" applyBorder="1" applyAlignment="1">
      <alignment vertical="center" wrapText="1"/>
    </xf>
    <xf numFmtId="0" fontId="82" fillId="42" borderId="37" xfId="74" applyFont="1" applyFill="1" applyBorder="1" applyAlignment="1">
      <alignment horizontal="center" vertical="center"/>
    </xf>
    <xf numFmtId="0" fontId="2" fillId="42" borderId="37" xfId="689" applyFont="1" applyFill="1" applyBorder="1" applyAlignment="1">
      <alignment vertical="center"/>
    </xf>
    <xf numFmtId="2" fontId="82" fillId="42" borderId="37" xfId="74" applyNumberFormat="1" applyFont="1" applyFill="1" applyBorder="1" applyAlignment="1">
      <alignment vertical="center"/>
    </xf>
    <xf numFmtId="0" fontId="88" fillId="33" borderId="37" xfId="591" applyFont="1" applyFill="1" applyBorder="1" applyAlignment="1">
      <alignment horizontal="left" vertical="center"/>
    </xf>
    <xf numFmtId="167" fontId="2" fillId="33" borderId="37" xfId="689" applyNumberFormat="1" applyFont="1" applyFill="1" applyBorder="1" applyAlignment="1">
      <alignment horizontal="center" vertical="center"/>
    </xf>
    <xf numFmtId="0" fontId="124" fillId="43" borderId="35" xfId="74" applyFont="1" applyFill="1" applyBorder="1"/>
    <xf numFmtId="0" fontId="124" fillId="43" borderId="8" xfId="74" applyFont="1" applyFill="1" applyBorder="1"/>
    <xf numFmtId="0" fontId="120" fillId="36" borderId="38" xfId="595" applyFont="1" applyFill="1" applyBorder="1" applyAlignment="1">
      <alignment horizontal="center" vertical="center" textRotation="90" wrapText="1"/>
    </xf>
    <xf numFmtId="0" fontId="124" fillId="43" borderId="4" xfId="74" applyFont="1" applyFill="1" applyBorder="1"/>
    <xf numFmtId="0" fontId="124" fillId="43" borderId="39" xfId="74" applyFont="1" applyFill="1" applyBorder="1"/>
    <xf numFmtId="0" fontId="37" fillId="0" borderId="0" xfId="74" applyAlignment="1">
      <alignment horizontal="center"/>
    </xf>
    <xf numFmtId="17" fontId="37" fillId="0" borderId="0" xfId="74" applyNumberFormat="1" applyAlignment="1">
      <alignment horizontal="center"/>
    </xf>
    <xf numFmtId="0" fontId="124" fillId="43" borderId="35" xfId="74" applyFont="1" applyFill="1" applyBorder="1" applyAlignment="1">
      <alignment wrapText="1"/>
    </xf>
    <xf numFmtId="177" fontId="88" fillId="33" borderId="37" xfId="591" applyNumberFormat="1" applyFont="1" applyFill="1" applyBorder="1" applyAlignment="1">
      <alignment horizontal="left" vertical="center"/>
    </xf>
    <xf numFmtId="0" fontId="112" fillId="30" borderId="15" xfId="595" applyFont="1" applyFill="1" applyBorder="1" applyAlignment="1">
      <alignment horizontal="center" vertical="center" wrapText="1"/>
    </xf>
    <xf numFmtId="1" fontId="85" fillId="31" borderId="15" xfId="594" applyNumberFormat="1" applyFont="1" applyFill="1" applyAlignment="1">
      <alignment horizontal="left" vertical="center" wrapText="1" indent="1"/>
    </xf>
    <xf numFmtId="0" fontId="122" fillId="33" borderId="0" xfId="74" applyFont="1" applyFill="1" applyAlignment="1">
      <alignment vertical="top"/>
    </xf>
    <xf numFmtId="0" fontId="85" fillId="32" borderId="15" xfId="591" applyFont="1" applyFill="1" applyBorder="1" applyAlignment="1">
      <alignment horizontal="left" vertical="center"/>
    </xf>
    <xf numFmtId="0" fontId="103" fillId="33" borderId="0" xfId="74" applyFont="1" applyFill="1" applyAlignment="1">
      <alignment vertical="center"/>
    </xf>
    <xf numFmtId="0" fontId="133" fillId="33" borderId="0" xfId="74" applyFont="1" applyFill="1" applyAlignment="1">
      <alignment horizontal="center" vertical="center"/>
    </xf>
    <xf numFmtId="0" fontId="82" fillId="33" borderId="0" xfId="74" applyFont="1" applyFill="1" applyAlignment="1">
      <alignment horizontal="right" vertical="center"/>
    </xf>
    <xf numFmtId="177" fontId="82" fillId="33" borderId="0" xfId="522" applyNumberFormat="1" applyFont="1" applyFill="1" applyBorder="1" applyAlignment="1">
      <alignment horizontal="left" vertical="center"/>
    </xf>
    <xf numFmtId="49" fontId="132" fillId="39" borderId="0" xfId="522" applyNumberFormat="1" applyFont="1" applyFill="1" applyBorder="1" applyAlignment="1">
      <alignment vertical="center"/>
    </xf>
    <xf numFmtId="0" fontId="132" fillId="39" borderId="0" xfId="74" applyFont="1" applyFill="1" applyAlignment="1">
      <alignment horizontal="left" vertical="center"/>
    </xf>
    <xf numFmtId="0" fontId="132" fillId="39" borderId="0" xfId="74" applyFont="1" applyFill="1" applyAlignment="1">
      <alignment vertical="center"/>
    </xf>
    <xf numFmtId="0" fontId="134" fillId="39" borderId="0" xfId="74" applyFont="1" applyFill="1" applyAlignment="1">
      <alignment horizontal="left" vertical="center"/>
    </xf>
    <xf numFmtId="0" fontId="134" fillId="39" borderId="0" xfId="74" applyFont="1" applyFill="1" applyAlignment="1">
      <alignment vertical="center"/>
    </xf>
    <xf numFmtId="0" fontId="134" fillId="39" borderId="0" xfId="74" applyFont="1" applyFill="1" applyAlignment="1">
      <alignment horizontal="center" vertical="center"/>
    </xf>
    <xf numFmtId="0" fontId="115" fillId="33" borderId="0" xfId="74" applyFont="1" applyFill="1" applyAlignment="1">
      <alignment horizontal="right" vertical="center" wrapText="1"/>
    </xf>
    <xf numFmtId="0" fontId="102" fillId="33" borderId="43" xfId="74" applyFont="1" applyFill="1" applyBorder="1" applyAlignment="1">
      <alignment horizontal="center" vertical="center"/>
    </xf>
    <xf numFmtId="0" fontId="107" fillId="33" borderId="43" xfId="74" applyFont="1" applyFill="1" applyBorder="1" applyAlignment="1">
      <alignment horizontal="left" vertical="center"/>
    </xf>
    <xf numFmtId="0" fontId="82" fillId="33" borderId="43" xfId="74" applyFont="1" applyFill="1" applyBorder="1" applyAlignment="1">
      <alignment vertical="center"/>
    </xf>
    <xf numFmtId="0" fontId="82" fillId="33" borderId="43" xfId="74" applyFont="1" applyFill="1" applyBorder="1" applyAlignment="1">
      <alignment horizontal="left" vertical="center"/>
    </xf>
    <xf numFmtId="0" fontId="106" fillId="33" borderId="43" xfId="74" applyFont="1" applyFill="1" applyBorder="1" applyAlignment="1">
      <alignment horizontal="left" vertical="center"/>
    </xf>
    <xf numFmtId="0" fontId="106" fillId="33" borderId="43" xfId="74" applyFont="1" applyFill="1" applyBorder="1" applyAlignment="1">
      <alignment vertical="center"/>
    </xf>
    <xf numFmtId="0" fontId="82" fillId="0" borderId="43" xfId="74" applyFont="1" applyBorder="1" applyAlignment="1">
      <alignment vertical="center"/>
    </xf>
    <xf numFmtId="14" fontId="106" fillId="33" borderId="43" xfId="74" applyNumberFormat="1" applyFont="1" applyFill="1" applyBorder="1" applyAlignment="1">
      <alignment horizontal="left" vertical="center"/>
    </xf>
    <xf numFmtId="0" fontId="79" fillId="42" borderId="37" xfId="74" applyFont="1" applyFill="1" applyBorder="1" applyAlignment="1">
      <alignment horizontal="center" vertical="center"/>
    </xf>
    <xf numFmtId="0" fontId="85" fillId="33" borderId="0" xfId="672" applyFont="1" applyFill="1" applyBorder="1" applyAlignment="1">
      <alignment horizontal="center" vertical="center"/>
    </xf>
    <xf numFmtId="0" fontId="91" fillId="37" borderId="44" xfId="595" applyFont="1" applyFill="1" applyBorder="1" applyAlignment="1">
      <alignment horizontal="center" vertical="center" wrapText="1"/>
    </xf>
    <xf numFmtId="0" fontId="82" fillId="33" borderId="40" xfId="74" applyFont="1" applyFill="1" applyBorder="1" applyAlignment="1">
      <alignment horizontal="center" vertical="center"/>
    </xf>
    <xf numFmtId="0" fontId="82" fillId="42" borderId="40" xfId="74" applyFont="1" applyFill="1" applyBorder="1" applyAlignment="1">
      <alignment horizontal="center" vertical="center"/>
    </xf>
    <xf numFmtId="9" fontId="85" fillId="33" borderId="0" xfId="704" applyFont="1" applyFill="1" applyBorder="1" applyAlignment="1">
      <alignment vertical="center"/>
    </xf>
    <xf numFmtId="0" fontId="82" fillId="28" borderId="37" xfId="74" applyFont="1" applyFill="1" applyBorder="1" applyAlignment="1">
      <alignment horizontal="left" vertical="center"/>
    </xf>
    <xf numFmtId="0" fontId="82" fillId="38" borderId="37" xfId="74" applyFont="1" applyFill="1" applyBorder="1" applyAlignment="1">
      <alignment horizontal="left" vertical="center"/>
    </xf>
    <xf numFmtId="0" fontId="82" fillId="33" borderId="45" xfId="74" applyFont="1" applyFill="1" applyBorder="1" applyAlignment="1">
      <alignment vertical="center"/>
    </xf>
    <xf numFmtId="0" fontId="82" fillId="33" borderId="45" xfId="74" applyFont="1" applyFill="1" applyBorder="1" applyAlignment="1">
      <alignment vertical="center" wrapText="1"/>
    </xf>
    <xf numFmtId="0" fontId="122" fillId="33" borderId="45" xfId="74" applyFont="1" applyFill="1" applyBorder="1" applyAlignment="1">
      <alignment horizontal="center" vertical="center" wrapText="1"/>
    </xf>
    <xf numFmtId="0" fontId="82" fillId="33" borderId="46" xfId="74" applyFont="1" applyFill="1" applyBorder="1" applyAlignment="1">
      <alignment horizontal="center" vertical="center"/>
    </xf>
    <xf numFmtId="0" fontId="79" fillId="28" borderId="45" xfId="74" applyFont="1" applyFill="1" applyBorder="1" applyAlignment="1">
      <alignment horizontal="center" vertical="center"/>
    </xf>
    <xf numFmtId="0" fontId="82" fillId="28" borderId="45" xfId="74" applyFont="1" applyFill="1" applyBorder="1" applyAlignment="1">
      <alignment horizontal="left" vertical="center"/>
    </xf>
    <xf numFmtId="167" fontId="82" fillId="33" borderId="45" xfId="74" applyNumberFormat="1" applyFont="1" applyFill="1" applyBorder="1" applyAlignment="1">
      <alignment horizontal="center" vertical="center"/>
    </xf>
    <xf numFmtId="2" fontId="2" fillId="33" borderId="45" xfId="689" applyNumberFormat="1" applyFont="1" applyFill="1" applyBorder="1" applyAlignment="1">
      <alignment vertical="center"/>
    </xf>
    <xf numFmtId="2" fontId="82" fillId="33" borderId="45" xfId="74" applyNumberFormat="1" applyFont="1" applyFill="1" applyBorder="1" applyAlignment="1">
      <alignment vertical="center"/>
    </xf>
    <xf numFmtId="0" fontId="122" fillId="33" borderId="45" xfId="74" applyFont="1" applyFill="1" applyBorder="1" applyAlignment="1">
      <alignment vertical="center" wrapText="1"/>
    </xf>
    <xf numFmtId="0" fontId="79" fillId="33" borderId="0" xfId="74" applyFont="1" applyFill="1" applyAlignment="1">
      <alignment horizontal="center" vertical="center"/>
    </xf>
    <xf numFmtId="0" fontId="82" fillId="33" borderId="0" xfId="74" applyFont="1" applyFill="1" applyAlignment="1">
      <alignment horizontal="left" vertical="center"/>
    </xf>
    <xf numFmtId="167" fontId="82" fillId="33" borderId="0" xfId="74" applyNumberFormat="1" applyFont="1" applyFill="1" applyAlignment="1">
      <alignment horizontal="center" vertical="center"/>
    </xf>
    <xf numFmtId="2" fontId="2" fillId="33" borderId="0" xfId="689" applyNumberFormat="1" applyFont="1" applyFill="1" applyAlignment="1">
      <alignment vertical="center"/>
    </xf>
    <xf numFmtId="2" fontId="82" fillId="33" borderId="0" xfId="74" applyNumberFormat="1" applyFont="1" applyFill="1" applyAlignment="1">
      <alignment vertical="center"/>
    </xf>
    <xf numFmtId="0" fontId="82" fillId="33" borderId="8" xfId="74" applyFont="1" applyFill="1" applyBorder="1" applyAlignment="1">
      <alignment vertical="center"/>
    </xf>
    <xf numFmtId="0" fontId="82" fillId="33" borderId="8" xfId="74" applyFont="1" applyFill="1" applyBorder="1" applyAlignment="1">
      <alignment vertical="center" wrapText="1"/>
    </xf>
    <xf numFmtId="0" fontId="122" fillId="33" borderId="8" xfId="74" applyFont="1" applyFill="1" applyBorder="1" applyAlignment="1">
      <alignment horizontal="center" vertical="center" wrapText="1"/>
    </xf>
    <xf numFmtId="0" fontId="82" fillId="33" borderId="8" xfId="74" applyFont="1" applyFill="1" applyBorder="1" applyAlignment="1">
      <alignment horizontal="center" vertical="center"/>
    </xf>
    <xf numFmtId="0" fontId="79" fillId="28" borderId="8" xfId="74" applyFont="1" applyFill="1" applyBorder="1" applyAlignment="1">
      <alignment horizontal="center" vertical="center"/>
    </xf>
    <xf numFmtId="0" fontId="82" fillId="28" borderId="8" xfId="74" applyFont="1" applyFill="1" applyBorder="1" applyAlignment="1">
      <alignment horizontal="left" vertical="center"/>
    </xf>
    <xf numFmtId="167" fontId="82" fillId="33" borderId="8" xfId="74" applyNumberFormat="1" applyFont="1" applyFill="1" applyBorder="1" applyAlignment="1">
      <alignment horizontal="center" vertical="center"/>
    </xf>
    <xf numFmtId="2" fontId="2" fillId="33" borderId="8" xfId="689" applyNumberFormat="1" applyFont="1" applyFill="1" applyBorder="1" applyAlignment="1">
      <alignment vertical="center"/>
    </xf>
    <xf numFmtId="2" fontId="82" fillId="33" borderId="8" xfId="74" applyNumberFormat="1" applyFont="1" applyFill="1" applyBorder="1" applyAlignment="1">
      <alignment vertical="center"/>
    </xf>
    <xf numFmtId="0" fontId="122" fillId="33" borderId="8" xfId="74" applyFont="1" applyFill="1" applyBorder="1" applyAlignment="1">
      <alignment vertical="center" wrapText="1"/>
    </xf>
    <xf numFmtId="0" fontId="81" fillId="32" borderId="15" xfId="594" applyNumberFormat="1" applyFont="1" applyFill="1" applyAlignment="1">
      <alignment horizontal="left" vertical="center" wrapText="1"/>
    </xf>
    <xf numFmtId="0" fontId="85" fillId="32" borderId="15" xfId="591" applyFont="1" applyFill="1" applyBorder="1" applyAlignment="1">
      <alignment horizontal="left" vertical="center" wrapText="1"/>
    </xf>
    <xf numFmtId="0" fontId="136" fillId="0" borderId="0" xfId="74" applyFont="1" applyAlignment="1">
      <alignment vertical="center"/>
    </xf>
    <xf numFmtId="0" fontId="136" fillId="0" borderId="0" xfId="74" applyFont="1" applyAlignment="1">
      <alignment horizontal="left" vertical="center"/>
    </xf>
    <xf numFmtId="0" fontId="137" fillId="0" borderId="0" xfId="74" applyFont="1" applyAlignment="1">
      <alignment vertical="center"/>
    </xf>
    <xf numFmtId="0" fontId="137" fillId="30" borderId="0" xfId="74" applyFont="1" applyFill="1" applyAlignment="1">
      <alignment vertical="center"/>
    </xf>
    <xf numFmtId="0" fontId="138" fillId="0" borderId="0" xfId="74" applyFont="1" applyAlignment="1">
      <alignment horizontal="left" vertical="center"/>
    </xf>
    <xf numFmtId="0" fontId="139" fillId="0" borderId="0" xfId="74" applyFont="1" applyAlignment="1">
      <alignment vertical="center"/>
    </xf>
    <xf numFmtId="0" fontId="140" fillId="0" borderId="0" xfId="74" applyFont="1" applyAlignment="1">
      <alignment vertical="center"/>
    </xf>
    <xf numFmtId="0" fontId="82" fillId="34" borderId="0" xfId="74" applyFont="1" applyFill="1" applyAlignment="1">
      <alignment vertical="center"/>
    </xf>
    <xf numFmtId="0" fontId="82" fillId="44" borderId="37" xfId="74" applyFont="1" applyFill="1" applyBorder="1" applyAlignment="1">
      <alignment vertical="center"/>
    </xf>
    <xf numFmtId="0" fontId="81" fillId="32" borderId="15" xfId="594" applyNumberFormat="1" applyFont="1" applyFill="1" applyAlignment="1">
      <alignment horizontal="left" vertical="center"/>
    </xf>
    <xf numFmtId="0" fontId="85" fillId="32" borderId="15" xfId="591" applyFont="1" applyFill="1" applyBorder="1" applyAlignment="1">
      <alignment horizontal="left" vertical="center" wrapText="1" indent="1"/>
    </xf>
    <xf numFmtId="174" fontId="88" fillId="33" borderId="0" xfId="74" applyNumberFormat="1" applyFont="1" applyFill="1" applyAlignment="1">
      <alignment horizontal="right" vertical="top"/>
    </xf>
    <xf numFmtId="0" fontId="141" fillId="33" borderId="0" xfId="594" applyNumberFormat="1" applyFont="1" applyFill="1" applyBorder="1" applyAlignment="1">
      <alignment horizontal="left" vertical="center" wrapText="1"/>
    </xf>
    <xf numFmtId="0" fontId="122" fillId="33" borderId="40" xfId="74" applyFont="1" applyFill="1" applyBorder="1" applyAlignment="1">
      <alignment horizontal="center" vertical="center" wrapText="1"/>
    </xf>
    <xf numFmtId="0" fontId="122" fillId="33" borderId="46" xfId="74" applyFont="1" applyFill="1" applyBorder="1" applyAlignment="1">
      <alignment horizontal="center" vertical="center" wrapText="1"/>
    </xf>
    <xf numFmtId="0" fontId="121" fillId="45" borderId="35" xfId="595" applyFont="1" applyFill="1" applyBorder="1" applyAlignment="1">
      <alignment horizontal="center" vertical="center" wrapText="1"/>
    </xf>
    <xf numFmtId="0" fontId="120" fillId="46" borderId="8" xfId="595" applyFont="1" applyFill="1" applyBorder="1" applyAlignment="1">
      <alignment horizontal="center" vertical="center" wrapText="1"/>
    </xf>
    <xf numFmtId="0" fontId="86" fillId="33" borderId="0" xfId="672" applyFont="1" applyFill="1" applyBorder="1" applyAlignment="1">
      <alignment vertical="center"/>
    </xf>
    <xf numFmtId="0" fontId="122" fillId="28" borderId="37" xfId="74" applyFont="1" applyFill="1" applyBorder="1" applyAlignment="1">
      <alignment horizontal="left" vertical="center"/>
    </xf>
    <xf numFmtId="0" fontId="122" fillId="28" borderId="37" xfId="74" applyFont="1" applyFill="1" applyBorder="1" applyAlignment="1">
      <alignment horizontal="left" vertical="center" wrapText="1"/>
    </xf>
    <xf numFmtId="0" fontId="122" fillId="42" borderId="37" xfId="74" applyFont="1" applyFill="1" applyBorder="1" applyAlignment="1">
      <alignment horizontal="left" vertical="center"/>
    </xf>
    <xf numFmtId="0" fontId="122" fillId="38" borderId="37" xfId="74" applyFont="1" applyFill="1" applyBorder="1" applyAlignment="1">
      <alignment horizontal="left" vertical="center"/>
    </xf>
    <xf numFmtId="44" fontId="88" fillId="32" borderId="15" xfId="36" applyFont="1" applyFill="1" applyBorder="1" applyAlignment="1">
      <alignment horizontal="center" vertical="center"/>
    </xf>
    <xf numFmtId="44" fontId="85" fillId="31" borderId="15" xfId="36" applyFont="1" applyFill="1" applyBorder="1" applyAlignment="1">
      <alignment horizontal="center" vertical="center"/>
    </xf>
    <xf numFmtId="0" fontId="82" fillId="31" borderId="15" xfId="594" applyNumberFormat="1" applyFont="1" applyFill="1" applyAlignment="1">
      <alignment vertical="center"/>
    </xf>
    <xf numFmtId="0" fontId="82" fillId="31" borderId="15" xfId="594" applyNumberFormat="1" applyFont="1" applyFill="1">
      <alignment horizontal="center" vertical="center"/>
    </xf>
    <xf numFmtId="0" fontId="85" fillId="32" borderId="15" xfId="595" applyFont="1" applyFill="1" applyBorder="1" applyAlignment="1">
      <alignment horizontal="center" vertical="center" wrapText="1"/>
    </xf>
    <xf numFmtId="0" fontId="85" fillId="31" borderId="15" xfId="594" applyNumberFormat="1" applyFont="1" applyFill="1">
      <alignment horizontal="center" vertical="center"/>
    </xf>
    <xf numFmtId="44" fontId="85" fillId="31" borderId="34" xfId="36" applyFont="1" applyFill="1" applyBorder="1" applyAlignment="1">
      <alignment horizontal="center" vertical="center"/>
    </xf>
    <xf numFmtId="0" fontId="82" fillId="31" borderId="34" xfId="594" applyNumberFormat="1" applyFont="1" applyFill="1" applyBorder="1">
      <alignment horizontal="center" vertical="center"/>
    </xf>
    <xf numFmtId="0" fontId="82" fillId="31" borderId="16" xfId="594" applyNumberFormat="1" applyFont="1" applyFill="1" applyBorder="1" applyAlignment="1">
      <alignment vertical="center"/>
    </xf>
    <xf numFmtId="0" fontId="82" fillId="31" borderId="17" xfId="594" applyNumberFormat="1" applyFont="1" applyFill="1" applyBorder="1" applyAlignment="1">
      <alignment vertical="center"/>
    </xf>
    <xf numFmtId="0" fontId="82" fillId="31" borderId="18" xfId="594" applyNumberFormat="1" applyFont="1" applyFill="1" applyBorder="1" applyAlignment="1">
      <alignment vertical="center"/>
    </xf>
    <xf numFmtId="0" fontId="82" fillId="34" borderId="37" xfId="74" applyFont="1" applyFill="1" applyBorder="1" applyAlignment="1">
      <alignment horizontal="center" vertical="center"/>
    </xf>
    <xf numFmtId="0" fontId="79" fillId="28" borderId="0" xfId="74" applyFont="1" applyFill="1" applyAlignment="1">
      <alignment horizontal="center" vertical="center"/>
    </xf>
    <xf numFmtId="0" fontId="82" fillId="28" borderId="0" xfId="74" applyFont="1" applyFill="1" applyAlignment="1">
      <alignment horizontal="left" vertical="center"/>
    </xf>
    <xf numFmtId="0" fontId="82" fillId="34" borderId="0" xfId="74" applyFont="1" applyFill="1" applyAlignment="1">
      <alignment vertical="center" wrapText="1"/>
    </xf>
    <xf numFmtId="0" fontId="82" fillId="43" borderId="0" xfId="74" applyFont="1" applyFill="1" applyAlignment="1">
      <alignment vertical="center" wrapText="1"/>
    </xf>
    <xf numFmtId="0" fontId="82" fillId="43" borderId="37" xfId="74" applyFont="1" applyFill="1" applyBorder="1" applyAlignment="1">
      <alignment vertical="center"/>
    </xf>
    <xf numFmtId="0" fontId="82" fillId="43" borderId="37" xfId="74" applyFont="1" applyFill="1" applyBorder="1" applyAlignment="1">
      <alignment vertical="center" wrapText="1"/>
    </xf>
    <xf numFmtId="0" fontId="122" fillId="43" borderId="37" xfId="74" applyFont="1" applyFill="1" applyBorder="1" applyAlignment="1">
      <alignment vertical="center" wrapText="1"/>
    </xf>
    <xf numFmtId="167" fontId="82" fillId="43" borderId="37" xfId="74" applyNumberFormat="1" applyFont="1" applyFill="1" applyBorder="1" applyAlignment="1">
      <alignment horizontal="center" vertical="center"/>
    </xf>
    <xf numFmtId="2" fontId="2" fillId="43" borderId="37" xfId="689" applyNumberFormat="1" applyFont="1" applyFill="1" applyBorder="1" applyAlignment="1">
      <alignment vertical="center"/>
    </xf>
    <xf numFmtId="2" fontId="82" fillId="43" borderId="37" xfId="74" applyNumberFormat="1" applyFont="1" applyFill="1" applyBorder="1" applyAlignment="1">
      <alignment vertical="center"/>
    </xf>
    <xf numFmtId="0" fontId="79" fillId="43" borderId="37" xfId="74" applyFont="1" applyFill="1" applyBorder="1" applyAlignment="1">
      <alignment horizontal="center" vertical="center"/>
    </xf>
    <xf numFmtId="0" fontId="82" fillId="43" borderId="40" xfId="74" applyFont="1" applyFill="1" applyBorder="1" applyAlignment="1">
      <alignment horizontal="center" vertical="center"/>
    </xf>
    <xf numFmtId="0" fontId="122" fillId="43" borderId="37" xfId="74" applyFont="1" applyFill="1" applyBorder="1" applyAlignment="1">
      <alignment horizontal="center" vertical="center" wrapText="1"/>
    </xf>
    <xf numFmtId="0" fontId="122" fillId="43" borderId="40" xfId="74" applyFont="1" applyFill="1" applyBorder="1" applyAlignment="1">
      <alignment horizontal="center" vertical="center" wrapText="1"/>
    </xf>
    <xf numFmtId="0" fontId="122" fillId="43" borderId="37" xfId="74" applyFont="1" applyFill="1" applyBorder="1" applyAlignment="1">
      <alignment horizontal="left" vertical="center"/>
    </xf>
    <xf numFmtId="0" fontId="82" fillId="43" borderId="0" xfId="74" applyFont="1" applyFill="1" applyAlignment="1">
      <alignment vertical="center"/>
    </xf>
    <xf numFmtId="0" fontId="122" fillId="34" borderId="37" xfId="74" applyFont="1" applyFill="1" applyBorder="1" applyAlignment="1">
      <alignment vertical="center" wrapText="1"/>
    </xf>
    <xf numFmtId="167" fontId="2" fillId="34" borderId="37" xfId="689" applyNumberFormat="1" applyFont="1" applyFill="1" applyBorder="1" applyAlignment="1">
      <alignment horizontal="center" vertical="center"/>
    </xf>
    <xf numFmtId="0" fontId="85" fillId="30" borderId="20" xfId="74" applyFont="1" applyFill="1" applyBorder="1" applyAlignment="1">
      <alignment horizontal="left" vertical="center"/>
    </xf>
    <xf numFmtId="0" fontId="85" fillId="32" borderId="15" xfId="595" applyFont="1" applyFill="1" applyBorder="1" applyAlignment="1">
      <alignment horizontal="left" vertical="center" wrapText="1"/>
    </xf>
    <xf numFmtId="0" fontId="94" fillId="0" borderId="0" xfId="74" applyFont="1" applyAlignment="1">
      <alignment horizontal="left" vertical="center" wrapText="1"/>
    </xf>
    <xf numFmtId="0" fontId="94" fillId="0" borderId="0" xfId="74" applyFont="1" applyAlignment="1">
      <alignment horizontal="left" vertical="top" wrapText="1"/>
    </xf>
    <xf numFmtId="0" fontId="124" fillId="43" borderId="16" xfId="74" applyFont="1" applyFill="1" applyBorder="1" applyAlignment="1">
      <alignment horizontal="center" vertical="center" wrapText="1"/>
    </xf>
    <xf numFmtId="0" fontId="124" fillId="43" borderId="17" xfId="74" applyFont="1" applyFill="1" applyBorder="1" applyAlignment="1">
      <alignment horizontal="center" vertical="center" wrapText="1"/>
    </xf>
    <xf numFmtId="0" fontId="124" fillId="43" borderId="15" xfId="74" applyFont="1" applyFill="1" applyBorder="1" applyAlignment="1">
      <alignment horizontal="center" vertical="center"/>
    </xf>
    <xf numFmtId="0" fontId="124" fillId="43" borderId="15" xfId="74" applyFont="1" applyFill="1" applyBorder="1" applyAlignment="1">
      <alignment horizontal="center" vertical="center" wrapText="1"/>
    </xf>
    <xf numFmtId="0" fontId="129" fillId="36" borderId="35" xfId="595" applyFont="1" applyFill="1" applyBorder="1" applyAlignment="1">
      <alignment horizontal="center" vertical="center" wrapText="1"/>
    </xf>
    <xf numFmtId="0" fontId="129" fillId="36" borderId="49" xfId="595" applyFont="1" applyFill="1" applyBorder="1" applyAlignment="1">
      <alignment horizontal="center" vertical="center" wrapText="1"/>
    </xf>
    <xf numFmtId="0" fontId="91" fillId="36" borderId="48" xfId="74" applyFont="1" applyFill="1" applyBorder="1" applyAlignment="1">
      <alignment horizontal="center" vertical="center"/>
    </xf>
    <xf numFmtId="0" fontId="91" fillId="36" borderId="4" xfId="74" applyFont="1" applyFill="1" applyBorder="1" applyAlignment="1">
      <alignment horizontal="center" vertical="center"/>
    </xf>
    <xf numFmtId="0" fontId="121" fillId="45" borderId="36" xfId="74" applyFont="1" applyFill="1" applyBorder="1" applyAlignment="1">
      <alignment horizontal="center" vertical="center" wrapText="1"/>
    </xf>
    <xf numFmtId="0" fontId="121" fillId="45" borderId="50" xfId="74" applyFont="1" applyFill="1" applyBorder="1" applyAlignment="1">
      <alignment horizontal="center" vertical="center" wrapText="1"/>
    </xf>
    <xf numFmtId="0" fontId="86" fillId="33" borderId="47" xfId="672" applyFont="1" applyFill="1" applyBorder="1" applyAlignment="1">
      <alignment horizontal="center" vertical="center"/>
    </xf>
    <xf numFmtId="0" fontId="91" fillId="36" borderId="37" xfId="595" applyFont="1" applyFill="1" applyBorder="1">
      <alignment horizontal="center" vertical="center"/>
    </xf>
    <xf numFmtId="0" fontId="129" fillId="36" borderId="8" xfId="74" applyFont="1" applyFill="1" applyBorder="1" applyAlignment="1">
      <alignment horizontal="center" vertical="center"/>
    </xf>
    <xf numFmtId="0" fontId="129" fillId="36" borderId="35" xfId="74" applyFont="1" applyFill="1" applyBorder="1" applyAlignment="1">
      <alignment horizontal="center" vertical="center"/>
    </xf>
    <xf numFmtId="0" fontId="129" fillId="36" borderId="49" xfId="74" applyFont="1" applyFill="1" applyBorder="1" applyAlignment="1">
      <alignment horizontal="center" vertical="center"/>
    </xf>
    <xf numFmtId="44" fontId="85" fillId="31" borderId="16" xfId="36" applyFont="1" applyFill="1" applyBorder="1" applyAlignment="1">
      <alignment horizontal="center" vertical="center"/>
    </xf>
    <xf numFmtId="44" fontId="85" fillId="31" borderId="17" xfId="36" applyFont="1" applyFill="1" applyBorder="1" applyAlignment="1">
      <alignment horizontal="center" vertical="center"/>
    </xf>
    <xf numFmtId="44" fontId="85" fillId="31" borderId="18" xfId="36" applyFont="1" applyFill="1" applyBorder="1" applyAlignment="1">
      <alignment horizontal="center" vertical="center"/>
    </xf>
    <xf numFmtId="44" fontId="85" fillId="31" borderId="21" xfId="36" applyFont="1" applyFill="1" applyBorder="1" applyAlignment="1">
      <alignment horizontal="center" vertical="center"/>
    </xf>
    <xf numFmtId="44" fontId="85" fillId="31" borderId="0" xfId="36" applyFont="1" applyFill="1" applyBorder="1" applyAlignment="1">
      <alignment horizontal="center" vertical="center"/>
    </xf>
    <xf numFmtId="44" fontId="85" fillId="31" borderId="34" xfId="36" applyFont="1" applyFill="1" applyBorder="1" applyAlignment="1">
      <alignment horizontal="center" vertical="center"/>
    </xf>
    <xf numFmtId="167" fontId="85" fillId="31" borderId="21" xfId="594" applyNumberFormat="1" applyFont="1" applyFill="1" applyBorder="1">
      <alignment horizontal="center" vertical="center"/>
    </xf>
    <xf numFmtId="167" fontId="85" fillId="31" borderId="0" xfId="594" applyNumberFormat="1" applyFont="1" applyFill="1" applyBorder="1">
      <alignment horizontal="center" vertical="center"/>
    </xf>
    <xf numFmtId="167" fontId="85" fillId="31" borderId="34" xfId="594" applyNumberFormat="1" applyFont="1" applyFill="1" applyBorder="1">
      <alignment horizontal="center" vertical="center"/>
    </xf>
    <xf numFmtId="44" fontId="88" fillId="32" borderId="21" xfId="36" applyFont="1" applyFill="1" applyBorder="1" applyAlignment="1">
      <alignment horizontal="center" vertical="center"/>
    </xf>
    <xf numFmtId="44" fontId="88" fillId="32" borderId="0" xfId="36" applyFont="1" applyFill="1" applyBorder="1" applyAlignment="1">
      <alignment horizontal="center" vertical="center"/>
    </xf>
    <xf numFmtId="44" fontId="88" fillId="32" borderId="34" xfId="36" applyFont="1" applyFill="1" applyBorder="1" applyAlignment="1">
      <alignment horizontal="center" vertical="center"/>
    </xf>
    <xf numFmtId="0" fontId="85" fillId="32" borderId="26" xfId="595" applyFont="1" applyFill="1" applyBorder="1" applyAlignment="1">
      <alignment horizontal="left" vertical="center" wrapText="1"/>
    </xf>
    <xf numFmtId="0" fontId="85" fillId="32" borderId="51" xfId="595" applyFont="1" applyFill="1" applyBorder="1" applyAlignment="1">
      <alignment horizontal="left" vertical="center" wrapText="1"/>
    </xf>
    <xf numFmtId="0" fontId="85" fillId="32" borderId="31" xfId="595" applyFont="1" applyFill="1" applyBorder="1" applyAlignment="1">
      <alignment horizontal="left" vertical="center" wrapText="1"/>
    </xf>
    <xf numFmtId="0" fontId="82" fillId="31" borderId="16" xfId="594" applyNumberFormat="1" applyFont="1" applyFill="1" applyBorder="1">
      <alignment horizontal="center" vertical="center"/>
    </xf>
    <xf numFmtId="0" fontId="82" fillId="31" borderId="17" xfId="594" applyNumberFormat="1" applyFont="1" applyFill="1" applyBorder="1">
      <alignment horizontal="center" vertical="center"/>
    </xf>
    <xf numFmtId="0" fontId="82" fillId="31" borderId="18" xfId="594" applyNumberFormat="1" applyFont="1" applyFill="1" applyBorder="1">
      <alignment horizontal="center" vertical="center"/>
    </xf>
    <xf numFmtId="0" fontId="85" fillId="32" borderId="16" xfId="595" applyFont="1" applyFill="1" applyAlignment="1">
      <alignment horizontal="left" vertical="center" wrapText="1"/>
    </xf>
    <xf numFmtId="0" fontId="85" fillId="32" borderId="17" xfId="595" applyFont="1" applyFill="1" applyBorder="1" applyAlignment="1">
      <alignment horizontal="left" vertical="center" wrapText="1"/>
    </xf>
    <xf numFmtId="0" fontId="85" fillId="32" borderId="18" xfId="595" applyFont="1" applyFill="1" applyBorder="1" applyAlignment="1">
      <alignment horizontal="left" vertical="center" wrapText="1"/>
    </xf>
    <xf numFmtId="0" fontId="85" fillId="31" borderId="16" xfId="594" applyNumberFormat="1" applyFont="1" applyFill="1" applyBorder="1">
      <alignment horizontal="center" vertical="center"/>
    </xf>
    <xf numFmtId="0" fontId="85" fillId="31" borderId="17" xfId="594" applyNumberFormat="1" applyFont="1" applyFill="1" applyBorder="1">
      <alignment horizontal="center" vertical="center"/>
    </xf>
    <xf numFmtId="0" fontId="85" fillId="31" borderId="18" xfId="594" applyNumberFormat="1" applyFont="1" applyFill="1" applyBorder="1">
      <alignment horizontal="center" vertical="center"/>
    </xf>
    <xf numFmtId="44" fontId="88" fillId="32" borderId="16" xfId="36" applyFont="1" applyFill="1" applyBorder="1" applyAlignment="1">
      <alignment horizontal="center" vertical="center"/>
    </xf>
    <xf numFmtId="44" fontId="88" fillId="32" borderId="17" xfId="36" applyFont="1" applyFill="1" applyBorder="1" applyAlignment="1">
      <alignment horizontal="center" vertical="center"/>
    </xf>
    <xf numFmtId="44" fontId="88" fillId="32" borderId="18" xfId="36" applyFont="1" applyFill="1" applyBorder="1" applyAlignment="1">
      <alignment horizontal="center" vertical="center"/>
    </xf>
    <xf numFmtId="0" fontId="88" fillId="30" borderId="15" xfId="595" applyFont="1" applyFill="1" applyBorder="1">
      <alignment horizontal="center" vertical="center"/>
    </xf>
    <xf numFmtId="0" fontId="88" fillId="30" borderId="15" xfId="595" applyFont="1" applyFill="1" applyBorder="1" applyAlignment="1">
      <alignment horizontal="center" vertical="center" wrapText="1"/>
    </xf>
    <xf numFmtId="0" fontId="85" fillId="32" borderId="16" xfId="595" applyFont="1" applyFill="1" applyAlignment="1">
      <alignment horizontal="center" vertical="center" wrapText="1"/>
    </xf>
    <xf numFmtId="0" fontId="85" fillId="32" borderId="17" xfId="595" applyFont="1" applyFill="1" applyBorder="1" applyAlignment="1">
      <alignment horizontal="center" vertical="center" wrapText="1"/>
    </xf>
    <xf numFmtId="0" fontId="85" fillId="32" borderId="18" xfId="595" applyFont="1" applyFill="1" applyBorder="1" applyAlignment="1">
      <alignment horizontal="center" vertical="center" wrapText="1"/>
    </xf>
    <xf numFmtId="167" fontId="85" fillId="31" borderId="16" xfId="594" applyNumberFormat="1" applyFont="1" applyFill="1" applyBorder="1">
      <alignment horizontal="center" vertical="center"/>
    </xf>
    <xf numFmtId="167" fontId="85" fillId="31" borderId="17" xfId="594" applyNumberFormat="1" applyFont="1" applyFill="1" applyBorder="1">
      <alignment horizontal="center" vertical="center"/>
    </xf>
    <xf numFmtId="167" fontId="85" fillId="31" borderId="18" xfId="594" applyNumberFormat="1" applyFont="1" applyFill="1" applyBorder="1">
      <alignment horizontal="center" vertical="center"/>
    </xf>
    <xf numFmtId="0" fontId="82" fillId="31" borderId="21" xfId="594" applyNumberFormat="1" applyFont="1" applyFill="1" applyBorder="1">
      <alignment horizontal="center" vertical="center"/>
    </xf>
    <xf numFmtId="0" fontId="82" fillId="31" borderId="0" xfId="594" applyNumberFormat="1" applyFont="1" applyFill="1" applyBorder="1">
      <alignment horizontal="center" vertical="center"/>
    </xf>
    <xf numFmtId="0" fontId="82" fillId="31" borderId="34" xfId="594" applyNumberFormat="1" applyFont="1" applyFill="1" applyBorder="1">
      <alignment horizontal="center" vertical="center"/>
    </xf>
    <xf numFmtId="167" fontId="85" fillId="31" borderId="21" xfId="594" applyNumberFormat="1" applyFont="1" applyFill="1" applyBorder="1" applyAlignment="1">
      <alignment horizontal="center" vertical="center" wrapText="1"/>
    </xf>
    <xf numFmtId="167" fontId="85" fillId="31" borderId="0" xfId="594" applyNumberFormat="1" applyFont="1" applyFill="1" applyBorder="1" applyAlignment="1">
      <alignment horizontal="center" vertical="center" wrapText="1"/>
    </xf>
    <xf numFmtId="167" fontId="85" fillId="31" borderId="34" xfId="594" applyNumberFormat="1" applyFont="1" applyFill="1" applyBorder="1" applyAlignment="1">
      <alignment horizontal="center" vertical="center" wrapText="1"/>
    </xf>
    <xf numFmtId="0" fontId="86" fillId="33" borderId="33" xfId="591" applyFont="1" applyFill="1" applyBorder="1" applyAlignment="1">
      <alignment horizontal="left" vertical="center"/>
    </xf>
    <xf numFmtId="0" fontId="86" fillId="33" borderId="34" xfId="591" applyFont="1" applyFill="1" applyBorder="1" applyAlignment="1">
      <alignment horizontal="left" vertical="center"/>
    </xf>
    <xf numFmtId="0" fontId="86" fillId="33" borderId="31" xfId="591" applyFont="1" applyFill="1" applyBorder="1" applyAlignment="1">
      <alignment horizontal="left" vertical="center"/>
    </xf>
    <xf numFmtId="0" fontId="86" fillId="33" borderId="13" xfId="591" applyFont="1" applyFill="1" applyAlignment="1">
      <alignment horizontal="left" vertical="center"/>
    </xf>
    <xf numFmtId="0" fontId="86" fillId="33" borderId="19" xfId="591" applyFont="1" applyFill="1" applyBorder="1" applyAlignment="1">
      <alignment horizontal="left" vertical="center"/>
    </xf>
    <xf numFmtId="0" fontId="86" fillId="33" borderId="20" xfId="591" applyFont="1" applyFill="1" applyBorder="1" applyAlignment="1">
      <alignment horizontal="left" vertical="center"/>
    </xf>
    <xf numFmtId="0" fontId="86" fillId="33" borderId="14" xfId="591" applyFont="1" applyFill="1" applyBorder="1" applyAlignment="1">
      <alignment horizontal="left" vertical="center"/>
    </xf>
    <xf numFmtId="0" fontId="86" fillId="33" borderId="21" xfId="591" applyFont="1" applyFill="1" applyBorder="1" applyAlignment="1">
      <alignment horizontal="left" vertical="center"/>
    </xf>
    <xf numFmtId="0" fontId="86" fillId="33" borderId="26" xfId="591" applyFont="1" applyFill="1" applyBorder="1" applyAlignment="1">
      <alignment horizontal="left" vertical="center"/>
    </xf>
    <xf numFmtId="0" fontId="80" fillId="32" borderId="40" xfId="74" applyFont="1" applyFill="1" applyBorder="1" applyAlignment="1">
      <alignment horizontal="center" vertical="center"/>
    </xf>
    <xf numFmtId="0" fontId="80" fillId="32" borderId="41" xfId="74" applyFont="1" applyFill="1" applyBorder="1" applyAlignment="1">
      <alignment horizontal="center" vertical="center"/>
    </xf>
    <xf numFmtId="0" fontId="80" fillId="32" borderId="42" xfId="74" applyFont="1" applyFill="1" applyBorder="1" applyAlignment="1">
      <alignment horizontal="center" vertical="center"/>
    </xf>
    <xf numFmtId="44" fontId="80" fillId="32" borderId="40" xfId="74" applyNumberFormat="1" applyFont="1" applyFill="1" applyBorder="1" applyAlignment="1">
      <alignment horizontal="center" vertical="center"/>
    </xf>
    <xf numFmtId="0" fontId="110" fillId="33" borderId="0" xfId="74" applyFont="1" applyFill="1" applyAlignment="1">
      <alignment horizontal="center" vertical="center"/>
    </xf>
    <xf numFmtId="0" fontId="83" fillId="39" borderId="0" xfId="74" applyFont="1" applyFill="1" applyAlignment="1">
      <alignment horizontal="center" vertical="center"/>
    </xf>
    <xf numFmtId="0" fontId="82" fillId="33" borderId="0" xfId="74" applyFont="1" applyFill="1" applyAlignment="1">
      <alignment horizontal="center" vertical="center"/>
    </xf>
    <xf numFmtId="0" fontId="113" fillId="32" borderId="40" xfId="74" applyFont="1" applyFill="1" applyBorder="1" applyAlignment="1">
      <alignment horizontal="center" vertical="center" wrapText="1"/>
    </xf>
    <xf numFmtId="0" fontId="113" fillId="32" borderId="41" xfId="74" applyFont="1" applyFill="1" applyBorder="1" applyAlignment="1">
      <alignment horizontal="center" vertical="center"/>
    </xf>
    <xf numFmtId="0" fontId="113" fillId="32" borderId="42" xfId="74" applyFont="1" applyFill="1" applyBorder="1" applyAlignment="1">
      <alignment horizontal="center" vertical="center"/>
    </xf>
    <xf numFmtId="0" fontId="107" fillId="33" borderId="0" xfId="74" applyFont="1" applyFill="1" applyAlignment="1">
      <alignment horizontal="left" vertical="center" wrapText="1"/>
    </xf>
    <xf numFmtId="0" fontId="106" fillId="33" borderId="43" xfId="74" applyFont="1" applyFill="1" applyBorder="1" applyAlignment="1">
      <alignment horizontal="right" vertical="center"/>
    </xf>
    <xf numFmtId="2" fontId="80" fillId="32" borderId="40" xfId="74" applyNumberFormat="1" applyFont="1" applyFill="1" applyBorder="1" applyAlignment="1">
      <alignment horizontal="center" vertical="center"/>
    </xf>
    <xf numFmtId="0" fontId="114" fillId="32" borderId="40" xfId="74" applyFont="1" applyFill="1" applyBorder="1" applyAlignment="1">
      <alignment horizontal="center" vertical="center" wrapText="1"/>
    </xf>
    <xf numFmtId="0" fontId="114" fillId="32" borderId="41" xfId="74" applyFont="1" applyFill="1" applyBorder="1" applyAlignment="1">
      <alignment horizontal="center" vertical="center" wrapText="1"/>
    </xf>
    <xf numFmtId="0" fontId="114" fillId="32" borderId="42" xfId="74" applyFont="1" applyFill="1" applyBorder="1" applyAlignment="1">
      <alignment horizontal="center" vertical="center" wrapText="1"/>
    </xf>
    <xf numFmtId="0" fontId="99" fillId="32" borderId="40" xfId="74" applyFont="1" applyFill="1" applyBorder="1" applyAlignment="1">
      <alignment horizontal="center" vertical="center"/>
    </xf>
    <xf numFmtId="0" fontId="99" fillId="32" borderId="41" xfId="74" applyFont="1" applyFill="1" applyBorder="1" applyAlignment="1">
      <alignment horizontal="center" vertical="center"/>
    </xf>
    <xf numFmtId="0" fontId="99" fillId="32" borderId="42" xfId="74" applyFont="1" applyFill="1" applyBorder="1" applyAlignment="1">
      <alignment horizontal="center" vertical="center"/>
    </xf>
    <xf numFmtId="0" fontId="112" fillId="32" borderId="40" xfId="74" applyFont="1" applyFill="1" applyBorder="1" applyAlignment="1">
      <alignment horizontal="center" vertical="center"/>
    </xf>
    <xf numFmtId="0" fontId="112" fillId="32" borderId="41" xfId="74" applyFont="1" applyFill="1" applyBorder="1" applyAlignment="1">
      <alignment horizontal="center" vertical="center"/>
    </xf>
    <xf numFmtId="0" fontId="112" fillId="32" borderId="42" xfId="74" applyFont="1" applyFill="1" applyBorder="1" applyAlignment="1">
      <alignment horizontal="center" vertical="center"/>
    </xf>
    <xf numFmtId="0" fontId="88" fillId="32" borderId="40" xfId="74" applyFont="1" applyFill="1" applyBorder="1" applyAlignment="1">
      <alignment horizontal="center" vertical="center" wrapText="1"/>
    </xf>
    <xf numFmtId="0" fontId="88" fillId="32" borderId="41" xfId="74" applyFont="1" applyFill="1" applyBorder="1" applyAlignment="1">
      <alignment horizontal="center" vertical="center" wrapText="1"/>
    </xf>
    <xf numFmtId="0" fontId="88" fillId="32" borderId="42" xfId="74" applyFont="1" applyFill="1" applyBorder="1" applyAlignment="1">
      <alignment horizontal="center" vertical="center" wrapText="1"/>
    </xf>
  </cellXfs>
  <cellStyles count="705">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xfId="704" builtinId="5"/>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8">
    <dxf>
      <font>
        <color rgb="FFFF0000"/>
      </font>
    </dxf>
    <dxf>
      <font>
        <color rgb="FFFF0000"/>
      </font>
    </dxf>
    <dxf>
      <font>
        <color rgb="FFFF0000"/>
      </font>
    </dxf>
    <dxf>
      <font>
        <color rgb="FFFF0000"/>
      </font>
    </dxf>
    <dxf>
      <font>
        <color rgb="FFFF0000"/>
      </font>
    </dxf>
    <dxf>
      <font>
        <color rgb="FF9C0006"/>
      </font>
      <fill>
        <patternFill>
          <bgColor rgb="FFFFC7CE"/>
        </patternFill>
      </fill>
    </dxf>
    <dxf>
      <fill>
        <patternFill patternType="solid">
          <bgColor rgb="FF99FF99"/>
        </patternFill>
      </fill>
    </dxf>
    <dxf>
      <font>
        <color rgb="FF9C0006"/>
      </font>
      <fill>
        <patternFill>
          <bgColor rgb="FFFFC7CE"/>
        </patternFill>
      </fill>
    </dxf>
  </dxfs>
  <tableStyles count="0" defaultTableStyle="TableStyleMedium9" defaultPivotStyle="PivotStyleLight16"/>
  <colors>
    <mruColors>
      <color rgb="FFE3173E"/>
      <color rgb="FF66FF99"/>
      <color rgb="FF5A702E"/>
      <color rgb="FF99FF99"/>
      <color rgb="FF00FF00"/>
      <color rgb="FF414012"/>
      <color rgb="FFC8102E"/>
      <color rgb="FF032842"/>
      <color rgb="FFE4E4E4"/>
      <color rgb="FFD5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5MY_ACCORD_APP_FR'!A1"/><Relationship Id="rId2" Type="http://schemas.openxmlformats.org/officeDocument/2006/relationships/hyperlink" Target="#'25MY_ACCORD_APP_EN'!A1"/><Relationship Id="rId1" Type="http://schemas.openxmlformats.org/officeDocument/2006/relationships/hyperlink" Target="#'25MY_ACCORD_SELL_EN'!A1"/><Relationship Id="rId4" Type="http://schemas.openxmlformats.org/officeDocument/2006/relationships/hyperlink" Target="#'25MY_ACCORD_SELL_FR'!A1"/></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 </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4"/>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3692752</xdr:colOff>
      <xdr:row>9</xdr:row>
      <xdr:rowOff>40416</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73188" y="710214"/>
          <a:ext cx="2333625" cy="14442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3673702</xdr:colOff>
      <xdr:row>8</xdr:row>
      <xdr:rowOff>157664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57313" y="708626"/>
          <a:ext cx="2333625" cy="14379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400052</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9</xdr:col>
      <xdr:colOff>228599</xdr:colOff>
      <xdr:row>2</xdr:row>
      <xdr:rowOff>311150</xdr:rowOff>
    </xdr:from>
    <xdr:to>
      <xdr:col>16</xdr:col>
      <xdr:colOff>514387</xdr:colOff>
      <xdr:row>4</xdr:row>
      <xdr:rowOff>131085</xdr:rowOff>
    </xdr:to>
    <xdr:pic>
      <xdr:nvPicPr>
        <xdr:cNvPr id="2" name="Picture 1">
          <a:extLst>
            <a:ext uri="{FF2B5EF4-FFF2-40B4-BE49-F238E27FC236}">
              <a16:creationId xmlns:a16="http://schemas.microsoft.com/office/drawing/2014/main" id="{F25EDCF9-C3F1-4436-AFB8-001352C39811}"/>
            </a:ext>
          </a:extLst>
        </xdr:cNvPr>
        <xdr:cNvPicPr>
          <a:picLocks noChangeAspect="1"/>
        </xdr:cNvPicPr>
      </xdr:nvPicPr>
      <xdr:blipFill>
        <a:blip xmlns:r="http://schemas.openxmlformats.org/officeDocument/2006/relationships" r:embed="rId2"/>
        <a:stretch>
          <a:fillRect/>
        </a:stretch>
      </xdr:blipFill>
      <xdr:spPr>
        <a:xfrm>
          <a:off x="6276974" y="711200"/>
          <a:ext cx="4867313" cy="2134510"/>
        </a:xfrm>
        <a:prstGeom prst="rect">
          <a:avLst/>
        </a:prstGeom>
      </xdr:spPr>
    </xdr:pic>
    <xdr:clientData/>
  </xdr:twoCellAnchor>
  <xdr:twoCellAnchor editAs="oneCell">
    <xdr:from>
      <xdr:col>1</xdr:col>
      <xdr:colOff>409575</xdr:colOff>
      <xdr:row>3</xdr:row>
      <xdr:rowOff>106365</xdr:rowOff>
    </xdr:from>
    <xdr:to>
      <xdr:col>9</xdr:col>
      <xdr:colOff>29370</xdr:colOff>
      <xdr:row>5</xdr:row>
      <xdr:rowOff>4078</xdr:rowOff>
    </xdr:to>
    <xdr:pic>
      <xdr:nvPicPr>
        <xdr:cNvPr id="3" name="Picture 2">
          <a:extLst>
            <a:ext uri="{FF2B5EF4-FFF2-40B4-BE49-F238E27FC236}">
              <a16:creationId xmlns:a16="http://schemas.microsoft.com/office/drawing/2014/main" id="{8FB1A551-D4D1-48B3-8197-0E6900409F0B}"/>
            </a:ext>
          </a:extLst>
        </xdr:cNvPr>
        <xdr:cNvPicPr>
          <a:picLocks noChangeAspect="1"/>
        </xdr:cNvPicPr>
      </xdr:nvPicPr>
      <xdr:blipFill>
        <a:blip xmlns:r="http://schemas.openxmlformats.org/officeDocument/2006/relationships" r:embed="rId3"/>
        <a:stretch>
          <a:fillRect/>
        </a:stretch>
      </xdr:blipFill>
      <xdr:spPr>
        <a:xfrm>
          <a:off x="1019175" y="820740"/>
          <a:ext cx="4849020" cy="2097988"/>
        </a:xfrm>
        <a:prstGeom prst="rect">
          <a:avLst/>
        </a:prstGeom>
      </xdr:spPr>
    </xdr:pic>
    <xdr:clientData/>
  </xdr:twoCellAnchor>
  <xdr:twoCellAnchor editAs="oneCell">
    <xdr:from>
      <xdr:col>12</xdr:col>
      <xdr:colOff>83343</xdr:colOff>
      <xdr:row>17</xdr:row>
      <xdr:rowOff>587259</xdr:rowOff>
    </xdr:from>
    <xdr:to>
      <xdr:col>16</xdr:col>
      <xdr:colOff>4762</xdr:colOff>
      <xdr:row>17</xdr:row>
      <xdr:rowOff>1865312</xdr:rowOff>
    </xdr:to>
    <xdr:pic>
      <xdr:nvPicPr>
        <xdr:cNvPr id="4" name="Picture 3">
          <a:extLst>
            <a:ext uri="{FF2B5EF4-FFF2-40B4-BE49-F238E27FC236}">
              <a16:creationId xmlns:a16="http://schemas.microsoft.com/office/drawing/2014/main" id="{40B8FD86-CEE0-4FC5-9540-9D49F2B70BEA}"/>
            </a:ext>
          </a:extLst>
        </xdr:cNvPr>
        <xdr:cNvPicPr>
          <a:picLocks noChangeAspect="1"/>
        </xdr:cNvPicPr>
      </xdr:nvPicPr>
      <xdr:blipFill>
        <a:blip xmlns:r="http://schemas.openxmlformats.org/officeDocument/2006/relationships" r:embed="rId4"/>
        <a:stretch>
          <a:fillRect/>
        </a:stretch>
      </xdr:blipFill>
      <xdr:spPr>
        <a:xfrm>
          <a:off x="8187531" y="9747134"/>
          <a:ext cx="2706688" cy="1278053"/>
        </a:xfrm>
        <a:prstGeom prst="rect">
          <a:avLst/>
        </a:prstGeom>
      </xdr:spPr>
    </xdr:pic>
    <xdr:clientData/>
  </xdr:twoCellAnchor>
  <xdr:twoCellAnchor editAs="oneCell">
    <xdr:from>
      <xdr:col>7</xdr:col>
      <xdr:colOff>496094</xdr:colOff>
      <xdr:row>12</xdr:row>
      <xdr:rowOff>96575</xdr:rowOff>
    </xdr:from>
    <xdr:to>
      <xdr:col>10</xdr:col>
      <xdr:colOff>299154</xdr:colOff>
      <xdr:row>13</xdr:row>
      <xdr:rowOff>31751</xdr:rowOff>
    </xdr:to>
    <xdr:pic>
      <xdr:nvPicPr>
        <xdr:cNvPr id="6" name="Picture 5">
          <a:extLst>
            <a:ext uri="{FF2B5EF4-FFF2-40B4-BE49-F238E27FC236}">
              <a16:creationId xmlns:a16="http://schemas.microsoft.com/office/drawing/2014/main" id="{72BFA40E-E335-4751-85D0-A857D984D976}"/>
            </a:ext>
          </a:extLst>
        </xdr:cNvPr>
        <xdr:cNvPicPr>
          <a:picLocks noChangeAspect="1"/>
        </xdr:cNvPicPr>
      </xdr:nvPicPr>
      <xdr:blipFill>
        <a:blip xmlns:r="http://schemas.openxmlformats.org/officeDocument/2006/relationships" r:embed="rId5"/>
        <a:stretch>
          <a:fillRect/>
        </a:stretch>
      </xdr:blipFill>
      <xdr:spPr>
        <a:xfrm>
          <a:off x="5203032" y="6573575"/>
          <a:ext cx="1866810" cy="1840176"/>
        </a:xfrm>
        <a:prstGeom prst="rect">
          <a:avLst/>
        </a:prstGeom>
      </xdr:spPr>
    </xdr:pic>
    <xdr:clientData/>
  </xdr:twoCellAnchor>
  <xdr:twoCellAnchor editAs="oneCell">
    <xdr:from>
      <xdr:col>12</xdr:col>
      <xdr:colOff>7936</xdr:colOff>
      <xdr:row>12</xdr:row>
      <xdr:rowOff>15875</xdr:rowOff>
    </xdr:from>
    <xdr:to>
      <xdr:col>15</xdr:col>
      <xdr:colOff>701674</xdr:colOff>
      <xdr:row>13</xdr:row>
      <xdr:rowOff>23815</xdr:rowOff>
    </xdr:to>
    <xdr:pic>
      <xdr:nvPicPr>
        <xdr:cNvPr id="7" name="Picture 6">
          <a:extLst>
            <a:ext uri="{FF2B5EF4-FFF2-40B4-BE49-F238E27FC236}">
              <a16:creationId xmlns:a16="http://schemas.microsoft.com/office/drawing/2014/main" id="{712F2865-10FF-4F7C-9F43-CF7365E50AC7}"/>
            </a:ext>
          </a:extLst>
        </xdr:cNvPr>
        <xdr:cNvPicPr>
          <a:picLocks noChangeAspect="1"/>
        </xdr:cNvPicPr>
      </xdr:nvPicPr>
      <xdr:blipFill>
        <a:blip xmlns:r="http://schemas.openxmlformats.org/officeDocument/2006/relationships" r:embed="rId6"/>
        <a:stretch>
          <a:fillRect/>
        </a:stretch>
      </xdr:blipFill>
      <xdr:spPr>
        <a:xfrm>
          <a:off x="8112124" y="6492875"/>
          <a:ext cx="2786063" cy="1912940"/>
        </a:xfrm>
        <a:prstGeom prst="rect">
          <a:avLst/>
        </a:prstGeom>
        <a:ln>
          <a:solidFill>
            <a:sysClr val="windowText" lastClr="000000"/>
          </a:solidFill>
        </a:ln>
      </xdr:spPr>
    </xdr:pic>
    <xdr:clientData/>
  </xdr:twoCellAnchor>
  <xdr:twoCellAnchor editAs="oneCell">
    <xdr:from>
      <xdr:col>2</xdr:col>
      <xdr:colOff>11908</xdr:colOff>
      <xdr:row>7</xdr:row>
      <xdr:rowOff>31750</xdr:rowOff>
    </xdr:from>
    <xdr:to>
      <xdr:col>6</xdr:col>
      <xdr:colOff>1926</xdr:colOff>
      <xdr:row>8</xdr:row>
      <xdr:rowOff>23812</xdr:rowOff>
    </xdr:to>
    <xdr:pic>
      <xdr:nvPicPr>
        <xdr:cNvPr id="10" name="Picture 9">
          <a:extLst>
            <a:ext uri="{FF2B5EF4-FFF2-40B4-BE49-F238E27FC236}">
              <a16:creationId xmlns:a16="http://schemas.microsoft.com/office/drawing/2014/main" id="{D58E67FF-F057-40A1-A9F8-2F64CBEE073F}"/>
            </a:ext>
          </a:extLst>
        </xdr:cNvPr>
        <xdr:cNvPicPr>
          <a:picLocks noChangeAspect="1"/>
        </xdr:cNvPicPr>
      </xdr:nvPicPr>
      <xdr:blipFill>
        <a:blip xmlns:r="http://schemas.openxmlformats.org/officeDocument/2006/relationships" r:embed="rId7"/>
        <a:stretch>
          <a:fillRect/>
        </a:stretch>
      </xdr:blipFill>
      <xdr:spPr>
        <a:xfrm>
          <a:off x="1266033" y="3865563"/>
          <a:ext cx="2727662" cy="1897062"/>
        </a:xfrm>
        <a:prstGeom prst="rect">
          <a:avLst/>
        </a:prstGeom>
        <a:ln>
          <a:solidFill>
            <a:sysClr val="windowText" lastClr="000000"/>
          </a:solidFill>
        </a:ln>
      </xdr:spPr>
    </xdr:pic>
    <xdr:clientData/>
  </xdr:twoCellAnchor>
  <xdr:twoCellAnchor editAs="oneCell">
    <xdr:from>
      <xdr:col>7</xdr:col>
      <xdr:colOff>31750</xdr:colOff>
      <xdr:row>7</xdr:row>
      <xdr:rowOff>24586</xdr:rowOff>
    </xdr:from>
    <xdr:to>
      <xdr:col>11</xdr:col>
      <xdr:colOff>3967</xdr:colOff>
      <xdr:row>8</xdr:row>
      <xdr:rowOff>33796</xdr:rowOff>
    </xdr:to>
    <xdr:pic>
      <xdr:nvPicPr>
        <xdr:cNvPr id="11" name="Picture 10">
          <a:extLst>
            <a:ext uri="{FF2B5EF4-FFF2-40B4-BE49-F238E27FC236}">
              <a16:creationId xmlns:a16="http://schemas.microsoft.com/office/drawing/2014/main" id="{7A7D42A6-E9A0-4C18-8995-125767A653CE}"/>
            </a:ext>
          </a:extLst>
        </xdr:cNvPr>
        <xdr:cNvPicPr>
          <a:picLocks noChangeAspect="1"/>
        </xdr:cNvPicPr>
      </xdr:nvPicPr>
      <xdr:blipFill>
        <a:blip xmlns:r="http://schemas.openxmlformats.org/officeDocument/2006/relationships" r:embed="rId8"/>
        <a:stretch>
          <a:fillRect/>
        </a:stretch>
      </xdr:blipFill>
      <xdr:spPr>
        <a:xfrm>
          <a:off x="4683125" y="3858399"/>
          <a:ext cx="2738436" cy="1914210"/>
        </a:xfrm>
        <a:prstGeom prst="rect">
          <a:avLst/>
        </a:prstGeom>
        <a:ln>
          <a:solidFill>
            <a:sysClr val="windowText" lastClr="000000"/>
          </a:solidFill>
        </a:ln>
      </xdr:spPr>
    </xdr:pic>
    <xdr:clientData/>
  </xdr:twoCellAnchor>
  <xdr:twoCellAnchor editAs="oneCell">
    <xdr:from>
      <xdr:col>12</xdr:col>
      <xdr:colOff>25501</xdr:colOff>
      <xdr:row>7</xdr:row>
      <xdr:rowOff>13406</xdr:rowOff>
    </xdr:from>
    <xdr:to>
      <xdr:col>16</xdr:col>
      <xdr:colOff>15876</xdr:colOff>
      <xdr:row>8</xdr:row>
      <xdr:rowOff>19317</xdr:rowOff>
    </xdr:to>
    <xdr:pic>
      <xdr:nvPicPr>
        <xdr:cNvPr id="14" name="Picture 13">
          <a:extLst>
            <a:ext uri="{FF2B5EF4-FFF2-40B4-BE49-F238E27FC236}">
              <a16:creationId xmlns:a16="http://schemas.microsoft.com/office/drawing/2014/main" id="{DF58F668-001B-426F-BD1D-DD406D2B01CF}"/>
            </a:ext>
          </a:extLst>
        </xdr:cNvPr>
        <xdr:cNvPicPr>
          <a:picLocks noChangeAspect="1"/>
        </xdr:cNvPicPr>
      </xdr:nvPicPr>
      <xdr:blipFill>
        <a:blip xmlns:r="http://schemas.openxmlformats.org/officeDocument/2006/relationships" r:embed="rId9"/>
        <a:stretch>
          <a:fillRect/>
        </a:stretch>
      </xdr:blipFill>
      <xdr:spPr>
        <a:xfrm>
          <a:off x="8185251" y="3847219"/>
          <a:ext cx="2792312" cy="1910911"/>
        </a:xfrm>
        <a:prstGeom prst="rect">
          <a:avLst/>
        </a:prstGeom>
        <a:ln>
          <a:solidFill>
            <a:sysClr val="windowText" lastClr="000000"/>
          </a:solidFill>
        </a:ln>
      </xdr:spPr>
    </xdr:pic>
    <xdr:clientData/>
  </xdr:twoCellAnchor>
  <xdr:twoCellAnchor editAs="oneCell">
    <xdr:from>
      <xdr:col>2</xdr:col>
      <xdr:colOff>35718</xdr:colOff>
      <xdr:row>12</xdr:row>
      <xdr:rowOff>27782</xdr:rowOff>
    </xdr:from>
    <xdr:to>
      <xdr:col>6</xdr:col>
      <xdr:colOff>2382</xdr:colOff>
      <xdr:row>13</xdr:row>
      <xdr:rowOff>23536</xdr:rowOff>
    </xdr:to>
    <xdr:pic>
      <xdr:nvPicPr>
        <xdr:cNvPr id="15" name="Picture 14">
          <a:extLst>
            <a:ext uri="{FF2B5EF4-FFF2-40B4-BE49-F238E27FC236}">
              <a16:creationId xmlns:a16="http://schemas.microsoft.com/office/drawing/2014/main" id="{15007585-EC7F-4786-8954-A59570D82165}"/>
            </a:ext>
          </a:extLst>
        </xdr:cNvPr>
        <xdr:cNvPicPr>
          <a:picLocks noChangeAspect="1"/>
        </xdr:cNvPicPr>
      </xdr:nvPicPr>
      <xdr:blipFill>
        <a:blip xmlns:r="http://schemas.openxmlformats.org/officeDocument/2006/relationships" r:embed="rId10"/>
        <a:stretch>
          <a:fillRect/>
        </a:stretch>
      </xdr:blipFill>
      <xdr:spPr>
        <a:xfrm>
          <a:off x="1289843" y="6504782"/>
          <a:ext cx="2694783" cy="1900754"/>
        </a:xfrm>
        <a:prstGeom prst="rect">
          <a:avLst/>
        </a:prstGeom>
        <a:ln>
          <a:solidFill>
            <a:sysClr val="windowText" lastClr="000000"/>
          </a:solidFill>
        </a:ln>
      </xdr:spPr>
    </xdr:pic>
    <xdr:clientData/>
  </xdr:twoCellAnchor>
  <xdr:twoCellAnchor editAs="oneCell">
    <xdr:from>
      <xdr:col>2</xdr:col>
      <xdr:colOff>23814</xdr:colOff>
      <xdr:row>17</xdr:row>
      <xdr:rowOff>83661</xdr:rowOff>
    </xdr:from>
    <xdr:to>
      <xdr:col>6</xdr:col>
      <xdr:colOff>795</xdr:colOff>
      <xdr:row>18</xdr:row>
      <xdr:rowOff>37390</xdr:rowOff>
    </xdr:to>
    <xdr:pic>
      <xdr:nvPicPr>
        <xdr:cNvPr id="18" name="Picture 17">
          <a:extLst>
            <a:ext uri="{FF2B5EF4-FFF2-40B4-BE49-F238E27FC236}">
              <a16:creationId xmlns:a16="http://schemas.microsoft.com/office/drawing/2014/main" id="{C00AC942-1CA2-41E3-9E17-DA705BDC65D2}"/>
            </a:ext>
          </a:extLst>
        </xdr:cNvPr>
        <xdr:cNvPicPr>
          <a:picLocks noChangeAspect="1"/>
        </xdr:cNvPicPr>
      </xdr:nvPicPr>
      <xdr:blipFill rotWithShape="1">
        <a:blip xmlns:r="http://schemas.openxmlformats.org/officeDocument/2006/relationships" r:embed="rId11"/>
        <a:srcRect b="6187"/>
        <a:stretch/>
      </xdr:blipFill>
      <xdr:spPr>
        <a:xfrm>
          <a:off x="1277939" y="9243536"/>
          <a:ext cx="2714625" cy="1858729"/>
        </a:xfrm>
        <a:prstGeom prst="rect">
          <a:avLst/>
        </a:prstGeom>
        <a:ln>
          <a:solidFill>
            <a:sysClr val="windowText" lastClr="000000"/>
          </a:solidFill>
        </a:ln>
      </xdr:spPr>
    </xdr:pic>
    <xdr:clientData/>
  </xdr:twoCellAnchor>
  <xdr:twoCellAnchor editAs="oneCell">
    <xdr:from>
      <xdr:col>7</xdr:col>
      <xdr:colOff>39686</xdr:colOff>
      <xdr:row>17</xdr:row>
      <xdr:rowOff>102978</xdr:rowOff>
    </xdr:from>
    <xdr:to>
      <xdr:col>10</xdr:col>
      <xdr:colOff>701675</xdr:colOff>
      <xdr:row>18</xdr:row>
      <xdr:rowOff>46793</xdr:rowOff>
    </xdr:to>
    <xdr:pic>
      <xdr:nvPicPr>
        <xdr:cNvPr id="20" name="Picture 19">
          <a:extLst>
            <a:ext uri="{FF2B5EF4-FFF2-40B4-BE49-F238E27FC236}">
              <a16:creationId xmlns:a16="http://schemas.microsoft.com/office/drawing/2014/main" id="{4F80F8A1-6D3C-4275-8403-44CEAE145988}"/>
            </a:ext>
          </a:extLst>
        </xdr:cNvPr>
        <xdr:cNvPicPr>
          <a:picLocks noChangeAspect="1"/>
        </xdr:cNvPicPr>
      </xdr:nvPicPr>
      <xdr:blipFill>
        <a:blip xmlns:r="http://schemas.openxmlformats.org/officeDocument/2006/relationships" r:embed="rId12"/>
        <a:stretch>
          <a:fillRect/>
        </a:stretch>
      </xdr:blipFill>
      <xdr:spPr>
        <a:xfrm>
          <a:off x="4691061" y="9262853"/>
          <a:ext cx="2754314" cy="1848815"/>
        </a:xfrm>
        <a:prstGeom prst="rect">
          <a:avLst/>
        </a:prstGeom>
        <a:ln>
          <a:solidFill>
            <a:sysClr val="windowText" lastClr="000000"/>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9</xdr:col>
      <xdr:colOff>143351</xdr:colOff>
      <xdr:row>3</xdr:row>
      <xdr:rowOff>69152</xdr:rowOff>
    </xdr:from>
    <xdr:to>
      <xdr:col>16</xdr:col>
      <xdr:colOff>62755</xdr:colOff>
      <xdr:row>4</xdr:row>
      <xdr:rowOff>288426</xdr:rowOff>
    </xdr:to>
    <xdr:pic>
      <xdr:nvPicPr>
        <xdr:cNvPr id="2" name="Picture 1">
          <a:extLst>
            <a:ext uri="{FF2B5EF4-FFF2-40B4-BE49-F238E27FC236}">
              <a16:creationId xmlns:a16="http://schemas.microsoft.com/office/drawing/2014/main" id="{07DD8DF7-39A2-41BF-85FD-DCF01ABE7B7F}"/>
            </a:ext>
          </a:extLst>
        </xdr:cNvPr>
        <xdr:cNvPicPr>
          <a:picLocks noChangeAspect="1"/>
        </xdr:cNvPicPr>
      </xdr:nvPicPr>
      <xdr:blipFill>
        <a:blip xmlns:r="http://schemas.openxmlformats.org/officeDocument/2006/relationships" r:embed="rId2"/>
        <a:stretch>
          <a:fillRect/>
        </a:stretch>
      </xdr:blipFill>
      <xdr:spPr>
        <a:xfrm>
          <a:off x="6015233" y="660823"/>
          <a:ext cx="4339004" cy="1922568"/>
        </a:xfrm>
        <a:prstGeom prst="rect">
          <a:avLst/>
        </a:prstGeom>
      </xdr:spPr>
    </xdr:pic>
    <xdr:clientData/>
  </xdr:twoCellAnchor>
  <xdr:twoCellAnchor editAs="oneCell">
    <xdr:from>
      <xdr:col>1</xdr:col>
      <xdr:colOff>609601</xdr:colOff>
      <xdr:row>3</xdr:row>
      <xdr:rowOff>26809</xdr:rowOff>
    </xdr:from>
    <xdr:to>
      <xdr:col>8</xdr:col>
      <xdr:colOff>504985</xdr:colOff>
      <xdr:row>4</xdr:row>
      <xdr:rowOff>322317</xdr:rowOff>
    </xdr:to>
    <xdr:pic>
      <xdr:nvPicPr>
        <xdr:cNvPr id="3" name="Picture 2">
          <a:extLst>
            <a:ext uri="{FF2B5EF4-FFF2-40B4-BE49-F238E27FC236}">
              <a16:creationId xmlns:a16="http://schemas.microsoft.com/office/drawing/2014/main" id="{99CC4D78-BFBF-4884-ABFF-EB8574A3B1D3}"/>
            </a:ext>
          </a:extLst>
        </xdr:cNvPr>
        <xdr:cNvPicPr>
          <a:picLocks noChangeAspect="1"/>
        </xdr:cNvPicPr>
      </xdr:nvPicPr>
      <xdr:blipFill>
        <a:blip xmlns:r="http://schemas.openxmlformats.org/officeDocument/2006/relationships" r:embed="rId3"/>
        <a:stretch>
          <a:fillRect/>
        </a:stretch>
      </xdr:blipFill>
      <xdr:spPr>
        <a:xfrm>
          <a:off x="1219201" y="618480"/>
          <a:ext cx="4574960" cy="1998802"/>
        </a:xfrm>
        <a:prstGeom prst="rect">
          <a:avLst/>
        </a:prstGeom>
      </xdr:spPr>
    </xdr:pic>
    <xdr:clientData/>
  </xdr:twoCellAnchor>
  <xdr:twoCellAnchor editAs="oneCell">
    <xdr:from>
      <xdr:col>12</xdr:col>
      <xdr:colOff>63499</xdr:colOff>
      <xdr:row>17</xdr:row>
      <xdr:rowOff>473552</xdr:rowOff>
    </xdr:from>
    <xdr:to>
      <xdr:col>15</xdr:col>
      <xdr:colOff>692006</xdr:colOff>
      <xdr:row>17</xdr:row>
      <xdr:rowOff>1751605</xdr:rowOff>
    </xdr:to>
    <xdr:pic>
      <xdr:nvPicPr>
        <xdr:cNvPr id="4" name="Picture 3">
          <a:extLst>
            <a:ext uri="{FF2B5EF4-FFF2-40B4-BE49-F238E27FC236}">
              <a16:creationId xmlns:a16="http://schemas.microsoft.com/office/drawing/2014/main" id="{63D11488-9F13-4EAD-86F4-289FF4DC1303}"/>
            </a:ext>
          </a:extLst>
        </xdr:cNvPr>
        <xdr:cNvPicPr>
          <a:picLocks noChangeAspect="1"/>
        </xdr:cNvPicPr>
      </xdr:nvPicPr>
      <xdr:blipFill>
        <a:blip xmlns:r="http://schemas.openxmlformats.org/officeDocument/2006/relationships" r:embed="rId4"/>
        <a:stretch>
          <a:fillRect/>
        </a:stretch>
      </xdr:blipFill>
      <xdr:spPr>
        <a:xfrm>
          <a:off x="8272317" y="9352007"/>
          <a:ext cx="2706688" cy="1278053"/>
        </a:xfrm>
        <a:prstGeom prst="rect">
          <a:avLst/>
        </a:prstGeom>
      </xdr:spPr>
    </xdr:pic>
    <xdr:clientData/>
  </xdr:twoCellAnchor>
  <xdr:twoCellAnchor editAs="oneCell">
    <xdr:from>
      <xdr:col>7</xdr:col>
      <xdr:colOff>487073</xdr:colOff>
      <xdr:row>12</xdr:row>
      <xdr:rowOff>70902</xdr:rowOff>
    </xdr:from>
    <xdr:to>
      <xdr:col>10</xdr:col>
      <xdr:colOff>275701</xdr:colOff>
      <xdr:row>13</xdr:row>
      <xdr:rowOff>6078</xdr:rowOff>
    </xdr:to>
    <xdr:pic>
      <xdr:nvPicPr>
        <xdr:cNvPr id="5" name="Picture 4">
          <a:extLst>
            <a:ext uri="{FF2B5EF4-FFF2-40B4-BE49-F238E27FC236}">
              <a16:creationId xmlns:a16="http://schemas.microsoft.com/office/drawing/2014/main" id="{04C1F67F-9DAB-478F-970E-D79BC67555B5}"/>
            </a:ext>
          </a:extLst>
        </xdr:cNvPr>
        <xdr:cNvPicPr>
          <a:picLocks noChangeAspect="1"/>
        </xdr:cNvPicPr>
      </xdr:nvPicPr>
      <xdr:blipFill>
        <a:blip xmlns:r="http://schemas.openxmlformats.org/officeDocument/2006/relationships" r:embed="rId5"/>
        <a:stretch>
          <a:fillRect/>
        </a:stretch>
      </xdr:blipFill>
      <xdr:spPr>
        <a:xfrm>
          <a:off x="5220709" y="6259266"/>
          <a:ext cx="1866810" cy="1840176"/>
        </a:xfrm>
        <a:prstGeom prst="rect">
          <a:avLst/>
        </a:prstGeom>
      </xdr:spPr>
    </xdr:pic>
    <xdr:clientData/>
  </xdr:twoCellAnchor>
  <xdr:twoCellAnchor editAs="oneCell">
    <xdr:from>
      <xdr:col>12</xdr:col>
      <xdr:colOff>12337</xdr:colOff>
      <xdr:row>12</xdr:row>
      <xdr:rowOff>40425</xdr:rowOff>
    </xdr:from>
    <xdr:to>
      <xdr:col>15</xdr:col>
      <xdr:colOff>716178</xdr:colOff>
      <xdr:row>13</xdr:row>
      <xdr:rowOff>42592</xdr:rowOff>
    </xdr:to>
    <xdr:pic>
      <xdr:nvPicPr>
        <xdr:cNvPr id="7" name="Picture 6">
          <a:extLst>
            <a:ext uri="{FF2B5EF4-FFF2-40B4-BE49-F238E27FC236}">
              <a16:creationId xmlns:a16="http://schemas.microsoft.com/office/drawing/2014/main" id="{FAEA0C6F-1157-4B68-A037-200BB33E70C5}"/>
            </a:ext>
          </a:extLst>
        </xdr:cNvPr>
        <xdr:cNvPicPr>
          <a:picLocks noChangeAspect="1"/>
        </xdr:cNvPicPr>
      </xdr:nvPicPr>
      <xdr:blipFill>
        <a:blip xmlns:r="http://schemas.openxmlformats.org/officeDocument/2006/relationships" r:embed="rId6"/>
        <a:stretch>
          <a:fillRect/>
        </a:stretch>
      </xdr:blipFill>
      <xdr:spPr>
        <a:xfrm>
          <a:off x="8191137" y="6206275"/>
          <a:ext cx="2773940" cy="1907167"/>
        </a:xfrm>
        <a:prstGeom prst="rect">
          <a:avLst/>
        </a:prstGeom>
        <a:ln>
          <a:solidFill>
            <a:sysClr val="windowText" lastClr="000000"/>
          </a:solidFill>
        </a:ln>
      </xdr:spPr>
    </xdr:pic>
    <xdr:clientData/>
  </xdr:twoCellAnchor>
  <xdr:twoCellAnchor editAs="oneCell">
    <xdr:from>
      <xdr:col>2</xdr:col>
      <xdr:colOff>25400</xdr:colOff>
      <xdr:row>7</xdr:row>
      <xdr:rowOff>24695</xdr:rowOff>
    </xdr:from>
    <xdr:to>
      <xdr:col>6</xdr:col>
      <xdr:colOff>6400</xdr:colOff>
      <xdr:row>8</xdr:row>
      <xdr:rowOff>31750</xdr:rowOff>
    </xdr:to>
    <xdr:pic>
      <xdr:nvPicPr>
        <xdr:cNvPr id="8" name="Picture 7">
          <a:extLst>
            <a:ext uri="{FF2B5EF4-FFF2-40B4-BE49-F238E27FC236}">
              <a16:creationId xmlns:a16="http://schemas.microsoft.com/office/drawing/2014/main" id="{FDE07D5A-D077-4847-A0AB-9F4FCD6DE03F}"/>
            </a:ext>
          </a:extLst>
        </xdr:cNvPr>
        <xdr:cNvPicPr>
          <a:picLocks noChangeAspect="1"/>
        </xdr:cNvPicPr>
      </xdr:nvPicPr>
      <xdr:blipFill rotWithShape="1">
        <a:blip xmlns:r="http://schemas.openxmlformats.org/officeDocument/2006/relationships" r:embed="rId7"/>
        <a:srcRect b="2892"/>
        <a:stretch/>
      </xdr:blipFill>
      <xdr:spPr>
        <a:xfrm>
          <a:off x="1282700" y="3548945"/>
          <a:ext cx="2787700" cy="1912055"/>
        </a:xfrm>
        <a:prstGeom prst="rect">
          <a:avLst/>
        </a:prstGeom>
        <a:ln>
          <a:solidFill>
            <a:sysClr val="windowText" lastClr="000000"/>
          </a:solidFill>
        </a:ln>
      </xdr:spPr>
    </xdr:pic>
    <xdr:clientData/>
  </xdr:twoCellAnchor>
  <xdr:twoCellAnchor editAs="oneCell">
    <xdr:from>
      <xdr:col>7</xdr:col>
      <xdr:colOff>29079</xdr:colOff>
      <xdr:row>7</xdr:row>
      <xdr:rowOff>17531</xdr:rowOff>
    </xdr:from>
    <xdr:to>
      <xdr:col>10</xdr:col>
      <xdr:colOff>689333</xdr:colOff>
      <xdr:row>8</xdr:row>
      <xdr:rowOff>26741</xdr:rowOff>
    </xdr:to>
    <xdr:pic>
      <xdr:nvPicPr>
        <xdr:cNvPr id="9" name="Picture 8">
          <a:extLst>
            <a:ext uri="{FF2B5EF4-FFF2-40B4-BE49-F238E27FC236}">
              <a16:creationId xmlns:a16="http://schemas.microsoft.com/office/drawing/2014/main" id="{CD0BEA91-C411-401B-93FA-0F1033D1482D}"/>
            </a:ext>
          </a:extLst>
        </xdr:cNvPr>
        <xdr:cNvPicPr>
          <a:picLocks noChangeAspect="1"/>
        </xdr:cNvPicPr>
      </xdr:nvPicPr>
      <xdr:blipFill>
        <a:blip xmlns:r="http://schemas.openxmlformats.org/officeDocument/2006/relationships" r:embed="rId8"/>
        <a:stretch>
          <a:fillRect/>
        </a:stretch>
      </xdr:blipFill>
      <xdr:spPr>
        <a:xfrm>
          <a:off x="4747129" y="3541781"/>
          <a:ext cx="2730354" cy="1914210"/>
        </a:xfrm>
        <a:prstGeom prst="rect">
          <a:avLst/>
        </a:prstGeom>
        <a:ln>
          <a:solidFill>
            <a:sysClr val="windowText" lastClr="000000"/>
          </a:solidFill>
        </a:ln>
      </xdr:spPr>
    </xdr:pic>
    <xdr:clientData/>
  </xdr:twoCellAnchor>
  <xdr:twoCellAnchor editAs="oneCell">
    <xdr:from>
      <xdr:col>12</xdr:col>
      <xdr:colOff>10852</xdr:colOff>
      <xdr:row>7</xdr:row>
      <xdr:rowOff>19051</xdr:rowOff>
    </xdr:from>
    <xdr:to>
      <xdr:col>15</xdr:col>
      <xdr:colOff>720942</xdr:colOff>
      <xdr:row>8</xdr:row>
      <xdr:rowOff>24962</xdr:rowOff>
    </xdr:to>
    <xdr:pic>
      <xdr:nvPicPr>
        <xdr:cNvPr id="10" name="Picture 9">
          <a:extLst>
            <a:ext uri="{FF2B5EF4-FFF2-40B4-BE49-F238E27FC236}">
              <a16:creationId xmlns:a16="http://schemas.microsoft.com/office/drawing/2014/main" id="{91506EF5-7A5F-4774-92BF-C667BDBEE4AA}"/>
            </a:ext>
          </a:extLst>
        </xdr:cNvPr>
        <xdr:cNvPicPr>
          <a:picLocks noChangeAspect="1"/>
        </xdr:cNvPicPr>
      </xdr:nvPicPr>
      <xdr:blipFill>
        <a:blip xmlns:r="http://schemas.openxmlformats.org/officeDocument/2006/relationships" r:embed="rId9"/>
        <a:stretch>
          <a:fillRect/>
        </a:stretch>
      </xdr:blipFill>
      <xdr:spPr>
        <a:xfrm>
          <a:off x="8189652" y="3543301"/>
          <a:ext cx="2780189" cy="1910911"/>
        </a:xfrm>
        <a:prstGeom prst="rect">
          <a:avLst/>
        </a:prstGeom>
        <a:ln>
          <a:solidFill>
            <a:sysClr val="windowText" lastClr="000000"/>
          </a:solidFill>
        </a:ln>
      </xdr:spPr>
    </xdr:pic>
    <xdr:clientData/>
  </xdr:twoCellAnchor>
  <xdr:twoCellAnchor editAs="oneCell">
    <xdr:from>
      <xdr:col>2</xdr:col>
      <xdr:colOff>22078</xdr:colOff>
      <xdr:row>12</xdr:row>
      <xdr:rowOff>30601</xdr:rowOff>
    </xdr:from>
    <xdr:to>
      <xdr:col>6</xdr:col>
      <xdr:colOff>6350</xdr:colOff>
      <xdr:row>13</xdr:row>
      <xdr:rowOff>42312</xdr:rowOff>
    </xdr:to>
    <xdr:pic>
      <xdr:nvPicPr>
        <xdr:cNvPr id="11" name="Picture 10">
          <a:extLst>
            <a:ext uri="{FF2B5EF4-FFF2-40B4-BE49-F238E27FC236}">
              <a16:creationId xmlns:a16="http://schemas.microsoft.com/office/drawing/2014/main" id="{EC568443-0130-4495-B1B6-9F4F2BF5A729}"/>
            </a:ext>
          </a:extLst>
        </xdr:cNvPr>
        <xdr:cNvPicPr>
          <a:picLocks noChangeAspect="1"/>
        </xdr:cNvPicPr>
      </xdr:nvPicPr>
      <xdr:blipFill>
        <a:blip xmlns:r="http://schemas.openxmlformats.org/officeDocument/2006/relationships" r:embed="rId10"/>
        <a:stretch>
          <a:fillRect/>
        </a:stretch>
      </xdr:blipFill>
      <xdr:spPr>
        <a:xfrm>
          <a:off x="1279378" y="6196451"/>
          <a:ext cx="2790972" cy="1916711"/>
        </a:xfrm>
        <a:prstGeom prst="rect">
          <a:avLst/>
        </a:prstGeom>
        <a:ln>
          <a:solidFill>
            <a:sysClr val="windowText" lastClr="000000"/>
          </a:solidFill>
        </a:ln>
      </xdr:spPr>
    </xdr:pic>
    <xdr:clientData/>
  </xdr:twoCellAnchor>
  <xdr:twoCellAnchor editAs="oneCell">
    <xdr:from>
      <xdr:col>2</xdr:col>
      <xdr:colOff>3824</xdr:colOff>
      <xdr:row>17</xdr:row>
      <xdr:rowOff>82522</xdr:rowOff>
    </xdr:from>
    <xdr:to>
      <xdr:col>6</xdr:col>
      <xdr:colOff>1031</xdr:colOff>
      <xdr:row>18</xdr:row>
      <xdr:rowOff>38099</xdr:rowOff>
    </xdr:to>
    <xdr:pic>
      <xdr:nvPicPr>
        <xdr:cNvPr id="23" name="Picture 22">
          <a:extLst>
            <a:ext uri="{FF2B5EF4-FFF2-40B4-BE49-F238E27FC236}">
              <a16:creationId xmlns:a16="http://schemas.microsoft.com/office/drawing/2014/main" id="{ED193970-4BEE-469F-A9CB-403D0F958DB4}"/>
            </a:ext>
          </a:extLst>
        </xdr:cNvPr>
        <xdr:cNvPicPr>
          <a:picLocks noChangeAspect="1"/>
        </xdr:cNvPicPr>
      </xdr:nvPicPr>
      <xdr:blipFill rotWithShape="1">
        <a:blip xmlns:r="http://schemas.openxmlformats.org/officeDocument/2006/relationships" r:embed="rId11"/>
        <a:srcRect t="-1" r="664" b="9619"/>
        <a:stretch/>
      </xdr:blipFill>
      <xdr:spPr>
        <a:xfrm>
          <a:off x="1261124" y="8934422"/>
          <a:ext cx="2793448" cy="1860578"/>
        </a:xfrm>
        <a:prstGeom prst="rect">
          <a:avLst/>
        </a:prstGeom>
        <a:ln>
          <a:solidFill>
            <a:sysClr val="windowText" lastClr="000000"/>
          </a:solidFill>
        </a:ln>
      </xdr:spPr>
    </xdr:pic>
    <xdr:clientData/>
  </xdr:twoCellAnchor>
  <xdr:twoCellAnchor editAs="oneCell">
    <xdr:from>
      <xdr:col>7</xdr:col>
      <xdr:colOff>17965</xdr:colOff>
      <xdr:row>17</xdr:row>
      <xdr:rowOff>94334</xdr:rowOff>
    </xdr:from>
    <xdr:to>
      <xdr:col>10</xdr:col>
      <xdr:colOff>694097</xdr:colOff>
      <xdr:row>18</xdr:row>
      <xdr:rowOff>38148</xdr:rowOff>
    </xdr:to>
    <xdr:pic>
      <xdr:nvPicPr>
        <xdr:cNvPr id="24" name="Picture 23">
          <a:extLst>
            <a:ext uri="{FF2B5EF4-FFF2-40B4-BE49-F238E27FC236}">
              <a16:creationId xmlns:a16="http://schemas.microsoft.com/office/drawing/2014/main" id="{FB08ECDA-8A57-4795-87A3-E35A6D14E08E}"/>
            </a:ext>
          </a:extLst>
        </xdr:cNvPr>
        <xdr:cNvPicPr>
          <a:picLocks noChangeAspect="1"/>
        </xdr:cNvPicPr>
      </xdr:nvPicPr>
      <xdr:blipFill>
        <a:blip xmlns:r="http://schemas.openxmlformats.org/officeDocument/2006/relationships" r:embed="rId12"/>
        <a:stretch>
          <a:fillRect/>
        </a:stretch>
      </xdr:blipFill>
      <xdr:spPr>
        <a:xfrm>
          <a:off x="4736015" y="8946234"/>
          <a:ext cx="2746232" cy="1848815"/>
        </a:xfrm>
        <a:prstGeom prst="rect">
          <a:avLst/>
        </a:prstGeom>
        <a:ln>
          <a:solidFill>
            <a:sysClr val="windowText" lastClr="000000"/>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59</v>
          </cell>
          <cell r="D101">
            <v>98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151.99</v>
          </cell>
          <cell r="D176">
            <v>350</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555</v>
          </cell>
          <cell r="D212">
            <v>854</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493</v>
          </cell>
          <cell r="D579">
            <v>822</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355</v>
          </cell>
          <cell r="D650">
            <v>620</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6.25</v>
          </cell>
          <cell r="D795">
            <v>13.75</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89</v>
          </cell>
          <cell r="D833">
            <v>148</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08L92-S9V-300H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row r="861">
          <cell r="B861" t="str">
            <v xml:space="preserve">08DEF-452080  </v>
          </cell>
          <cell r="C861">
            <v>149</v>
          </cell>
          <cell r="D861">
            <v>213</v>
          </cell>
        </row>
      </sheetData>
      <sheetData sheetId="1"/>
      <sheetData sheetId="2"/>
      <sheetData sheetId="3"/>
      <sheetData sheetId="4"/>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09375" defaultRowHeight="13.2" outlineLevelRow="1"/>
  <cols>
    <col min="1" max="1" width="9.109375" style="3"/>
    <col min="2" max="2" width="32" style="3" bestFit="1" customWidth="1"/>
    <col min="3" max="3" width="30.5546875" style="3" bestFit="1" customWidth="1"/>
    <col min="4" max="16384" width="9.109375" style="3"/>
  </cols>
  <sheetData>
    <row r="1" spans="1:4">
      <c r="A1" s="4"/>
      <c r="B1" s="4"/>
      <c r="C1" s="4"/>
      <c r="D1" s="4"/>
    </row>
    <row r="2" spans="1:4" ht="15">
      <c r="A2" s="4"/>
      <c r="B2" s="1" t="s">
        <v>35</v>
      </c>
      <c r="C2" s="10">
        <v>6.9900000000000004E-2</v>
      </c>
      <c r="D2" s="14" t="s">
        <v>54</v>
      </c>
    </row>
    <row r="3" spans="1:4" ht="15">
      <c r="A3" s="4"/>
      <c r="B3" s="1" t="s">
        <v>36</v>
      </c>
      <c r="C3" s="11">
        <v>52</v>
      </c>
      <c r="D3" s="14" t="s">
        <v>54</v>
      </c>
    </row>
    <row r="4" spans="1:4" ht="15">
      <c r="A4" s="4"/>
      <c r="B4" s="1" t="s">
        <v>37</v>
      </c>
      <c r="C4" s="12">
        <v>5</v>
      </c>
      <c r="D4" s="14" t="s">
        <v>54</v>
      </c>
    </row>
    <row r="5" spans="1:4" ht="15">
      <c r="A5" s="4"/>
      <c r="B5" s="1" t="s">
        <v>38</v>
      </c>
      <c r="C5" s="5">
        <v>10000</v>
      </c>
      <c r="D5" s="14" t="s">
        <v>55</v>
      </c>
    </row>
    <row r="6" spans="1:4" ht="15">
      <c r="A6" s="4"/>
      <c r="B6" s="1"/>
      <c r="C6" s="1"/>
      <c r="D6" s="4"/>
    </row>
    <row r="7" spans="1:4" ht="15">
      <c r="A7" s="4"/>
      <c r="B7" s="1" t="s">
        <v>39</v>
      </c>
      <c r="C7" s="6" t="s">
        <v>40</v>
      </c>
      <c r="D7" s="4"/>
    </row>
    <row r="8" spans="1:4" ht="13.8">
      <c r="A8" s="4"/>
      <c r="B8" s="4"/>
      <c r="C8" s="7">
        <f>-PMT(C2/C3,C4*C3,C5)</f>
        <v>45.598988283683823</v>
      </c>
      <c r="D8" s="13" t="s">
        <v>53</v>
      </c>
    </row>
    <row r="9" spans="1:4">
      <c r="A9" s="4"/>
      <c r="C9" s="4"/>
      <c r="D9" s="4"/>
    </row>
    <row r="10" spans="1:4">
      <c r="A10" s="4"/>
      <c r="B10" s="84" t="s">
        <v>132</v>
      </c>
      <c r="C10" s="4"/>
      <c r="D10" s="4"/>
    </row>
    <row r="11" spans="1:4">
      <c r="A11" s="4"/>
      <c r="B11" s="4"/>
      <c r="C11" s="4"/>
      <c r="D11" s="4"/>
    </row>
    <row r="13" spans="1:4">
      <c r="B13" s="3" t="s">
        <v>41</v>
      </c>
    </row>
    <row r="15" spans="1:4">
      <c r="B15" s="9" t="s">
        <v>42</v>
      </c>
    </row>
    <row r="16" spans="1:4">
      <c r="B16" s="9" t="s">
        <v>43</v>
      </c>
    </row>
    <row r="19" spans="2:11">
      <c r="B19" s="3" t="s">
        <v>44</v>
      </c>
    </row>
    <row r="21" spans="2:11" ht="76.5" hidden="1" customHeight="1" outlineLevel="1">
      <c r="B21" s="333" t="s">
        <v>46</v>
      </c>
      <c r="C21" s="333"/>
      <c r="D21" s="333"/>
      <c r="E21" s="333"/>
      <c r="F21" s="333"/>
      <c r="G21" s="333"/>
      <c r="H21" s="333"/>
      <c r="I21" s="333"/>
      <c r="J21" s="333"/>
      <c r="K21" s="333"/>
    </row>
    <row r="22" spans="2:11" ht="86.25" hidden="1" customHeight="1" outlineLevel="1">
      <c r="B22" s="334" t="s">
        <v>48</v>
      </c>
      <c r="C22" s="334"/>
      <c r="D22" s="334"/>
      <c r="E22" s="334"/>
      <c r="F22" s="334"/>
      <c r="G22" s="334"/>
      <c r="H22" s="334"/>
      <c r="I22" s="334"/>
      <c r="J22" s="334"/>
      <c r="K22" s="334"/>
    </row>
    <row r="23" spans="2:11" hidden="1" outlineLevel="1">
      <c r="B23" s="3" t="s">
        <v>32</v>
      </c>
    </row>
    <row r="24" spans="2:11" hidden="1" outlineLevel="1">
      <c r="B24" s="3" t="s">
        <v>49</v>
      </c>
    </row>
    <row r="25" spans="2:11" hidden="1" outlineLevel="1"/>
    <row r="26" spans="2:11" hidden="1" outlineLevel="1">
      <c r="B26" s="3" t="s">
        <v>33</v>
      </c>
    </row>
    <row r="27" spans="2:11" hidden="1" outlineLevel="1">
      <c r="B27" s="3" t="s">
        <v>34</v>
      </c>
    </row>
    <row r="28" spans="2:11" hidden="1" outlineLevel="1">
      <c r="B28" s="3" t="s">
        <v>47</v>
      </c>
    </row>
    <row r="29" spans="2:11" hidden="1" outlineLevel="1"/>
    <row r="30" spans="2:11" hidden="1" outlineLevel="1">
      <c r="B30" s="3" t="s">
        <v>50</v>
      </c>
    </row>
    <row r="31" spans="2:11" hidden="1" outlineLevel="1">
      <c r="B31" s="3" t="s">
        <v>51</v>
      </c>
    </row>
    <row r="32" spans="2:11" hidden="1" outlineLevel="1">
      <c r="B32" s="3" t="s">
        <v>52</v>
      </c>
    </row>
    <row r="33" spans="2:2" collapsed="1"/>
    <row r="35" spans="2:2">
      <c r="B35" s="85" t="s">
        <v>45</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54"/>
  <sheetViews>
    <sheetView workbookViewId="0">
      <pane ySplit="1" topLeftCell="A2" activePane="bottomLeft" state="frozen"/>
      <selection activeCell="B35" sqref="B35"/>
      <selection pane="bottomLeft" activeCell="B4" sqref="B4:B44"/>
    </sheetView>
  </sheetViews>
  <sheetFormatPr defaultColWidth="8.88671875" defaultRowHeight="13.2" outlineLevelCol="1"/>
  <cols>
    <col min="1" max="1" width="22.44140625" style="3" customWidth="1" outlineLevel="1"/>
    <col min="2" max="2" width="3.88671875" style="3" customWidth="1" outlineLevel="1"/>
    <col min="3" max="3" width="53.109375" style="3" customWidth="1" outlineLevel="1"/>
    <col min="4" max="4" width="39.44140625" style="3" bestFit="1" customWidth="1"/>
    <col min="5" max="5" width="2.88671875" style="3" bestFit="1" customWidth="1"/>
    <col min="6" max="6" width="6.88671875" style="3" bestFit="1" customWidth="1"/>
    <col min="7" max="7" width="6.88671875" style="3" customWidth="1"/>
    <col min="8" max="8" width="7.88671875" style="3" bestFit="1" customWidth="1"/>
    <col min="9" max="9" width="10.44140625" style="3" bestFit="1" customWidth="1"/>
    <col min="10" max="10" width="7.5546875" style="3" bestFit="1" customWidth="1"/>
    <col min="11" max="11" width="5.88671875" style="3" bestFit="1" customWidth="1"/>
    <col min="12" max="12" width="6.109375" style="3" bestFit="1" customWidth="1"/>
    <col min="13" max="13" width="7.109375" style="3" bestFit="1" customWidth="1"/>
    <col min="14" max="16384" width="8.88671875" style="3"/>
  </cols>
  <sheetData>
    <row r="1" spans="1:13" ht="48">
      <c r="A1" s="219" t="s">
        <v>209</v>
      </c>
      <c r="B1" s="213"/>
      <c r="C1" s="212"/>
      <c r="D1" s="163" t="s">
        <v>207</v>
      </c>
      <c r="E1" s="214" t="s">
        <v>208</v>
      </c>
      <c r="F1" s="163" t="s">
        <v>152</v>
      </c>
      <c r="G1" s="163" t="s">
        <v>153</v>
      </c>
      <c r="H1" s="163" t="s">
        <v>154</v>
      </c>
      <c r="I1" s="163" t="s">
        <v>155</v>
      </c>
      <c r="J1" s="163" t="s">
        <v>156</v>
      </c>
      <c r="K1" s="163" t="s">
        <v>157</v>
      </c>
      <c r="L1" s="163" t="s">
        <v>158</v>
      </c>
      <c r="M1" s="163" t="s">
        <v>159</v>
      </c>
    </row>
    <row r="2" spans="1:13">
      <c r="A2" s="335" t="s">
        <v>203</v>
      </c>
      <c r="B2" s="215">
        <v>1</v>
      </c>
      <c r="C2" s="216" t="s">
        <v>419</v>
      </c>
      <c r="F2" s="217"/>
      <c r="G2" s="217"/>
      <c r="H2" s="218"/>
      <c r="I2" s="217"/>
      <c r="J2" s="217"/>
      <c r="K2" s="217"/>
      <c r="L2" s="217"/>
    </row>
    <row r="3" spans="1:13">
      <c r="A3" s="336"/>
      <c r="B3" s="215">
        <v>2</v>
      </c>
      <c r="C3" s="216" t="s">
        <v>424</v>
      </c>
      <c r="F3" s="217"/>
      <c r="G3" s="217"/>
      <c r="H3" s="218"/>
      <c r="I3" s="217"/>
      <c r="J3" s="217"/>
      <c r="K3" s="217"/>
      <c r="L3" s="217"/>
    </row>
    <row r="4" spans="1:13">
      <c r="A4" s="336"/>
      <c r="B4" s="215">
        <v>3</v>
      </c>
      <c r="C4" s="216" t="s">
        <v>427</v>
      </c>
      <c r="F4" s="217"/>
      <c r="G4" s="217"/>
      <c r="H4" s="218"/>
      <c r="I4" s="217"/>
      <c r="J4" s="217"/>
      <c r="K4" s="217"/>
      <c r="L4" s="217"/>
    </row>
    <row r="5" spans="1:13">
      <c r="A5" s="336"/>
      <c r="B5" s="215">
        <v>4</v>
      </c>
      <c r="C5" s="216" t="s">
        <v>414</v>
      </c>
      <c r="F5" s="217"/>
      <c r="G5" s="217"/>
      <c r="H5" s="218"/>
      <c r="I5" s="217"/>
      <c r="J5" s="217"/>
      <c r="K5" s="217"/>
      <c r="L5" s="217"/>
    </row>
    <row r="6" spans="1:13">
      <c r="A6" s="336"/>
      <c r="B6" s="215">
        <v>5</v>
      </c>
      <c r="C6" s="216" t="s">
        <v>442</v>
      </c>
      <c r="F6" s="217"/>
      <c r="G6" s="217"/>
      <c r="H6" s="218"/>
      <c r="I6" s="217"/>
      <c r="J6" s="217"/>
      <c r="K6" s="217"/>
      <c r="L6" s="217"/>
    </row>
    <row r="7" spans="1:13">
      <c r="A7" s="336"/>
      <c r="B7" s="215">
        <v>6</v>
      </c>
      <c r="C7" s="216" t="s">
        <v>434</v>
      </c>
      <c r="F7" s="217"/>
      <c r="G7" s="217"/>
      <c r="H7" s="218"/>
      <c r="I7" s="217"/>
      <c r="J7" s="217"/>
      <c r="K7" s="217"/>
      <c r="L7" s="217"/>
    </row>
    <row r="8" spans="1:13">
      <c r="A8" s="336"/>
      <c r="B8" s="215">
        <v>7</v>
      </c>
      <c r="C8" s="216" t="s">
        <v>449</v>
      </c>
      <c r="F8" s="217"/>
      <c r="G8" s="217"/>
      <c r="H8" s="218"/>
      <c r="I8" s="217"/>
      <c r="J8" s="217"/>
      <c r="K8" s="217"/>
      <c r="L8" s="217"/>
    </row>
    <row r="9" spans="1:13">
      <c r="A9" s="337" t="s">
        <v>192</v>
      </c>
      <c r="B9" s="215">
        <v>8</v>
      </c>
      <c r="C9" s="216" t="s">
        <v>304</v>
      </c>
      <c r="F9" s="217"/>
      <c r="G9" s="217"/>
      <c r="H9" s="218"/>
      <c r="I9" s="217"/>
      <c r="J9" s="217"/>
      <c r="K9" s="217"/>
      <c r="L9" s="217"/>
    </row>
    <row r="10" spans="1:13">
      <c r="A10" s="337"/>
      <c r="B10" s="215">
        <v>9</v>
      </c>
      <c r="C10" s="216" t="s">
        <v>306</v>
      </c>
      <c r="F10" s="217"/>
      <c r="G10" s="217"/>
      <c r="H10" s="217"/>
      <c r="I10" s="217"/>
      <c r="J10" s="217"/>
      <c r="K10" s="217"/>
      <c r="L10" s="217"/>
    </row>
    <row r="11" spans="1:13">
      <c r="A11" s="335" t="s">
        <v>222</v>
      </c>
      <c r="B11" s="215">
        <v>10</v>
      </c>
      <c r="C11" s="216" t="s">
        <v>260</v>
      </c>
      <c r="F11" s="217"/>
      <c r="G11" s="217"/>
      <c r="H11" s="217"/>
      <c r="I11" s="217"/>
      <c r="J11" s="217"/>
      <c r="K11" s="217"/>
      <c r="L11" s="217"/>
    </row>
    <row r="12" spans="1:13">
      <c r="A12" s="336"/>
      <c r="B12" s="215">
        <v>11</v>
      </c>
      <c r="C12" s="216" t="s">
        <v>262</v>
      </c>
      <c r="F12" s="217"/>
      <c r="G12" s="217"/>
      <c r="H12" s="217"/>
      <c r="I12" s="217"/>
      <c r="J12" s="217"/>
      <c r="K12" s="217"/>
      <c r="L12" s="217"/>
    </row>
    <row r="13" spans="1:13">
      <c r="A13" s="336"/>
      <c r="B13" s="215">
        <v>12</v>
      </c>
      <c r="C13" s="216" t="s">
        <v>111</v>
      </c>
      <c r="F13" s="217"/>
      <c r="G13" s="217"/>
      <c r="H13" s="217"/>
      <c r="I13" s="217"/>
      <c r="J13" s="217"/>
      <c r="K13" s="217"/>
      <c r="L13" s="217"/>
    </row>
    <row r="14" spans="1:13">
      <c r="A14" s="336"/>
      <c r="B14" s="215">
        <v>13</v>
      </c>
      <c r="C14" s="216" t="s">
        <v>252</v>
      </c>
      <c r="F14" s="217"/>
      <c r="G14" s="217"/>
      <c r="H14" s="217"/>
      <c r="I14" s="217"/>
      <c r="J14" s="217"/>
      <c r="K14" s="217"/>
      <c r="L14" s="217"/>
    </row>
    <row r="15" spans="1:13">
      <c r="A15" s="336"/>
      <c r="B15" s="215">
        <v>14</v>
      </c>
      <c r="C15" s="216" t="s">
        <v>110</v>
      </c>
      <c r="F15" s="217"/>
      <c r="G15" s="217"/>
      <c r="H15" s="217"/>
      <c r="I15" s="217"/>
      <c r="J15" s="217"/>
      <c r="K15" s="217"/>
      <c r="L15" s="217"/>
    </row>
    <row r="16" spans="1:13">
      <c r="A16" s="336"/>
      <c r="B16" s="215">
        <v>15</v>
      </c>
      <c r="C16" s="216" t="s">
        <v>108</v>
      </c>
      <c r="F16" s="217"/>
      <c r="G16" s="217"/>
      <c r="H16" s="217"/>
      <c r="I16" s="217"/>
      <c r="J16" s="217"/>
      <c r="K16" s="217"/>
      <c r="L16" s="217"/>
    </row>
    <row r="17" spans="1:12">
      <c r="A17" s="338" t="s">
        <v>193</v>
      </c>
      <c r="B17" s="215">
        <v>16</v>
      </c>
      <c r="C17" s="216" t="s">
        <v>379</v>
      </c>
      <c r="F17" s="217"/>
      <c r="G17" s="217"/>
      <c r="H17" s="217"/>
      <c r="I17" s="217"/>
      <c r="J17" s="217"/>
      <c r="K17" s="217"/>
      <c r="L17" s="217"/>
    </row>
    <row r="18" spans="1:12">
      <c r="A18" s="338"/>
      <c r="B18" s="215">
        <v>17</v>
      </c>
      <c r="C18" s="216" t="s">
        <v>381</v>
      </c>
      <c r="F18" s="217"/>
      <c r="G18" s="217"/>
      <c r="H18" s="217"/>
      <c r="I18" s="217"/>
      <c r="J18" s="217"/>
      <c r="K18" s="217"/>
      <c r="L18" s="217"/>
    </row>
    <row r="19" spans="1:12">
      <c r="A19" s="338"/>
      <c r="B19" s="215">
        <v>18</v>
      </c>
      <c r="C19" s="216" t="s">
        <v>380</v>
      </c>
      <c r="F19" s="217"/>
      <c r="G19" s="217"/>
      <c r="H19" s="217"/>
      <c r="I19" s="217"/>
      <c r="J19" s="217"/>
      <c r="K19" s="217"/>
      <c r="L19" s="217"/>
    </row>
    <row r="20" spans="1:12">
      <c r="A20" s="338"/>
      <c r="B20" s="215">
        <v>19</v>
      </c>
      <c r="C20" s="216" t="s">
        <v>391</v>
      </c>
      <c r="F20" s="217"/>
      <c r="G20" s="217"/>
      <c r="H20" s="217"/>
      <c r="I20" s="217"/>
      <c r="J20" s="217"/>
      <c r="K20" s="217"/>
      <c r="L20" s="217"/>
    </row>
    <row r="21" spans="1:12">
      <c r="A21" s="338"/>
      <c r="B21" s="215">
        <v>20</v>
      </c>
      <c r="C21" s="216" t="s">
        <v>393</v>
      </c>
      <c r="F21" s="217"/>
      <c r="G21" s="217"/>
      <c r="H21" s="217"/>
      <c r="I21" s="217"/>
      <c r="J21" s="217"/>
      <c r="K21" s="217"/>
      <c r="L21" s="217"/>
    </row>
    <row r="22" spans="1:12">
      <c r="A22" s="338"/>
      <c r="B22" s="215">
        <v>21</v>
      </c>
      <c r="C22" s="216" t="s">
        <v>395</v>
      </c>
      <c r="F22" s="217"/>
      <c r="G22" s="217"/>
      <c r="H22" s="217"/>
      <c r="I22" s="217"/>
      <c r="J22" s="217"/>
      <c r="K22" s="217"/>
      <c r="L22" s="217"/>
    </row>
    <row r="23" spans="1:12">
      <c r="A23" s="338"/>
      <c r="B23" s="215">
        <v>22</v>
      </c>
      <c r="C23" s="216" t="s">
        <v>397</v>
      </c>
      <c r="F23" s="217"/>
      <c r="G23" s="217"/>
      <c r="H23" s="217"/>
      <c r="I23" s="217"/>
      <c r="J23" s="217"/>
      <c r="K23" s="217"/>
      <c r="L23" s="217"/>
    </row>
    <row r="24" spans="1:12">
      <c r="A24" s="338"/>
      <c r="B24" s="215">
        <v>23</v>
      </c>
      <c r="C24" s="216" t="s">
        <v>269</v>
      </c>
      <c r="F24" s="217"/>
      <c r="G24" s="217"/>
      <c r="H24" s="217"/>
      <c r="I24" s="217"/>
      <c r="J24" s="217"/>
      <c r="K24" s="217"/>
      <c r="L24" s="217"/>
    </row>
    <row r="25" spans="1:12">
      <c r="A25" s="338"/>
      <c r="B25" s="215">
        <v>24</v>
      </c>
      <c r="C25" s="216" t="s">
        <v>385</v>
      </c>
      <c r="F25" s="217"/>
      <c r="G25" s="217"/>
      <c r="H25" s="217"/>
      <c r="I25" s="217"/>
      <c r="J25" s="217"/>
      <c r="K25" s="217"/>
      <c r="L25" s="217"/>
    </row>
    <row r="26" spans="1:12">
      <c r="A26" s="338"/>
      <c r="B26" s="215">
        <v>25</v>
      </c>
      <c r="C26" s="216" t="s">
        <v>382</v>
      </c>
      <c r="F26" s="217"/>
      <c r="G26" s="217"/>
      <c r="H26" s="217"/>
      <c r="I26" s="217"/>
      <c r="J26" s="217"/>
      <c r="K26" s="217"/>
      <c r="L26" s="217"/>
    </row>
    <row r="27" spans="1:12">
      <c r="A27" s="338" t="s">
        <v>194</v>
      </c>
      <c r="B27" s="215">
        <v>26</v>
      </c>
      <c r="C27" s="216" t="s">
        <v>335</v>
      </c>
      <c r="F27" s="217"/>
      <c r="G27" s="217"/>
      <c r="H27" s="217"/>
      <c r="I27" s="217"/>
      <c r="J27" s="217"/>
      <c r="K27" s="217"/>
      <c r="L27" s="217"/>
    </row>
    <row r="28" spans="1:12">
      <c r="A28" s="337"/>
      <c r="B28" s="215">
        <v>27</v>
      </c>
      <c r="C28" s="216" t="s">
        <v>107</v>
      </c>
      <c r="F28" s="217"/>
      <c r="G28" s="217"/>
      <c r="H28" s="217"/>
      <c r="I28" s="217"/>
      <c r="J28" s="217"/>
      <c r="K28" s="217"/>
      <c r="L28" s="217"/>
    </row>
    <row r="29" spans="1:12">
      <c r="A29" s="337" t="s">
        <v>195</v>
      </c>
      <c r="B29" s="215">
        <v>28</v>
      </c>
      <c r="C29" s="216" t="s">
        <v>364</v>
      </c>
      <c r="F29" s="217"/>
      <c r="G29" s="217"/>
      <c r="H29" s="217"/>
      <c r="I29" s="217"/>
      <c r="J29" s="217"/>
      <c r="K29" s="217"/>
      <c r="L29" s="217"/>
    </row>
    <row r="30" spans="1:12">
      <c r="A30" s="337"/>
      <c r="B30" s="215">
        <v>29</v>
      </c>
      <c r="C30" s="216" t="s">
        <v>20</v>
      </c>
      <c r="F30" s="217"/>
      <c r="G30" s="217"/>
      <c r="H30" s="217"/>
      <c r="I30" s="217"/>
      <c r="J30" s="217"/>
      <c r="K30" s="217"/>
      <c r="L30" s="217"/>
    </row>
    <row r="31" spans="1:12">
      <c r="A31" s="337"/>
      <c r="B31" s="215">
        <v>30</v>
      </c>
      <c r="C31" s="216" t="s">
        <v>361</v>
      </c>
      <c r="F31" s="217"/>
      <c r="G31" s="217"/>
      <c r="H31" s="217"/>
      <c r="I31" s="217"/>
      <c r="J31" s="217"/>
      <c r="K31" s="217"/>
      <c r="L31" s="217"/>
    </row>
    <row r="32" spans="1:12">
      <c r="A32" s="337"/>
      <c r="B32" s="215">
        <v>31</v>
      </c>
      <c r="C32" s="216" t="s">
        <v>234</v>
      </c>
      <c r="F32" s="217"/>
      <c r="G32" s="217"/>
      <c r="H32" s="217"/>
      <c r="I32" s="217"/>
      <c r="J32" s="217"/>
      <c r="K32" s="217"/>
      <c r="L32" s="217"/>
    </row>
    <row r="33" spans="1:13">
      <c r="A33" s="337"/>
      <c r="B33" s="215">
        <v>32</v>
      </c>
      <c r="C33" s="216" t="s">
        <v>106</v>
      </c>
      <c r="F33" s="217"/>
      <c r="G33" s="217"/>
      <c r="H33" s="217"/>
      <c r="I33" s="217"/>
      <c r="J33" s="217"/>
      <c r="K33" s="217"/>
      <c r="L33" s="217"/>
    </row>
    <row r="34" spans="1:13">
      <c r="A34" s="338" t="s">
        <v>196</v>
      </c>
      <c r="B34" s="215">
        <v>33</v>
      </c>
      <c r="C34" s="216" t="s">
        <v>370</v>
      </c>
      <c r="F34" s="217"/>
      <c r="G34" s="217"/>
      <c r="H34" s="217"/>
      <c r="I34" s="217"/>
      <c r="J34" s="217"/>
      <c r="K34" s="217"/>
      <c r="L34" s="217"/>
    </row>
    <row r="35" spans="1:13">
      <c r="A35" s="337"/>
      <c r="B35" s="215">
        <v>34</v>
      </c>
      <c r="C35" s="216" t="s">
        <v>104</v>
      </c>
      <c r="F35" s="217"/>
      <c r="G35" s="217"/>
      <c r="H35" s="217"/>
      <c r="I35" s="217"/>
      <c r="J35" s="217"/>
      <c r="K35" s="217"/>
      <c r="L35" s="217"/>
    </row>
    <row r="36" spans="1:13">
      <c r="A36" s="337"/>
      <c r="B36" s="215">
        <v>35</v>
      </c>
      <c r="C36" s="216" t="s">
        <v>28</v>
      </c>
      <c r="F36" s="217"/>
      <c r="G36" s="217"/>
      <c r="H36" s="217"/>
      <c r="I36" s="217"/>
      <c r="J36" s="217"/>
      <c r="K36" s="217"/>
      <c r="L36" s="217"/>
    </row>
    <row r="37" spans="1:13">
      <c r="A37" s="337" t="s">
        <v>197</v>
      </c>
      <c r="B37" s="215">
        <v>36</v>
      </c>
      <c r="C37" s="216" t="s">
        <v>109</v>
      </c>
      <c r="F37" s="217"/>
      <c r="G37" s="217"/>
      <c r="H37" s="217"/>
      <c r="I37" s="217"/>
      <c r="J37" s="217"/>
      <c r="K37" s="217"/>
      <c r="L37" s="217"/>
    </row>
    <row r="38" spans="1:13">
      <c r="A38" s="337"/>
      <c r="B38" s="215">
        <v>37</v>
      </c>
      <c r="C38" s="216" t="s">
        <v>325</v>
      </c>
      <c r="F38" s="217"/>
      <c r="G38" s="217"/>
      <c r="H38" s="217"/>
      <c r="I38" s="217"/>
      <c r="J38" s="217"/>
      <c r="K38" s="217"/>
      <c r="L38" s="217"/>
    </row>
    <row r="39" spans="1:13">
      <c r="A39" s="337"/>
      <c r="B39" s="215">
        <v>38</v>
      </c>
      <c r="C39" s="216" t="s">
        <v>329</v>
      </c>
      <c r="F39" s="217"/>
      <c r="G39" s="217"/>
      <c r="H39" s="217"/>
      <c r="I39" s="217"/>
      <c r="J39" s="217"/>
      <c r="K39" s="217"/>
      <c r="L39" s="217"/>
    </row>
    <row r="40" spans="1:13">
      <c r="A40" s="337"/>
      <c r="B40" s="215">
        <v>39</v>
      </c>
      <c r="C40" s="216" t="s">
        <v>103</v>
      </c>
      <c r="F40" s="217"/>
      <c r="G40" s="217"/>
      <c r="H40" s="217"/>
      <c r="I40" s="217"/>
      <c r="J40" s="217"/>
      <c r="K40" s="217"/>
      <c r="L40" s="217"/>
    </row>
    <row r="41" spans="1:13">
      <c r="A41" s="337"/>
      <c r="B41" s="215">
        <v>40</v>
      </c>
      <c r="C41" s="216" t="s">
        <v>311</v>
      </c>
      <c r="F41" s="217"/>
      <c r="G41" s="217"/>
      <c r="H41" s="217"/>
      <c r="I41" s="217"/>
      <c r="J41" s="217"/>
      <c r="K41" s="217"/>
      <c r="L41" s="217"/>
    </row>
    <row r="42" spans="1:13">
      <c r="A42" s="337"/>
      <c r="B42" s="215">
        <v>41</v>
      </c>
      <c r="C42" s="216" t="s">
        <v>315</v>
      </c>
      <c r="F42" s="217"/>
      <c r="G42" s="217"/>
      <c r="H42" s="217"/>
      <c r="I42" s="217"/>
      <c r="J42" s="217"/>
      <c r="K42" s="217"/>
      <c r="L42" s="217"/>
    </row>
    <row r="43" spans="1:13">
      <c r="A43" s="337"/>
      <c r="B43" s="215">
        <v>42</v>
      </c>
      <c r="C43" s="216" t="s">
        <v>125</v>
      </c>
      <c r="F43" s="217"/>
      <c r="G43" s="217"/>
      <c r="H43" s="217"/>
      <c r="I43" s="217"/>
      <c r="J43" s="217"/>
      <c r="K43" s="217"/>
      <c r="L43" s="217"/>
      <c r="M43" s="217"/>
    </row>
    <row r="44" spans="1:13">
      <c r="A44" s="337"/>
      <c r="B44" s="215">
        <v>43</v>
      </c>
      <c r="C44" s="216" t="s">
        <v>163</v>
      </c>
      <c r="F44" s="217"/>
      <c r="G44" s="217"/>
      <c r="H44" s="217"/>
      <c r="I44" s="217"/>
      <c r="J44" s="217"/>
      <c r="K44" s="217"/>
      <c r="L44" s="217"/>
      <c r="M44" s="217"/>
    </row>
    <row r="45" spans="1:13">
      <c r="B45" s="215"/>
    </row>
    <row r="46" spans="1:13">
      <c r="B46" s="215"/>
    </row>
    <row r="54" spans="6:12">
      <c r="F54" s="217"/>
      <c r="G54" s="217"/>
      <c r="H54" s="217"/>
      <c r="I54" s="217"/>
      <c r="J54" s="217"/>
      <c r="K54" s="217"/>
      <c r="L54" s="217"/>
    </row>
  </sheetData>
  <autoFilter ref="D1:M53" xr:uid="{DBECACE9-DEFD-4D1C-8455-027E3820AAFA}">
    <sortState xmlns:xlrd2="http://schemas.microsoft.com/office/spreadsheetml/2017/richdata2" ref="D11:M36">
      <sortCondition ref="E1:E53"/>
    </sortState>
  </autoFilter>
  <mergeCells count="9">
    <mergeCell ref="A2:A8"/>
    <mergeCell ref="A37:A41"/>
    <mergeCell ref="A42:A44"/>
    <mergeCell ref="A9:A10"/>
    <mergeCell ref="A17:A26"/>
    <mergeCell ref="A27:A28"/>
    <mergeCell ref="A29:A33"/>
    <mergeCell ref="A34:A36"/>
    <mergeCell ref="A11:A16"/>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T106"/>
  <sheetViews>
    <sheetView zoomScale="70" zoomScaleNormal="70" zoomScaleSheetLayoutView="100" workbookViewId="0">
      <pane ySplit="7" topLeftCell="A36" activePane="bottomLeft" state="frozen"/>
      <selection activeCell="W73" sqref="W73"/>
      <selection pane="bottomLeft" activeCell="R80" sqref="R80"/>
    </sheetView>
  </sheetViews>
  <sheetFormatPr defaultColWidth="9.109375" defaultRowHeight="14.4" outlineLevelRow="1"/>
  <cols>
    <col min="1" max="1" width="15.109375" style="51" customWidth="1"/>
    <col min="2" max="2" width="16.109375" style="51" customWidth="1"/>
    <col min="3" max="3" width="17.109375" style="51" customWidth="1"/>
    <col min="4" max="4" width="30.88671875" style="109" customWidth="1"/>
    <col min="5" max="5" width="39.44140625" style="109" customWidth="1"/>
    <col min="6" max="7" width="52.109375" style="113" customWidth="1"/>
    <col min="8" max="8" width="8.88671875" style="80" customWidth="1"/>
    <col min="9" max="9" width="8.44140625" style="51" customWidth="1"/>
    <col min="10" max="11" width="7.88671875" style="51" customWidth="1"/>
    <col min="12" max="12" width="11.5546875" style="51" customWidth="1"/>
    <col min="13" max="20" width="8.88671875" style="51" customWidth="1"/>
    <col min="21" max="22" width="33.109375" style="51" customWidth="1"/>
    <col min="23" max="23" width="8.5546875" style="80" customWidth="1"/>
    <col min="24" max="32" width="5.88671875" style="123" customWidth="1"/>
    <col min="33" max="34" width="7.88671875" style="80" customWidth="1"/>
    <col min="35" max="43" width="8.88671875" style="97" customWidth="1"/>
    <col min="44" max="44" width="27.44140625" style="97" customWidth="1"/>
    <col min="45" max="45" width="41.109375" style="97" customWidth="1"/>
    <col min="46" max="16384" width="9.109375" style="51"/>
  </cols>
  <sheetData>
    <row r="1" spans="1:46" s="195" customFormat="1" ht="10.199999999999999">
      <c r="B1" s="223">
        <v>1</v>
      </c>
      <c r="C1" s="223">
        <v>2</v>
      </c>
      <c r="D1" s="223">
        <v>3</v>
      </c>
      <c r="E1" s="223">
        <v>4</v>
      </c>
      <c r="F1" s="223">
        <v>5</v>
      </c>
      <c r="G1" s="223">
        <v>6</v>
      </c>
      <c r="H1" s="223">
        <v>23</v>
      </c>
      <c r="I1" s="223">
        <v>24</v>
      </c>
      <c r="J1" s="223">
        <v>25</v>
      </c>
      <c r="K1" s="223">
        <v>26</v>
      </c>
      <c r="L1" s="223">
        <v>27</v>
      </c>
      <c r="M1" s="223">
        <v>28</v>
      </c>
      <c r="N1" s="223"/>
      <c r="O1" s="223">
        <v>29</v>
      </c>
      <c r="P1" s="223">
        <v>30</v>
      </c>
      <c r="Q1" s="223">
        <v>31</v>
      </c>
      <c r="R1" s="223">
        <v>32</v>
      </c>
      <c r="S1" s="223"/>
      <c r="T1" s="223">
        <v>33</v>
      </c>
      <c r="U1" s="223">
        <v>34</v>
      </c>
      <c r="V1" s="223">
        <v>35</v>
      </c>
      <c r="W1" s="223">
        <v>9</v>
      </c>
      <c r="X1" s="223">
        <v>7</v>
      </c>
      <c r="Y1" s="223">
        <v>8</v>
      </c>
      <c r="Z1" s="223">
        <v>8</v>
      </c>
      <c r="AA1" s="223">
        <v>8</v>
      </c>
      <c r="AB1" s="223">
        <v>8</v>
      </c>
      <c r="AC1" s="223">
        <v>8</v>
      </c>
      <c r="AD1" s="223">
        <v>8</v>
      </c>
      <c r="AE1" s="223">
        <v>8</v>
      </c>
      <c r="AF1" s="223">
        <v>8</v>
      </c>
      <c r="AG1" s="223">
        <v>10</v>
      </c>
      <c r="AH1" s="223">
        <v>11</v>
      </c>
      <c r="AI1" s="223">
        <v>12</v>
      </c>
      <c r="AJ1" s="223">
        <v>13</v>
      </c>
      <c r="AK1" s="223">
        <v>14</v>
      </c>
      <c r="AL1" s="223">
        <v>15</v>
      </c>
      <c r="AM1" s="223">
        <v>16</v>
      </c>
      <c r="AN1" s="223">
        <v>17</v>
      </c>
      <c r="AO1" s="223">
        <v>18</v>
      </c>
      <c r="AP1" s="223">
        <v>19</v>
      </c>
      <c r="AQ1" s="223">
        <v>20</v>
      </c>
      <c r="AR1" s="223">
        <v>21</v>
      </c>
      <c r="AS1" s="223">
        <v>22</v>
      </c>
    </row>
    <row r="2" spans="1:46" ht="25.8">
      <c r="B2" s="104" t="s">
        <v>15</v>
      </c>
      <c r="C2" s="210" t="s">
        <v>236</v>
      </c>
      <c r="D2" s="106"/>
      <c r="E2" s="92"/>
      <c r="F2" s="111"/>
      <c r="G2" s="111"/>
      <c r="H2" s="89"/>
      <c r="I2" s="89"/>
      <c r="J2" s="89"/>
      <c r="K2" s="89"/>
      <c r="L2" s="89"/>
      <c r="M2" s="121" t="s">
        <v>168</v>
      </c>
      <c r="N2" s="121"/>
      <c r="O2" s="121"/>
      <c r="P2" s="122" t="s">
        <v>19</v>
      </c>
      <c r="Q2" s="122" t="s">
        <v>167</v>
      </c>
      <c r="R2" s="122" t="s">
        <v>21</v>
      </c>
      <c r="S2" s="122"/>
      <c r="T2" s="122" t="s">
        <v>126</v>
      </c>
      <c r="U2" s="94"/>
      <c r="W2" s="89"/>
      <c r="X2" s="120" t="s">
        <v>166</v>
      </c>
      <c r="Y2" s="120"/>
      <c r="Z2" s="120"/>
      <c r="AA2" s="120"/>
      <c r="AB2" s="120"/>
      <c r="AC2" s="120"/>
      <c r="AD2" s="120"/>
      <c r="AE2" s="120"/>
      <c r="AF2" s="120"/>
      <c r="AG2" s="89"/>
      <c r="AH2" s="89"/>
      <c r="AI2" s="91"/>
      <c r="AJ2" s="91"/>
      <c r="AK2" s="91"/>
      <c r="AL2" s="91"/>
      <c r="AM2" s="91"/>
      <c r="AN2" s="91"/>
      <c r="AO2" s="91"/>
      <c r="AP2" s="91"/>
      <c r="AQ2" s="91"/>
      <c r="AR2" s="91"/>
      <c r="AS2" s="91"/>
    </row>
    <row r="3" spans="1:46" ht="25.8">
      <c r="B3" s="104" t="s">
        <v>16</v>
      </c>
      <c r="C3" s="210">
        <v>2026</v>
      </c>
      <c r="D3" s="106"/>
      <c r="E3" s="92"/>
      <c r="F3" s="111"/>
      <c r="G3" s="111"/>
      <c r="H3" s="89"/>
      <c r="I3" s="89"/>
      <c r="J3" s="89"/>
      <c r="K3" s="89"/>
      <c r="L3" s="89"/>
      <c r="M3" s="89"/>
      <c r="N3" s="89"/>
      <c r="O3" s="89"/>
      <c r="P3" s="89"/>
      <c r="Q3" s="90"/>
      <c r="R3" s="90"/>
      <c r="S3" s="90"/>
      <c r="T3" s="93"/>
      <c r="U3" s="94"/>
      <c r="W3" s="99"/>
      <c r="AG3" s="99"/>
      <c r="AH3" s="99"/>
      <c r="AI3" s="99"/>
      <c r="AJ3" s="99"/>
      <c r="AK3" s="99"/>
      <c r="AL3" s="99"/>
      <c r="AM3" s="99"/>
      <c r="AN3" s="99"/>
      <c r="AO3" s="99"/>
      <c r="AP3" s="99"/>
      <c r="AQ3" s="99"/>
      <c r="AR3" s="91"/>
      <c r="AS3" s="91"/>
    </row>
    <row r="4" spans="1:46" ht="25.8">
      <c r="B4" s="104" t="s">
        <v>210</v>
      </c>
      <c r="C4" s="220">
        <v>46127</v>
      </c>
      <c r="D4" s="291" t="s">
        <v>459</v>
      </c>
      <c r="E4" s="92"/>
      <c r="F4" s="111"/>
      <c r="G4" s="111"/>
      <c r="H4" s="89"/>
      <c r="I4" s="89"/>
      <c r="J4" s="89"/>
      <c r="K4" s="89"/>
      <c r="L4" s="89"/>
      <c r="M4" s="345" t="s">
        <v>161</v>
      </c>
      <c r="N4" s="345"/>
      <c r="O4" s="345"/>
      <c r="P4" s="345"/>
      <c r="Q4" s="345"/>
      <c r="R4" s="345"/>
      <c r="S4" s="345"/>
      <c r="T4" s="345"/>
      <c r="U4" s="94"/>
      <c r="W4" s="99"/>
      <c r="AG4" s="99"/>
      <c r="AH4" s="99"/>
      <c r="AI4" s="99"/>
      <c r="AJ4" s="99"/>
      <c r="AK4" s="99"/>
      <c r="AL4" s="99"/>
      <c r="AM4" s="99"/>
      <c r="AN4" s="99"/>
      <c r="AO4" s="99"/>
      <c r="AP4" s="99"/>
      <c r="AQ4" s="99"/>
      <c r="AR4" s="91"/>
      <c r="AS4" s="91"/>
    </row>
    <row r="5" spans="1:46" s="95" customFormat="1" ht="25.8">
      <c r="D5" s="107"/>
      <c r="E5" s="110"/>
      <c r="F5" s="112"/>
      <c r="G5" s="112"/>
      <c r="H5" s="116"/>
      <c r="I5" s="96"/>
      <c r="J5" s="96"/>
      <c r="K5" s="96"/>
      <c r="L5" s="89"/>
      <c r="M5" s="346" t="s">
        <v>162</v>
      </c>
      <c r="N5" s="346"/>
      <c r="O5" s="346"/>
      <c r="P5" s="346"/>
      <c r="Q5" s="346"/>
      <c r="R5" s="346"/>
      <c r="S5" s="346"/>
      <c r="T5" s="346"/>
      <c r="U5" s="117"/>
      <c r="V5" s="117"/>
      <c r="W5" s="116"/>
      <c r="X5" s="124"/>
      <c r="Y5" s="124"/>
      <c r="Z5" s="124"/>
      <c r="AA5" s="124"/>
      <c r="AB5" s="124"/>
      <c r="AC5" s="124"/>
      <c r="AD5" s="124"/>
      <c r="AE5" s="124"/>
      <c r="AF5" s="124"/>
      <c r="AG5" s="116"/>
      <c r="AH5" s="116"/>
      <c r="AI5" s="296"/>
      <c r="AJ5" s="296"/>
      <c r="AK5" s="117"/>
      <c r="AL5" s="117"/>
      <c r="AM5" s="117"/>
      <c r="AN5" s="117"/>
      <c r="AO5" s="117"/>
      <c r="AP5" s="117"/>
      <c r="AQ5" s="117"/>
      <c r="AR5" s="245"/>
      <c r="AS5" s="245"/>
      <c r="AT5" s="117"/>
    </row>
    <row r="6" spans="1:46" s="97" customFormat="1" ht="25.5" customHeight="1">
      <c r="B6" s="98" t="s">
        <v>145</v>
      </c>
      <c r="C6" s="98" t="s">
        <v>146</v>
      </c>
      <c r="D6" s="100"/>
      <c r="E6" s="100"/>
      <c r="F6" s="113"/>
      <c r="G6" s="113"/>
      <c r="H6" s="116"/>
      <c r="L6" s="173" t="str">
        <f>prov_cd</f>
        <v>YT</v>
      </c>
      <c r="M6" s="172"/>
      <c r="N6" s="172"/>
      <c r="O6" s="172" t="s">
        <v>237</v>
      </c>
      <c r="P6" s="172"/>
      <c r="Q6" s="172" t="s">
        <v>240</v>
      </c>
      <c r="R6" s="172" t="s">
        <v>241</v>
      </c>
      <c r="S6" s="172"/>
      <c r="T6" s="172"/>
      <c r="W6" s="99"/>
      <c r="X6" s="343" t="s">
        <v>461</v>
      </c>
      <c r="Y6" s="343"/>
      <c r="Z6" s="343"/>
      <c r="AA6" s="343"/>
      <c r="AB6" s="343"/>
      <c r="AC6" s="343"/>
      <c r="AD6" s="343"/>
      <c r="AE6" s="343"/>
      <c r="AF6" s="344"/>
      <c r="AG6" s="347" t="s">
        <v>462</v>
      </c>
      <c r="AH6" s="348" t="s">
        <v>463</v>
      </c>
      <c r="AI6" s="339" t="s">
        <v>152</v>
      </c>
      <c r="AJ6" s="339" t="s">
        <v>465</v>
      </c>
      <c r="AK6" s="341" t="s">
        <v>464</v>
      </c>
      <c r="AL6" s="342"/>
      <c r="AM6" s="342"/>
      <c r="AN6" s="342"/>
      <c r="AO6" s="342"/>
      <c r="AP6" s="342"/>
      <c r="AQ6" s="342"/>
      <c r="AR6" s="245"/>
      <c r="AS6" s="245"/>
    </row>
    <row r="7" spans="1:46" s="100" customFormat="1" ht="36">
      <c r="B7" s="101" t="s">
        <v>140</v>
      </c>
      <c r="C7" s="101" t="s">
        <v>10</v>
      </c>
      <c r="D7" s="102" t="s">
        <v>142</v>
      </c>
      <c r="E7" s="102" t="s">
        <v>143</v>
      </c>
      <c r="F7" s="114" t="s">
        <v>144</v>
      </c>
      <c r="G7" s="114" t="s">
        <v>141</v>
      </c>
      <c r="H7" s="170" t="s">
        <v>12</v>
      </c>
      <c r="I7" s="171" t="s">
        <v>231</v>
      </c>
      <c r="J7" s="170" t="s">
        <v>17</v>
      </c>
      <c r="K7" s="170" t="s">
        <v>147</v>
      </c>
      <c r="L7" s="170" t="s">
        <v>149</v>
      </c>
      <c r="M7" s="172"/>
      <c r="N7" s="172"/>
      <c r="O7" s="172" t="s">
        <v>237</v>
      </c>
      <c r="P7" s="172"/>
      <c r="Q7" s="172" t="s">
        <v>238</v>
      </c>
      <c r="R7" s="172" t="s">
        <v>239</v>
      </c>
      <c r="S7" s="172"/>
      <c r="T7" s="172"/>
      <c r="U7" s="174" t="s">
        <v>150</v>
      </c>
      <c r="V7" s="174" t="s">
        <v>151</v>
      </c>
      <c r="W7" s="246" t="s">
        <v>148</v>
      </c>
      <c r="X7" s="294" t="s">
        <v>466</v>
      </c>
      <c r="Y7" s="294" t="s">
        <v>489</v>
      </c>
      <c r="Z7" s="294" t="s">
        <v>490</v>
      </c>
      <c r="AA7" s="294" t="s">
        <v>491</v>
      </c>
      <c r="AB7" s="294" t="s">
        <v>492</v>
      </c>
      <c r="AC7" s="294" t="s">
        <v>493</v>
      </c>
      <c r="AD7" s="294" t="s">
        <v>494</v>
      </c>
      <c r="AE7" s="294" t="s">
        <v>495</v>
      </c>
      <c r="AF7" s="294" t="s">
        <v>496</v>
      </c>
      <c r="AG7" s="347"/>
      <c r="AH7" s="349"/>
      <c r="AI7" s="340"/>
      <c r="AJ7" s="340"/>
      <c r="AK7" s="295" t="s">
        <v>154</v>
      </c>
      <c r="AL7" s="295" t="s">
        <v>155</v>
      </c>
      <c r="AM7" s="295" t="s">
        <v>156</v>
      </c>
      <c r="AN7" s="295" t="s">
        <v>157</v>
      </c>
      <c r="AO7" s="295" t="s">
        <v>158</v>
      </c>
      <c r="AP7" s="295" t="s">
        <v>159</v>
      </c>
      <c r="AQ7" s="295"/>
      <c r="AR7" s="162" t="s">
        <v>205</v>
      </c>
      <c r="AS7" s="162" t="s">
        <v>206</v>
      </c>
    </row>
    <row r="8" spans="1:46" ht="30.6">
      <c r="B8" s="189" t="s">
        <v>415</v>
      </c>
      <c r="C8" s="108" t="str">
        <f>B8</f>
        <v>23ACC-PRO-PK</v>
      </c>
      <c r="D8" s="108" t="s">
        <v>416</v>
      </c>
      <c r="E8" s="108" t="s">
        <v>417</v>
      </c>
      <c r="F8" s="115" t="s">
        <v>418</v>
      </c>
      <c r="G8" s="115" t="s">
        <v>235</v>
      </c>
      <c r="H8" s="165">
        <f>H69+H70</f>
        <v>0.2</v>
      </c>
      <c r="I8" s="165"/>
      <c r="J8" s="165">
        <f>(J69+J70)*0.9</f>
        <v>273.60000000000002</v>
      </c>
      <c r="K8" s="165">
        <f t="shared" ref="K8" si="0">K69+K70</f>
        <v>507</v>
      </c>
      <c r="L8" s="164">
        <f t="shared" ref="L8:L15" si="1">K8+(H8*VLOOKUP(prov_cd,rate_table,2,FALSE))</f>
        <v>543.20000000000005</v>
      </c>
      <c r="M8" s="175"/>
      <c r="N8" s="175"/>
      <c r="O8" s="186" t="s">
        <v>18</v>
      </c>
      <c r="P8" s="186"/>
      <c r="Q8" s="186" t="s">
        <v>18</v>
      </c>
      <c r="R8" s="186" t="s">
        <v>18</v>
      </c>
      <c r="S8" s="186"/>
      <c r="T8" s="175"/>
      <c r="U8" s="115"/>
      <c r="V8" s="115"/>
      <c r="W8" s="247">
        <v>1</v>
      </c>
      <c r="X8" s="125" t="s">
        <v>166</v>
      </c>
      <c r="Y8" s="292"/>
      <c r="Z8" s="292"/>
      <c r="AA8" s="292"/>
      <c r="AB8" s="292"/>
      <c r="AC8" s="292"/>
      <c r="AD8" s="292"/>
      <c r="AE8" s="292"/>
      <c r="AF8" s="292"/>
      <c r="AG8" s="186"/>
      <c r="AH8" s="186"/>
      <c r="AI8" s="186" t="s">
        <v>18</v>
      </c>
      <c r="AJ8" s="186"/>
      <c r="AK8" s="186"/>
      <c r="AL8" s="186"/>
      <c r="AM8" s="186" t="s">
        <v>18</v>
      </c>
      <c r="AN8" s="186"/>
      <c r="AO8" s="186"/>
      <c r="AP8" s="186"/>
      <c r="AQ8" s="186"/>
      <c r="AR8" s="297"/>
      <c r="AS8" s="298" t="s">
        <v>481</v>
      </c>
    </row>
    <row r="9" spans="1:46" ht="51">
      <c r="B9" s="189" t="s">
        <v>452</v>
      </c>
      <c r="C9" s="108" t="str">
        <f>B9</f>
        <v>23ACC-PRO-PKA</v>
      </c>
      <c r="D9" s="108" t="s">
        <v>419</v>
      </c>
      <c r="E9" s="108" t="s">
        <v>420</v>
      </c>
      <c r="F9" s="115" t="s">
        <v>421</v>
      </c>
      <c r="G9" s="115" t="s">
        <v>422</v>
      </c>
      <c r="H9" s="165">
        <f>H69+H70+H40+H72</f>
        <v>1</v>
      </c>
      <c r="I9" s="165"/>
      <c r="J9" s="165">
        <f>(J69+J70+J40+J72)*0.9</f>
        <v>342.89100000000002</v>
      </c>
      <c r="K9" s="165">
        <f>(K69+K70+K40+K72)*0.9</f>
        <v>583.20000000000005</v>
      </c>
      <c r="L9" s="164">
        <f t="shared" si="1"/>
        <v>764.2</v>
      </c>
      <c r="M9" s="175"/>
      <c r="N9" s="175"/>
      <c r="O9" s="186" t="s">
        <v>18</v>
      </c>
      <c r="P9" s="186"/>
      <c r="Q9" s="186" t="s">
        <v>18</v>
      </c>
      <c r="R9" s="175" t="s">
        <v>19</v>
      </c>
      <c r="S9" s="175"/>
      <c r="T9" s="175"/>
      <c r="U9" s="115" t="s">
        <v>128</v>
      </c>
      <c r="V9" s="115" t="s">
        <v>129</v>
      </c>
      <c r="W9" s="247">
        <v>2</v>
      </c>
      <c r="X9" s="125" t="s">
        <v>166</v>
      </c>
      <c r="Y9" s="292"/>
      <c r="Z9" s="292"/>
      <c r="AA9" s="292"/>
      <c r="AB9" s="292"/>
      <c r="AC9" s="292"/>
      <c r="AD9" s="292"/>
      <c r="AE9" s="292"/>
      <c r="AF9" s="292"/>
      <c r="AG9" s="186"/>
      <c r="AH9" s="186"/>
      <c r="AI9" s="186" t="s">
        <v>18</v>
      </c>
      <c r="AJ9" s="186"/>
      <c r="AK9" s="186"/>
      <c r="AL9" s="186"/>
      <c r="AM9" s="186" t="s">
        <v>18</v>
      </c>
      <c r="AN9" s="186"/>
      <c r="AO9" s="186"/>
      <c r="AP9" s="186"/>
      <c r="AQ9" s="186"/>
      <c r="AR9" s="297"/>
      <c r="AS9" s="298" t="s">
        <v>482</v>
      </c>
    </row>
    <row r="10" spans="1:46" ht="40.799999999999997">
      <c r="A10" s="286" t="s">
        <v>523</v>
      </c>
      <c r="B10" s="103" t="s">
        <v>517</v>
      </c>
      <c r="C10" s="103" t="str">
        <f>B10</f>
        <v>26ACC-BLK-EMB</v>
      </c>
      <c r="D10" s="108" t="s">
        <v>427</v>
      </c>
      <c r="E10" s="108" t="s">
        <v>428</v>
      </c>
      <c r="F10" s="115" t="s">
        <v>518</v>
      </c>
      <c r="G10" s="115" t="s">
        <v>519</v>
      </c>
      <c r="H10" s="330">
        <f>SUM(H24:H27)</f>
        <v>0.89999999999999991</v>
      </c>
      <c r="I10" s="211"/>
      <c r="J10" s="211">
        <f>(J24+J25+J26+J27)*0.95</f>
        <v>155.79999999999998</v>
      </c>
      <c r="K10" s="211">
        <f>(K24+K25+K26+K27)*0.95</f>
        <v>260.3</v>
      </c>
      <c r="L10" s="164">
        <f t="shared" ref="L10" si="2">K10+(H10*VLOOKUP(prov_cd,rate_table,2,FALSE))</f>
        <v>423.2</v>
      </c>
      <c r="M10" s="175"/>
      <c r="N10" s="175"/>
      <c r="O10" s="175" t="s">
        <v>19</v>
      </c>
      <c r="P10" s="186"/>
      <c r="Q10" s="175" t="s">
        <v>19</v>
      </c>
      <c r="R10" s="186" t="s">
        <v>18</v>
      </c>
      <c r="S10" s="186"/>
      <c r="T10" s="175"/>
      <c r="U10" s="115" t="s">
        <v>59</v>
      </c>
      <c r="V10" s="115" t="s">
        <v>124</v>
      </c>
      <c r="W10" s="247">
        <v>3</v>
      </c>
      <c r="X10" s="125" t="s">
        <v>166</v>
      </c>
      <c r="Y10" s="292"/>
      <c r="Z10" s="292"/>
      <c r="AA10" s="292"/>
      <c r="AB10" s="292"/>
      <c r="AC10" s="292"/>
      <c r="AD10" s="292"/>
      <c r="AE10" s="292"/>
      <c r="AF10" s="292"/>
      <c r="AG10" s="186"/>
      <c r="AH10" s="186"/>
      <c r="AI10" s="186" t="s">
        <v>18</v>
      </c>
      <c r="AJ10" s="186"/>
      <c r="AK10" s="186"/>
      <c r="AL10" s="186"/>
      <c r="AM10" s="186"/>
      <c r="AN10" s="186"/>
      <c r="AO10" s="186" t="s">
        <v>18</v>
      </c>
      <c r="AP10" s="186"/>
      <c r="AQ10" s="186"/>
      <c r="AR10" s="297"/>
      <c r="AS10" s="298" t="s">
        <v>524</v>
      </c>
    </row>
    <row r="11" spans="1:46" ht="61.2">
      <c r="B11" s="103" t="s">
        <v>413</v>
      </c>
      <c r="C11" s="103" t="str">
        <f t="shared" ref="C11:C15" si="3">B11</f>
        <v>23ACC-ARO-EX</v>
      </c>
      <c r="D11" s="108" t="s">
        <v>525</v>
      </c>
      <c r="E11" s="108" t="s">
        <v>526</v>
      </c>
      <c r="F11" s="115" t="s">
        <v>441</v>
      </c>
      <c r="G11" s="115" t="s">
        <v>447</v>
      </c>
      <c r="H11" s="211">
        <f>H31+H32+H33+H63+H34</f>
        <v>3.5</v>
      </c>
      <c r="I11" s="211"/>
      <c r="J11" s="211">
        <f>(J31+J32+J33+J63+J34)*0.9</f>
        <v>1555.2</v>
      </c>
      <c r="K11" s="211">
        <f>(K31+K32+K33+K63+K34)*0.9</f>
        <v>2591.1</v>
      </c>
      <c r="L11" s="164">
        <f t="shared" si="1"/>
        <v>3224.6</v>
      </c>
      <c r="M11" s="175"/>
      <c r="N11" s="175"/>
      <c r="O11" s="186" t="s">
        <v>18</v>
      </c>
      <c r="P11" s="186"/>
      <c r="Q11" s="175" t="s">
        <v>19</v>
      </c>
      <c r="R11" s="175" t="s">
        <v>19</v>
      </c>
      <c r="S11" s="175"/>
      <c r="T11" s="175"/>
      <c r="U11" s="115" t="s">
        <v>437</v>
      </c>
      <c r="V11" s="115" t="s">
        <v>438</v>
      </c>
      <c r="W11" s="247">
        <v>4</v>
      </c>
      <c r="X11" s="125" t="s">
        <v>166</v>
      </c>
      <c r="Y11" s="292"/>
      <c r="Z11" s="292"/>
      <c r="AA11" s="292"/>
      <c r="AB11" s="292"/>
      <c r="AC11" s="292"/>
      <c r="AD11" s="292"/>
      <c r="AE11" s="292"/>
      <c r="AF11" s="292"/>
      <c r="AG11" s="186"/>
      <c r="AH11" s="186"/>
      <c r="AI11" s="186" t="s">
        <v>18</v>
      </c>
      <c r="AJ11" s="186"/>
      <c r="AK11" s="186"/>
      <c r="AL11" s="186"/>
      <c r="AM11" s="186"/>
      <c r="AN11" s="186"/>
      <c r="AO11" s="186" t="s">
        <v>18</v>
      </c>
      <c r="AP11" s="186"/>
      <c r="AQ11" s="186"/>
      <c r="AR11" s="297"/>
      <c r="AS11" s="298" t="s">
        <v>483</v>
      </c>
    </row>
    <row r="12" spans="1:46" ht="51">
      <c r="B12" s="103" t="s">
        <v>444</v>
      </c>
      <c r="C12" s="103" t="str">
        <f t="shared" si="3"/>
        <v>23ACC-ARO-SPHY</v>
      </c>
      <c r="D12" s="108" t="s">
        <v>442</v>
      </c>
      <c r="E12" s="108" t="s">
        <v>443</v>
      </c>
      <c r="F12" s="115" t="s">
        <v>445</v>
      </c>
      <c r="G12" s="115" t="s">
        <v>446</v>
      </c>
      <c r="H12" s="211">
        <f>H31+H32+H33</f>
        <v>1.7999999999999998</v>
      </c>
      <c r="I12" s="211"/>
      <c r="J12" s="211">
        <f>(J31+J32+J33)*0.9</f>
        <v>1018.8000000000001</v>
      </c>
      <c r="K12" s="211">
        <f>(K31+K32+K33)*0.9</f>
        <v>1697.4</v>
      </c>
      <c r="L12" s="164">
        <f t="shared" si="1"/>
        <v>2023.2</v>
      </c>
      <c r="M12" s="175"/>
      <c r="N12" s="175"/>
      <c r="O12" s="175" t="s">
        <v>19</v>
      </c>
      <c r="P12" s="186"/>
      <c r="Q12" s="186" t="s">
        <v>18</v>
      </c>
      <c r="R12" s="175" t="s">
        <v>19</v>
      </c>
      <c r="S12" s="175"/>
      <c r="T12" s="175"/>
      <c r="U12" s="115" t="s">
        <v>440</v>
      </c>
      <c r="V12" s="115" t="s">
        <v>439</v>
      </c>
      <c r="W12" s="247">
        <v>5</v>
      </c>
      <c r="X12" s="125" t="s">
        <v>166</v>
      </c>
      <c r="Y12" s="292"/>
      <c r="Z12" s="292"/>
      <c r="AA12" s="292"/>
      <c r="AB12" s="292"/>
      <c r="AC12" s="292"/>
      <c r="AD12" s="292"/>
      <c r="AE12" s="292"/>
      <c r="AF12" s="292"/>
      <c r="AG12" s="186"/>
      <c r="AH12" s="186"/>
      <c r="AI12" s="186" t="s">
        <v>18</v>
      </c>
      <c r="AJ12" s="186"/>
      <c r="AK12" s="186"/>
      <c r="AL12" s="186"/>
      <c r="AM12" s="186"/>
      <c r="AN12" s="186"/>
      <c r="AO12" s="186" t="s">
        <v>18</v>
      </c>
      <c r="AP12" s="186"/>
      <c r="AQ12" s="186"/>
      <c r="AR12" s="297"/>
      <c r="AS12" s="298" t="s">
        <v>497</v>
      </c>
    </row>
    <row r="13" spans="1:46" ht="67.5" customHeight="1">
      <c r="A13" s="46"/>
      <c r="B13" s="103" t="s">
        <v>436</v>
      </c>
      <c r="C13" s="103" t="str">
        <f t="shared" si="3"/>
        <v>23ACC-ARO-TRHY</v>
      </c>
      <c r="D13" s="108" t="s">
        <v>434</v>
      </c>
      <c r="E13" s="108" t="s">
        <v>435</v>
      </c>
      <c r="F13" s="115" t="s">
        <v>441</v>
      </c>
      <c r="G13" s="115" t="s">
        <v>433</v>
      </c>
      <c r="H13" s="211">
        <f>H31+H32+H33+H63+H35</f>
        <v>3.5</v>
      </c>
      <c r="I13" s="211"/>
      <c r="J13" s="211">
        <f>(J31+J32+J33+J63+J35)*0.9</f>
        <v>1555.2</v>
      </c>
      <c r="K13" s="211">
        <f>(K31+K32+K33+K63+K35)*0.9</f>
        <v>2591.1</v>
      </c>
      <c r="L13" s="164">
        <f t="shared" si="1"/>
        <v>3224.6</v>
      </c>
      <c r="M13" s="175"/>
      <c r="N13" s="175"/>
      <c r="O13" s="175" t="s">
        <v>19</v>
      </c>
      <c r="P13" s="186"/>
      <c r="Q13" s="175" t="s">
        <v>19</v>
      </c>
      <c r="R13" s="186" t="s">
        <v>18</v>
      </c>
      <c r="S13" s="186"/>
      <c r="T13" s="175"/>
      <c r="U13" s="115" t="s">
        <v>437</v>
      </c>
      <c r="V13" s="115" t="s">
        <v>438</v>
      </c>
      <c r="W13" s="247">
        <v>6</v>
      </c>
      <c r="X13" s="125" t="s">
        <v>166</v>
      </c>
      <c r="Y13" s="292"/>
      <c r="Z13" s="292"/>
      <c r="AA13" s="292"/>
      <c r="AB13" s="292"/>
      <c r="AC13" s="292"/>
      <c r="AD13" s="292"/>
      <c r="AE13" s="292"/>
      <c r="AF13" s="292"/>
      <c r="AG13" s="186"/>
      <c r="AH13" s="186"/>
      <c r="AI13" s="186" t="s">
        <v>18</v>
      </c>
      <c r="AJ13" s="186"/>
      <c r="AK13" s="186"/>
      <c r="AL13" s="186"/>
      <c r="AM13" s="186"/>
      <c r="AN13" s="186"/>
      <c r="AO13" s="186" t="s">
        <v>18</v>
      </c>
      <c r="AP13" s="186"/>
      <c r="AQ13" s="186"/>
      <c r="AR13" s="297"/>
      <c r="AS13" s="298" t="s">
        <v>484</v>
      </c>
    </row>
    <row r="14" spans="1:46" ht="33.75" customHeight="1">
      <c r="A14" s="46"/>
      <c r="B14" s="103" t="s">
        <v>448</v>
      </c>
      <c r="C14" s="103" t="str">
        <f t="shared" si="3"/>
        <v>23ACC-COLD-PKP</v>
      </c>
      <c r="D14" s="108" t="s">
        <v>449</v>
      </c>
      <c r="E14" s="108" t="s">
        <v>450</v>
      </c>
      <c r="F14" s="115" t="s">
        <v>169</v>
      </c>
      <c r="G14" s="115" t="s">
        <v>160</v>
      </c>
      <c r="H14" s="211">
        <f>H82+H83</f>
        <v>1.2</v>
      </c>
      <c r="I14" s="211"/>
      <c r="J14" s="211">
        <f>(J81+J83)*0.95</f>
        <v>226.1</v>
      </c>
      <c r="K14" s="211">
        <f>(K81+K83)*0.95</f>
        <v>377.15</v>
      </c>
      <c r="L14" s="164">
        <f t="shared" si="1"/>
        <v>594.34999999999991</v>
      </c>
      <c r="M14" s="175"/>
      <c r="N14" s="175"/>
      <c r="O14" s="186" t="s">
        <v>18</v>
      </c>
      <c r="P14" s="186"/>
      <c r="Q14" s="175" t="s">
        <v>19</v>
      </c>
      <c r="R14" s="175" t="s">
        <v>19</v>
      </c>
      <c r="S14" s="175"/>
      <c r="T14" s="175"/>
      <c r="U14" s="115" t="s">
        <v>59</v>
      </c>
      <c r="V14" s="115" t="s">
        <v>124</v>
      </c>
      <c r="W14" s="247">
        <v>7</v>
      </c>
      <c r="X14" s="125" t="s">
        <v>166</v>
      </c>
      <c r="Y14" s="292"/>
      <c r="Z14" s="292"/>
      <c r="AA14" s="292"/>
      <c r="AB14" s="292"/>
      <c r="AC14" s="292"/>
      <c r="AD14" s="292"/>
      <c r="AE14" s="292"/>
      <c r="AF14" s="292"/>
      <c r="AG14" s="186"/>
      <c r="AH14" s="186"/>
      <c r="AI14" s="186" t="s">
        <v>18</v>
      </c>
      <c r="AJ14" s="186"/>
      <c r="AK14" s="186"/>
      <c r="AL14" s="186" t="s">
        <v>18</v>
      </c>
      <c r="AM14" s="186"/>
      <c r="AN14" s="186"/>
      <c r="AO14" s="186"/>
      <c r="AP14" s="186"/>
      <c r="AQ14" s="186"/>
      <c r="AR14" s="297"/>
      <c r="AS14" s="298" t="s">
        <v>485</v>
      </c>
    </row>
    <row r="15" spans="1:46" ht="33.75" customHeight="1">
      <c r="A15" s="46"/>
      <c r="B15" s="108" t="s">
        <v>451</v>
      </c>
      <c r="C15" s="103" t="str">
        <f t="shared" si="3"/>
        <v>23ACC-COLD-PKH</v>
      </c>
      <c r="D15" s="108" t="s">
        <v>449</v>
      </c>
      <c r="E15" s="108" t="s">
        <v>450</v>
      </c>
      <c r="F15" s="115" t="s">
        <v>169</v>
      </c>
      <c r="G15" s="115" t="s">
        <v>160</v>
      </c>
      <c r="H15" s="211">
        <f>H81+H83</f>
        <v>1.2</v>
      </c>
      <c r="I15" s="211"/>
      <c r="J15" s="211">
        <f>(J82+J83)*0.95</f>
        <v>251.75</v>
      </c>
      <c r="K15" s="211">
        <f>(K82+K83)*0.95</f>
        <v>419.9</v>
      </c>
      <c r="L15" s="164">
        <f t="shared" si="1"/>
        <v>637.09999999999991</v>
      </c>
      <c r="M15" s="175"/>
      <c r="N15" s="175"/>
      <c r="O15" s="175" t="s">
        <v>19</v>
      </c>
      <c r="P15" s="186"/>
      <c r="Q15" s="186" t="s">
        <v>18</v>
      </c>
      <c r="R15" s="186" t="s">
        <v>18</v>
      </c>
      <c r="S15" s="186"/>
      <c r="T15" s="175"/>
      <c r="U15" s="115" t="s">
        <v>59</v>
      </c>
      <c r="V15" s="115" t="s">
        <v>124</v>
      </c>
      <c r="W15" s="247">
        <v>8</v>
      </c>
      <c r="X15" s="125" t="s">
        <v>166</v>
      </c>
      <c r="Y15" s="292"/>
      <c r="Z15" s="292"/>
      <c r="AA15" s="292"/>
      <c r="AB15" s="292"/>
      <c r="AC15" s="292"/>
      <c r="AD15" s="292"/>
      <c r="AE15" s="292"/>
      <c r="AF15" s="292"/>
      <c r="AG15" s="186"/>
      <c r="AH15" s="186"/>
      <c r="AI15" s="186" t="s">
        <v>18</v>
      </c>
      <c r="AJ15" s="186"/>
      <c r="AK15" s="186"/>
      <c r="AL15" s="186" t="s">
        <v>18</v>
      </c>
      <c r="AM15" s="186"/>
      <c r="AN15" s="186"/>
      <c r="AO15" s="186"/>
      <c r="AP15" s="186"/>
      <c r="AQ15" s="186"/>
      <c r="AR15" s="297"/>
      <c r="AS15" s="298" t="s">
        <v>486</v>
      </c>
    </row>
    <row r="16" spans="1:46" ht="15.6">
      <c r="A16" s="46"/>
      <c r="B16" s="108"/>
      <c r="C16" s="108"/>
      <c r="D16" s="108"/>
      <c r="E16" s="108"/>
      <c r="F16" s="115"/>
      <c r="G16" s="115"/>
      <c r="H16" s="165"/>
      <c r="I16" s="103"/>
      <c r="J16" s="165"/>
      <c r="K16" s="165"/>
      <c r="L16" s="164"/>
      <c r="M16" s="186"/>
      <c r="N16" s="186"/>
      <c r="O16" s="186"/>
      <c r="P16" s="186"/>
      <c r="Q16" s="186"/>
      <c r="R16" s="186"/>
      <c r="S16" s="186"/>
      <c r="T16" s="175"/>
      <c r="U16" s="115"/>
      <c r="V16" s="115"/>
      <c r="W16" s="247"/>
      <c r="X16" s="125"/>
      <c r="Y16" s="292"/>
      <c r="Z16" s="292"/>
      <c r="AA16" s="292"/>
      <c r="AB16" s="292"/>
      <c r="AC16" s="292"/>
      <c r="AD16" s="292"/>
      <c r="AE16" s="292"/>
      <c r="AF16" s="292"/>
      <c r="AG16" s="186"/>
      <c r="AH16" s="186"/>
      <c r="AI16" s="186"/>
      <c r="AJ16" s="186"/>
      <c r="AK16" s="186"/>
      <c r="AL16" s="186"/>
      <c r="AM16" s="186"/>
      <c r="AN16" s="186"/>
      <c r="AO16" s="186"/>
      <c r="AP16" s="186"/>
      <c r="AQ16" s="186"/>
      <c r="AR16" s="297"/>
      <c r="AS16" s="297"/>
    </row>
    <row r="17" spans="1:46">
      <c r="B17" s="203"/>
      <c r="C17" s="203"/>
      <c r="D17" s="205"/>
      <c r="E17" s="205"/>
      <c r="F17" s="206"/>
      <c r="G17" s="206"/>
      <c r="H17" s="207"/>
      <c r="I17" s="204"/>
      <c r="J17" s="208"/>
      <c r="K17" s="204"/>
      <c r="L17" s="209"/>
      <c r="M17" s="204"/>
      <c r="N17" s="204"/>
      <c r="O17" s="204"/>
      <c r="P17" s="204"/>
      <c r="Q17" s="204"/>
      <c r="R17" s="204"/>
      <c r="S17" s="204"/>
      <c r="T17" s="204"/>
      <c r="U17" s="206"/>
      <c r="V17" s="206"/>
      <c r="W17" s="206"/>
      <c r="X17" s="206"/>
      <c r="Y17" s="206"/>
      <c r="Z17" s="206"/>
      <c r="AA17" s="206"/>
      <c r="AB17" s="206"/>
      <c r="AC17" s="206"/>
      <c r="AD17" s="206"/>
      <c r="AE17" s="206"/>
      <c r="AF17" s="206"/>
      <c r="AG17" s="248"/>
      <c r="AH17" s="248"/>
      <c r="AI17" s="207"/>
      <c r="AJ17" s="207"/>
      <c r="AK17" s="207"/>
      <c r="AL17" s="207"/>
      <c r="AM17" s="207"/>
      <c r="AN17" s="207"/>
      <c r="AO17" s="207"/>
      <c r="AP17" s="207"/>
      <c r="AQ17" s="207"/>
      <c r="AR17" s="299"/>
      <c r="AS17" s="299"/>
      <c r="AT17" s="203"/>
    </row>
    <row r="18" spans="1:46" ht="30.6">
      <c r="B18" s="103" t="s">
        <v>259</v>
      </c>
      <c r="C18" s="103" t="str">
        <f t="shared" ref="C18:C19" si="4">B18</f>
        <v>08W17-PC4-300</v>
      </c>
      <c r="D18" s="103" t="s">
        <v>260</v>
      </c>
      <c r="E18" s="108" t="s">
        <v>263</v>
      </c>
      <c r="F18" s="115" t="s">
        <v>171</v>
      </c>
      <c r="G18" s="115" t="s">
        <v>170</v>
      </c>
      <c r="H18" s="105">
        <v>1.6</v>
      </c>
      <c r="I18" s="103"/>
      <c r="J18" s="161">
        <f>VLOOKUP(B18,'[2]MASTER PART LIST'!$B:$C,2,FALSE)*4</f>
        <v>376.4</v>
      </c>
      <c r="K18" s="164">
        <f>VLOOKUP(B18,'[2]MASTER PART LIST'!$B:$D,3,FALSE)*4</f>
        <v>627.28</v>
      </c>
      <c r="L18" s="164">
        <f t="shared" ref="L18:L19" si="5">K18+(H18*VLOOKUP(prov_cd,rate_table,2,FALSE))</f>
        <v>916.88</v>
      </c>
      <c r="M18" s="186"/>
      <c r="N18" s="186"/>
      <c r="O18" s="186" t="s">
        <v>126</v>
      </c>
      <c r="P18" s="186"/>
      <c r="Q18" s="186" t="s">
        <v>126</v>
      </c>
      <c r="R18" s="186" t="s">
        <v>126</v>
      </c>
      <c r="S18" s="186"/>
      <c r="T18" s="186"/>
      <c r="U18" s="115" t="s">
        <v>265</v>
      </c>
      <c r="V18" s="115" t="s">
        <v>266</v>
      </c>
      <c r="W18" s="247">
        <v>10</v>
      </c>
      <c r="X18" s="125"/>
      <c r="Y18" s="292"/>
      <c r="Z18" s="292"/>
      <c r="AA18" s="292"/>
      <c r="AB18" s="292"/>
      <c r="AC18" s="292"/>
      <c r="AD18" s="292"/>
      <c r="AE18" s="292"/>
      <c r="AF18" s="292"/>
      <c r="AG18" s="186" t="s">
        <v>18</v>
      </c>
      <c r="AH18" s="186"/>
      <c r="AI18" s="186"/>
      <c r="AJ18" s="186"/>
      <c r="AK18" s="186"/>
      <c r="AL18" s="186"/>
      <c r="AM18" s="186"/>
      <c r="AN18" s="186"/>
      <c r="AO18" s="186"/>
      <c r="AP18" s="186"/>
      <c r="AQ18" s="186"/>
      <c r="AR18" s="297"/>
      <c r="AS18" s="297"/>
    </row>
    <row r="19" spans="1:46" ht="40.799999999999997">
      <c r="B19" s="103" t="s">
        <v>261</v>
      </c>
      <c r="C19" s="103" t="str">
        <f t="shared" si="4"/>
        <v>08W19-30A-300</v>
      </c>
      <c r="D19" s="103" t="s">
        <v>262</v>
      </c>
      <c r="E19" s="108" t="s">
        <v>264</v>
      </c>
      <c r="F19" s="115" t="s">
        <v>267</v>
      </c>
      <c r="G19" s="115" t="s">
        <v>268</v>
      </c>
      <c r="H19" s="105">
        <v>1.6</v>
      </c>
      <c r="I19" s="103"/>
      <c r="J19" s="161">
        <f>VLOOKUP(B19,'[2]MASTER PART LIST'!$B:$C,2,FALSE)*4</f>
        <v>2628</v>
      </c>
      <c r="K19" s="164">
        <f>VLOOKUP(B19,'[2]MASTER PART LIST'!$B:$D,3,FALSE)*4</f>
        <v>3756</v>
      </c>
      <c r="L19" s="164">
        <f t="shared" si="5"/>
        <v>4045.6</v>
      </c>
      <c r="M19" s="186"/>
      <c r="N19" s="186"/>
      <c r="O19" s="186" t="s">
        <v>21</v>
      </c>
      <c r="P19" s="186"/>
      <c r="Q19" s="186" t="s">
        <v>21</v>
      </c>
      <c r="R19" s="186" t="s">
        <v>21</v>
      </c>
      <c r="S19" s="186"/>
      <c r="T19" s="186"/>
      <c r="U19" s="115" t="s">
        <v>265</v>
      </c>
      <c r="V19" s="115" t="s">
        <v>266</v>
      </c>
      <c r="W19" s="247">
        <v>9</v>
      </c>
      <c r="X19" s="125"/>
      <c r="Y19" s="292"/>
      <c r="Z19" s="292"/>
      <c r="AA19" s="292"/>
      <c r="AB19" s="292"/>
      <c r="AC19" s="292"/>
      <c r="AD19" s="292"/>
      <c r="AE19" s="292"/>
      <c r="AF19" s="292"/>
      <c r="AG19" s="186" t="s">
        <v>18</v>
      </c>
      <c r="AH19" s="186"/>
      <c r="AI19" s="186"/>
      <c r="AJ19" s="186"/>
      <c r="AK19" s="186"/>
      <c r="AL19" s="186"/>
      <c r="AM19" s="186"/>
      <c r="AN19" s="186"/>
      <c r="AO19" s="186"/>
      <c r="AP19" s="186"/>
      <c r="AQ19" s="186"/>
      <c r="AR19" s="297"/>
      <c r="AS19" s="297"/>
    </row>
    <row r="20" spans="1:46" ht="20.399999999999999">
      <c r="B20" s="103" t="s">
        <v>232</v>
      </c>
      <c r="C20" s="103" t="str">
        <f t="shared" ref="C20:C21" si="6">B20</f>
        <v>08W42-S2A-101</v>
      </c>
      <c r="D20" s="108" t="s">
        <v>110</v>
      </c>
      <c r="E20" s="108" t="s">
        <v>88</v>
      </c>
      <c r="F20" s="115" t="s">
        <v>172</v>
      </c>
      <c r="G20" s="115" t="s">
        <v>173</v>
      </c>
      <c r="H20" s="105">
        <v>0.2</v>
      </c>
      <c r="I20" s="103"/>
      <c r="J20" s="161">
        <f>VLOOKUP(B20,'[2]MASTER PART LIST'!$B:$C,2,FALSE)</f>
        <v>61</v>
      </c>
      <c r="K20" s="164">
        <f>VLOOKUP(B20,'[2]MASTER PART LIST'!$B:$D,3,FALSE)</f>
        <v>102</v>
      </c>
      <c r="L20" s="164">
        <f t="shared" ref="L20:L58" si="7">K20+(H20*VLOOKUP(prov_cd,rate_table,2,FALSE))</f>
        <v>138.19999999999999</v>
      </c>
      <c r="M20" s="186"/>
      <c r="N20" s="186"/>
      <c r="O20" s="186" t="s">
        <v>18</v>
      </c>
      <c r="P20" s="186"/>
      <c r="Q20" s="186" t="s">
        <v>18</v>
      </c>
      <c r="R20" s="186" t="s">
        <v>18</v>
      </c>
      <c r="S20" s="186"/>
      <c r="T20" s="186"/>
      <c r="U20" s="115"/>
      <c r="V20" s="115"/>
      <c r="W20" s="247">
        <v>11</v>
      </c>
      <c r="X20" s="125"/>
      <c r="Y20" s="292"/>
      <c r="Z20" s="292"/>
      <c r="AA20" s="292"/>
      <c r="AB20" s="292"/>
      <c r="AC20" s="292"/>
      <c r="AD20" s="292"/>
      <c r="AE20" s="292"/>
      <c r="AF20" s="292"/>
      <c r="AG20" s="186"/>
      <c r="AH20" s="186"/>
      <c r="AI20" s="186"/>
      <c r="AJ20" s="186"/>
      <c r="AK20" s="186" t="s">
        <v>18</v>
      </c>
      <c r="AL20" s="186"/>
      <c r="AM20" s="186"/>
      <c r="AN20" s="186"/>
      <c r="AO20" s="186"/>
      <c r="AP20" s="186"/>
      <c r="AQ20" s="186"/>
      <c r="AR20" s="297"/>
      <c r="AS20" s="298" t="s">
        <v>478</v>
      </c>
    </row>
    <row r="21" spans="1:46" ht="30.6">
      <c r="B21" s="103" t="s">
        <v>233</v>
      </c>
      <c r="C21" s="103" t="str">
        <f t="shared" si="6"/>
        <v>08W42-SCV-302</v>
      </c>
      <c r="D21" s="108" t="s">
        <v>111</v>
      </c>
      <c r="E21" s="108" t="s">
        <v>89</v>
      </c>
      <c r="F21" s="115" t="s">
        <v>174</v>
      </c>
      <c r="G21" s="115" t="s">
        <v>223</v>
      </c>
      <c r="H21" s="105">
        <v>0.2</v>
      </c>
      <c r="I21" s="103"/>
      <c r="J21" s="161">
        <f>VLOOKUP(B21,'[2]MASTER PART LIST'!$B:$C,2,FALSE)</f>
        <v>54</v>
      </c>
      <c r="K21" s="164">
        <f>VLOOKUP(B21,'[2]MASTER PART LIST'!$B:$D,3,FALSE)</f>
        <v>90</v>
      </c>
      <c r="L21" s="164">
        <f t="shared" si="7"/>
        <v>126.2</v>
      </c>
      <c r="M21" s="186"/>
      <c r="N21" s="186"/>
      <c r="O21" s="186" t="s">
        <v>18</v>
      </c>
      <c r="P21" s="186"/>
      <c r="Q21" s="186" t="s">
        <v>18</v>
      </c>
      <c r="R21" s="186" t="s">
        <v>18</v>
      </c>
      <c r="S21" s="186"/>
      <c r="T21" s="175"/>
      <c r="U21" s="115"/>
      <c r="V21" s="115"/>
      <c r="W21" s="247">
        <v>12</v>
      </c>
      <c r="X21" s="125"/>
      <c r="Y21" s="292"/>
      <c r="Z21" s="292"/>
      <c r="AA21" s="292"/>
      <c r="AB21" s="292"/>
      <c r="AC21" s="292"/>
      <c r="AD21" s="292"/>
      <c r="AE21" s="292"/>
      <c r="AF21" s="292"/>
      <c r="AG21" s="186"/>
      <c r="AH21" s="186"/>
      <c r="AI21" s="186"/>
      <c r="AJ21" s="186"/>
      <c r="AK21" s="186" t="s">
        <v>18</v>
      </c>
      <c r="AL21" s="186"/>
      <c r="AM21" s="186"/>
      <c r="AN21" s="186"/>
      <c r="AO21" s="186"/>
      <c r="AP21" s="186"/>
      <c r="AQ21" s="186"/>
      <c r="AR21" s="297"/>
      <c r="AS21" s="297" t="s">
        <v>477</v>
      </c>
    </row>
    <row r="22" spans="1:46" ht="30.6">
      <c r="B22" s="103" t="s">
        <v>254</v>
      </c>
      <c r="C22" s="103" t="str">
        <f t="shared" ref="C22:C30" si="8">B22</f>
        <v>08W42-PL4-100</v>
      </c>
      <c r="D22" s="108" t="s">
        <v>108</v>
      </c>
      <c r="E22" s="108" t="s">
        <v>112</v>
      </c>
      <c r="F22" s="115" t="s">
        <v>257</v>
      </c>
      <c r="G22" s="115" t="s">
        <v>258</v>
      </c>
      <c r="H22" s="105">
        <v>0.2</v>
      </c>
      <c r="I22" s="103"/>
      <c r="J22" s="161">
        <f>VLOOKUP(B22,'[2]MASTER PART LIST'!$B:$C,2,FALSE)</f>
        <v>170</v>
      </c>
      <c r="K22" s="164">
        <f>VLOOKUP(B22,'[2]MASTER PART LIST'!$B:$D,3,FALSE)</f>
        <v>283</v>
      </c>
      <c r="L22" s="164">
        <f t="shared" si="7"/>
        <v>319.2</v>
      </c>
      <c r="M22" s="186"/>
      <c r="N22" s="186"/>
      <c r="O22" s="186" t="s">
        <v>18</v>
      </c>
      <c r="P22" s="186"/>
      <c r="Q22" s="186" t="s">
        <v>18</v>
      </c>
      <c r="R22" s="186" t="s">
        <v>18</v>
      </c>
      <c r="S22" s="186"/>
      <c r="T22" s="175"/>
      <c r="U22" s="115" t="s">
        <v>255</v>
      </c>
      <c r="V22" s="115" t="s">
        <v>256</v>
      </c>
      <c r="W22" s="247">
        <v>14</v>
      </c>
      <c r="X22" s="125"/>
      <c r="Y22" s="292"/>
      <c r="Z22" s="292"/>
      <c r="AA22" s="292"/>
      <c r="AB22" s="292"/>
      <c r="AC22" s="292"/>
      <c r="AD22" s="292"/>
      <c r="AE22" s="292"/>
      <c r="AF22" s="292"/>
      <c r="AG22" s="186"/>
      <c r="AH22" s="186"/>
      <c r="AI22" s="186"/>
      <c r="AJ22" s="186"/>
      <c r="AK22" s="186"/>
      <c r="AL22" s="186"/>
      <c r="AM22" s="186"/>
      <c r="AN22" s="186"/>
      <c r="AO22" s="186" t="s">
        <v>18</v>
      </c>
      <c r="AP22" s="186"/>
      <c r="AQ22" s="186"/>
      <c r="AR22" s="297"/>
      <c r="AS22" s="297"/>
    </row>
    <row r="23" spans="1:46" ht="30.6">
      <c r="B23" s="103" t="s">
        <v>251</v>
      </c>
      <c r="C23" s="103" t="str">
        <f t="shared" si="8"/>
        <v>08W42-SNA-301</v>
      </c>
      <c r="D23" s="108" t="s">
        <v>252</v>
      </c>
      <c r="E23" s="108" t="s">
        <v>253</v>
      </c>
      <c r="F23" s="115" t="s">
        <v>174</v>
      </c>
      <c r="G23" s="115" t="s">
        <v>223</v>
      </c>
      <c r="H23" s="105">
        <v>0.2</v>
      </c>
      <c r="I23" s="103"/>
      <c r="J23" s="161">
        <f>VLOOKUP(B23,'[2]MASTER PART LIST'!$B:$C,2,FALSE)</f>
        <v>44</v>
      </c>
      <c r="K23" s="164">
        <f>VLOOKUP(B23,'[2]MASTER PART LIST'!$B:$D,3,FALSE)</f>
        <v>73</v>
      </c>
      <c r="L23" s="164">
        <f t="shared" ref="L23" si="9">K23+(H23*VLOOKUP(prov_cd,rate_table,2,FALSE))</f>
        <v>109.2</v>
      </c>
      <c r="M23" s="186"/>
      <c r="N23" s="186"/>
      <c r="O23" s="186" t="s">
        <v>18</v>
      </c>
      <c r="P23" s="186"/>
      <c r="Q23" s="186" t="s">
        <v>18</v>
      </c>
      <c r="R23" s="186" t="s">
        <v>18</v>
      </c>
      <c r="S23" s="186"/>
      <c r="T23" s="175"/>
      <c r="U23" s="115"/>
      <c r="V23" s="115"/>
      <c r="W23" s="247">
        <v>13</v>
      </c>
      <c r="X23" s="125"/>
      <c r="Y23" s="292"/>
      <c r="Z23" s="292"/>
      <c r="AA23" s="292"/>
      <c r="AB23" s="292"/>
      <c r="AC23" s="292"/>
      <c r="AD23" s="292"/>
      <c r="AE23" s="292"/>
      <c r="AF23" s="292"/>
      <c r="AG23" s="186" t="s">
        <v>18</v>
      </c>
      <c r="AH23" s="186"/>
      <c r="AI23" s="186"/>
      <c r="AJ23" s="186"/>
      <c r="AK23" s="186"/>
      <c r="AL23" s="186"/>
      <c r="AM23" s="186"/>
      <c r="AN23" s="186"/>
      <c r="AO23" s="186"/>
      <c r="AP23" s="186"/>
      <c r="AQ23" s="186"/>
      <c r="AR23" s="297"/>
      <c r="AS23" s="297"/>
    </row>
    <row r="24" spans="1:46" ht="30.6">
      <c r="A24" s="286" t="s">
        <v>506</v>
      </c>
      <c r="B24" s="103" t="s">
        <v>514</v>
      </c>
      <c r="C24" s="103" t="str">
        <f t="shared" ref="C24:C26" si="10">B24</f>
        <v>08F20-30A-100C</v>
      </c>
      <c r="D24" s="108" t="s">
        <v>504</v>
      </c>
      <c r="E24" s="108" t="s">
        <v>505</v>
      </c>
      <c r="F24" s="329" t="s">
        <v>521</v>
      </c>
      <c r="G24" s="329" t="s">
        <v>522</v>
      </c>
      <c r="H24" s="312">
        <v>0.2</v>
      </c>
      <c r="I24" s="103"/>
      <c r="J24" s="161">
        <f>VLOOKUP(B24,'[2]MASTER PART LIST'!$B:$C,2,FALSE)</f>
        <v>37</v>
      </c>
      <c r="K24" s="164">
        <f>VLOOKUP(B24,'[2]MASTER PART LIST'!$B:$D,3,FALSE)</f>
        <v>62</v>
      </c>
      <c r="L24" s="164">
        <f t="shared" ref="L24:L26" si="11">K24+(H24*VLOOKUP(prov_cd,rate_table,2,FALSE))</f>
        <v>98.2</v>
      </c>
      <c r="M24" s="186"/>
      <c r="N24" s="186"/>
      <c r="O24" s="186" t="s">
        <v>18</v>
      </c>
      <c r="P24" s="186"/>
      <c r="Q24" s="186" t="s">
        <v>18</v>
      </c>
      <c r="R24" s="186" t="s">
        <v>18</v>
      </c>
      <c r="S24" s="186"/>
      <c r="T24" s="175"/>
      <c r="U24" s="115" t="s">
        <v>515</v>
      </c>
      <c r="V24" s="115" t="s">
        <v>516</v>
      </c>
      <c r="W24" s="247">
        <v>25</v>
      </c>
      <c r="X24" s="125"/>
      <c r="Y24" s="292"/>
      <c r="Z24" s="292"/>
      <c r="AA24" s="292"/>
      <c r="AB24" s="292"/>
      <c r="AC24" s="292"/>
      <c r="AD24" s="292"/>
      <c r="AE24" s="292"/>
      <c r="AF24" s="292"/>
      <c r="AG24" s="186"/>
      <c r="AH24" s="186"/>
      <c r="AI24" s="186"/>
      <c r="AJ24" s="186"/>
      <c r="AK24" s="186"/>
      <c r="AL24" s="186"/>
      <c r="AM24" s="186"/>
      <c r="AN24" s="186"/>
      <c r="AO24" s="186" t="s">
        <v>18</v>
      </c>
      <c r="AP24" s="186"/>
      <c r="AQ24" s="186"/>
      <c r="AR24" s="297"/>
      <c r="AS24" s="298" t="s">
        <v>520</v>
      </c>
    </row>
    <row r="25" spans="1:46" ht="30.6">
      <c r="A25" s="286" t="s">
        <v>506</v>
      </c>
      <c r="B25" s="103" t="s">
        <v>503</v>
      </c>
      <c r="C25" s="103" t="str">
        <f t="shared" ref="C25" si="12">B25</f>
        <v>08F20-30A-100D</v>
      </c>
      <c r="D25" s="108" t="s">
        <v>512</v>
      </c>
      <c r="E25" s="108" t="s">
        <v>513</v>
      </c>
      <c r="F25" s="329" t="s">
        <v>521</v>
      </c>
      <c r="G25" s="329" t="s">
        <v>522</v>
      </c>
      <c r="H25" s="312">
        <v>0.3</v>
      </c>
      <c r="I25" s="103"/>
      <c r="J25" s="161">
        <f>VLOOKUP(B25,'[2]MASTER PART LIST'!$B:$C,2,FALSE)</f>
        <v>37</v>
      </c>
      <c r="K25" s="164">
        <f>VLOOKUP(B25,'[2]MASTER PART LIST'!$B:$D,3,FALSE)</f>
        <v>62</v>
      </c>
      <c r="L25" s="164">
        <f t="shared" ref="L25" si="13">K25+(H25*VLOOKUP(prov_cd,rate_table,2,FALSE))</f>
        <v>116.3</v>
      </c>
      <c r="M25" s="186"/>
      <c r="N25" s="186"/>
      <c r="O25" s="186" t="s">
        <v>18</v>
      </c>
      <c r="P25" s="186"/>
      <c r="Q25" s="186" t="s">
        <v>19</v>
      </c>
      <c r="R25" s="186" t="s">
        <v>18</v>
      </c>
      <c r="S25" s="186"/>
      <c r="T25" s="175"/>
      <c r="U25" s="115"/>
      <c r="V25" s="115"/>
      <c r="W25" s="247">
        <v>26</v>
      </c>
      <c r="X25" s="125"/>
      <c r="Y25" s="292"/>
      <c r="Z25" s="292"/>
      <c r="AA25" s="292"/>
      <c r="AB25" s="292"/>
      <c r="AC25" s="292"/>
      <c r="AD25" s="292"/>
      <c r="AE25" s="292"/>
      <c r="AF25" s="292"/>
      <c r="AG25" s="186"/>
      <c r="AH25" s="186"/>
      <c r="AI25" s="186"/>
      <c r="AJ25" s="186"/>
      <c r="AK25" s="186"/>
      <c r="AL25" s="186"/>
      <c r="AM25" s="186"/>
      <c r="AN25" s="186"/>
      <c r="AO25" s="186" t="s">
        <v>18</v>
      </c>
      <c r="AP25" s="186"/>
      <c r="AQ25" s="186"/>
      <c r="AR25" s="297"/>
      <c r="AS25" s="298" t="s">
        <v>520</v>
      </c>
    </row>
    <row r="26" spans="1:46" ht="30.6">
      <c r="A26" s="286" t="s">
        <v>506</v>
      </c>
      <c r="B26" s="103" t="s">
        <v>375</v>
      </c>
      <c r="C26" s="103" t="str">
        <f t="shared" si="10"/>
        <v>08F20-3A0-100C</v>
      </c>
      <c r="D26" s="108" t="s">
        <v>380</v>
      </c>
      <c r="E26" s="108" t="s">
        <v>378</v>
      </c>
      <c r="F26" s="329" t="s">
        <v>521</v>
      </c>
      <c r="G26" s="329" t="s">
        <v>522</v>
      </c>
      <c r="H26" s="312">
        <v>0.2</v>
      </c>
      <c r="I26" s="103"/>
      <c r="J26" s="161">
        <f>VLOOKUP(B26,'[2]MASTER PART LIST'!$B:$C,2,FALSE)</f>
        <v>44</v>
      </c>
      <c r="K26" s="164">
        <f>VLOOKUP(B26,'[2]MASTER PART LIST'!$B:$D,3,FALSE)</f>
        <v>73</v>
      </c>
      <c r="L26" s="164">
        <f t="shared" si="11"/>
        <v>109.2</v>
      </c>
      <c r="M26" s="175"/>
      <c r="N26" s="175"/>
      <c r="O26" s="186" t="s">
        <v>19</v>
      </c>
      <c r="P26" s="175"/>
      <c r="Q26" s="186" t="s">
        <v>19</v>
      </c>
      <c r="R26" s="186" t="s">
        <v>18</v>
      </c>
      <c r="S26" s="186"/>
      <c r="T26" s="175"/>
      <c r="U26" s="115"/>
      <c r="V26" s="115"/>
      <c r="W26" s="247">
        <v>27</v>
      </c>
      <c r="X26" s="125"/>
      <c r="Y26" s="292"/>
      <c r="Z26" s="292"/>
      <c r="AA26" s="292"/>
      <c r="AB26" s="292"/>
      <c r="AC26" s="292"/>
      <c r="AD26" s="292"/>
      <c r="AE26" s="292"/>
      <c r="AF26" s="292"/>
      <c r="AG26" s="186"/>
      <c r="AH26" s="186"/>
      <c r="AI26" s="186"/>
      <c r="AJ26" s="186"/>
      <c r="AK26" s="186"/>
      <c r="AL26" s="186"/>
      <c r="AM26" s="186"/>
      <c r="AN26" s="186"/>
      <c r="AO26" s="186" t="s">
        <v>18</v>
      </c>
      <c r="AP26" s="186"/>
      <c r="AQ26" s="186"/>
      <c r="AR26" s="297"/>
      <c r="AS26" s="298" t="s">
        <v>520</v>
      </c>
    </row>
    <row r="27" spans="1:46" ht="30.6">
      <c r="A27" s="286" t="s">
        <v>506</v>
      </c>
      <c r="B27" s="103" t="s">
        <v>507</v>
      </c>
      <c r="C27" s="103" t="str">
        <f>B27</f>
        <v>08F20-T20-100B</v>
      </c>
      <c r="D27" s="108" t="s">
        <v>508</v>
      </c>
      <c r="E27" s="108" t="s">
        <v>509</v>
      </c>
      <c r="F27" s="329" t="s">
        <v>521</v>
      </c>
      <c r="G27" s="329" t="s">
        <v>522</v>
      </c>
      <c r="H27" s="312">
        <v>0.2</v>
      </c>
      <c r="I27" s="103"/>
      <c r="J27" s="161">
        <f>VLOOKUP(B27,'[2]MASTER PART LIST'!$B:$C,2,FALSE)</f>
        <v>46</v>
      </c>
      <c r="K27" s="164">
        <f>VLOOKUP(B27,'[2]MASTER PART LIST'!$B:$D,3,FALSE)</f>
        <v>77</v>
      </c>
      <c r="L27" s="164">
        <f>K27+(H27*VLOOKUP(prov_cd,rate_table,2,FALSE))</f>
        <v>113.2</v>
      </c>
      <c r="M27" s="175"/>
      <c r="N27" s="175"/>
      <c r="O27" s="186" t="s">
        <v>19</v>
      </c>
      <c r="P27" s="175"/>
      <c r="Q27" s="186" t="s">
        <v>19</v>
      </c>
      <c r="R27" s="186" t="s">
        <v>18</v>
      </c>
      <c r="S27" s="186"/>
      <c r="T27" s="175"/>
      <c r="U27" s="115"/>
      <c r="V27" s="115"/>
      <c r="W27" s="247">
        <v>28</v>
      </c>
      <c r="X27" s="125"/>
      <c r="Y27" s="292"/>
      <c r="Z27" s="292"/>
      <c r="AA27" s="292"/>
      <c r="AB27" s="292"/>
      <c r="AC27" s="292"/>
      <c r="AD27" s="292"/>
      <c r="AE27" s="292"/>
      <c r="AF27" s="292"/>
      <c r="AG27" s="186"/>
      <c r="AH27" s="186"/>
      <c r="AI27" s="186"/>
      <c r="AJ27" s="186"/>
      <c r="AK27" s="186"/>
      <c r="AL27" s="186"/>
      <c r="AM27" s="186"/>
      <c r="AN27" s="186"/>
      <c r="AO27" s="186" t="s">
        <v>18</v>
      </c>
      <c r="AP27" s="186"/>
      <c r="AQ27" s="186"/>
      <c r="AR27" s="297"/>
      <c r="AS27" s="298" t="s">
        <v>520</v>
      </c>
    </row>
    <row r="29" spans="1:46" ht="30.6">
      <c r="B29" s="103" t="s">
        <v>384</v>
      </c>
      <c r="C29" s="103" t="str">
        <f t="shared" si="8"/>
        <v>08F20-30A-100B</v>
      </c>
      <c r="D29" s="108" t="s">
        <v>382</v>
      </c>
      <c r="E29" s="108" t="s">
        <v>383</v>
      </c>
      <c r="F29" s="115" t="s">
        <v>401</v>
      </c>
      <c r="G29" s="115" t="s">
        <v>411</v>
      </c>
      <c r="H29" s="105">
        <v>0.1</v>
      </c>
      <c r="I29" s="103"/>
      <c r="J29" s="161">
        <f>VLOOKUP(B29,'[2]MASTER PART LIST'!$B:$C,2,FALSE)</f>
        <v>71</v>
      </c>
      <c r="K29" s="164">
        <f>VLOOKUP(B29,'[2]MASTER PART LIST'!$B:$D,3,FALSE)</f>
        <v>118</v>
      </c>
      <c r="L29" s="164">
        <f t="shared" ref="L29:L35" si="14">K29+(H29*VLOOKUP(prov_cd,rate_table,2,FALSE))</f>
        <v>136.1</v>
      </c>
      <c r="M29" s="175"/>
      <c r="N29" s="175"/>
      <c r="O29" s="186" t="s">
        <v>18</v>
      </c>
      <c r="P29" s="186"/>
      <c r="Q29" s="186" t="s">
        <v>18</v>
      </c>
      <c r="R29" s="186" t="s">
        <v>18</v>
      </c>
      <c r="S29" s="186"/>
      <c r="T29" s="175"/>
      <c r="U29" s="115"/>
      <c r="V29" s="115"/>
      <c r="W29" s="247">
        <v>29</v>
      </c>
      <c r="X29" s="125"/>
      <c r="Y29" s="292"/>
      <c r="Z29" s="292"/>
      <c r="AA29" s="292"/>
      <c r="AB29" s="292"/>
      <c r="AC29" s="292"/>
      <c r="AD29" s="292"/>
      <c r="AE29" s="292"/>
      <c r="AF29" s="292"/>
      <c r="AG29" s="186"/>
      <c r="AH29" s="186"/>
      <c r="AI29" s="186"/>
      <c r="AJ29" s="186"/>
      <c r="AK29" s="186"/>
      <c r="AL29" s="186"/>
      <c r="AM29" s="186"/>
      <c r="AN29" s="186"/>
      <c r="AO29" s="186" t="s">
        <v>18</v>
      </c>
      <c r="AP29" s="186"/>
      <c r="AQ29" s="186"/>
      <c r="AR29" s="297"/>
      <c r="AS29" s="297"/>
    </row>
    <row r="30" spans="1:46" ht="40.799999999999997">
      <c r="B30" s="103" t="s">
        <v>387</v>
      </c>
      <c r="C30" s="103" t="str">
        <f t="shared" si="8"/>
        <v>08F59-30A-100</v>
      </c>
      <c r="D30" s="108" t="s">
        <v>385</v>
      </c>
      <c r="E30" s="108" t="s">
        <v>386</v>
      </c>
      <c r="F30" s="115" t="s">
        <v>402</v>
      </c>
      <c r="G30" s="115" t="s">
        <v>410</v>
      </c>
      <c r="H30" s="105">
        <v>0.2</v>
      </c>
      <c r="I30" s="103"/>
      <c r="J30" s="161">
        <f>VLOOKUP(B30,'[2]MASTER PART LIST'!$B:$C,2,FALSE)</f>
        <v>94</v>
      </c>
      <c r="K30" s="164">
        <f>VLOOKUP(B30,'[2]MASTER PART LIST'!$B:$D,3,FALSE)</f>
        <v>157</v>
      </c>
      <c r="L30" s="164">
        <f t="shared" si="14"/>
        <v>193.2</v>
      </c>
      <c r="M30" s="175"/>
      <c r="N30" s="175"/>
      <c r="O30" s="186" t="s">
        <v>18</v>
      </c>
      <c r="P30" s="186"/>
      <c r="Q30" s="186" t="s">
        <v>18</v>
      </c>
      <c r="R30" s="186" t="s">
        <v>18</v>
      </c>
      <c r="S30" s="186"/>
      <c r="T30" s="175"/>
      <c r="U30" s="115"/>
      <c r="V30" s="115"/>
      <c r="W30" s="247">
        <v>30</v>
      </c>
      <c r="X30" s="125"/>
      <c r="Y30" s="292"/>
      <c r="Z30" s="292"/>
      <c r="AA30" s="292"/>
      <c r="AB30" s="292"/>
      <c r="AC30" s="292"/>
      <c r="AD30" s="292"/>
      <c r="AE30" s="292"/>
      <c r="AF30" s="292"/>
      <c r="AG30" s="186"/>
      <c r="AH30" s="186"/>
      <c r="AI30" s="186"/>
      <c r="AJ30" s="186"/>
      <c r="AK30" s="186"/>
      <c r="AL30" s="186"/>
      <c r="AM30" s="186"/>
      <c r="AN30" s="186"/>
      <c r="AO30" s="186" t="s">
        <v>18</v>
      </c>
      <c r="AP30" s="186"/>
      <c r="AQ30" s="186"/>
      <c r="AR30" s="297"/>
      <c r="AS30" s="297"/>
    </row>
    <row r="31" spans="1:46" ht="30.6">
      <c r="B31" s="103" t="s">
        <v>388</v>
      </c>
      <c r="C31" s="103" t="str">
        <f t="shared" ref="C31:C35" si="15">B31</f>
        <v>08F04-30A-1F0</v>
      </c>
      <c r="D31" s="108" t="s">
        <v>391</v>
      </c>
      <c r="E31" s="108" t="s">
        <v>392</v>
      </c>
      <c r="F31" s="115" t="s">
        <v>403</v>
      </c>
      <c r="G31" s="115" t="s">
        <v>409</v>
      </c>
      <c r="H31" s="105">
        <v>0.6</v>
      </c>
      <c r="I31" s="103"/>
      <c r="J31" s="161">
        <f>VLOOKUP(B31,'[2]MASTER PART LIST'!$B:$C,2,FALSE)</f>
        <v>432</v>
      </c>
      <c r="K31" s="164">
        <f>VLOOKUP(B31,'[2]MASTER PART LIST'!$B:$D,3,FALSE)</f>
        <v>720</v>
      </c>
      <c r="L31" s="164">
        <f t="shared" si="14"/>
        <v>828.6</v>
      </c>
      <c r="M31" s="175"/>
      <c r="N31" s="175"/>
      <c r="O31" s="186" t="s">
        <v>18</v>
      </c>
      <c r="P31" s="186"/>
      <c r="Q31" s="186" t="s">
        <v>18</v>
      </c>
      <c r="R31" s="186" t="s">
        <v>18</v>
      </c>
      <c r="S31" s="186"/>
      <c r="T31" s="175"/>
      <c r="U31" s="115"/>
      <c r="V31" s="115"/>
      <c r="W31" s="247">
        <v>17</v>
      </c>
      <c r="X31" s="125"/>
      <c r="Y31" s="292"/>
      <c r="Z31" s="292"/>
      <c r="AA31" s="292"/>
      <c r="AB31" s="292"/>
      <c r="AC31" s="292"/>
      <c r="AD31" s="292"/>
      <c r="AE31" s="292"/>
      <c r="AF31" s="292"/>
      <c r="AG31" s="186"/>
      <c r="AH31" s="186"/>
      <c r="AI31" s="186"/>
      <c r="AJ31" s="186"/>
      <c r="AK31" s="186"/>
      <c r="AL31" s="186"/>
      <c r="AM31" s="186"/>
      <c r="AN31" s="186"/>
      <c r="AO31" s="186" t="s">
        <v>18</v>
      </c>
      <c r="AP31" s="186"/>
      <c r="AQ31" s="186"/>
      <c r="AR31" s="297"/>
      <c r="AS31" s="298" t="s">
        <v>473</v>
      </c>
    </row>
    <row r="32" spans="1:46" ht="30.6">
      <c r="B32" s="103" t="s">
        <v>389</v>
      </c>
      <c r="C32" s="103" t="str">
        <f t="shared" si="15"/>
        <v>08P98-30A-1F0</v>
      </c>
      <c r="D32" s="108" t="s">
        <v>393</v>
      </c>
      <c r="E32" s="108" t="s">
        <v>394</v>
      </c>
      <c r="F32" s="115" t="s">
        <v>404</v>
      </c>
      <c r="G32" s="115" t="s">
        <v>408</v>
      </c>
      <c r="H32" s="105">
        <v>0.6</v>
      </c>
      <c r="I32" s="103"/>
      <c r="J32" s="161">
        <f>VLOOKUP(B32,'[2]MASTER PART LIST'!$B:$C,2,FALSE)</f>
        <v>350</v>
      </c>
      <c r="K32" s="164">
        <f>VLOOKUP(B32,'[2]MASTER PART LIST'!$B:$D,3,FALSE)</f>
        <v>583</v>
      </c>
      <c r="L32" s="164">
        <f t="shared" si="14"/>
        <v>691.6</v>
      </c>
      <c r="M32" s="175"/>
      <c r="N32" s="175"/>
      <c r="O32" s="186" t="s">
        <v>18</v>
      </c>
      <c r="P32" s="186"/>
      <c r="Q32" s="186" t="s">
        <v>18</v>
      </c>
      <c r="R32" s="186" t="s">
        <v>18</v>
      </c>
      <c r="S32" s="186"/>
      <c r="T32" s="175"/>
      <c r="U32" s="115"/>
      <c r="V32" s="115"/>
      <c r="W32" s="247">
        <v>15</v>
      </c>
      <c r="X32" s="125"/>
      <c r="Y32" s="292"/>
      <c r="Z32" s="292"/>
      <c r="AA32" s="292"/>
      <c r="AB32" s="292"/>
      <c r="AC32" s="292"/>
      <c r="AD32" s="292"/>
      <c r="AE32" s="292"/>
      <c r="AF32" s="292"/>
      <c r="AG32" s="186"/>
      <c r="AH32" s="186"/>
      <c r="AI32" s="186"/>
      <c r="AJ32" s="186"/>
      <c r="AK32" s="186"/>
      <c r="AL32" s="186"/>
      <c r="AM32" s="186"/>
      <c r="AN32" s="186"/>
      <c r="AO32" s="186" t="s">
        <v>18</v>
      </c>
      <c r="AP32" s="186"/>
      <c r="AQ32" s="186"/>
      <c r="AR32" s="297"/>
      <c r="AS32" s="298" t="s">
        <v>473</v>
      </c>
    </row>
    <row r="33" spans="1:45" ht="30.6">
      <c r="B33" s="103" t="s">
        <v>390</v>
      </c>
      <c r="C33" s="103" t="str">
        <f t="shared" si="15"/>
        <v>08P99-30A-1F0</v>
      </c>
      <c r="D33" s="108" t="s">
        <v>395</v>
      </c>
      <c r="E33" s="108" t="s">
        <v>396</v>
      </c>
      <c r="F33" s="115" t="s">
        <v>405</v>
      </c>
      <c r="G33" s="115" t="s">
        <v>407</v>
      </c>
      <c r="H33" s="105">
        <v>0.6</v>
      </c>
      <c r="I33" s="103"/>
      <c r="J33" s="161">
        <f>VLOOKUP(B33,'[2]MASTER PART LIST'!$B:$C,2,FALSE)</f>
        <v>350</v>
      </c>
      <c r="K33" s="164">
        <f>VLOOKUP(B33,'[2]MASTER PART LIST'!$B:$D,3,FALSE)</f>
        <v>583</v>
      </c>
      <c r="L33" s="164">
        <f t="shared" si="14"/>
        <v>691.6</v>
      </c>
      <c r="M33" s="175"/>
      <c r="N33" s="175"/>
      <c r="O33" s="186" t="s">
        <v>18</v>
      </c>
      <c r="P33" s="186"/>
      <c r="Q33" s="186" t="s">
        <v>18</v>
      </c>
      <c r="R33" s="186" t="s">
        <v>18</v>
      </c>
      <c r="S33" s="186"/>
      <c r="T33" s="175"/>
      <c r="U33" s="115"/>
      <c r="V33" s="115"/>
      <c r="W33" s="247">
        <v>16</v>
      </c>
      <c r="X33" s="125"/>
      <c r="Y33" s="292"/>
      <c r="Z33" s="292"/>
      <c r="AA33" s="292"/>
      <c r="AB33" s="292"/>
      <c r="AC33" s="292"/>
      <c r="AD33" s="292"/>
      <c r="AE33" s="292"/>
      <c r="AF33" s="292"/>
      <c r="AG33" s="186"/>
      <c r="AH33" s="186"/>
      <c r="AI33" s="186"/>
      <c r="AJ33" s="186"/>
      <c r="AK33" s="186"/>
      <c r="AL33" s="186"/>
      <c r="AM33" s="186"/>
      <c r="AN33" s="186"/>
      <c r="AO33" s="186" t="s">
        <v>18</v>
      </c>
      <c r="AP33" s="186"/>
      <c r="AQ33" s="186"/>
      <c r="AR33" s="297"/>
      <c r="AS33" s="298" t="s">
        <v>473</v>
      </c>
    </row>
    <row r="34" spans="1:45" ht="61.2">
      <c r="B34" s="103" t="s">
        <v>399</v>
      </c>
      <c r="C34" s="103" t="str">
        <f t="shared" si="15"/>
        <v>08R06-30A-110</v>
      </c>
      <c r="D34" s="108" t="s">
        <v>397</v>
      </c>
      <c r="E34" s="108" t="s">
        <v>398</v>
      </c>
      <c r="F34" s="115" t="s">
        <v>457</v>
      </c>
      <c r="G34" s="115" t="s">
        <v>456</v>
      </c>
      <c r="H34" s="105">
        <v>1.1000000000000001</v>
      </c>
      <c r="I34" s="103"/>
      <c r="J34" s="161">
        <f>VLOOKUP(B34,'[2]MASTER PART LIST'!$B:$C,2,FALSE)</f>
        <v>210</v>
      </c>
      <c r="K34" s="164">
        <f>VLOOKUP(B34,'[2]MASTER PART LIST'!$B:$D,3,FALSE)</f>
        <v>350</v>
      </c>
      <c r="L34" s="164">
        <f t="shared" si="14"/>
        <v>549.1</v>
      </c>
      <c r="M34" s="175"/>
      <c r="N34" s="175"/>
      <c r="O34" s="186" t="s">
        <v>18</v>
      </c>
      <c r="P34" s="175"/>
      <c r="Q34" s="186" t="s">
        <v>19</v>
      </c>
      <c r="R34" s="186" t="s">
        <v>19</v>
      </c>
      <c r="S34" s="186"/>
      <c r="T34" s="175"/>
      <c r="U34" s="115"/>
      <c r="V34" s="115"/>
      <c r="W34" s="247">
        <v>18</v>
      </c>
      <c r="X34" s="125"/>
      <c r="Y34" s="292"/>
      <c r="Z34" s="292"/>
      <c r="AA34" s="292"/>
      <c r="AB34" s="292"/>
      <c r="AC34" s="292"/>
      <c r="AD34" s="292"/>
      <c r="AE34" s="292"/>
      <c r="AF34" s="292"/>
      <c r="AG34" s="186"/>
      <c r="AH34" s="186"/>
      <c r="AI34" s="186"/>
      <c r="AJ34" s="186"/>
      <c r="AK34" s="186"/>
      <c r="AL34" s="186"/>
      <c r="AM34" s="186"/>
      <c r="AN34" s="186"/>
      <c r="AO34" s="186" t="s">
        <v>18</v>
      </c>
      <c r="AP34" s="186"/>
      <c r="AQ34" s="186"/>
      <c r="AR34" s="297"/>
      <c r="AS34" s="298" t="s">
        <v>487</v>
      </c>
    </row>
    <row r="35" spans="1:45" ht="30.6">
      <c r="B35" s="103" t="s">
        <v>400</v>
      </c>
      <c r="C35" s="103" t="str">
        <f t="shared" si="15"/>
        <v>08R06-30A-110A</v>
      </c>
      <c r="D35" s="108" t="s">
        <v>397</v>
      </c>
      <c r="E35" s="108" t="s">
        <v>398</v>
      </c>
      <c r="F35" s="115" t="s">
        <v>406</v>
      </c>
      <c r="G35" s="115" t="s">
        <v>412</v>
      </c>
      <c r="H35" s="105">
        <v>1.1000000000000001</v>
      </c>
      <c r="I35" s="103"/>
      <c r="J35" s="161">
        <f>VLOOKUP(B35,'[2]MASTER PART LIST'!$B:$C,2,FALSE)</f>
        <v>210</v>
      </c>
      <c r="K35" s="164">
        <f>VLOOKUP(B35,'[2]MASTER PART LIST'!$B:$D,3,FALSE)</f>
        <v>350</v>
      </c>
      <c r="L35" s="164">
        <f t="shared" si="14"/>
        <v>549.1</v>
      </c>
      <c r="M35" s="175"/>
      <c r="N35" s="175"/>
      <c r="O35" s="186" t="s">
        <v>19</v>
      </c>
      <c r="P35" s="175"/>
      <c r="Q35" s="186" t="s">
        <v>19</v>
      </c>
      <c r="R35" s="186" t="s">
        <v>18</v>
      </c>
      <c r="S35" s="186"/>
      <c r="T35" s="175"/>
      <c r="U35" s="115"/>
      <c r="V35" s="115"/>
      <c r="W35" s="247">
        <v>19</v>
      </c>
      <c r="X35" s="125"/>
      <c r="Y35" s="292"/>
      <c r="Z35" s="292"/>
      <c r="AA35" s="292"/>
      <c r="AB35" s="292"/>
      <c r="AC35" s="292"/>
      <c r="AD35" s="292"/>
      <c r="AE35" s="292"/>
      <c r="AF35" s="292"/>
      <c r="AG35" s="186"/>
      <c r="AH35" s="186"/>
      <c r="AI35" s="186"/>
      <c r="AJ35" s="186"/>
      <c r="AK35" s="186"/>
      <c r="AL35" s="186"/>
      <c r="AM35" s="186"/>
      <c r="AN35" s="186"/>
      <c r="AO35" s="186" t="s">
        <v>18</v>
      </c>
      <c r="AP35" s="186"/>
      <c r="AQ35" s="186"/>
      <c r="AR35" s="297"/>
      <c r="AS35" s="298" t="s">
        <v>474</v>
      </c>
    </row>
    <row r="36" spans="1:45" ht="51">
      <c r="B36" s="103" t="s">
        <v>369</v>
      </c>
      <c r="C36" s="103" t="str">
        <f>B36</f>
        <v>08P48-30A-100</v>
      </c>
      <c r="D36" s="108" t="s">
        <v>370</v>
      </c>
      <c r="E36" s="108" t="s">
        <v>371</v>
      </c>
      <c r="F36" s="115" t="s">
        <v>373</v>
      </c>
      <c r="G36" s="115" t="s">
        <v>372</v>
      </c>
      <c r="H36" s="105">
        <v>0.7</v>
      </c>
      <c r="I36" s="103"/>
      <c r="J36" s="161">
        <f>VLOOKUP(B36,'[2]MASTER PART LIST'!$B:$C,2,FALSE)</f>
        <v>131</v>
      </c>
      <c r="K36" s="164">
        <f>VLOOKUP(B36,'[2]MASTER PART LIST'!$B:$D,3,FALSE)</f>
        <v>218</v>
      </c>
      <c r="L36" s="164">
        <f t="shared" ref="L36" si="16">K36+(H36*VLOOKUP(prov_cd,rate_table,2,FALSE))</f>
        <v>344.7</v>
      </c>
      <c r="M36" s="186"/>
      <c r="N36" s="186"/>
      <c r="O36" s="186" t="s">
        <v>18</v>
      </c>
      <c r="P36" s="186"/>
      <c r="Q36" s="186" t="s">
        <v>18</v>
      </c>
      <c r="R36" s="186" t="s">
        <v>18</v>
      </c>
      <c r="S36" s="186"/>
      <c r="T36" s="175"/>
      <c r="U36" s="115"/>
      <c r="V36" s="115"/>
      <c r="W36" s="247">
        <v>38</v>
      </c>
      <c r="X36" s="125" t="s">
        <v>166</v>
      </c>
      <c r="Y36" s="292"/>
      <c r="Z36" s="292"/>
      <c r="AA36" s="292"/>
      <c r="AB36" s="292"/>
      <c r="AC36" s="292"/>
      <c r="AD36" s="292"/>
      <c r="AE36" s="292"/>
      <c r="AF36" s="292"/>
      <c r="AG36" s="186"/>
      <c r="AH36" s="186"/>
      <c r="AI36" s="186"/>
      <c r="AJ36" s="186"/>
      <c r="AK36" s="186"/>
      <c r="AL36" s="186"/>
      <c r="AM36" s="186" t="s">
        <v>18</v>
      </c>
      <c r="AN36" s="186"/>
      <c r="AO36" s="186"/>
      <c r="AP36" s="186"/>
      <c r="AQ36" s="186"/>
      <c r="AR36" s="297"/>
      <c r="AS36" s="297"/>
    </row>
    <row r="37" spans="1:45" ht="20.399999999999999">
      <c r="B37" s="103" t="s">
        <v>368</v>
      </c>
      <c r="C37" s="103" t="str">
        <f>B37</f>
        <v>08P20-30A-100A</v>
      </c>
      <c r="D37" s="108" t="s">
        <v>104</v>
      </c>
      <c r="E37" s="108" t="s">
        <v>91</v>
      </c>
      <c r="F37" s="115" t="s">
        <v>175</v>
      </c>
      <c r="G37" s="115" t="s">
        <v>176</v>
      </c>
      <c r="H37" s="105">
        <v>0.5</v>
      </c>
      <c r="I37" s="103"/>
      <c r="J37" s="161">
        <f>VLOOKUP(B37,'[2]MASTER PART LIST'!$B:$C,2,FALSE)</f>
        <v>71</v>
      </c>
      <c r="K37" s="164">
        <f>VLOOKUP(B37,'[2]MASTER PART LIST'!$B:$D,3,FALSE)</f>
        <v>118</v>
      </c>
      <c r="L37" s="164">
        <f t="shared" si="7"/>
        <v>208.5</v>
      </c>
      <c r="M37" s="186"/>
      <c r="N37" s="186"/>
      <c r="O37" s="186" t="s">
        <v>18</v>
      </c>
      <c r="P37" s="186"/>
      <c r="Q37" s="186" t="s">
        <v>18</v>
      </c>
      <c r="R37" s="186" t="s">
        <v>18</v>
      </c>
      <c r="S37" s="186"/>
      <c r="T37" s="175"/>
      <c r="U37" s="115" t="s">
        <v>204</v>
      </c>
      <c r="V37" s="115" t="s">
        <v>226</v>
      </c>
      <c r="W37" s="247">
        <v>37</v>
      </c>
      <c r="X37" s="125" t="s">
        <v>166</v>
      </c>
      <c r="Y37" s="292"/>
      <c r="Z37" s="292"/>
      <c r="AA37" s="292"/>
      <c r="AB37" s="292"/>
      <c r="AC37" s="292"/>
      <c r="AD37" s="292"/>
      <c r="AE37" s="292"/>
      <c r="AF37" s="292"/>
      <c r="AG37" s="186"/>
      <c r="AH37" s="186"/>
      <c r="AI37" s="186"/>
      <c r="AJ37" s="186"/>
      <c r="AK37" s="186"/>
      <c r="AL37" s="186"/>
      <c r="AM37" s="186" t="s">
        <v>18</v>
      </c>
      <c r="AN37" s="186"/>
      <c r="AO37" s="186"/>
      <c r="AP37" s="186"/>
      <c r="AQ37" s="186"/>
      <c r="AR37" s="297"/>
      <c r="AS37" s="297" t="s">
        <v>468</v>
      </c>
    </row>
    <row r="38" spans="1:45" ht="30.6">
      <c r="B38" s="103" t="s">
        <v>363</v>
      </c>
      <c r="C38" s="103" t="str">
        <f>B38</f>
        <v>08R04-TVA-101</v>
      </c>
      <c r="D38" s="108" t="s">
        <v>364</v>
      </c>
      <c r="E38" s="108" t="s">
        <v>365</v>
      </c>
      <c r="F38" s="115" t="s">
        <v>366</v>
      </c>
      <c r="G38" s="115" t="s">
        <v>367</v>
      </c>
      <c r="H38" s="105">
        <v>0.5</v>
      </c>
      <c r="I38" s="103"/>
      <c r="J38" s="161">
        <f>VLOOKUP(B38,'[2]MASTER PART LIST'!$B:$C,2,FALSE)</f>
        <v>200</v>
      </c>
      <c r="K38" s="164">
        <f>VLOOKUP(B38,'[2]MASTER PART LIST'!$B:$D,3,FALSE)</f>
        <v>333</v>
      </c>
      <c r="L38" s="164">
        <f t="shared" si="7"/>
        <v>423.5</v>
      </c>
      <c r="M38" s="186"/>
      <c r="N38" s="186"/>
      <c r="O38" s="186" t="s">
        <v>18</v>
      </c>
      <c r="P38" s="186"/>
      <c r="Q38" s="186" t="s">
        <v>18</v>
      </c>
      <c r="R38" s="186" t="s">
        <v>18</v>
      </c>
      <c r="S38" s="186"/>
      <c r="T38" s="175"/>
      <c r="U38" s="115"/>
      <c r="V38" s="115"/>
      <c r="W38" s="247">
        <v>21</v>
      </c>
      <c r="X38" s="125" t="s">
        <v>166</v>
      </c>
      <c r="Y38" s="292"/>
      <c r="Z38" s="292"/>
      <c r="AA38" s="292"/>
      <c r="AB38" s="292"/>
      <c r="AC38" s="292"/>
      <c r="AD38" s="292"/>
      <c r="AE38" s="292"/>
      <c r="AF38" s="292"/>
      <c r="AG38" s="186"/>
      <c r="AH38" s="186"/>
      <c r="AI38" s="186"/>
      <c r="AJ38" s="186"/>
      <c r="AK38" s="186"/>
      <c r="AL38" s="186"/>
      <c r="AM38" s="186" t="s">
        <v>18</v>
      </c>
      <c r="AN38" s="186"/>
      <c r="AO38" s="186"/>
      <c r="AP38" s="186"/>
      <c r="AQ38" s="186"/>
      <c r="AR38" s="297"/>
      <c r="AS38" s="297"/>
    </row>
    <row r="39" spans="1:45" ht="20.399999999999999">
      <c r="B39" s="103" t="s">
        <v>362</v>
      </c>
      <c r="C39" s="103" t="str">
        <f>B39</f>
        <v>08R01-30A-300</v>
      </c>
      <c r="D39" s="108" t="s">
        <v>20</v>
      </c>
      <c r="E39" s="108" t="s">
        <v>92</v>
      </c>
      <c r="F39" s="115" t="s">
        <v>178</v>
      </c>
      <c r="G39" s="115" t="s">
        <v>177</v>
      </c>
      <c r="H39" s="105">
        <v>0.3</v>
      </c>
      <c r="I39" s="103"/>
      <c r="J39" s="161">
        <f>VLOOKUP(B39,'[2]MASTER PART LIST'!$B:$C,2,FALSE)</f>
        <v>200</v>
      </c>
      <c r="K39" s="164">
        <f>VLOOKUP(B39,'[2]MASTER PART LIST'!$B:$D,3,FALSE)</f>
        <v>333</v>
      </c>
      <c r="L39" s="164">
        <f t="shared" si="7"/>
        <v>387.3</v>
      </c>
      <c r="M39" s="175"/>
      <c r="N39" s="175"/>
      <c r="O39" s="186" t="s">
        <v>18</v>
      </c>
      <c r="P39" s="186"/>
      <c r="Q39" s="186" t="s">
        <v>18</v>
      </c>
      <c r="R39" s="186" t="s">
        <v>18</v>
      </c>
      <c r="S39" s="186"/>
      <c r="T39" s="175"/>
      <c r="U39" s="115"/>
      <c r="V39" s="115"/>
      <c r="W39" s="247">
        <v>22</v>
      </c>
      <c r="X39" s="125" t="s">
        <v>166</v>
      </c>
      <c r="Y39" s="292"/>
      <c r="Z39" s="292"/>
      <c r="AA39" s="292"/>
      <c r="AB39" s="292"/>
      <c r="AC39" s="292"/>
      <c r="AD39" s="292"/>
      <c r="AE39" s="292"/>
      <c r="AF39" s="292"/>
      <c r="AG39" s="186"/>
      <c r="AH39" s="186"/>
      <c r="AI39" s="186"/>
      <c r="AJ39" s="186"/>
      <c r="AK39" s="186"/>
      <c r="AL39" s="186"/>
      <c r="AM39" s="186" t="s">
        <v>18</v>
      </c>
      <c r="AN39" s="186"/>
      <c r="AO39" s="186"/>
      <c r="AP39" s="186"/>
      <c r="AQ39" s="186"/>
      <c r="AR39" s="297"/>
      <c r="AS39" s="297"/>
    </row>
    <row r="40" spans="1:45" ht="30.6">
      <c r="B40" s="103" t="s">
        <v>360</v>
      </c>
      <c r="C40" s="103" t="str">
        <f>B40</f>
        <v>08P09-30A-300</v>
      </c>
      <c r="D40" s="108" t="s">
        <v>502</v>
      </c>
      <c r="E40" s="108" t="s">
        <v>115</v>
      </c>
      <c r="F40" s="115" t="s">
        <v>297</v>
      </c>
      <c r="G40" s="115" t="s">
        <v>298</v>
      </c>
      <c r="H40" s="105">
        <v>0.4</v>
      </c>
      <c r="I40" s="103"/>
      <c r="J40" s="161">
        <f>VLOOKUP(B40,'[2]MASTER PART LIST'!$B:$C,2,FALSE)</f>
        <v>50</v>
      </c>
      <c r="K40" s="164">
        <f>VLOOKUP(B40,'[2]MASTER PART LIST'!$B:$D,3,FALSE)</f>
        <v>83</v>
      </c>
      <c r="L40" s="164">
        <f t="shared" si="7"/>
        <v>155.4</v>
      </c>
      <c r="M40" s="186"/>
      <c r="N40" s="186"/>
      <c r="O40" s="186" t="s">
        <v>18</v>
      </c>
      <c r="P40" s="186"/>
      <c r="Q40" s="186" t="s">
        <v>18</v>
      </c>
      <c r="R40" s="186" t="s">
        <v>18</v>
      </c>
      <c r="S40" s="186"/>
      <c r="T40" s="175"/>
      <c r="U40" s="115"/>
      <c r="V40" s="115"/>
      <c r="W40" s="247">
        <v>44</v>
      </c>
      <c r="X40" s="125" t="s">
        <v>166</v>
      </c>
      <c r="Y40" s="292"/>
      <c r="Z40" s="292"/>
      <c r="AA40" s="292"/>
      <c r="AB40" s="292"/>
      <c r="AC40" s="292"/>
      <c r="AD40" s="292"/>
      <c r="AE40" s="292"/>
      <c r="AF40" s="292"/>
      <c r="AG40" s="186"/>
      <c r="AH40" s="186"/>
      <c r="AI40" s="186"/>
      <c r="AJ40" s="186"/>
      <c r="AK40" s="186"/>
      <c r="AL40" s="186"/>
      <c r="AM40" s="186" t="s">
        <v>18</v>
      </c>
      <c r="AN40" s="186"/>
      <c r="AO40" s="186"/>
      <c r="AP40" s="186"/>
      <c r="AQ40" s="186"/>
      <c r="AR40" s="297"/>
      <c r="AS40" s="298" t="s">
        <v>470</v>
      </c>
    </row>
    <row r="41" spans="1:45" ht="20.399999999999999">
      <c r="A41" s="286" t="s">
        <v>460</v>
      </c>
      <c r="B41" s="188" t="s">
        <v>455</v>
      </c>
      <c r="C41" s="103" t="str">
        <f>B42</f>
        <v>08P20-30A-110</v>
      </c>
      <c r="D41" s="108" t="s">
        <v>106</v>
      </c>
      <c r="E41" s="108" t="s">
        <v>225</v>
      </c>
      <c r="F41" s="115" t="s">
        <v>179</v>
      </c>
      <c r="G41" s="115" t="s">
        <v>180</v>
      </c>
      <c r="H41" s="169">
        <f>H42</f>
        <v>0.4</v>
      </c>
      <c r="I41" s="103"/>
      <c r="J41" s="168">
        <f>J42</f>
        <v>176</v>
      </c>
      <c r="K41" s="167">
        <f>K42</f>
        <v>293</v>
      </c>
      <c r="L41" s="164">
        <f t="shared" si="7"/>
        <v>365.4</v>
      </c>
      <c r="M41" s="186"/>
      <c r="N41" s="186"/>
      <c r="O41" s="186" t="s">
        <v>18</v>
      </c>
      <c r="P41" s="186"/>
      <c r="Q41" s="186" t="s">
        <v>18</v>
      </c>
      <c r="R41" s="186" t="s">
        <v>18</v>
      </c>
      <c r="S41" s="186"/>
      <c r="T41" s="175"/>
      <c r="U41" s="115"/>
      <c r="V41" s="115"/>
      <c r="W41" s="247">
        <v>39</v>
      </c>
      <c r="X41" s="125"/>
      <c r="Y41" s="292"/>
      <c r="Z41" s="292"/>
      <c r="AA41" s="292"/>
      <c r="AB41" s="292"/>
      <c r="AC41" s="292"/>
      <c r="AD41" s="292"/>
      <c r="AE41" s="292"/>
      <c r="AF41" s="292"/>
      <c r="AG41" s="186"/>
      <c r="AH41" s="186"/>
      <c r="AI41" s="186"/>
      <c r="AJ41" s="186"/>
      <c r="AK41" s="186"/>
      <c r="AL41" s="186"/>
      <c r="AM41" s="186" t="s">
        <v>18</v>
      </c>
      <c r="AN41" s="186"/>
      <c r="AO41" s="186"/>
      <c r="AP41" s="186"/>
      <c r="AQ41" s="186"/>
      <c r="AR41" s="297"/>
      <c r="AS41" s="297" t="s">
        <v>467</v>
      </c>
    </row>
    <row r="42" spans="1:45" ht="15.6" hidden="1" outlineLevel="1">
      <c r="B42" s="103" t="s">
        <v>294</v>
      </c>
      <c r="C42" s="105" t="s">
        <v>19</v>
      </c>
      <c r="D42" s="108" t="s">
        <v>57</v>
      </c>
      <c r="E42" s="108" t="s">
        <v>118</v>
      </c>
      <c r="F42" s="126"/>
      <c r="G42" s="126"/>
      <c r="H42" s="165">
        <v>0.4</v>
      </c>
      <c r="I42" s="128"/>
      <c r="J42" s="161">
        <f>VLOOKUP(B42,'[2]MASTER PART LIST'!$B:$C,2,FALSE)</f>
        <v>176</v>
      </c>
      <c r="K42" s="164">
        <f>VLOOKUP(B42,'[2]MASTER PART LIST'!$B:$D,3,FALSE)</f>
        <v>293</v>
      </c>
      <c r="L42" s="164">
        <f t="shared" si="7"/>
        <v>365.4</v>
      </c>
      <c r="M42" s="186"/>
      <c r="N42" s="186"/>
      <c r="O42" s="186" t="s">
        <v>18</v>
      </c>
      <c r="P42" s="186"/>
      <c r="Q42" s="186" t="s">
        <v>18</v>
      </c>
      <c r="R42" s="186" t="s">
        <v>18</v>
      </c>
      <c r="S42" s="186"/>
      <c r="T42" s="175"/>
      <c r="U42" s="115"/>
      <c r="V42" s="115"/>
      <c r="W42" s="126"/>
      <c r="X42" s="125"/>
      <c r="Y42" s="125"/>
      <c r="Z42" s="125"/>
      <c r="AA42" s="125"/>
      <c r="AB42" s="125"/>
      <c r="AC42" s="125"/>
      <c r="AD42" s="125"/>
      <c r="AE42" s="125"/>
      <c r="AF42" s="125"/>
      <c r="AG42" s="244"/>
      <c r="AH42" s="127"/>
      <c r="AI42" s="127"/>
      <c r="AJ42" s="127"/>
      <c r="AK42" s="127"/>
      <c r="AL42" s="127"/>
      <c r="AM42" s="127"/>
      <c r="AN42" s="127"/>
      <c r="AO42" s="127"/>
      <c r="AP42" s="127"/>
      <c r="AQ42" s="127"/>
      <c r="AR42" s="300"/>
      <c r="AS42" s="300"/>
    </row>
    <row r="43" spans="1:45" ht="15.6" hidden="1" outlineLevel="1">
      <c r="B43" s="103" t="s">
        <v>293</v>
      </c>
      <c r="C43" s="105" t="s">
        <v>19</v>
      </c>
      <c r="D43" s="108" t="s">
        <v>130</v>
      </c>
      <c r="E43" s="103" t="s">
        <v>119</v>
      </c>
      <c r="F43" s="126"/>
      <c r="G43" s="126"/>
      <c r="H43" s="165">
        <v>0.4</v>
      </c>
      <c r="I43" s="128"/>
      <c r="J43" s="161">
        <f>VLOOKUP(B43,'[2]MASTER PART LIST'!$B:$C,2,FALSE)</f>
        <v>176</v>
      </c>
      <c r="K43" s="164">
        <f>VLOOKUP(B43,'[2]MASTER PART LIST'!$B:$D,3,FALSE)</f>
        <v>293</v>
      </c>
      <c r="L43" s="164">
        <f t="shared" si="7"/>
        <v>365.4</v>
      </c>
      <c r="M43" s="175"/>
      <c r="N43" s="175"/>
      <c r="O43" s="175" t="s">
        <v>19</v>
      </c>
      <c r="P43" s="175"/>
      <c r="Q43" s="186" t="s">
        <v>18</v>
      </c>
      <c r="R43" s="175" t="s">
        <v>19</v>
      </c>
      <c r="S43" s="175"/>
      <c r="T43" s="175"/>
      <c r="U43" s="115"/>
      <c r="V43" s="115"/>
      <c r="W43" s="126"/>
      <c r="X43" s="125"/>
      <c r="Y43" s="125"/>
      <c r="Z43" s="125"/>
      <c r="AA43" s="125"/>
      <c r="AB43" s="125"/>
      <c r="AC43" s="125"/>
      <c r="AD43" s="125"/>
      <c r="AE43" s="125"/>
      <c r="AF43" s="125"/>
      <c r="AG43" s="244"/>
      <c r="AH43" s="127"/>
      <c r="AI43" s="127"/>
      <c r="AJ43" s="127"/>
      <c r="AK43" s="127"/>
      <c r="AL43" s="127"/>
      <c r="AM43" s="127"/>
      <c r="AN43" s="127"/>
      <c r="AO43" s="127"/>
      <c r="AP43" s="127"/>
      <c r="AQ43" s="127"/>
      <c r="AR43" s="300"/>
      <c r="AS43" s="300"/>
    </row>
    <row r="44" spans="1:45" ht="15.6" hidden="1" outlineLevel="1">
      <c r="B44" s="103" t="s">
        <v>292</v>
      </c>
      <c r="C44" s="105" t="s">
        <v>19</v>
      </c>
      <c r="D44" s="108" t="s">
        <v>217</v>
      </c>
      <c r="E44" s="108" t="s">
        <v>218</v>
      </c>
      <c r="F44" s="126"/>
      <c r="G44" s="126"/>
      <c r="H44" s="165">
        <v>0.4</v>
      </c>
      <c r="I44" s="128"/>
      <c r="J44" s="161">
        <f>VLOOKUP(B44,'[2]MASTER PART LIST'!$B:$C,2,FALSE)</f>
        <v>176</v>
      </c>
      <c r="K44" s="164">
        <f>VLOOKUP(B44,'[2]MASTER PART LIST'!$B:$D,3,FALSE)</f>
        <v>293</v>
      </c>
      <c r="L44" s="164">
        <f t="shared" si="7"/>
        <v>365.4</v>
      </c>
      <c r="M44" s="186"/>
      <c r="N44" s="186"/>
      <c r="O44" s="175" t="s">
        <v>19</v>
      </c>
      <c r="P44" s="175"/>
      <c r="Q44" s="175" t="s">
        <v>19</v>
      </c>
      <c r="R44" s="186" t="s">
        <v>18</v>
      </c>
      <c r="S44" s="186"/>
      <c r="T44" s="175"/>
      <c r="U44" s="115"/>
      <c r="V44" s="115"/>
      <c r="W44" s="126"/>
      <c r="X44" s="125"/>
      <c r="Y44" s="125"/>
      <c r="Z44" s="125"/>
      <c r="AA44" s="125"/>
      <c r="AB44" s="125"/>
      <c r="AC44" s="125"/>
      <c r="AD44" s="125"/>
      <c r="AE44" s="125"/>
      <c r="AF44" s="125"/>
      <c r="AG44" s="244"/>
      <c r="AH44" s="127"/>
      <c r="AI44" s="127"/>
      <c r="AJ44" s="127"/>
      <c r="AK44" s="127"/>
      <c r="AL44" s="127"/>
      <c r="AM44" s="127"/>
      <c r="AN44" s="127"/>
      <c r="AO44" s="127"/>
      <c r="AP44" s="127"/>
      <c r="AQ44" s="127"/>
      <c r="AR44" s="300"/>
      <c r="AS44" s="300"/>
    </row>
    <row r="45" spans="1:45" ht="15.6" hidden="1" outlineLevel="1">
      <c r="B45" s="103" t="s">
        <v>291</v>
      </c>
      <c r="C45" s="105" t="s">
        <v>19</v>
      </c>
      <c r="D45" s="108" t="s">
        <v>56</v>
      </c>
      <c r="E45" s="103" t="s">
        <v>120</v>
      </c>
      <c r="F45" s="126"/>
      <c r="G45" s="126"/>
      <c r="H45" s="165">
        <v>0.4</v>
      </c>
      <c r="I45" s="128"/>
      <c r="J45" s="161">
        <f>VLOOKUP(B45,'[2]MASTER PART LIST'!$B:$C,2,FALSE)</f>
        <v>176</v>
      </c>
      <c r="K45" s="164">
        <f>VLOOKUP(B45,'[2]MASTER PART LIST'!$B:$D,3,FALSE)</f>
        <v>293</v>
      </c>
      <c r="L45" s="164">
        <f t="shared" si="7"/>
        <v>365.4</v>
      </c>
      <c r="M45" s="186"/>
      <c r="N45" s="186"/>
      <c r="O45" s="186" t="s">
        <v>18</v>
      </c>
      <c r="P45" s="186"/>
      <c r="Q45" s="186" t="s">
        <v>18</v>
      </c>
      <c r="R45" s="186" t="s">
        <v>18</v>
      </c>
      <c r="S45" s="186"/>
      <c r="T45" s="175"/>
      <c r="U45" s="115"/>
      <c r="V45" s="115"/>
      <c r="W45" s="126"/>
      <c r="X45" s="125"/>
      <c r="Y45" s="125"/>
      <c r="Z45" s="125"/>
      <c r="AA45" s="125"/>
      <c r="AB45" s="125"/>
      <c r="AC45" s="125"/>
      <c r="AD45" s="125"/>
      <c r="AE45" s="125"/>
      <c r="AF45" s="125"/>
      <c r="AG45" s="244"/>
      <c r="AH45" s="127"/>
      <c r="AI45" s="127"/>
      <c r="AJ45" s="127"/>
      <c r="AK45" s="127"/>
      <c r="AL45" s="127"/>
      <c r="AM45" s="127"/>
      <c r="AN45" s="127"/>
      <c r="AO45" s="127"/>
      <c r="AP45" s="127"/>
      <c r="AQ45" s="127"/>
      <c r="AR45" s="300"/>
      <c r="AS45" s="300"/>
    </row>
    <row r="46" spans="1:45" ht="15.6" hidden="1" outlineLevel="1">
      <c r="B46" s="103" t="s">
        <v>290</v>
      </c>
      <c r="C46" s="105" t="s">
        <v>19</v>
      </c>
      <c r="D46" s="108" t="s">
        <v>242</v>
      </c>
      <c r="E46" s="108" t="s">
        <v>243</v>
      </c>
      <c r="F46" s="126"/>
      <c r="G46" s="126"/>
      <c r="H46" s="165">
        <v>0.4</v>
      </c>
      <c r="I46" s="128"/>
      <c r="J46" s="161">
        <f>VLOOKUP(B46,'[2]MASTER PART LIST'!$B:$C,2,FALSE)</f>
        <v>176</v>
      </c>
      <c r="K46" s="164">
        <f>VLOOKUP(B46,'[2]MASTER PART LIST'!$B:$D,3,FALSE)</f>
        <v>293</v>
      </c>
      <c r="L46" s="164">
        <f t="shared" si="7"/>
        <v>365.4</v>
      </c>
      <c r="M46" s="175"/>
      <c r="N46" s="175"/>
      <c r="O46" s="175" t="s">
        <v>19</v>
      </c>
      <c r="P46" s="175"/>
      <c r="Q46" s="186" t="s">
        <v>18</v>
      </c>
      <c r="R46" s="186" t="s">
        <v>18</v>
      </c>
      <c r="S46" s="186"/>
      <c r="T46" s="175"/>
      <c r="U46" s="115"/>
      <c r="V46" s="115"/>
      <c r="W46" s="126"/>
      <c r="X46" s="125"/>
      <c r="Y46" s="125"/>
      <c r="Z46" s="125"/>
      <c r="AA46" s="125"/>
      <c r="AB46" s="125"/>
      <c r="AC46" s="125"/>
      <c r="AD46" s="125"/>
      <c r="AE46" s="125"/>
      <c r="AF46" s="125"/>
      <c r="AG46" s="244"/>
      <c r="AH46" s="127"/>
      <c r="AI46" s="127"/>
      <c r="AJ46" s="127"/>
      <c r="AK46" s="127"/>
      <c r="AL46" s="127"/>
      <c r="AM46" s="127"/>
      <c r="AN46" s="127"/>
      <c r="AO46" s="127"/>
      <c r="AP46" s="127"/>
      <c r="AQ46" s="127"/>
      <c r="AR46" s="300"/>
      <c r="AS46" s="300"/>
    </row>
    <row r="47" spans="1:45" ht="15.6" hidden="1" outlineLevel="1">
      <c r="B47" s="103" t="s">
        <v>287</v>
      </c>
      <c r="C47" s="105" t="s">
        <v>19</v>
      </c>
      <c r="D47" s="108" t="s">
        <v>245</v>
      </c>
      <c r="E47" s="108" t="s">
        <v>246</v>
      </c>
      <c r="F47" s="126"/>
      <c r="G47" s="126"/>
      <c r="H47" s="165">
        <v>0.4</v>
      </c>
      <c r="I47" s="128"/>
      <c r="J47" s="161">
        <f>VLOOKUP(B47,'[2]MASTER PART LIST'!$B:$C,2,FALSE)</f>
        <v>176</v>
      </c>
      <c r="K47" s="164">
        <f>VLOOKUP(B47,'[2]MASTER PART LIST'!$B:$D,3,FALSE)</f>
        <v>293</v>
      </c>
      <c r="L47" s="164">
        <f t="shared" si="7"/>
        <v>365.4</v>
      </c>
      <c r="M47" s="175"/>
      <c r="N47" s="175"/>
      <c r="O47" s="175" t="s">
        <v>19</v>
      </c>
      <c r="P47" s="175"/>
      <c r="Q47" s="175" t="s">
        <v>19</v>
      </c>
      <c r="R47" s="186" t="s">
        <v>18</v>
      </c>
      <c r="S47" s="186"/>
      <c r="T47" s="175"/>
      <c r="U47" s="115"/>
      <c r="V47" s="115"/>
      <c r="W47" s="126"/>
      <c r="X47" s="125"/>
      <c r="Y47" s="125"/>
      <c r="Z47" s="125"/>
      <c r="AA47" s="125"/>
      <c r="AB47" s="125"/>
      <c r="AC47" s="125"/>
      <c r="AD47" s="125"/>
      <c r="AE47" s="125"/>
      <c r="AF47" s="125"/>
      <c r="AG47" s="244"/>
      <c r="AH47" s="127"/>
      <c r="AI47" s="127"/>
      <c r="AJ47" s="127"/>
      <c r="AK47" s="127"/>
      <c r="AL47" s="127"/>
      <c r="AM47" s="127"/>
      <c r="AN47" s="127"/>
      <c r="AO47" s="127"/>
      <c r="AP47" s="127"/>
      <c r="AQ47" s="127"/>
      <c r="AR47" s="300"/>
      <c r="AS47" s="300"/>
    </row>
    <row r="48" spans="1:45" ht="15.6" hidden="1" outlineLevel="1">
      <c r="B48" s="103" t="s">
        <v>288</v>
      </c>
      <c r="C48" s="105" t="s">
        <v>19</v>
      </c>
      <c r="D48" s="108" t="s">
        <v>248</v>
      </c>
      <c r="E48" s="108" t="s">
        <v>249</v>
      </c>
      <c r="F48" s="126"/>
      <c r="G48" s="126"/>
      <c r="H48" s="165">
        <v>0.4</v>
      </c>
      <c r="I48" s="128"/>
      <c r="J48" s="161">
        <f>VLOOKUP(B48,'[2]MASTER PART LIST'!$B:$C,2,FALSE)</f>
        <v>176</v>
      </c>
      <c r="K48" s="164">
        <f>VLOOKUP(B48,'[2]MASTER PART LIST'!$B:$D,3,FALSE)</f>
        <v>293</v>
      </c>
      <c r="L48" s="164">
        <f t="shared" si="7"/>
        <v>365.4</v>
      </c>
      <c r="M48" s="175"/>
      <c r="N48" s="175"/>
      <c r="O48" s="175" t="s">
        <v>19</v>
      </c>
      <c r="P48" s="175"/>
      <c r="Q48" s="186" t="s">
        <v>18</v>
      </c>
      <c r="R48" s="175" t="s">
        <v>19</v>
      </c>
      <c r="S48" s="175"/>
      <c r="T48" s="175"/>
      <c r="U48" s="115"/>
      <c r="V48" s="115"/>
      <c r="W48" s="126"/>
      <c r="X48" s="125"/>
      <c r="Y48" s="125"/>
      <c r="Z48" s="125"/>
      <c r="AA48" s="125"/>
      <c r="AB48" s="125"/>
      <c r="AC48" s="125"/>
      <c r="AD48" s="125"/>
      <c r="AE48" s="125"/>
      <c r="AF48" s="125"/>
      <c r="AG48" s="244"/>
      <c r="AH48" s="127"/>
      <c r="AI48" s="127"/>
      <c r="AJ48" s="127"/>
      <c r="AK48" s="127"/>
      <c r="AL48" s="127"/>
      <c r="AM48" s="127"/>
      <c r="AN48" s="127"/>
      <c r="AO48" s="127"/>
      <c r="AP48" s="127"/>
      <c r="AQ48" s="127"/>
      <c r="AR48" s="300"/>
      <c r="AS48" s="300"/>
    </row>
    <row r="49" spans="2:45" ht="15.6" hidden="1" outlineLevel="1">
      <c r="B49" s="189" t="s">
        <v>289</v>
      </c>
      <c r="C49" s="105" t="s">
        <v>19</v>
      </c>
      <c r="D49" s="108" t="s">
        <v>214</v>
      </c>
      <c r="E49" s="108" t="s">
        <v>215</v>
      </c>
      <c r="F49" s="126"/>
      <c r="G49" s="126"/>
      <c r="H49" s="165">
        <v>0.4</v>
      </c>
      <c r="I49" s="128"/>
      <c r="J49" s="161">
        <f>VLOOKUP(B49,'[2]MASTER PART LIST'!$B:$C,2,FALSE)</f>
        <v>176</v>
      </c>
      <c r="K49" s="164">
        <f>VLOOKUP(B49,'[2]MASTER PART LIST'!$B:$D,3,FALSE)</f>
        <v>293</v>
      </c>
      <c r="L49" s="164">
        <f t="shared" si="7"/>
        <v>365.4</v>
      </c>
      <c r="M49" s="186"/>
      <c r="N49" s="186"/>
      <c r="O49" s="186" t="s">
        <v>18</v>
      </c>
      <c r="P49" s="186"/>
      <c r="Q49" s="186" t="s">
        <v>18</v>
      </c>
      <c r="R49" s="186" t="s">
        <v>18</v>
      </c>
      <c r="S49" s="186"/>
      <c r="T49" s="175"/>
      <c r="U49" s="115"/>
      <c r="V49" s="115"/>
      <c r="W49" s="126"/>
      <c r="X49" s="125"/>
      <c r="Y49" s="125"/>
      <c r="Z49" s="125"/>
      <c r="AA49" s="125"/>
      <c r="AB49" s="125"/>
      <c r="AC49" s="125"/>
      <c r="AD49" s="125"/>
      <c r="AE49" s="125"/>
      <c r="AF49" s="125"/>
      <c r="AG49" s="244"/>
      <c r="AH49" s="127"/>
      <c r="AI49" s="127"/>
      <c r="AJ49" s="127"/>
      <c r="AK49" s="127"/>
      <c r="AL49" s="127"/>
      <c r="AM49" s="127"/>
      <c r="AN49" s="127"/>
      <c r="AO49" s="127"/>
      <c r="AP49" s="127"/>
      <c r="AQ49" s="127"/>
      <c r="AR49" s="300"/>
      <c r="AS49" s="300"/>
    </row>
    <row r="50" spans="2:45" ht="30.6" collapsed="1">
      <c r="B50" s="188" t="s">
        <v>454</v>
      </c>
      <c r="C50" s="103" t="str">
        <f>B51</f>
        <v>08P05-30A-110</v>
      </c>
      <c r="D50" s="108" t="s">
        <v>234</v>
      </c>
      <c r="E50" s="108" t="s">
        <v>93</v>
      </c>
      <c r="F50" s="115" t="s">
        <v>295</v>
      </c>
      <c r="G50" s="115" t="s">
        <v>296</v>
      </c>
      <c r="H50" s="166">
        <f>H53</f>
        <v>0.4</v>
      </c>
      <c r="I50" s="103"/>
      <c r="J50" s="168">
        <f>J53</f>
        <v>232</v>
      </c>
      <c r="K50" s="167">
        <f>K53</f>
        <v>387</v>
      </c>
      <c r="L50" s="164">
        <f t="shared" si="7"/>
        <v>459.4</v>
      </c>
      <c r="M50" s="186"/>
      <c r="N50" s="186"/>
      <c r="O50" s="186" t="s">
        <v>18</v>
      </c>
      <c r="P50" s="186"/>
      <c r="Q50" s="186" t="s">
        <v>18</v>
      </c>
      <c r="R50" s="186" t="s">
        <v>18</v>
      </c>
      <c r="S50" s="186"/>
      <c r="T50" s="175"/>
      <c r="U50" s="115"/>
      <c r="V50" s="115"/>
      <c r="W50" s="247">
        <v>23</v>
      </c>
      <c r="X50" s="125"/>
      <c r="Y50" s="292"/>
      <c r="Z50" s="292"/>
      <c r="AA50" s="292"/>
      <c r="AB50" s="292"/>
      <c r="AC50" s="292"/>
      <c r="AD50" s="292"/>
      <c r="AE50" s="292"/>
      <c r="AF50" s="292"/>
      <c r="AG50" s="186"/>
      <c r="AH50" s="186"/>
      <c r="AI50" s="186"/>
      <c r="AJ50" s="186"/>
      <c r="AK50" s="186" t="s">
        <v>18</v>
      </c>
      <c r="AL50" s="186"/>
      <c r="AM50" s="186"/>
      <c r="AN50" s="186"/>
      <c r="AO50" s="186"/>
      <c r="AP50" s="186"/>
      <c r="AQ50" s="186"/>
      <c r="AR50" s="297"/>
      <c r="AS50" s="297"/>
    </row>
    <row r="51" spans="2:45" ht="15.6" hidden="1" outlineLevel="1">
      <c r="B51" s="189" t="s">
        <v>286</v>
      </c>
      <c r="C51" s="105" t="s">
        <v>19</v>
      </c>
      <c r="D51" s="108" t="s">
        <v>57</v>
      </c>
      <c r="E51" s="108" t="s">
        <v>118</v>
      </c>
      <c r="F51" s="126"/>
      <c r="G51" s="126"/>
      <c r="H51" s="105">
        <v>0.4</v>
      </c>
      <c r="I51" s="128"/>
      <c r="J51" s="161">
        <f>VLOOKUP(B51,'[2]MASTER PART LIST'!$B:$C,2,FALSE)</f>
        <v>232</v>
      </c>
      <c r="K51" s="164">
        <f>VLOOKUP(B51,'[2]MASTER PART LIST'!$B:$D,3,FALSE)</f>
        <v>387</v>
      </c>
      <c r="L51" s="164">
        <f t="shared" si="7"/>
        <v>459.4</v>
      </c>
      <c r="M51" s="186"/>
      <c r="N51" s="186"/>
      <c r="O51" s="186" t="s">
        <v>18</v>
      </c>
      <c r="P51" s="186"/>
      <c r="Q51" s="186" t="s">
        <v>18</v>
      </c>
      <c r="R51" s="186" t="s">
        <v>18</v>
      </c>
      <c r="S51" s="186"/>
      <c r="T51" s="175"/>
      <c r="U51" s="115"/>
      <c r="V51" s="115"/>
      <c r="W51" s="126"/>
      <c r="X51" s="125"/>
      <c r="Y51" s="125"/>
      <c r="Z51" s="125"/>
      <c r="AA51" s="125"/>
      <c r="AB51" s="125"/>
      <c r="AC51" s="125"/>
      <c r="AD51" s="125"/>
      <c r="AE51" s="125"/>
      <c r="AF51" s="125"/>
      <c r="AG51" s="126"/>
      <c r="AH51" s="244"/>
      <c r="AI51" s="244"/>
      <c r="AJ51" s="244"/>
      <c r="AK51" s="244"/>
      <c r="AL51" s="244"/>
      <c r="AM51" s="244"/>
      <c r="AN51" s="244"/>
      <c r="AO51" s="244"/>
      <c r="AP51" s="244"/>
      <c r="AQ51" s="244"/>
      <c r="AR51" s="299"/>
      <c r="AS51" s="299"/>
    </row>
    <row r="52" spans="2:45" ht="15.6" hidden="1" outlineLevel="1">
      <c r="B52" s="189" t="s">
        <v>273</v>
      </c>
      <c r="C52" s="105" t="s">
        <v>19</v>
      </c>
      <c r="D52" s="108" t="s">
        <v>130</v>
      </c>
      <c r="E52" s="103" t="s">
        <v>119</v>
      </c>
      <c r="F52" s="126"/>
      <c r="G52" s="126"/>
      <c r="H52" s="105">
        <v>0.4</v>
      </c>
      <c r="I52" s="128"/>
      <c r="J52" s="161">
        <f>VLOOKUP(B52,'[2]MASTER PART LIST'!$B:$C,2,FALSE)</f>
        <v>232</v>
      </c>
      <c r="K52" s="164">
        <f>VLOOKUP(B52,'[2]MASTER PART LIST'!$B:$D,3,FALSE)</f>
        <v>387</v>
      </c>
      <c r="L52" s="164">
        <f t="shared" si="7"/>
        <v>459.4</v>
      </c>
      <c r="M52" s="175"/>
      <c r="N52" s="175"/>
      <c r="O52" s="175" t="s">
        <v>19</v>
      </c>
      <c r="P52" s="175"/>
      <c r="Q52" s="186" t="s">
        <v>18</v>
      </c>
      <c r="R52" s="175" t="s">
        <v>19</v>
      </c>
      <c r="S52" s="175"/>
      <c r="T52" s="175"/>
      <c r="U52" s="115"/>
      <c r="V52" s="115"/>
      <c r="W52" s="126"/>
      <c r="X52" s="125"/>
      <c r="Y52" s="125"/>
      <c r="Z52" s="125"/>
      <c r="AA52" s="125"/>
      <c r="AB52" s="125"/>
      <c r="AC52" s="125"/>
      <c r="AD52" s="125"/>
      <c r="AE52" s="125"/>
      <c r="AF52" s="125"/>
      <c r="AG52" s="126"/>
      <c r="AH52" s="244"/>
      <c r="AI52" s="244"/>
      <c r="AJ52" s="244"/>
      <c r="AK52" s="244"/>
      <c r="AL52" s="244"/>
      <c r="AM52" s="244"/>
      <c r="AN52" s="244"/>
      <c r="AO52" s="244"/>
      <c r="AP52" s="244"/>
      <c r="AQ52" s="244"/>
      <c r="AR52" s="299"/>
      <c r="AS52" s="299"/>
    </row>
    <row r="53" spans="2:45" ht="15.6" hidden="1" outlineLevel="1">
      <c r="B53" s="189" t="s">
        <v>274</v>
      </c>
      <c r="C53" s="105" t="s">
        <v>19</v>
      </c>
      <c r="D53" s="108" t="s">
        <v>217</v>
      </c>
      <c r="E53" s="108" t="s">
        <v>218</v>
      </c>
      <c r="F53" s="126"/>
      <c r="G53" s="126"/>
      <c r="H53" s="105">
        <v>0.4</v>
      </c>
      <c r="I53" s="128"/>
      <c r="J53" s="161">
        <f>VLOOKUP(B53,'[2]MASTER PART LIST'!$B:$C,2,FALSE)</f>
        <v>232</v>
      </c>
      <c r="K53" s="164">
        <f>VLOOKUP(B53,'[2]MASTER PART LIST'!$B:$D,3,FALSE)</f>
        <v>387</v>
      </c>
      <c r="L53" s="164">
        <f t="shared" si="7"/>
        <v>459.4</v>
      </c>
      <c r="M53" s="186"/>
      <c r="N53" s="186"/>
      <c r="O53" s="175" t="s">
        <v>19</v>
      </c>
      <c r="P53" s="175"/>
      <c r="Q53" s="175" t="s">
        <v>19</v>
      </c>
      <c r="R53" s="186" t="s">
        <v>18</v>
      </c>
      <c r="S53" s="186"/>
      <c r="T53" s="175"/>
      <c r="U53" s="115"/>
      <c r="V53" s="115"/>
      <c r="W53" s="126"/>
      <c r="X53" s="125"/>
      <c r="Y53" s="125"/>
      <c r="Z53" s="125"/>
      <c r="AA53" s="125"/>
      <c r="AB53" s="125"/>
      <c r="AC53" s="125"/>
      <c r="AD53" s="125"/>
      <c r="AE53" s="125"/>
      <c r="AF53" s="125"/>
      <c r="AG53" s="126"/>
      <c r="AH53" s="244"/>
      <c r="AI53" s="244"/>
      <c r="AJ53" s="244"/>
      <c r="AK53" s="244"/>
      <c r="AL53" s="244"/>
      <c r="AM53" s="244"/>
      <c r="AN53" s="244"/>
      <c r="AO53" s="244"/>
      <c r="AP53" s="244"/>
      <c r="AQ53" s="244"/>
      <c r="AR53" s="299"/>
      <c r="AS53" s="299"/>
    </row>
    <row r="54" spans="2:45" ht="15.6" hidden="1" outlineLevel="1">
      <c r="B54" s="189" t="s">
        <v>275</v>
      </c>
      <c r="C54" s="105" t="s">
        <v>19</v>
      </c>
      <c r="D54" s="108" t="s">
        <v>56</v>
      </c>
      <c r="E54" s="103" t="s">
        <v>120</v>
      </c>
      <c r="F54" s="126"/>
      <c r="G54" s="126"/>
      <c r="H54" s="105">
        <v>0.4</v>
      </c>
      <c r="I54" s="128"/>
      <c r="J54" s="161">
        <f>VLOOKUP(B54,'[2]MASTER PART LIST'!$B:$C,2,FALSE)</f>
        <v>232</v>
      </c>
      <c r="K54" s="164">
        <f>VLOOKUP(B54,'[2]MASTER PART LIST'!$B:$D,3,FALSE)</f>
        <v>387</v>
      </c>
      <c r="L54" s="164">
        <f t="shared" si="7"/>
        <v>459.4</v>
      </c>
      <c r="M54" s="186"/>
      <c r="N54" s="186"/>
      <c r="O54" s="186" t="s">
        <v>18</v>
      </c>
      <c r="P54" s="186"/>
      <c r="Q54" s="186" t="s">
        <v>18</v>
      </c>
      <c r="R54" s="186" t="s">
        <v>18</v>
      </c>
      <c r="S54" s="186"/>
      <c r="T54" s="175"/>
      <c r="U54" s="115"/>
      <c r="V54" s="115"/>
      <c r="W54" s="126"/>
      <c r="X54" s="125"/>
      <c r="Y54" s="125"/>
      <c r="Z54" s="125"/>
      <c r="AA54" s="125"/>
      <c r="AB54" s="125"/>
      <c r="AC54" s="125"/>
      <c r="AD54" s="125"/>
      <c r="AE54" s="125"/>
      <c r="AF54" s="125"/>
      <c r="AG54" s="126"/>
      <c r="AH54" s="244"/>
      <c r="AI54" s="244"/>
      <c r="AJ54" s="244"/>
      <c r="AK54" s="244"/>
      <c r="AL54" s="244"/>
      <c r="AM54" s="244"/>
      <c r="AN54" s="244"/>
      <c r="AO54" s="244"/>
      <c r="AP54" s="244"/>
      <c r="AQ54" s="244"/>
      <c r="AR54" s="299"/>
      <c r="AS54" s="299"/>
    </row>
    <row r="55" spans="2:45" ht="15.6" hidden="1" outlineLevel="1">
      <c r="B55" s="189" t="s">
        <v>276</v>
      </c>
      <c r="C55" s="105" t="s">
        <v>19</v>
      </c>
      <c r="D55" s="108" t="s">
        <v>242</v>
      </c>
      <c r="E55" s="108" t="s">
        <v>243</v>
      </c>
      <c r="F55" s="126"/>
      <c r="G55" s="126"/>
      <c r="H55" s="105">
        <v>0.4</v>
      </c>
      <c r="I55" s="128"/>
      <c r="J55" s="161">
        <f>VLOOKUP(B55,'[2]MASTER PART LIST'!$B:$C,2,FALSE)</f>
        <v>232</v>
      </c>
      <c r="K55" s="164">
        <f>VLOOKUP(B55,'[2]MASTER PART LIST'!$B:$D,3,FALSE)</f>
        <v>387</v>
      </c>
      <c r="L55" s="164">
        <f t="shared" si="7"/>
        <v>459.4</v>
      </c>
      <c r="M55" s="175"/>
      <c r="N55" s="175"/>
      <c r="O55" s="175" t="s">
        <v>19</v>
      </c>
      <c r="P55" s="175"/>
      <c r="Q55" s="186" t="s">
        <v>18</v>
      </c>
      <c r="R55" s="186" t="s">
        <v>18</v>
      </c>
      <c r="S55" s="186"/>
      <c r="T55" s="175"/>
      <c r="U55" s="115"/>
      <c r="V55" s="115"/>
      <c r="W55" s="126"/>
      <c r="X55" s="125"/>
      <c r="Y55" s="125"/>
      <c r="Z55" s="125"/>
      <c r="AA55" s="125"/>
      <c r="AB55" s="125"/>
      <c r="AC55" s="125"/>
      <c r="AD55" s="125"/>
      <c r="AE55" s="125"/>
      <c r="AF55" s="125"/>
      <c r="AG55" s="126"/>
      <c r="AH55" s="244"/>
      <c r="AI55" s="244"/>
      <c r="AJ55" s="244"/>
      <c r="AK55" s="244"/>
      <c r="AL55" s="244"/>
      <c r="AM55" s="244"/>
      <c r="AN55" s="244"/>
      <c r="AO55" s="244"/>
      <c r="AP55" s="244"/>
      <c r="AQ55" s="244"/>
      <c r="AR55" s="299"/>
      <c r="AS55" s="299"/>
    </row>
    <row r="56" spans="2:45" ht="15.6" hidden="1" outlineLevel="1">
      <c r="B56" s="189" t="s">
        <v>277</v>
      </c>
      <c r="C56" s="105" t="s">
        <v>19</v>
      </c>
      <c r="D56" s="108" t="s">
        <v>245</v>
      </c>
      <c r="E56" s="108" t="s">
        <v>246</v>
      </c>
      <c r="F56" s="126"/>
      <c r="G56" s="126"/>
      <c r="H56" s="105">
        <v>0.4</v>
      </c>
      <c r="I56" s="128"/>
      <c r="J56" s="161">
        <f>VLOOKUP(B56,'[2]MASTER PART LIST'!$B:$C,2,FALSE)</f>
        <v>232</v>
      </c>
      <c r="K56" s="164">
        <f>VLOOKUP(B56,'[2]MASTER PART LIST'!$B:$D,3,FALSE)</f>
        <v>387</v>
      </c>
      <c r="L56" s="164">
        <f t="shared" si="7"/>
        <v>459.4</v>
      </c>
      <c r="M56" s="175"/>
      <c r="N56" s="175"/>
      <c r="O56" s="175" t="s">
        <v>19</v>
      </c>
      <c r="P56" s="175"/>
      <c r="Q56" s="175" t="s">
        <v>19</v>
      </c>
      <c r="R56" s="186" t="s">
        <v>18</v>
      </c>
      <c r="S56" s="186"/>
      <c r="T56" s="175"/>
      <c r="U56" s="115"/>
      <c r="V56" s="115"/>
      <c r="W56" s="126"/>
      <c r="X56" s="125"/>
      <c r="Y56" s="125"/>
      <c r="Z56" s="125"/>
      <c r="AA56" s="125"/>
      <c r="AB56" s="125"/>
      <c r="AC56" s="125"/>
      <c r="AD56" s="125"/>
      <c r="AE56" s="125"/>
      <c r="AF56" s="125"/>
      <c r="AG56" s="126"/>
      <c r="AH56" s="244"/>
      <c r="AI56" s="244"/>
      <c r="AJ56" s="244"/>
      <c r="AK56" s="244"/>
      <c r="AL56" s="244"/>
      <c r="AM56" s="244"/>
      <c r="AN56" s="244"/>
      <c r="AO56" s="244"/>
      <c r="AP56" s="244"/>
      <c r="AQ56" s="244"/>
      <c r="AR56" s="299"/>
      <c r="AS56" s="299"/>
    </row>
    <row r="57" spans="2:45" ht="15.6" hidden="1" outlineLevel="1">
      <c r="B57" s="103" t="s">
        <v>278</v>
      </c>
      <c r="C57" s="105" t="s">
        <v>19</v>
      </c>
      <c r="D57" s="108" t="s">
        <v>248</v>
      </c>
      <c r="E57" s="108" t="s">
        <v>249</v>
      </c>
      <c r="F57" s="126"/>
      <c r="G57" s="126"/>
      <c r="H57" s="105">
        <v>0.4</v>
      </c>
      <c r="I57" s="128"/>
      <c r="J57" s="161">
        <f>VLOOKUP(B57,'[2]MASTER PART LIST'!$B:$C,2,FALSE)</f>
        <v>232</v>
      </c>
      <c r="K57" s="164">
        <f>VLOOKUP(B57,'[2]MASTER PART LIST'!$B:$D,3,FALSE)</f>
        <v>387</v>
      </c>
      <c r="L57" s="164">
        <f t="shared" ref="L57" si="17">K57+(H57*VLOOKUP(prov_cd,rate_table,2,FALSE))</f>
        <v>459.4</v>
      </c>
      <c r="M57" s="175"/>
      <c r="N57" s="175"/>
      <c r="O57" s="175" t="s">
        <v>19</v>
      </c>
      <c r="P57" s="175"/>
      <c r="Q57" s="186" t="s">
        <v>18</v>
      </c>
      <c r="R57" s="175" t="s">
        <v>19</v>
      </c>
      <c r="S57" s="175"/>
      <c r="T57" s="175"/>
      <c r="U57" s="115"/>
      <c r="V57" s="115"/>
      <c r="W57" s="126"/>
      <c r="X57" s="125"/>
      <c r="Y57" s="125"/>
      <c r="Z57" s="125"/>
      <c r="AA57" s="125"/>
      <c r="AB57" s="125"/>
      <c r="AC57" s="125"/>
      <c r="AD57" s="125"/>
      <c r="AE57" s="125"/>
      <c r="AF57" s="125"/>
      <c r="AG57" s="126"/>
      <c r="AH57" s="244"/>
      <c r="AI57" s="244"/>
      <c r="AJ57" s="244"/>
      <c r="AK57" s="244"/>
      <c r="AL57" s="244"/>
      <c r="AM57" s="244"/>
      <c r="AN57" s="244"/>
      <c r="AO57" s="244"/>
      <c r="AP57" s="244"/>
      <c r="AQ57" s="244"/>
      <c r="AR57" s="299"/>
      <c r="AS57" s="299"/>
    </row>
    <row r="58" spans="2:45" ht="15.6" hidden="1" outlineLevel="1">
      <c r="B58" s="189" t="s">
        <v>285</v>
      </c>
      <c r="C58" s="105" t="s">
        <v>19</v>
      </c>
      <c r="D58" s="108" t="s">
        <v>214</v>
      </c>
      <c r="E58" s="108" t="s">
        <v>215</v>
      </c>
      <c r="F58" s="126"/>
      <c r="G58" s="126"/>
      <c r="H58" s="105">
        <v>0.4</v>
      </c>
      <c r="I58" s="128"/>
      <c r="J58" s="161">
        <f>VLOOKUP(B58,'[2]MASTER PART LIST'!$B:$C,2,FALSE)</f>
        <v>232</v>
      </c>
      <c r="K58" s="164">
        <f>VLOOKUP(B58,'[2]MASTER PART LIST'!$B:$D,3,FALSE)</f>
        <v>387</v>
      </c>
      <c r="L58" s="164">
        <f t="shared" si="7"/>
        <v>459.4</v>
      </c>
      <c r="M58" s="186"/>
      <c r="N58" s="186"/>
      <c r="O58" s="186" t="s">
        <v>18</v>
      </c>
      <c r="P58" s="186"/>
      <c r="Q58" s="186" t="s">
        <v>18</v>
      </c>
      <c r="R58" s="186" t="s">
        <v>18</v>
      </c>
      <c r="S58" s="186"/>
      <c r="T58" s="175"/>
      <c r="U58" s="115"/>
      <c r="V58" s="115"/>
      <c r="W58" s="126"/>
      <c r="X58" s="125"/>
      <c r="Y58" s="125"/>
      <c r="Z58" s="125"/>
      <c r="AA58" s="125"/>
      <c r="AB58" s="125"/>
      <c r="AC58" s="125"/>
      <c r="AD58" s="125"/>
      <c r="AE58" s="125"/>
      <c r="AF58" s="125"/>
      <c r="AG58" s="126"/>
      <c r="AH58" s="244"/>
      <c r="AI58" s="244"/>
      <c r="AJ58" s="244"/>
      <c r="AK58" s="244"/>
      <c r="AL58" s="244"/>
      <c r="AM58" s="244"/>
      <c r="AN58" s="244"/>
      <c r="AO58" s="244"/>
      <c r="AP58" s="244"/>
      <c r="AQ58" s="244"/>
      <c r="AR58" s="299"/>
      <c r="AS58" s="299"/>
    </row>
    <row r="59" spans="2:45" ht="20.399999999999999" collapsed="1">
      <c r="B59" s="188" t="s">
        <v>272</v>
      </c>
      <c r="C59" s="103" t="str">
        <f>B60</f>
        <v>08F10-30A-110</v>
      </c>
      <c r="D59" s="108" t="s">
        <v>269</v>
      </c>
      <c r="E59" s="108" t="s">
        <v>270</v>
      </c>
      <c r="F59" s="115" t="s">
        <v>299</v>
      </c>
      <c r="G59" s="115" t="s">
        <v>300</v>
      </c>
      <c r="H59" s="169">
        <f>H60</f>
        <v>0.6</v>
      </c>
      <c r="I59" s="103"/>
      <c r="J59" s="168">
        <f>J60</f>
        <v>386</v>
      </c>
      <c r="K59" s="167">
        <f>K60</f>
        <v>643</v>
      </c>
      <c r="L59" s="164">
        <f t="shared" ref="L59:L66" si="18">K59+(H59*VLOOKUP(prov_cd,rate_table,2,FALSE))</f>
        <v>751.6</v>
      </c>
      <c r="M59" s="186"/>
      <c r="N59" s="186"/>
      <c r="O59" s="186" t="s">
        <v>18</v>
      </c>
      <c r="P59" s="186"/>
      <c r="Q59" s="186" t="s">
        <v>167</v>
      </c>
      <c r="R59" s="186" t="s">
        <v>18</v>
      </c>
      <c r="S59" s="186"/>
      <c r="T59" s="175"/>
      <c r="U59" s="115"/>
      <c r="V59" s="115"/>
      <c r="W59" s="247">
        <v>20</v>
      </c>
      <c r="X59" s="125"/>
      <c r="Y59" s="292"/>
      <c r="Z59" s="292"/>
      <c r="AA59" s="292"/>
      <c r="AB59" s="292"/>
      <c r="AC59" s="292"/>
      <c r="AD59" s="292"/>
      <c r="AE59" s="292"/>
      <c r="AF59" s="292"/>
      <c r="AG59" s="186"/>
      <c r="AH59" s="186"/>
      <c r="AI59" s="186"/>
      <c r="AJ59" s="186"/>
      <c r="AK59" s="186"/>
      <c r="AL59" s="186"/>
      <c r="AM59" s="186"/>
      <c r="AN59" s="186"/>
      <c r="AO59" s="186" t="s">
        <v>18</v>
      </c>
      <c r="AP59" s="186"/>
      <c r="AQ59" s="186"/>
      <c r="AR59" s="297"/>
      <c r="AS59" s="298" t="s">
        <v>498</v>
      </c>
    </row>
    <row r="60" spans="2:45" ht="15.6" hidden="1" outlineLevel="1">
      <c r="B60" s="103" t="s">
        <v>271</v>
      </c>
      <c r="C60" s="105" t="s">
        <v>19</v>
      </c>
      <c r="D60" s="108" t="s">
        <v>57</v>
      </c>
      <c r="E60" s="108" t="s">
        <v>118</v>
      </c>
      <c r="F60" s="206"/>
      <c r="G60" s="206"/>
      <c r="H60" s="165">
        <v>0.6</v>
      </c>
      <c r="I60" s="103"/>
      <c r="J60" s="161">
        <f>VLOOKUP(B60,'[2]MASTER PART LIST'!$B:$C,2,FALSE)</f>
        <v>386</v>
      </c>
      <c r="K60" s="164">
        <f>VLOOKUP(B60,'[2]MASTER PART LIST'!$B:$D,3,FALSE)</f>
        <v>643</v>
      </c>
      <c r="L60" s="164">
        <f t="shared" si="18"/>
        <v>751.6</v>
      </c>
      <c r="M60" s="186"/>
      <c r="N60" s="186"/>
      <c r="O60" s="186" t="s">
        <v>18</v>
      </c>
      <c r="P60" s="186"/>
      <c r="Q60" s="186" t="s">
        <v>167</v>
      </c>
      <c r="R60" s="186" t="s">
        <v>18</v>
      </c>
      <c r="S60" s="186"/>
      <c r="T60" s="175"/>
      <c r="U60" s="115"/>
      <c r="V60" s="115"/>
      <c r="W60" s="248"/>
      <c r="X60" s="125"/>
      <c r="Y60" s="292"/>
      <c r="Z60" s="292"/>
      <c r="AA60" s="292"/>
      <c r="AB60" s="292"/>
      <c r="AC60" s="292"/>
      <c r="AD60" s="292"/>
      <c r="AE60" s="292"/>
      <c r="AF60" s="292"/>
      <c r="AG60" s="186"/>
      <c r="AH60" s="186"/>
      <c r="AI60" s="186"/>
      <c r="AJ60" s="186"/>
      <c r="AK60" s="186"/>
      <c r="AL60" s="186"/>
      <c r="AM60" s="186"/>
      <c r="AN60" s="186"/>
      <c r="AO60" s="186"/>
      <c r="AP60" s="186"/>
      <c r="AQ60" s="186"/>
      <c r="AR60" s="297"/>
      <c r="AS60" s="297"/>
    </row>
    <row r="61" spans="2:45" ht="15.6" hidden="1" outlineLevel="1">
      <c r="B61" s="103" t="s">
        <v>279</v>
      </c>
      <c r="C61" s="105" t="s">
        <v>19</v>
      </c>
      <c r="D61" s="108" t="s">
        <v>130</v>
      </c>
      <c r="E61" s="103" t="s">
        <v>119</v>
      </c>
      <c r="F61" s="206"/>
      <c r="G61" s="206"/>
      <c r="H61" s="165">
        <v>0.6</v>
      </c>
      <c r="I61" s="103"/>
      <c r="J61" s="161">
        <f>VLOOKUP(B61,'[2]MASTER PART LIST'!$B:$C,2,FALSE)</f>
        <v>386</v>
      </c>
      <c r="K61" s="164">
        <f>VLOOKUP(B61,'[2]MASTER PART LIST'!$B:$D,3,FALSE)</f>
        <v>643</v>
      </c>
      <c r="L61" s="164">
        <f t="shared" si="18"/>
        <v>751.6</v>
      </c>
      <c r="M61" s="186"/>
      <c r="N61" s="186"/>
      <c r="O61" s="175" t="s">
        <v>19</v>
      </c>
      <c r="P61" s="175"/>
      <c r="Q61" s="186" t="s">
        <v>167</v>
      </c>
      <c r="R61" s="175" t="s">
        <v>19</v>
      </c>
      <c r="S61" s="175"/>
      <c r="T61" s="175"/>
      <c r="U61" s="115"/>
      <c r="V61" s="115"/>
      <c r="W61" s="248"/>
      <c r="X61" s="125"/>
      <c r="Y61" s="292"/>
      <c r="Z61" s="292"/>
      <c r="AA61" s="292"/>
      <c r="AB61" s="292"/>
      <c r="AC61" s="292"/>
      <c r="AD61" s="292"/>
      <c r="AE61" s="292"/>
      <c r="AF61" s="292"/>
      <c r="AG61" s="186"/>
      <c r="AH61" s="186"/>
      <c r="AI61" s="186"/>
      <c r="AJ61" s="186"/>
      <c r="AK61" s="186"/>
      <c r="AL61" s="186"/>
      <c r="AM61" s="186"/>
      <c r="AN61" s="186"/>
      <c r="AO61" s="186"/>
      <c r="AP61" s="186"/>
      <c r="AQ61" s="186"/>
      <c r="AR61" s="297"/>
      <c r="AS61" s="297"/>
    </row>
    <row r="62" spans="2:45" ht="15.6" hidden="1" outlineLevel="1">
      <c r="B62" s="103" t="s">
        <v>281</v>
      </c>
      <c r="C62" s="105" t="s">
        <v>19</v>
      </c>
      <c r="D62" s="108" t="s">
        <v>217</v>
      </c>
      <c r="E62" s="108" t="s">
        <v>218</v>
      </c>
      <c r="F62" s="206"/>
      <c r="G62" s="206"/>
      <c r="H62" s="165">
        <v>0.6</v>
      </c>
      <c r="I62" s="103"/>
      <c r="J62" s="161">
        <f>VLOOKUP(B62,'[2]MASTER PART LIST'!$B:$C,2,FALSE)</f>
        <v>386</v>
      </c>
      <c r="K62" s="164">
        <f>VLOOKUP(B62,'[2]MASTER PART LIST'!$B:$D,3,FALSE)</f>
        <v>643</v>
      </c>
      <c r="L62" s="164">
        <f t="shared" si="18"/>
        <v>751.6</v>
      </c>
      <c r="M62" s="186"/>
      <c r="N62" s="186"/>
      <c r="O62" s="175" t="s">
        <v>19</v>
      </c>
      <c r="P62" s="175"/>
      <c r="Q62" s="175" t="s">
        <v>167</v>
      </c>
      <c r="R62" s="186" t="s">
        <v>18</v>
      </c>
      <c r="S62" s="186"/>
      <c r="T62" s="175"/>
      <c r="U62" s="115"/>
      <c r="V62" s="115"/>
      <c r="W62" s="248"/>
      <c r="X62" s="125"/>
      <c r="Y62" s="292"/>
      <c r="Z62" s="292"/>
      <c r="AA62" s="292"/>
      <c r="AB62" s="292"/>
      <c r="AC62" s="292"/>
      <c r="AD62" s="292"/>
      <c r="AE62" s="292"/>
      <c r="AF62" s="292"/>
      <c r="AG62" s="186"/>
      <c r="AH62" s="186"/>
      <c r="AI62" s="186"/>
      <c r="AJ62" s="186"/>
      <c r="AK62" s="186"/>
      <c r="AL62" s="186"/>
      <c r="AM62" s="186"/>
      <c r="AN62" s="186"/>
      <c r="AO62" s="186"/>
      <c r="AP62" s="186"/>
      <c r="AQ62" s="186"/>
      <c r="AR62" s="297"/>
      <c r="AS62" s="297"/>
    </row>
    <row r="63" spans="2:45" ht="15.6" hidden="1" outlineLevel="1">
      <c r="B63" s="103" t="s">
        <v>282</v>
      </c>
      <c r="C63" s="105" t="s">
        <v>19</v>
      </c>
      <c r="D63" s="108" t="s">
        <v>56</v>
      </c>
      <c r="E63" s="103" t="s">
        <v>120</v>
      </c>
      <c r="F63" s="206"/>
      <c r="G63" s="206"/>
      <c r="H63" s="165">
        <v>0.6</v>
      </c>
      <c r="I63" s="103"/>
      <c r="J63" s="161">
        <f>VLOOKUP(B63,'[2]MASTER PART LIST'!$B:$C,2,FALSE)</f>
        <v>386</v>
      </c>
      <c r="K63" s="164">
        <f>VLOOKUP(B63,'[2]MASTER PART LIST'!$B:$D,3,FALSE)</f>
        <v>643</v>
      </c>
      <c r="L63" s="164">
        <f t="shared" si="18"/>
        <v>751.6</v>
      </c>
      <c r="M63" s="186"/>
      <c r="N63" s="186"/>
      <c r="O63" s="186" t="s">
        <v>18</v>
      </c>
      <c r="P63" s="186"/>
      <c r="Q63" s="186" t="s">
        <v>167</v>
      </c>
      <c r="R63" s="186" t="s">
        <v>18</v>
      </c>
      <c r="S63" s="186"/>
      <c r="T63" s="175"/>
      <c r="U63" s="115"/>
      <c r="V63" s="115"/>
      <c r="W63" s="248"/>
      <c r="X63" s="125"/>
      <c r="Y63" s="292"/>
      <c r="Z63" s="292"/>
      <c r="AA63" s="292"/>
      <c r="AB63" s="292"/>
      <c r="AC63" s="292"/>
      <c r="AD63" s="292"/>
      <c r="AE63" s="292"/>
      <c r="AF63" s="292"/>
      <c r="AG63" s="186"/>
      <c r="AH63" s="186"/>
      <c r="AI63" s="186"/>
      <c r="AJ63" s="186"/>
      <c r="AK63" s="186"/>
      <c r="AL63" s="186"/>
      <c r="AM63" s="186"/>
      <c r="AN63" s="186"/>
      <c r="AO63" s="186"/>
      <c r="AP63" s="186"/>
      <c r="AQ63" s="186"/>
      <c r="AR63" s="297"/>
      <c r="AS63" s="297"/>
    </row>
    <row r="64" spans="2:45" ht="15.6" hidden="1" outlineLevel="1">
      <c r="B64" s="103" t="s">
        <v>283</v>
      </c>
      <c r="C64" s="105" t="s">
        <v>19</v>
      </c>
      <c r="D64" s="108" t="s">
        <v>242</v>
      </c>
      <c r="E64" s="108" t="s">
        <v>243</v>
      </c>
      <c r="F64" s="206"/>
      <c r="G64" s="206"/>
      <c r="H64" s="165">
        <v>0.6</v>
      </c>
      <c r="I64" s="103"/>
      <c r="J64" s="161">
        <f>VLOOKUP(B64,'[2]MASTER PART LIST'!$B:$C,2,FALSE)</f>
        <v>386</v>
      </c>
      <c r="K64" s="164">
        <f>VLOOKUP(B64,'[2]MASTER PART LIST'!$B:$D,3,FALSE)</f>
        <v>643</v>
      </c>
      <c r="L64" s="164">
        <f t="shared" si="18"/>
        <v>751.6</v>
      </c>
      <c r="M64" s="186"/>
      <c r="N64" s="186"/>
      <c r="O64" s="175" t="s">
        <v>19</v>
      </c>
      <c r="P64" s="175"/>
      <c r="Q64" s="186" t="s">
        <v>167</v>
      </c>
      <c r="R64" s="186" t="s">
        <v>18</v>
      </c>
      <c r="S64" s="186"/>
      <c r="T64" s="175"/>
      <c r="U64" s="115"/>
      <c r="V64" s="115"/>
      <c r="W64" s="248"/>
      <c r="X64" s="125"/>
      <c r="Y64" s="292"/>
      <c r="Z64" s="292"/>
      <c r="AA64" s="292"/>
      <c r="AB64" s="292"/>
      <c r="AC64" s="292"/>
      <c r="AD64" s="292"/>
      <c r="AE64" s="292"/>
      <c r="AF64" s="292"/>
      <c r="AG64" s="186"/>
      <c r="AH64" s="186"/>
      <c r="AI64" s="186"/>
      <c r="AJ64" s="186"/>
      <c r="AK64" s="186"/>
      <c r="AL64" s="186"/>
      <c r="AM64" s="186"/>
      <c r="AN64" s="186"/>
      <c r="AO64" s="186"/>
      <c r="AP64" s="186"/>
      <c r="AQ64" s="186"/>
      <c r="AR64" s="297"/>
      <c r="AS64" s="297"/>
    </row>
    <row r="65" spans="1:45" ht="15.6" hidden="1" outlineLevel="1">
      <c r="B65" s="103" t="s">
        <v>280</v>
      </c>
      <c r="C65" s="105" t="s">
        <v>19</v>
      </c>
      <c r="D65" s="108" t="s">
        <v>245</v>
      </c>
      <c r="E65" s="108" t="s">
        <v>246</v>
      </c>
      <c r="F65" s="206"/>
      <c r="G65" s="206"/>
      <c r="H65" s="165">
        <v>0.6</v>
      </c>
      <c r="I65" s="103"/>
      <c r="J65" s="161">
        <f>VLOOKUP(B65,'[2]MASTER PART LIST'!$B:$C,2,FALSE)</f>
        <v>386</v>
      </c>
      <c r="K65" s="164">
        <f>VLOOKUP(B65,'[2]MASTER PART LIST'!$B:$D,3,FALSE)</f>
        <v>643</v>
      </c>
      <c r="L65" s="164">
        <f t="shared" si="18"/>
        <v>751.6</v>
      </c>
      <c r="M65" s="186"/>
      <c r="N65" s="186"/>
      <c r="O65" s="175" t="s">
        <v>19</v>
      </c>
      <c r="P65" s="175"/>
      <c r="Q65" s="175" t="s">
        <v>167</v>
      </c>
      <c r="R65" s="186" t="s">
        <v>18</v>
      </c>
      <c r="S65" s="186"/>
      <c r="T65" s="175"/>
      <c r="U65" s="115"/>
      <c r="V65" s="115"/>
      <c r="W65" s="248"/>
      <c r="X65" s="125"/>
      <c r="Y65" s="292"/>
      <c r="Z65" s="292"/>
      <c r="AA65" s="292"/>
      <c r="AB65" s="292"/>
      <c r="AC65" s="292"/>
      <c r="AD65" s="292"/>
      <c r="AE65" s="292"/>
      <c r="AF65" s="292"/>
      <c r="AG65" s="186"/>
      <c r="AH65" s="186"/>
      <c r="AI65" s="186"/>
      <c r="AJ65" s="186"/>
      <c r="AK65" s="186"/>
      <c r="AL65" s="186"/>
      <c r="AM65" s="186"/>
      <c r="AN65" s="186"/>
      <c r="AO65" s="186"/>
      <c r="AP65" s="186"/>
      <c r="AQ65" s="186"/>
      <c r="AR65" s="297"/>
      <c r="AS65" s="297"/>
    </row>
    <row r="66" spans="1:45" ht="15.6" hidden="1" outlineLevel="1">
      <c r="B66" s="103" t="s">
        <v>284</v>
      </c>
      <c r="C66" s="105" t="s">
        <v>19</v>
      </c>
      <c r="D66" s="108" t="s">
        <v>248</v>
      </c>
      <c r="E66" s="108" t="s">
        <v>249</v>
      </c>
      <c r="F66" s="206"/>
      <c r="G66" s="206"/>
      <c r="H66" s="165">
        <v>0.6</v>
      </c>
      <c r="I66" s="103"/>
      <c r="J66" s="161">
        <f>VLOOKUP(B66,'[2]MASTER PART LIST'!$B:$C,2,FALSE)</f>
        <v>386</v>
      </c>
      <c r="K66" s="164">
        <f>VLOOKUP(B66,'[2]MASTER PART LIST'!$B:$D,3,FALSE)</f>
        <v>643</v>
      </c>
      <c r="L66" s="164">
        <f t="shared" si="18"/>
        <v>751.6</v>
      </c>
      <c r="M66" s="186"/>
      <c r="N66" s="186"/>
      <c r="O66" s="175" t="s">
        <v>19</v>
      </c>
      <c r="P66" s="175"/>
      <c r="Q66" s="186" t="s">
        <v>167</v>
      </c>
      <c r="R66" s="175" t="s">
        <v>19</v>
      </c>
      <c r="S66" s="175"/>
      <c r="T66" s="175"/>
      <c r="U66" s="115"/>
      <c r="V66" s="115"/>
      <c r="W66" s="248"/>
      <c r="X66" s="125"/>
      <c r="Y66" s="292"/>
      <c r="Z66" s="292"/>
      <c r="AA66" s="292"/>
      <c r="AB66" s="292"/>
      <c r="AC66" s="292"/>
      <c r="AD66" s="292"/>
      <c r="AE66" s="292"/>
      <c r="AF66" s="292"/>
      <c r="AG66" s="186"/>
      <c r="AH66" s="186"/>
      <c r="AI66" s="186"/>
      <c r="AJ66" s="186"/>
      <c r="AK66" s="186"/>
      <c r="AL66" s="186"/>
      <c r="AM66" s="186"/>
      <c r="AN66" s="186"/>
      <c r="AO66" s="186"/>
      <c r="AP66" s="186"/>
      <c r="AQ66" s="186"/>
      <c r="AR66" s="297"/>
      <c r="AS66" s="297"/>
    </row>
    <row r="67" spans="1:45" ht="15.6" hidden="1" outlineLevel="1">
      <c r="B67" s="103" t="s">
        <v>458</v>
      </c>
      <c r="C67" s="105" t="s">
        <v>19</v>
      </c>
      <c r="D67" s="108" t="s">
        <v>214</v>
      </c>
      <c r="E67" s="108" t="s">
        <v>215</v>
      </c>
      <c r="F67" s="206"/>
      <c r="G67" s="206"/>
      <c r="H67" s="165">
        <v>0.6</v>
      </c>
      <c r="I67" s="103"/>
      <c r="J67" s="161">
        <f>VLOOKUP(B67,'[2]MASTER PART LIST'!$B:$C,2,FALSE)</f>
        <v>386</v>
      </c>
      <c r="K67" s="164">
        <f>VLOOKUP(B67,'[2]MASTER PART LIST'!$B:$D,3,FALSE)</f>
        <v>643</v>
      </c>
      <c r="L67" s="164">
        <f t="shared" ref="L67" si="19">K67+(H67*VLOOKUP(prov_cd,rate_table,2,FALSE))</f>
        <v>751.6</v>
      </c>
      <c r="M67" s="186"/>
      <c r="N67" s="186"/>
      <c r="O67" s="186" t="s">
        <v>18</v>
      </c>
      <c r="P67" s="186"/>
      <c r="Q67" s="186" t="s">
        <v>167</v>
      </c>
      <c r="R67" s="186" t="s">
        <v>18</v>
      </c>
      <c r="S67" s="186"/>
      <c r="T67" s="175"/>
      <c r="U67" s="115"/>
      <c r="V67" s="115"/>
      <c r="W67" s="248"/>
      <c r="X67" s="125"/>
      <c r="Y67" s="292"/>
      <c r="Z67" s="292"/>
      <c r="AA67" s="292"/>
      <c r="AB67" s="292"/>
      <c r="AC67" s="292"/>
      <c r="AD67" s="292"/>
      <c r="AE67" s="292"/>
      <c r="AF67" s="292"/>
      <c r="AG67" s="186"/>
      <c r="AH67" s="186"/>
      <c r="AI67" s="186"/>
      <c r="AJ67" s="186"/>
      <c r="AK67" s="186"/>
      <c r="AL67" s="186"/>
      <c r="AM67" s="186"/>
      <c r="AN67" s="186"/>
      <c r="AO67" s="186"/>
      <c r="AP67" s="186"/>
      <c r="AQ67" s="186"/>
      <c r="AR67" s="297"/>
      <c r="AS67" s="297"/>
    </row>
    <row r="68" spans="1:45" ht="15.6" collapsed="1">
      <c r="B68" s="103" t="s">
        <v>301</v>
      </c>
      <c r="C68" s="103" t="str">
        <f t="shared" ref="C68" si="20">B68</f>
        <v>08U25-STK-413</v>
      </c>
      <c r="D68" s="108" t="s">
        <v>125</v>
      </c>
      <c r="E68" s="108" t="s">
        <v>113</v>
      </c>
      <c r="F68" s="115" t="s">
        <v>181</v>
      </c>
      <c r="G68" s="115" t="s">
        <v>182</v>
      </c>
      <c r="H68" s="165">
        <v>0</v>
      </c>
      <c r="I68" s="103"/>
      <c r="J68" s="161">
        <f>VLOOKUP(B68,'[2]MASTER PART LIST'!$B:$C,2,FALSE)</f>
        <v>41</v>
      </c>
      <c r="K68" s="164">
        <f>VLOOKUP(B68,'[2]MASTER PART LIST'!$B:$D,3,FALSE)</f>
        <v>68</v>
      </c>
      <c r="L68" s="164">
        <f t="shared" ref="L68:L96" si="21">K68+(H68*VLOOKUP(prov_cd,rate_table,2,FALSE))</f>
        <v>68</v>
      </c>
      <c r="M68" s="186"/>
      <c r="N68" s="186"/>
      <c r="O68" s="186" t="s">
        <v>18</v>
      </c>
      <c r="P68" s="186"/>
      <c r="Q68" s="186" t="s">
        <v>18</v>
      </c>
      <c r="R68" s="186" t="s">
        <v>18</v>
      </c>
      <c r="S68" s="186"/>
      <c r="T68" s="186"/>
      <c r="U68" s="115"/>
      <c r="V68" s="115"/>
      <c r="W68" s="247">
        <v>250</v>
      </c>
      <c r="X68" s="125" t="s">
        <v>166</v>
      </c>
      <c r="Y68" s="292"/>
      <c r="Z68" s="292"/>
      <c r="AA68" s="292"/>
      <c r="AB68" s="292"/>
      <c r="AC68" s="292"/>
      <c r="AD68" s="292"/>
      <c r="AE68" s="292"/>
      <c r="AF68" s="292"/>
      <c r="AG68" s="186"/>
      <c r="AH68" s="186"/>
      <c r="AI68" s="186"/>
      <c r="AJ68" s="186"/>
      <c r="AK68" s="186"/>
      <c r="AL68" s="186"/>
      <c r="AM68" s="186" t="s">
        <v>18</v>
      </c>
      <c r="AN68" s="186"/>
      <c r="AO68" s="186"/>
      <c r="AP68" s="186"/>
      <c r="AQ68" s="186"/>
      <c r="AR68" s="297"/>
      <c r="AS68" s="297"/>
    </row>
    <row r="69" spans="1:45" ht="30.6">
      <c r="B69" s="103" t="s">
        <v>302</v>
      </c>
      <c r="C69" s="103" t="str">
        <f>B69</f>
        <v>08P17-30A-110</v>
      </c>
      <c r="D69" s="108" t="s">
        <v>304</v>
      </c>
      <c r="E69" s="108" t="s">
        <v>305</v>
      </c>
      <c r="F69" s="115" t="s">
        <v>351</v>
      </c>
      <c r="G69" s="115" t="s">
        <v>356</v>
      </c>
      <c r="H69" s="165">
        <v>0.1</v>
      </c>
      <c r="I69" s="103"/>
      <c r="J69" s="161">
        <f>VLOOKUP(B69,'[2]MASTER PART LIST'!$B:$C,2,FALSE)</f>
        <v>175</v>
      </c>
      <c r="K69" s="164">
        <f>VLOOKUP(B69,'[2]MASTER PART LIST'!$B:$D,3,FALSE)</f>
        <v>292</v>
      </c>
      <c r="L69" s="164">
        <f t="shared" ref="L69" si="22">K69+(H69*VLOOKUP(prov_cd,rate_table,2,FALSE))</f>
        <v>310.10000000000002</v>
      </c>
      <c r="M69" s="186"/>
      <c r="N69" s="186"/>
      <c r="O69" s="186" t="s">
        <v>18</v>
      </c>
      <c r="P69" s="186"/>
      <c r="Q69" s="186" t="s">
        <v>18</v>
      </c>
      <c r="R69" s="186" t="s">
        <v>18</v>
      </c>
      <c r="S69" s="186"/>
      <c r="T69" s="186"/>
      <c r="U69" s="115"/>
      <c r="V69" s="115"/>
      <c r="W69" s="247">
        <v>32</v>
      </c>
      <c r="X69" s="125" t="s">
        <v>166</v>
      </c>
      <c r="Y69" s="292"/>
      <c r="Z69" s="292"/>
      <c r="AA69" s="292"/>
      <c r="AB69" s="292"/>
      <c r="AC69" s="292"/>
      <c r="AD69" s="292"/>
      <c r="AE69" s="292"/>
      <c r="AF69" s="292"/>
      <c r="AG69" s="186"/>
      <c r="AH69" s="186"/>
      <c r="AI69" s="186"/>
      <c r="AJ69" s="186"/>
      <c r="AK69" s="186"/>
      <c r="AL69" s="186"/>
      <c r="AM69" s="186" t="s">
        <v>18</v>
      </c>
      <c r="AN69" s="186"/>
      <c r="AO69" s="186"/>
      <c r="AP69" s="186"/>
      <c r="AQ69" s="186"/>
      <c r="AR69" s="297"/>
      <c r="AS69" s="298" t="s">
        <v>469</v>
      </c>
    </row>
    <row r="70" spans="1:45" ht="30.6">
      <c r="B70" s="103" t="s">
        <v>303</v>
      </c>
      <c r="C70" s="103" t="str">
        <f>B70</f>
        <v>08U45-30A-100</v>
      </c>
      <c r="D70" s="108" t="s">
        <v>306</v>
      </c>
      <c r="E70" s="108" t="s">
        <v>114</v>
      </c>
      <c r="F70" s="115" t="s">
        <v>352</v>
      </c>
      <c r="G70" s="115" t="s">
        <v>185</v>
      </c>
      <c r="H70" s="165">
        <v>0.1</v>
      </c>
      <c r="I70" s="103"/>
      <c r="J70" s="161">
        <f>VLOOKUP(B70,'[2]MASTER PART LIST'!$B:$C,2,FALSE)</f>
        <v>129</v>
      </c>
      <c r="K70" s="164">
        <f>VLOOKUP(B70,'[2]MASTER PART LIST'!$B:$D,3,FALSE)</f>
        <v>215</v>
      </c>
      <c r="L70" s="164">
        <f t="shared" si="21"/>
        <v>233.1</v>
      </c>
      <c r="M70" s="186"/>
      <c r="N70" s="186"/>
      <c r="O70" s="186" t="s">
        <v>18</v>
      </c>
      <c r="P70" s="186"/>
      <c r="Q70" s="186" t="s">
        <v>18</v>
      </c>
      <c r="R70" s="186" t="s">
        <v>18</v>
      </c>
      <c r="S70" s="186"/>
      <c r="T70" s="186"/>
      <c r="U70" s="115"/>
      <c r="V70" s="115"/>
      <c r="W70" s="247">
        <v>33</v>
      </c>
      <c r="X70" s="125" t="s">
        <v>166</v>
      </c>
      <c r="Y70" s="292"/>
      <c r="Z70" s="292"/>
      <c r="AA70" s="292"/>
      <c r="AB70" s="292"/>
      <c r="AC70" s="292"/>
      <c r="AD70" s="292"/>
      <c r="AE70" s="292"/>
      <c r="AF70" s="292"/>
      <c r="AG70" s="186"/>
      <c r="AH70" s="186"/>
      <c r="AI70" s="186"/>
      <c r="AJ70" s="186"/>
      <c r="AK70" s="186"/>
      <c r="AL70" s="186"/>
      <c r="AM70" s="186" t="s">
        <v>18</v>
      </c>
      <c r="AN70" s="186"/>
      <c r="AO70" s="186"/>
      <c r="AP70" s="186"/>
      <c r="AQ70" s="186"/>
      <c r="AR70" s="297"/>
      <c r="AS70" s="298" t="s">
        <v>469</v>
      </c>
    </row>
    <row r="71" spans="1:45" ht="20.399999999999999">
      <c r="B71" s="103" t="s">
        <v>307</v>
      </c>
      <c r="C71" s="103" t="str">
        <f t="shared" ref="C71:C74" si="23">B71</f>
        <v>08L96-TA0-301A</v>
      </c>
      <c r="D71" s="108" t="s">
        <v>311</v>
      </c>
      <c r="E71" s="108" t="s">
        <v>312</v>
      </c>
      <c r="F71" s="115" t="s">
        <v>353</v>
      </c>
      <c r="G71" s="115" t="s">
        <v>357</v>
      </c>
      <c r="H71" s="165">
        <v>0.2</v>
      </c>
      <c r="I71" s="103"/>
      <c r="J71" s="161">
        <f>VLOOKUP(B71,'[2]MASTER PART LIST'!$B:$C,2,FALSE)</f>
        <v>17</v>
      </c>
      <c r="K71" s="164">
        <f>VLOOKUP(B71,'[2]MASTER PART LIST'!$B:$D,3,FALSE)</f>
        <v>28</v>
      </c>
      <c r="L71" s="164">
        <f t="shared" si="21"/>
        <v>64.2</v>
      </c>
      <c r="M71" s="186"/>
      <c r="N71" s="186"/>
      <c r="O71" s="186" t="s">
        <v>18</v>
      </c>
      <c r="P71" s="186"/>
      <c r="Q71" s="186" t="s">
        <v>18</v>
      </c>
      <c r="R71" s="186" t="s">
        <v>18</v>
      </c>
      <c r="S71" s="186"/>
      <c r="T71" s="186"/>
      <c r="U71" s="115"/>
      <c r="V71" s="115"/>
      <c r="W71" s="247">
        <v>34</v>
      </c>
      <c r="X71" s="125" t="s">
        <v>166</v>
      </c>
      <c r="Y71" s="292"/>
      <c r="Z71" s="292"/>
      <c r="AA71" s="292"/>
      <c r="AB71" s="292"/>
      <c r="AC71" s="292"/>
      <c r="AD71" s="292"/>
      <c r="AE71" s="292"/>
      <c r="AF71" s="292"/>
      <c r="AG71" s="186"/>
      <c r="AH71" s="186"/>
      <c r="AI71" s="186"/>
      <c r="AJ71" s="186"/>
      <c r="AK71" s="186"/>
      <c r="AL71" s="186"/>
      <c r="AM71" s="186" t="s">
        <v>18</v>
      </c>
      <c r="AN71" s="186"/>
      <c r="AO71" s="186"/>
      <c r="AP71" s="186"/>
      <c r="AQ71" s="186"/>
      <c r="AR71" s="297"/>
      <c r="AS71" s="297"/>
    </row>
    <row r="72" spans="1:45" ht="20.399999999999999">
      <c r="B72" s="103" t="s">
        <v>308</v>
      </c>
      <c r="C72" s="103" t="str">
        <f t="shared" si="23"/>
        <v>08L96-TVA-300</v>
      </c>
      <c r="D72" s="108" t="s">
        <v>103</v>
      </c>
      <c r="E72" s="108" t="s">
        <v>313</v>
      </c>
      <c r="F72" s="115" t="s">
        <v>183</v>
      </c>
      <c r="G72" s="115" t="s">
        <v>358</v>
      </c>
      <c r="H72" s="165">
        <v>0.4</v>
      </c>
      <c r="I72" s="103"/>
      <c r="J72" s="161">
        <f>VLOOKUP(B72,'[2]MASTER PART LIST'!$B:$C,2,FALSE)</f>
        <v>26.99</v>
      </c>
      <c r="K72" s="164">
        <f>VLOOKUP(B72,'[2]MASTER PART LIST'!$B:$D,3,FALSE)</f>
        <v>58</v>
      </c>
      <c r="L72" s="164">
        <f t="shared" si="21"/>
        <v>130.4</v>
      </c>
      <c r="M72" s="186"/>
      <c r="N72" s="186"/>
      <c r="O72" s="186" t="s">
        <v>18</v>
      </c>
      <c r="P72" s="186"/>
      <c r="Q72" s="186" t="s">
        <v>18</v>
      </c>
      <c r="R72" s="186" t="s">
        <v>18</v>
      </c>
      <c r="S72" s="186"/>
      <c r="T72" s="186"/>
      <c r="U72" s="115"/>
      <c r="V72" s="115"/>
      <c r="W72" s="247">
        <v>35</v>
      </c>
      <c r="X72" s="125"/>
      <c r="Y72" s="292"/>
      <c r="Z72" s="292"/>
      <c r="AA72" s="292"/>
      <c r="AB72" s="292"/>
      <c r="AC72" s="292"/>
      <c r="AD72" s="292"/>
      <c r="AE72" s="292"/>
      <c r="AF72" s="292"/>
      <c r="AG72" s="186"/>
      <c r="AH72" s="186"/>
      <c r="AI72" s="186"/>
      <c r="AJ72" s="186"/>
      <c r="AK72" s="186"/>
      <c r="AL72" s="186"/>
      <c r="AM72" s="186" t="s">
        <v>18</v>
      </c>
      <c r="AN72" s="186"/>
      <c r="AO72" s="186"/>
      <c r="AP72" s="186"/>
      <c r="AQ72" s="186"/>
      <c r="AR72" s="297"/>
      <c r="AS72" s="298" t="s">
        <v>470</v>
      </c>
    </row>
    <row r="73" spans="1:45" ht="20.399999999999999">
      <c r="B73" s="103" t="s">
        <v>309</v>
      </c>
      <c r="C73" s="103" t="str">
        <f t="shared" si="23"/>
        <v>08P04-30A-100</v>
      </c>
      <c r="D73" s="108" t="s">
        <v>28</v>
      </c>
      <c r="E73" s="108" t="s">
        <v>314</v>
      </c>
      <c r="F73" s="115" t="s">
        <v>354</v>
      </c>
      <c r="G73" s="115" t="s">
        <v>359</v>
      </c>
      <c r="H73" s="165">
        <v>0.4</v>
      </c>
      <c r="I73" s="103"/>
      <c r="J73" s="161">
        <f>VLOOKUP(B73,'[2]MASTER PART LIST'!$B:$C,2,FALSE)</f>
        <v>106</v>
      </c>
      <c r="K73" s="164">
        <f>VLOOKUP(B73,'[2]MASTER PART LIST'!$B:$D,3,FALSE)</f>
        <v>177</v>
      </c>
      <c r="L73" s="164">
        <f t="shared" si="21"/>
        <v>249.4</v>
      </c>
      <c r="M73" s="186"/>
      <c r="N73" s="186"/>
      <c r="O73" s="186" t="s">
        <v>18</v>
      </c>
      <c r="P73" s="186"/>
      <c r="Q73" s="186" t="s">
        <v>18</v>
      </c>
      <c r="R73" s="186" t="s">
        <v>18</v>
      </c>
      <c r="S73" s="186"/>
      <c r="T73" s="186"/>
      <c r="U73" s="115"/>
      <c r="V73" s="115"/>
      <c r="W73" s="247">
        <v>40</v>
      </c>
      <c r="X73" s="125"/>
      <c r="Y73" s="292"/>
      <c r="Z73" s="292"/>
      <c r="AA73" s="292"/>
      <c r="AB73" s="292"/>
      <c r="AC73" s="292"/>
      <c r="AD73" s="292"/>
      <c r="AE73" s="292"/>
      <c r="AF73" s="292"/>
      <c r="AG73" s="186"/>
      <c r="AH73" s="186"/>
      <c r="AI73" s="186"/>
      <c r="AJ73" s="186"/>
      <c r="AK73" s="186"/>
      <c r="AL73" s="186"/>
      <c r="AM73" s="186" t="s">
        <v>18</v>
      </c>
      <c r="AN73" s="186"/>
      <c r="AO73" s="186"/>
      <c r="AP73" s="186"/>
      <c r="AQ73" s="186"/>
      <c r="AR73" s="297"/>
      <c r="AS73" s="297"/>
    </row>
    <row r="74" spans="1:45" ht="30.6">
      <c r="B74" s="103" t="s">
        <v>310</v>
      </c>
      <c r="C74" s="103" t="str">
        <f t="shared" si="23"/>
        <v>08R13-30A-100</v>
      </c>
      <c r="D74" s="108" t="s">
        <v>315</v>
      </c>
      <c r="E74" s="108" t="s">
        <v>122</v>
      </c>
      <c r="F74" s="115" t="s">
        <v>355</v>
      </c>
      <c r="G74" s="115" t="s">
        <v>184</v>
      </c>
      <c r="H74" s="165">
        <v>0.5</v>
      </c>
      <c r="I74" s="103"/>
      <c r="J74" s="161">
        <f>VLOOKUP(B74,'[2]MASTER PART LIST'!$B:$C,2,FALSE)</f>
        <v>180</v>
      </c>
      <c r="K74" s="164">
        <f>VLOOKUP(B74,'[2]MASTER PART LIST'!$B:$D,3,FALSE)</f>
        <v>300</v>
      </c>
      <c r="L74" s="164">
        <f t="shared" si="21"/>
        <v>390.5</v>
      </c>
      <c r="M74" s="186"/>
      <c r="N74" s="186"/>
      <c r="O74" s="186" t="s">
        <v>18</v>
      </c>
      <c r="P74" s="186"/>
      <c r="Q74" s="186" t="s">
        <v>18</v>
      </c>
      <c r="R74" s="186" t="s">
        <v>18</v>
      </c>
      <c r="S74" s="186"/>
      <c r="T74" s="186"/>
      <c r="U74" s="115"/>
      <c r="V74" s="115"/>
      <c r="W74" s="247">
        <v>36</v>
      </c>
      <c r="X74" s="125"/>
      <c r="Y74" s="292"/>
      <c r="Z74" s="292"/>
      <c r="AA74" s="292"/>
      <c r="AB74" s="292"/>
      <c r="AC74" s="292"/>
      <c r="AD74" s="292"/>
      <c r="AE74" s="292"/>
      <c r="AF74" s="292"/>
      <c r="AG74" s="186"/>
      <c r="AH74" s="186"/>
      <c r="AI74" s="186"/>
      <c r="AJ74" s="186"/>
      <c r="AK74" s="186"/>
      <c r="AL74" s="186"/>
      <c r="AM74" s="186" t="s">
        <v>18</v>
      </c>
      <c r="AN74" s="186"/>
      <c r="AO74" s="186"/>
      <c r="AP74" s="186"/>
      <c r="AQ74" s="186"/>
      <c r="AR74" s="297"/>
      <c r="AS74" s="297"/>
    </row>
    <row r="75" spans="1:45" ht="40.799999999999997">
      <c r="B75" s="188" t="s">
        <v>331</v>
      </c>
      <c r="C75" s="103" t="str">
        <f>B76</f>
        <v>08E12-30A-110</v>
      </c>
      <c r="D75" s="108" t="str">
        <f>D76</f>
        <v>Illuminated Door Sill Trim</v>
      </c>
      <c r="E75" s="108" t="str">
        <f>E76</f>
        <v>Garniture de seuil de portière illuminée</v>
      </c>
      <c r="F75" s="115" t="str">
        <f>F76</f>
        <v>The Illuminated Door Sill Trim dresses up the interior while helping protect the lower door sill from scuff marks. White LED lights illuminate the outer perimeters of the Accord logo when the door is open.</v>
      </c>
      <c r="G75" s="115" t="str">
        <f>G76</f>
        <v>La garniture de seuil de portière illuminée rend l’habitacle plus attrayant tout en protégeant le seuil de portière des éraflures. Les lumières blanches à DEL illuminent le périmètre extérieur du logo Accord lors de l’ouverture de la portière. Livrable en noir ou en gris.</v>
      </c>
      <c r="H75" s="165">
        <f>H76+H77</f>
        <v>1.4</v>
      </c>
      <c r="I75" s="103"/>
      <c r="J75" s="161">
        <f>J76+J77</f>
        <v>368</v>
      </c>
      <c r="K75" s="164">
        <f>K76+K77</f>
        <v>559</v>
      </c>
      <c r="L75" s="164">
        <f t="shared" si="21"/>
        <v>812.4</v>
      </c>
      <c r="M75" s="186"/>
      <c r="N75" s="186"/>
      <c r="O75" s="186" t="str">
        <f>O76</f>
        <v>•</v>
      </c>
      <c r="P75" s="186"/>
      <c r="Q75" s="186" t="str">
        <f>Q76</f>
        <v>•</v>
      </c>
      <c r="R75" s="186" t="str">
        <f>R76</f>
        <v>•</v>
      </c>
      <c r="S75" s="186"/>
      <c r="T75" s="186"/>
      <c r="U75" s="115"/>
      <c r="V75" s="115"/>
      <c r="W75" s="247">
        <v>31</v>
      </c>
      <c r="X75" s="125"/>
      <c r="Y75" s="292"/>
      <c r="Z75" s="292"/>
      <c r="AA75" s="292"/>
      <c r="AB75" s="292"/>
      <c r="AC75" s="292"/>
      <c r="AD75" s="292"/>
      <c r="AE75" s="292"/>
      <c r="AF75" s="292"/>
      <c r="AG75" s="186"/>
      <c r="AH75" s="186"/>
      <c r="AI75" s="186"/>
      <c r="AJ75" s="186"/>
      <c r="AK75" s="186"/>
      <c r="AL75" s="186"/>
      <c r="AM75" s="186"/>
      <c r="AN75" s="186" t="s">
        <v>18</v>
      </c>
      <c r="AO75" s="186"/>
      <c r="AP75" s="186"/>
      <c r="AQ75" s="186"/>
      <c r="AR75" s="297"/>
      <c r="AS75" s="297"/>
    </row>
    <row r="76" spans="1:45" ht="40.799999999999997" outlineLevel="1">
      <c r="B76" s="103" t="s">
        <v>316</v>
      </c>
      <c r="C76" s="287" t="s">
        <v>339</v>
      </c>
      <c r="D76" s="108" t="s">
        <v>109</v>
      </c>
      <c r="E76" s="108" t="s">
        <v>121</v>
      </c>
      <c r="F76" s="115" t="s">
        <v>350</v>
      </c>
      <c r="G76" s="115" t="s">
        <v>349</v>
      </c>
      <c r="H76" s="165">
        <v>1.4</v>
      </c>
      <c r="I76" s="103"/>
      <c r="J76" s="161">
        <f>VLOOKUP(B76,'[2]MASTER PART LIST'!$B:$C,2,FALSE)</f>
        <v>302</v>
      </c>
      <c r="K76" s="164">
        <f>VLOOKUP(B76,'[2]MASTER PART LIST'!$B:$D,3,FALSE)</f>
        <v>465</v>
      </c>
      <c r="L76" s="164">
        <f t="shared" si="21"/>
        <v>718.4</v>
      </c>
      <c r="M76" s="186"/>
      <c r="N76" s="186"/>
      <c r="O76" s="186" t="s">
        <v>18</v>
      </c>
      <c r="P76" s="186"/>
      <c r="Q76" s="186" t="s">
        <v>18</v>
      </c>
      <c r="R76" s="186" t="s">
        <v>18</v>
      </c>
      <c r="S76" s="186"/>
      <c r="T76" s="186"/>
      <c r="U76" s="115" t="s">
        <v>347</v>
      </c>
      <c r="V76" s="115" t="s">
        <v>348</v>
      </c>
      <c r="W76" s="247"/>
      <c r="X76" s="125"/>
      <c r="Y76" s="292"/>
      <c r="Z76" s="292"/>
      <c r="AA76" s="292"/>
      <c r="AB76" s="292"/>
      <c r="AC76" s="292"/>
      <c r="AD76" s="292"/>
      <c r="AE76" s="292"/>
      <c r="AF76" s="292"/>
      <c r="AG76" s="186"/>
      <c r="AH76" s="186"/>
      <c r="AI76" s="186"/>
      <c r="AJ76" s="186"/>
      <c r="AK76" s="186"/>
      <c r="AL76" s="186"/>
      <c r="AM76" s="186"/>
      <c r="AN76" s="186"/>
      <c r="AO76" s="186"/>
      <c r="AP76" s="186"/>
      <c r="AQ76" s="186"/>
      <c r="AR76" s="297"/>
      <c r="AS76" s="297"/>
    </row>
    <row r="77" spans="1:45" ht="27.6" outlineLevel="1">
      <c r="B77" s="103" t="s">
        <v>317</v>
      </c>
      <c r="C77" s="287" t="s">
        <v>339</v>
      </c>
      <c r="D77" s="108" t="s">
        <v>323</v>
      </c>
      <c r="E77" s="108" t="s">
        <v>324</v>
      </c>
      <c r="F77" s="115"/>
      <c r="G77" s="115"/>
      <c r="H77" s="165">
        <v>0</v>
      </c>
      <c r="I77" s="103"/>
      <c r="J77" s="161">
        <f>VLOOKUP(B77,'[2]MASTER PART LIST'!$B:$C,2,FALSE)</f>
        <v>66</v>
      </c>
      <c r="K77" s="164">
        <f>VLOOKUP(B77,'[2]MASTER PART LIST'!$B:$D,3,FALSE)</f>
        <v>94</v>
      </c>
      <c r="L77" s="164">
        <f t="shared" ref="L77:L80" si="24">K77+(H77*VLOOKUP(prov_cd,rate_table,2,FALSE))</f>
        <v>94</v>
      </c>
      <c r="M77" s="186"/>
      <c r="N77" s="186"/>
      <c r="O77" s="186" t="s">
        <v>18</v>
      </c>
      <c r="P77" s="186"/>
      <c r="Q77" s="186" t="s">
        <v>18</v>
      </c>
      <c r="R77" s="186" t="s">
        <v>18</v>
      </c>
      <c r="S77" s="186"/>
      <c r="T77" s="186"/>
      <c r="U77" s="115"/>
      <c r="V77" s="115"/>
      <c r="W77" s="247"/>
      <c r="X77" s="125"/>
      <c r="Y77" s="292"/>
      <c r="Z77" s="292"/>
      <c r="AA77" s="292"/>
      <c r="AB77" s="292"/>
      <c r="AC77" s="292"/>
      <c r="AD77" s="292"/>
      <c r="AE77" s="292"/>
      <c r="AF77" s="292"/>
      <c r="AG77" s="186"/>
      <c r="AH77" s="186"/>
      <c r="AI77" s="186"/>
      <c r="AJ77" s="186"/>
      <c r="AK77" s="186"/>
      <c r="AL77" s="186"/>
      <c r="AM77" s="186"/>
      <c r="AN77" s="186"/>
      <c r="AO77" s="186"/>
      <c r="AP77" s="186"/>
      <c r="AQ77" s="186"/>
      <c r="AR77" s="297"/>
      <c r="AS77" s="297"/>
    </row>
    <row r="78" spans="1:45" ht="61.2">
      <c r="A78" s="46"/>
      <c r="B78" s="188" t="s">
        <v>331</v>
      </c>
      <c r="C78" s="103" t="str">
        <f>B80</f>
        <v>08V03-30A-100</v>
      </c>
      <c r="D78" s="108" t="str">
        <f>D79</f>
        <v>Auto Day/Night Mirror with Home Link</v>
      </c>
      <c r="E78" s="108" t="str">
        <f>E79</f>
        <v>Rétroviseur automatique jour/nuit avec HomeLink</v>
      </c>
      <c r="F78" s="115" t="str">
        <f>F79</f>
        <v>A car is fast approaching from the rear. Headlights begin to blind you. No worries. The Automatic-Dimming Mirror with HomeLink darkens to reduce the glare. No hand adjustment necessary. Includes HomeLink Wireless Control System that can be programmed to activate devices such as garage door openers, gates, and RF controlled lighting.</v>
      </c>
      <c r="G78" s="115" t="str">
        <f>G79</f>
        <v>Un véhicule approche rapidement à l’arrière. Les phares commencent à vous éblouir. Soyez sans crainte. Le rétroviseur à gradation automatique s’assombrit pour réduire l’éblouissement. Aucun réglage manuel n’est requis. Comprend le système de commande sans fil HomeLink qui peut être programmé pour activer des dispositifs tels que des ouvre-portes de garage, des portails et des éclairages contrôlés par radiofréquence.</v>
      </c>
      <c r="H78" s="165">
        <f>H79+H80</f>
        <v>0.8</v>
      </c>
      <c r="I78" s="103"/>
      <c r="J78" s="161">
        <f>J79+J80</f>
        <v>394</v>
      </c>
      <c r="K78" s="164">
        <f>K79+K80</f>
        <v>580</v>
      </c>
      <c r="L78" s="164">
        <f t="shared" si="24"/>
        <v>724.8</v>
      </c>
      <c r="M78" s="186"/>
      <c r="N78" s="186"/>
      <c r="O78" s="186" t="str">
        <f>O79</f>
        <v>•</v>
      </c>
      <c r="P78" s="186"/>
      <c r="Q78" s="186" t="str">
        <f>Q79</f>
        <v>•</v>
      </c>
      <c r="R78" s="186" t="str">
        <f>R79</f>
        <v>•</v>
      </c>
      <c r="S78" s="186"/>
      <c r="T78" s="186"/>
      <c r="U78" s="115"/>
      <c r="V78" s="115"/>
      <c r="W78" s="247">
        <v>45</v>
      </c>
      <c r="X78" s="125" t="s">
        <v>166</v>
      </c>
      <c r="Y78" s="292"/>
      <c r="Z78" s="292"/>
      <c r="AA78" s="292"/>
      <c r="AB78" s="292"/>
      <c r="AC78" s="292"/>
      <c r="AD78" s="292"/>
      <c r="AE78" s="292"/>
      <c r="AF78" s="292"/>
      <c r="AG78" s="186"/>
      <c r="AH78" s="186"/>
      <c r="AI78" s="186"/>
      <c r="AJ78" s="186"/>
      <c r="AK78" s="186"/>
      <c r="AL78" s="186"/>
      <c r="AM78" s="186" t="s">
        <v>18</v>
      </c>
      <c r="AN78" s="186"/>
      <c r="AO78" s="186"/>
      <c r="AP78" s="186"/>
      <c r="AQ78" s="186"/>
      <c r="AR78" s="297"/>
      <c r="AS78" s="297"/>
    </row>
    <row r="79" spans="1:45" ht="61.2" outlineLevel="1">
      <c r="A79" s="46"/>
      <c r="B79" s="103" t="s">
        <v>318</v>
      </c>
      <c r="C79" s="287" t="s">
        <v>339</v>
      </c>
      <c r="D79" s="108" t="s">
        <v>325</v>
      </c>
      <c r="E79" s="108" t="s">
        <v>326</v>
      </c>
      <c r="F79" s="115" t="s">
        <v>343</v>
      </c>
      <c r="G79" s="115" t="s">
        <v>342</v>
      </c>
      <c r="H79" s="165">
        <v>0.2</v>
      </c>
      <c r="I79" s="103"/>
      <c r="J79" s="161">
        <f>VLOOKUP(B79,'[2]MASTER PART LIST'!$B:$C,2,FALSE)</f>
        <v>324</v>
      </c>
      <c r="K79" s="164">
        <f>VLOOKUP(B79,'[2]MASTER PART LIST'!$B:$D,3,FALSE)</f>
        <v>463</v>
      </c>
      <c r="L79" s="164">
        <f t="shared" si="24"/>
        <v>499.2</v>
      </c>
      <c r="M79" s="186"/>
      <c r="N79" s="186"/>
      <c r="O79" s="186" t="s">
        <v>18</v>
      </c>
      <c r="P79" s="186"/>
      <c r="Q79" s="186" t="s">
        <v>18</v>
      </c>
      <c r="R79" s="186" t="s">
        <v>18</v>
      </c>
      <c r="S79" s="186"/>
      <c r="T79" s="186"/>
      <c r="U79" s="115" t="s">
        <v>345</v>
      </c>
      <c r="V79" s="115" t="s">
        <v>344</v>
      </c>
      <c r="W79" s="247"/>
      <c r="X79" s="125" t="s">
        <v>166</v>
      </c>
      <c r="Y79" s="292"/>
      <c r="Z79" s="292"/>
      <c r="AA79" s="292"/>
      <c r="AB79" s="292"/>
      <c r="AC79" s="292"/>
      <c r="AD79" s="292"/>
      <c r="AE79" s="292"/>
      <c r="AF79" s="292"/>
      <c r="AG79" s="186"/>
      <c r="AH79" s="186"/>
      <c r="AI79" s="186"/>
      <c r="AJ79" s="186"/>
      <c r="AK79" s="186"/>
      <c r="AL79" s="186"/>
      <c r="AM79" s="186"/>
      <c r="AN79" s="186"/>
      <c r="AO79" s="186"/>
      <c r="AP79" s="186"/>
      <c r="AQ79" s="186"/>
      <c r="AR79" s="297"/>
      <c r="AS79" s="297"/>
    </row>
    <row r="80" spans="1:45" ht="15.6" outlineLevel="1">
      <c r="A80" s="46"/>
      <c r="B80" s="103" t="s">
        <v>319</v>
      </c>
      <c r="C80" s="287" t="s">
        <v>339</v>
      </c>
      <c r="D80" s="108" t="s">
        <v>327</v>
      </c>
      <c r="E80" s="108" t="s">
        <v>328</v>
      </c>
      <c r="F80" s="115"/>
      <c r="G80" s="115"/>
      <c r="H80" s="165">
        <v>0.6</v>
      </c>
      <c r="I80" s="103"/>
      <c r="J80" s="161">
        <f>VLOOKUP(B80,'[2]MASTER PART LIST'!$B:$C,2,FALSE)</f>
        <v>70</v>
      </c>
      <c r="K80" s="164">
        <f>VLOOKUP(B80,'[2]MASTER PART LIST'!$B:$D,3,FALSE)</f>
        <v>117</v>
      </c>
      <c r="L80" s="164">
        <f t="shared" si="24"/>
        <v>225.6</v>
      </c>
      <c r="M80" s="186"/>
      <c r="N80" s="186"/>
      <c r="O80" s="186" t="s">
        <v>18</v>
      </c>
      <c r="P80" s="186"/>
      <c r="Q80" s="186" t="s">
        <v>18</v>
      </c>
      <c r="R80" s="186" t="s">
        <v>18</v>
      </c>
      <c r="S80" s="186"/>
      <c r="T80" s="186"/>
      <c r="U80" s="115"/>
      <c r="V80" s="115"/>
      <c r="W80" s="247"/>
      <c r="X80" s="125" t="s">
        <v>166</v>
      </c>
      <c r="Y80" s="292"/>
      <c r="Z80" s="292"/>
      <c r="AA80" s="292"/>
      <c r="AB80" s="292"/>
      <c r="AC80" s="292"/>
      <c r="AD80" s="292"/>
      <c r="AE80" s="292"/>
      <c r="AF80" s="292"/>
      <c r="AG80" s="186"/>
      <c r="AH80" s="186"/>
      <c r="AI80" s="186"/>
      <c r="AJ80" s="186"/>
      <c r="AK80" s="186"/>
      <c r="AL80" s="186"/>
      <c r="AM80" s="186"/>
      <c r="AN80" s="186"/>
      <c r="AO80" s="186"/>
      <c r="AP80" s="186"/>
      <c r="AQ80" s="186"/>
      <c r="AR80" s="297"/>
      <c r="AS80" s="297"/>
    </row>
    <row r="81" spans="1:45" ht="30.6">
      <c r="A81" s="46"/>
      <c r="B81" s="103" t="s">
        <v>333</v>
      </c>
      <c r="C81" s="103" t="str">
        <f>B81</f>
        <v>08T44-30A-300A</v>
      </c>
      <c r="D81" s="103" t="s">
        <v>335</v>
      </c>
      <c r="E81" s="108" t="s">
        <v>336</v>
      </c>
      <c r="F81" s="115" t="s">
        <v>187</v>
      </c>
      <c r="G81" s="115" t="s">
        <v>186</v>
      </c>
      <c r="H81" s="165">
        <v>1.2</v>
      </c>
      <c r="I81" s="103"/>
      <c r="J81" s="161">
        <f>VLOOKUP(B81,'[2]MASTER PART LIST'!$B:$C,2,FALSE)</f>
        <v>144</v>
      </c>
      <c r="K81" s="164">
        <f>VLOOKUP(B81,'[2]MASTER PART LIST'!$B:$D,3,FALSE)</f>
        <v>240</v>
      </c>
      <c r="L81" s="164">
        <f t="shared" ref="L81" si="25">K81+(H81*VLOOKUP(prov_cd,rate_table,2,FALSE))</f>
        <v>457.2</v>
      </c>
      <c r="M81" s="186"/>
      <c r="N81" s="186"/>
      <c r="O81" s="186" t="s">
        <v>18</v>
      </c>
      <c r="P81" s="186"/>
      <c r="Q81" s="186" t="s">
        <v>19</v>
      </c>
      <c r="R81" s="186" t="s">
        <v>19</v>
      </c>
      <c r="S81" s="186"/>
      <c r="T81" s="186"/>
      <c r="U81" s="115"/>
      <c r="V81" s="115"/>
      <c r="W81" s="247">
        <v>41</v>
      </c>
      <c r="X81" s="125"/>
      <c r="Y81" s="292"/>
      <c r="Z81" s="292"/>
      <c r="AA81" s="292"/>
      <c r="AB81" s="292"/>
      <c r="AC81" s="292"/>
      <c r="AD81" s="292"/>
      <c r="AE81" s="292"/>
      <c r="AF81" s="292"/>
      <c r="AG81" s="186"/>
      <c r="AH81" s="186"/>
      <c r="AI81" s="186"/>
      <c r="AJ81" s="186"/>
      <c r="AK81" s="186"/>
      <c r="AL81" s="186" t="s">
        <v>18</v>
      </c>
      <c r="AM81" s="186"/>
      <c r="AN81" s="186"/>
      <c r="AO81" s="186"/>
      <c r="AP81" s="186"/>
      <c r="AQ81" s="186"/>
      <c r="AR81" s="297"/>
      <c r="AS81" s="297" t="s">
        <v>476</v>
      </c>
    </row>
    <row r="82" spans="1:45" ht="30.6">
      <c r="A82" s="46"/>
      <c r="B82" s="103" t="s">
        <v>334</v>
      </c>
      <c r="C82" s="103" t="str">
        <f>B82</f>
        <v>08T44-30B-300A</v>
      </c>
      <c r="D82" s="103" t="s">
        <v>335</v>
      </c>
      <c r="E82" s="108" t="s">
        <v>336</v>
      </c>
      <c r="F82" s="115" t="s">
        <v>187</v>
      </c>
      <c r="G82" s="115" t="s">
        <v>186</v>
      </c>
      <c r="H82" s="165">
        <v>1.2</v>
      </c>
      <c r="I82" s="103"/>
      <c r="J82" s="161">
        <f>VLOOKUP(B82,'[2]MASTER PART LIST'!$B:$C,2,FALSE)</f>
        <v>171</v>
      </c>
      <c r="K82" s="164">
        <f>VLOOKUP(B82,'[2]MASTER PART LIST'!$B:$D,3,FALSE)</f>
        <v>285</v>
      </c>
      <c r="L82" s="164">
        <f t="shared" ref="L82:L84" si="26">K82+(H82*VLOOKUP(prov_cd,rate_table,2,FALSE))</f>
        <v>502.2</v>
      </c>
      <c r="M82" s="186"/>
      <c r="N82" s="186"/>
      <c r="O82" s="186" t="s">
        <v>19</v>
      </c>
      <c r="P82" s="186"/>
      <c r="Q82" s="186" t="s">
        <v>18</v>
      </c>
      <c r="R82" s="186" t="s">
        <v>18</v>
      </c>
      <c r="S82" s="186"/>
      <c r="T82" s="186"/>
      <c r="U82" s="115"/>
      <c r="V82" s="115"/>
      <c r="W82" s="247">
        <v>42</v>
      </c>
      <c r="X82" s="125"/>
      <c r="Y82" s="292"/>
      <c r="Z82" s="292"/>
      <c r="AA82" s="292"/>
      <c r="AB82" s="292"/>
      <c r="AC82" s="292"/>
      <c r="AD82" s="292"/>
      <c r="AE82" s="292"/>
      <c r="AF82" s="292"/>
      <c r="AG82" s="186"/>
      <c r="AH82" s="186"/>
      <c r="AI82" s="186"/>
      <c r="AJ82" s="186"/>
      <c r="AK82" s="186"/>
      <c r="AL82" s="186" t="s">
        <v>18</v>
      </c>
      <c r="AM82" s="186"/>
      <c r="AN82" s="186"/>
      <c r="AO82" s="186"/>
      <c r="AP82" s="186"/>
      <c r="AQ82" s="186"/>
      <c r="AR82" s="297"/>
      <c r="AS82" s="297" t="s">
        <v>475</v>
      </c>
    </row>
    <row r="83" spans="1:45" ht="27.6">
      <c r="A83" s="46"/>
      <c r="B83" s="103" t="s">
        <v>26</v>
      </c>
      <c r="C83" s="103" t="str">
        <f>B83</f>
        <v>31670-BMS-004H</v>
      </c>
      <c r="D83" s="103" t="s">
        <v>107</v>
      </c>
      <c r="E83" s="108" t="s">
        <v>337</v>
      </c>
      <c r="F83" s="115" t="s">
        <v>191</v>
      </c>
      <c r="G83" s="115" t="s">
        <v>190</v>
      </c>
      <c r="H83" s="165">
        <v>0</v>
      </c>
      <c r="I83" s="103"/>
      <c r="J83" s="161">
        <f>VLOOKUP(B83,'[2]MASTER PART LIST'!$B:$C,2,FALSE)</f>
        <v>94</v>
      </c>
      <c r="K83" s="164">
        <f>VLOOKUP(B83,'[2]MASTER PART LIST'!$B:$D,3,FALSE)</f>
        <v>157</v>
      </c>
      <c r="L83" s="164">
        <f t="shared" si="26"/>
        <v>157</v>
      </c>
      <c r="M83" s="186"/>
      <c r="N83" s="186"/>
      <c r="O83" s="186" t="s">
        <v>18</v>
      </c>
      <c r="P83" s="186"/>
      <c r="Q83" s="186" t="s">
        <v>18</v>
      </c>
      <c r="R83" s="186" t="s">
        <v>18</v>
      </c>
      <c r="S83" s="186"/>
      <c r="T83" s="186"/>
      <c r="U83" s="115"/>
      <c r="V83" s="115"/>
      <c r="W83" s="247">
        <v>43</v>
      </c>
      <c r="X83" s="125" t="s">
        <v>166</v>
      </c>
      <c r="Y83" s="292"/>
      <c r="Z83" s="292"/>
      <c r="AA83" s="292"/>
      <c r="AB83" s="292"/>
      <c r="AC83" s="292"/>
      <c r="AD83" s="292"/>
      <c r="AE83" s="292"/>
      <c r="AF83" s="292"/>
      <c r="AG83" s="186"/>
      <c r="AH83" s="186"/>
      <c r="AI83" s="186"/>
      <c r="AJ83" s="186"/>
      <c r="AK83" s="186"/>
      <c r="AL83" s="186" t="s">
        <v>18</v>
      </c>
      <c r="AM83" s="186"/>
      <c r="AN83" s="186"/>
      <c r="AO83" s="186"/>
      <c r="AP83" s="186"/>
      <c r="AQ83" s="186"/>
      <c r="AR83" s="297"/>
      <c r="AS83" s="298" t="s">
        <v>488</v>
      </c>
    </row>
    <row r="84" spans="1:45" ht="15.6" hidden="1">
      <c r="A84" s="46"/>
      <c r="B84" s="103" t="s">
        <v>322</v>
      </c>
      <c r="C84" s="287" t="s">
        <v>339</v>
      </c>
      <c r="D84" s="103" t="s">
        <v>338</v>
      </c>
      <c r="E84" s="108" t="s">
        <v>332</v>
      </c>
      <c r="F84" s="115"/>
      <c r="G84" s="115"/>
      <c r="H84" s="165">
        <v>0</v>
      </c>
      <c r="I84" s="103"/>
      <c r="J84" s="161">
        <f>VLOOKUP(B84,'[2]MASTER PART LIST'!$B:$C,2,FALSE)</f>
        <v>20</v>
      </c>
      <c r="K84" s="164">
        <f>VLOOKUP(B84,'[2]MASTER PART LIST'!$B:$D,3,FALSE)</f>
        <v>28</v>
      </c>
      <c r="L84" s="164">
        <f t="shared" si="26"/>
        <v>28</v>
      </c>
      <c r="M84" s="186"/>
      <c r="N84" s="186"/>
      <c r="O84" s="186" t="s">
        <v>18</v>
      </c>
      <c r="P84" s="186"/>
      <c r="Q84" s="186" t="s">
        <v>18</v>
      </c>
      <c r="R84" s="186" t="s">
        <v>18</v>
      </c>
      <c r="S84" s="186"/>
      <c r="T84" s="186"/>
      <c r="U84" s="115"/>
      <c r="V84" s="115"/>
      <c r="W84" s="247"/>
      <c r="X84" s="125"/>
      <c r="Y84" s="292"/>
      <c r="Z84" s="292"/>
      <c r="AA84" s="292"/>
      <c r="AB84" s="292"/>
      <c r="AC84" s="292"/>
      <c r="AD84" s="292"/>
      <c r="AE84" s="292"/>
      <c r="AF84" s="292"/>
      <c r="AG84" s="186"/>
      <c r="AH84" s="186"/>
      <c r="AI84" s="186"/>
      <c r="AJ84" s="186"/>
      <c r="AK84" s="186"/>
      <c r="AL84" s="186"/>
      <c r="AM84" s="186"/>
      <c r="AN84" s="186"/>
      <c r="AO84" s="186"/>
      <c r="AP84" s="186"/>
      <c r="AQ84" s="186"/>
      <c r="AR84" s="297"/>
      <c r="AS84" s="297"/>
    </row>
    <row r="85" spans="1:45" ht="30.6">
      <c r="B85" s="188" t="s">
        <v>164</v>
      </c>
      <c r="C85" s="188" t="s">
        <v>220</v>
      </c>
      <c r="D85" s="108" t="s">
        <v>163</v>
      </c>
      <c r="E85" s="108" t="s">
        <v>165</v>
      </c>
      <c r="F85" s="115" t="s">
        <v>188</v>
      </c>
      <c r="G85" s="115" t="s">
        <v>189</v>
      </c>
      <c r="H85" s="169">
        <f>H86</f>
        <v>0</v>
      </c>
      <c r="I85" s="103"/>
      <c r="J85" s="168">
        <f>J86</f>
        <v>13.25</v>
      </c>
      <c r="K85" s="167">
        <f>K86</f>
        <v>22</v>
      </c>
      <c r="L85" s="164">
        <f t="shared" si="21"/>
        <v>22</v>
      </c>
      <c r="M85" s="186"/>
      <c r="N85" s="186"/>
      <c r="O85" s="186" t="s">
        <v>18</v>
      </c>
      <c r="P85" s="186"/>
      <c r="Q85" s="186" t="s">
        <v>18</v>
      </c>
      <c r="R85" s="186" t="s">
        <v>18</v>
      </c>
      <c r="S85" s="186"/>
      <c r="T85" s="186"/>
      <c r="U85" s="115"/>
      <c r="V85" s="115"/>
      <c r="W85" s="247">
        <v>249</v>
      </c>
      <c r="X85" s="125"/>
      <c r="Y85" s="292"/>
      <c r="Z85" s="292"/>
      <c r="AA85" s="292"/>
      <c r="AB85" s="292"/>
      <c r="AC85" s="292"/>
      <c r="AD85" s="292"/>
      <c r="AE85" s="292"/>
      <c r="AF85" s="292"/>
      <c r="AG85" s="186"/>
      <c r="AH85" s="186"/>
      <c r="AI85" s="186"/>
      <c r="AJ85" s="186"/>
      <c r="AK85" s="186"/>
      <c r="AL85" s="186"/>
      <c r="AM85" s="186"/>
      <c r="AN85" s="186"/>
      <c r="AO85" s="186"/>
      <c r="AP85" s="186" t="s">
        <v>18</v>
      </c>
      <c r="AQ85" s="186"/>
      <c r="AR85" s="297"/>
      <c r="AS85" s="297"/>
    </row>
    <row r="86" spans="1:45" ht="15.6" hidden="1" outlineLevel="1">
      <c r="B86" s="189" t="s">
        <v>220</v>
      </c>
      <c r="C86" s="105" t="s">
        <v>19</v>
      </c>
      <c r="D86" s="108" t="s">
        <v>57</v>
      </c>
      <c r="E86" s="108" t="s">
        <v>118</v>
      </c>
      <c r="F86" s="206"/>
      <c r="G86" s="206"/>
      <c r="H86" s="165">
        <v>0</v>
      </c>
      <c r="I86" s="128"/>
      <c r="J86" s="161">
        <f>VLOOKUP(B86,'[2]MASTER PART LIST'!$B:$C,2,FALSE)</f>
        <v>13.25</v>
      </c>
      <c r="K86" s="164">
        <f>VLOOKUP(B86,'[2]MASTER PART LIST'!$B:$D,3,FALSE)</f>
        <v>22</v>
      </c>
      <c r="L86" s="164">
        <f t="shared" si="21"/>
        <v>22</v>
      </c>
      <c r="M86" s="186"/>
      <c r="N86" s="186"/>
      <c r="O86" s="186" t="s">
        <v>18</v>
      </c>
      <c r="P86" s="186"/>
      <c r="Q86" s="186" t="s">
        <v>18</v>
      </c>
      <c r="R86" s="186" t="s">
        <v>18</v>
      </c>
      <c r="S86" s="186"/>
      <c r="T86" s="186"/>
      <c r="U86" s="115"/>
      <c r="V86" s="115"/>
      <c r="W86" s="206"/>
      <c r="X86" s="206"/>
      <c r="Y86" s="206"/>
      <c r="Z86" s="206"/>
      <c r="AA86" s="206"/>
      <c r="AB86" s="206"/>
      <c r="AC86" s="206"/>
      <c r="AD86" s="206"/>
      <c r="AE86" s="206"/>
      <c r="AF86" s="206"/>
      <c r="AG86" s="206"/>
      <c r="AH86" s="127"/>
      <c r="AI86" s="127"/>
      <c r="AJ86" s="127"/>
      <c r="AK86" s="127"/>
      <c r="AL86" s="127"/>
      <c r="AM86" s="127"/>
      <c r="AN86" s="127"/>
      <c r="AO86" s="127"/>
      <c r="AP86" s="127"/>
      <c r="AQ86" s="127"/>
      <c r="AR86" s="251"/>
      <c r="AS86" s="251"/>
    </row>
    <row r="87" spans="1:45" ht="15.6" hidden="1" outlineLevel="1">
      <c r="B87" s="189" t="s">
        <v>131</v>
      </c>
      <c r="C87" s="105" t="s">
        <v>19</v>
      </c>
      <c r="D87" s="108" t="s">
        <v>130</v>
      </c>
      <c r="E87" s="108" t="s">
        <v>119</v>
      </c>
      <c r="F87" s="206"/>
      <c r="G87" s="206"/>
      <c r="H87" s="165">
        <v>0</v>
      </c>
      <c r="I87" s="128"/>
      <c r="J87" s="161" t="e">
        <f>VLOOKUP(B87,'[2]MASTER PART LIST'!$B:$C,2,FALSE)</f>
        <v>#N/A</v>
      </c>
      <c r="K87" s="164" t="e">
        <f>VLOOKUP(B87,'[2]MASTER PART LIST'!$B:$D,3,FALSE)</f>
        <v>#N/A</v>
      </c>
      <c r="L87" s="164" t="e">
        <f t="shared" ref="L87" si="27">K87+(H87*VLOOKUP(prov_cd,rate_table,2,FALSE))</f>
        <v>#N/A</v>
      </c>
      <c r="M87" s="175"/>
      <c r="N87" s="175"/>
      <c r="O87" s="175" t="s">
        <v>19</v>
      </c>
      <c r="P87" s="175"/>
      <c r="Q87" s="186" t="s">
        <v>18</v>
      </c>
      <c r="R87" s="175" t="s">
        <v>19</v>
      </c>
      <c r="S87" s="175"/>
      <c r="T87" s="175"/>
      <c r="U87" s="115"/>
      <c r="V87" s="115"/>
      <c r="W87" s="206"/>
      <c r="X87" s="206"/>
      <c r="Y87" s="206"/>
      <c r="Z87" s="206"/>
      <c r="AA87" s="206"/>
      <c r="AB87" s="206"/>
      <c r="AC87" s="206"/>
      <c r="AD87" s="206"/>
      <c r="AE87" s="206"/>
      <c r="AF87" s="206"/>
      <c r="AG87" s="206"/>
      <c r="AH87" s="127"/>
      <c r="AI87" s="127"/>
      <c r="AJ87" s="127"/>
      <c r="AK87" s="127"/>
      <c r="AL87" s="127"/>
      <c r="AM87" s="127"/>
      <c r="AN87" s="127"/>
      <c r="AO87" s="127"/>
      <c r="AP87" s="127"/>
      <c r="AQ87" s="127"/>
      <c r="AR87" s="251"/>
      <c r="AS87" s="251"/>
    </row>
    <row r="88" spans="1:45" ht="15.6" hidden="1" outlineLevel="1">
      <c r="B88" s="189" t="s">
        <v>216</v>
      </c>
      <c r="C88" s="105" t="s">
        <v>19</v>
      </c>
      <c r="D88" s="108" t="s">
        <v>217</v>
      </c>
      <c r="E88" s="103" t="s">
        <v>218</v>
      </c>
      <c r="F88" s="206"/>
      <c r="G88" s="206"/>
      <c r="H88" s="165">
        <v>0</v>
      </c>
      <c r="I88" s="128"/>
      <c r="J88" s="161" t="e">
        <f>VLOOKUP(B88,'[2]MASTER PART LIST'!$B:$C,2,FALSE)</f>
        <v>#N/A</v>
      </c>
      <c r="K88" s="164" t="e">
        <f>VLOOKUP(B88,'[2]MASTER PART LIST'!$B:$D,3,FALSE)</f>
        <v>#N/A</v>
      </c>
      <c r="L88" s="164" t="e">
        <f t="shared" ref="L88:L92" si="28">K88+(H88*VLOOKUP(prov_cd,rate_table,2,FALSE))</f>
        <v>#N/A</v>
      </c>
      <c r="M88" s="175"/>
      <c r="N88" s="175"/>
      <c r="O88" s="175" t="s">
        <v>19</v>
      </c>
      <c r="P88" s="175"/>
      <c r="Q88" s="175" t="s">
        <v>19</v>
      </c>
      <c r="R88" s="186" t="s">
        <v>18</v>
      </c>
      <c r="S88" s="186"/>
      <c r="T88" s="186"/>
      <c r="U88" s="115"/>
      <c r="V88" s="115"/>
      <c r="W88" s="206"/>
      <c r="X88" s="206"/>
      <c r="Y88" s="206"/>
      <c r="Z88" s="206"/>
      <c r="AA88" s="206"/>
      <c r="AB88" s="206"/>
      <c r="AC88" s="206"/>
      <c r="AD88" s="206"/>
      <c r="AE88" s="206"/>
      <c r="AF88" s="206"/>
      <c r="AG88" s="206"/>
      <c r="AH88" s="127"/>
      <c r="AI88" s="127"/>
      <c r="AJ88" s="127"/>
      <c r="AK88" s="127"/>
      <c r="AL88" s="127"/>
      <c r="AM88" s="127"/>
      <c r="AN88" s="127"/>
      <c r="AO88" s="127"/>
      <c r="AP88" s="127"/>
      <c r="AQ88" s="127"/>
      <c r="AR88" s="251"/>
      <c r="AS88" s="251"/>
    </row>
    <row r="89" spans="1:45" ht="15.6" hidden="1" outlineLevel="1">
      <c r="B89" s="189" t="s">
        <v>219</v>
      </c>
      <c r="C89" s="105" t="s">
        <v>19</v>
      </c>
      <c r="D89" s="108" t="s">
        <v>56</v>
      </c>
      <c r="E89" s="108" t="s">
        <v>120</v>
      </c>
      <c r="F89" s="206"/>
      <c r="G89" s="206"/>
      <c r="H89" s="165">
        <v>0</v>
      </c>
      <c r="I89" s="128"/>
      <c r="J89" s="161">
        <f>VLOOKUP(B89,'[2]MASTER PART LIST'!$B:$C,2,FALSE)</f>
        <v>13.25</v>
      </c>
      <c r="K89" s="164">
        <f>VLOOKUP(B89,'[2]MASTER PART LIST'!$B:$D,3,FALSE)</f>
        <v>22</v>
      </c>
      <c r="L89" s="164">
        <f t="shared" si="28"/>
        <v>22</v>
      </c>
      <c r="M89" s="186"/>
      <c r="N89" s="186"/>
      <c r="O89" s="186" t="s">
        <v>18</v>
      </c>
      <c r="P89" s="186"/>
      <c r="Q89" s="186" t="s">
        <v>18</v>
      </c>
      <c r="R89" s="186" t="s">
        <v>18</v>
      </c>
      <c r="S89" s="186"/>
      <c r="T89" s="186"/>
      <c r="U89" s="115"/>
      <c r="V89" s="115"/>
      <c r="W89" s="206"/>
      <c r="X89" s="206"/>
      <c r="Y89" s="206"/>
      <c r="Z89" s="206"/>
      <c r="AA89" s="206"/>
      <c r="AB89" s="206"/>
      <c r="AC89" s="206"/>
      <c r="AD89" s="206"/>
      <c r="AE89" s="206"/>
      <c r="AF89" s="206"/>
      <c r="AG89" s="206"/>
      <c r="AH89" s="127"/>
      <c r="AI89" s="127"/>
      <c r="AJ89" s="127"/>
      <c r="AK89" s="127"/>
      <c r="AL89" s="127"/>
      <c r="AM89" s="127"/>
      <c r="AN89" s="127"/>
      <c r="AO89" s="127"/>
      <c r="AP89" s="127"/>
      <c r="AQ89" s="127"/>
      <c r="AR89" s="251"/>
      <c r="AS89" s="251"/>
    </row>
    <row r="90" spans="1:45" ht="15.6" hidden="1" outlineLevel="1">
      <c r="B90" s="189" t="s">
        <v>244</v>
      </c>
      <c r="C90" s="105" t="s">
        <v>19</v>
      </c>
      <c r="D90" s="108" t="s">
        <v>242</v>
      </c>
      <c r="E90" s="108" t="s">
        <v>243</v>
      </c>
      <c r="F90" s="206"/>
      <c r="G90" s="206"/>
      <c r="H90" s="165">
        <v>0</v>
      </c>
      <c r="I90" s="128"/>
      <c r="J90" s="161">
        <f>VLOOKUP(B90,'[2]MASTER PART LIST'!$B:$C,2,FALSE)</f>
        <v>13.25</v>
      </c>
      <c r="K90" s="164">
        <f>VLOOKUP(B90,'[2]MASTER PART LIST'!$B:$D,3,FALSE)</f>
        <v>22</v>
      </c>
      <c r="L90" s="164">
        <f t="shared" si="28"/>
        <v>22</v>
      </c>
      <c r="M90" s="186"/>
      <c r="N90" s="186"/>
      <c r="O90" s="175" t="s">
        <v>19</v>
      </c>
      <c r="P90" s="175"/>
      <c r="Q90" s="186" t="s">
        <v>18</v>
      </c>
      <c r="R90" s="186" t="s">
        <v>18</v>
      </c>
      <c r="S90" s="186"/>
      <c r="T90" s="186"/>
      <c r="U90" s="115"/>
      <c r="V90" s="115"/>
      <c r="W90" s="206"/>
      <c r="X90" s="206"/>
      <c r="Y90" s="206"/>
      <c r="Z90" s="206"/>
      <c r="AA90" s="206"/>
      <c r="AB90" s="206"/>
      <c r="AC90" s="206"/>
      <c r="AD90" s="206"/>
      <c r="AE90" s="206"/>
      <c r="AF90" s="206"/>
      <c r="AG90" s="206"/>
      <c r="AH90" s="127"/>
      <c r="AI90" s="127"/>
      <c r="AJ90" s="127"/>
      <c r="AK90" s="127"/>
      <c r="AL90" s="127"/>
      <c r="AM90" s="127"/>
      <c r="AN90" s="127"/>
      <c r="AO90" s="127"/>
      <c r="AP90" s="127"/>
      <c r="AQ90" s="127"/>
      <c r="AR90" s="251"/>
      <c r="AS90" s="251"/>
    </row>
    <row r="91" spans="1:45" ht="15.6" hidden="1" outlineLevel="1">
      <c r="B91" s="189" t="s">
        <v>247</v>
      </c>
      <c r="C91" s="105" t="s">
        <v>19</v>
      </c>
      <c r="D91" s="108" t="s">
        <v>245</v>
      </c>
      <c r="E91" s="108" t="s">
        <v>246</v>
      </c>
      <c r="F91" s="206"/>
      <c r="G91" s="206"/>
      <c r="H91" s="165">
        <v>0</v>
      </c>
      <c r="I91" s="128"/>
      <c r="J91" s="161">
        <f>VLOOKUP(B91,'[2]MASTER PART LIST'!$B:$C,2,FALSE)</f>
        <v>13.25</v>
      </c>
      <c r="K91" s="164">
        <f>VLOOKUP(B91,'[2]MASTER PART LIST'!$B:$D,3,FALSE)</f>
        <v>22</v>
      </c>
      <c r="L91" s="164">
        <f t="shared" si="28"/>
        <v>22</v>
      </c>
      <c r="M91" s="186"/>
      <c r="N91" s="186"/>
      <c r="O91" s="175" t="s">
        <v>19</v>
      </c>
      <c r="P91" s="175"/>
      <c r="Q91" s="175" t="s">
        <v>19</v>
      </c>
      <c r="R91" s="186" t="s">
        <v>18</v>
      </c>
      <c r="S91" s="186"/>
      <c r="T91" s="186"/>
      <c r="U91" s="115"/>
      <c r="V91" s="115"/>
      <c r="W91" s="206"/>
      <c r="X91" s="206"/>
      <c r="Y91" s="206"/>
      <c r="Z91" s="206"/>
      <c r="AA91" s="206"/>
      <c r="AB91" s="206"/>
      <c r="AC91" s="206"/>
      <c r="AD91" s="206"/>
      <c r="AE91" s="206"/>
      <c r="AF91" s="206"/>
      <c r="AG91" s="206"/>
      <c r="AH91" s="127"/>
      <c r="AI91" s="127"/>
      <c r="AJ91" s="127"/>
      <c r="AK91" s="127"/>
      <c r="AL91" s="127"/>
      <c r="AM91" s="127"/>
      <c r="AN91" s="127"/>
      <c r="AO91" s="127"/>
      <c r="AP91" s="127"/>
      <c r="AQ91" s="127"/>
      <c r="AR91" s="251"/>
      <c r="AS91" s="251"/>
    </row>
    <row r="92" spans="1:45" ht="15.6" hidden="1" outlineLevel="1">
      <c r="B92" s="189" t="s">
        <v>250</v>
      </c>
      <c r="C92" s="105" t="s">
        <v>19</v>
      </c>
      <c r="D92" s="108" t="s">
        <v>248</v>
      </c>
      <c r="E92" s="108" t="s">
        <v>249</v>
      </c>
      <c r="F92" s="206"/>
      <c r="G92" s="206"/>
      <c r="H92" s="165">
        <v>0</v>
      </c>
      <c r="I92" s="128"/>
      <c r="J92" s="161">
        <f>VLOOKUP(B92,'[2]MASTER PART LIST'!$B:$C,2,FALSE)</f>
        <v>13.25</v>
      </c>
      <c r="K92" s="164">
        <f>VLOOKUP(B92,'[2]MASTER PART LIST'!$B:$D,3,FALSE)</f>
        <v>22</v>
      </c>
      <c r="L92" s="164">
        <f t="shared" si="28"/>
        <v>22</v>
      </c>
      <c r="M92" s="186"/>
      <c r="N92" s="186"/>
      <c r="O92" s="175" t="s">
        <v>19</v>
      </c>
      <c r="P92" s="175"/>
      <c r="Q92" s="186" t="s">
        <v>18</v>
      </c>
      <c r="R92" s="175" t="s">
        <v>19</v>
      </c>
      <c r="S92" s="175"/>
      <c r="T92" s="175"/>
      <c r="U92" s="115"/>
      <c r="V92" s="115"/>
      <c r="W92" s="206"/>
      <c r="X92" s="206"/>
      <c r="Y92" s="206"/>
      <c r="Z92" s="206"/>
      <c r="AA92" s="206"/>
      <c r="AB92" s="206"/>
      <c r="AC92" s="206"/>
      <c r="AD92" s="206"/>
      <c r="AE92" s="206"/>
      <c r="AF92" s="206"/>
      <c r="AG92" s="206"/>
      <c r="AH92" s="127"/>
      <c r="AI92" s="127"/>
      <c r="AJ92" s="127"/>
      <c r="AK92" s="127"/>
      <c r="AL92" s="127"/>
      <c r="AM92" s="127"/>
      <c r="AN92" s="127"/>
      <c r="AO92" s="127"/>
      <c r="AP92" s="127"/>
      <c r="AQ92" s="127"/>
      <c r="AR92" s="251"/>
      <c r="AS92" s="251"/>
    </row>
    <row r="93" spans="1:45" ht="15.6" hidden="1" outlineLevel="1">
      <c r="B93" s="189" t="s">
        <v>453</v>
      </c>
      <c r="C93" s="105" t="s">
        <v>19</v>
      </c>
      <c r="D93" s="108" t="s">
        <v>214</v>
      </c>
      <c r="E93" s="103" t="s">
        <v>215</v>
      </c>
      <c r="F93" s="206"/>
      <c r="G93" s="206"/>
      <c r="H93" s="165">
        <v>0</v>
      </c>
      <c r="I93" s="128"/>
      <c r="J93" s="161">
        <f>VLOOKUP(B93,'[2]MASTER PART LIST'!$B:$C,2,FALSE)</f>
        <v>13.25</v>
      </c>
      <c r="K93" s="164">
        <f>VLOOKUP(B93,'[2]MASTER PART LIST'!$B:$D,3,FALSE)</f>
        <v>22</v>
      </c>
      <c r="L93" s="164">
        <f>K93+(H93*VLOOKUP(prov_cd,rate_table,2,FALSE))</f>
        <v>22</v>
      </c>
      <c r="M93" s="186"/>
      <c r="N93" s="186"/>
      <c r="O93" s="186" t="s">
        <v>18</v>
      </c>
      <c r="P93" s="186"/>
      <c r="Q93" s="186" t="s">
        <v>18</v>
      </c>
      <c r="R93" s="186" t="s">
        <v>18</v>
      </c>
      <c r="S93" s="186"/>
      <c r="T93" s="186"/>
      <c r="U93" s="115"/>
      <c r="V93" s="115"/>
      <c r="W93" s="206"/>
      <c r="X93" s="206"/>
      <c r="Y93" s="206"/>
      <c r="Z93" s="206"/>
      <c r="AA93" s="206"/>
      <c r="AB93" s="206"/>
      <c r="AC93" s="206"/>
      <c r="AD93" s="206"/>
      <c r="AE93" s="206"/>
      <c r="AF93" s="206"/>
      <c r="AG93" s="206"/>
      <c r="AH93" s="127"/>
      <c r="AI93" s="127"/>
      <c r="AJ93" s="127"/>
      <c r="AK93" s="127"/>
      <c r="AL93" s="127"/>
      <c r="AM93" s="127"/>
      <c r="AN93" s="127"/>
      <c r="AO93" s="127"/>
      <c r="AP93" s="127"/>
      <c r="AQ93" s="127"/>
      <c r="AR93" s="251"/>
      <c r="AS93" s="251"/>
    </row>
    <row r="94" spans="1:45" ht="15.6" hidden="1" collapsed="1">
      <c r="B94" s="103" t="s">
        <v>64</v>
      </c>
      <c r="C94" s="103" t="s">
        <v>64</v>
      </c>
      <c r="D94" s="108" t="s">
        <v>22</v>
      </c>
      <c r="E94" s="108" t="s">
        <v>97</v>
      </c>
      <c r="F94" s="115"/>
      <c r="G94" s="115"/>
      <c r="H94" s="165">
        <v>0</v>
      </c>
      <c r="I94" s="103"/>
      <c r="J94" s="161">
        <f>VLOOKUP(B94,'[2]MASTER PART LIST'!$B:$C,2,FALSE)</f>
        <v>9.5</v>
      </c>
      <c r="K94" s="164">
        <f>VLOOKUP(B94,'[2]MASTER PART LIST'!$B:$D,3,FALSE)</f>
        <v>15.75</v>
      </c>
      <c r="L94" s="164">
        <f t="shared" si="21"/>
        <v>15.75</v>
      </c>
      <c r="M94" s="186"/>
      <c r="N94" s="186"/>
      <c r="O94" s="186"/>
      <c r="P94" s="186"/>
      <c r="Q94" s="186"/>
      <c r="R94" s="186"/>
      <c r="S94" s="186"/>
      <c r="T94" s="186"/>
      <c r="U94" s="115" t="s">
        <v>228</v>
      </c>
      <c r="V94" s="115" t="s">
        <v>230</v>
      </c>
      <c r="W94" s="247"/>
      <c r="X94" s="125"/>
      <c r="Y94" s="292"/>
      <c r="Z94" s="292"/>
      <c r="AA94" s="292"/>
      <c r="AB94" s="292"/>
      <c r="AC94" s="292"/>
      <c r="AD94" s="292"/>
      <c r="AE94" s="292"/>
      <c r="AF94" s="292"/>
      <c r="AG94" s="186"/>
      <c r="AH94" s="186"/>
      <c r="AI94" s="186"/>
      <c r="AJ94" s="186"/>
      <c r="AK94" s="186"/>
      <c r="AL94" s="186"/>
      <c r="AM94" s="186"/>
      <c r="AN94" s="186"/>
      <c r="AO94" s="186"/>
      <c r="AP94" s="186" t="s">
        <v>18</v>
      </c>
      <c r="AQ94" s="186"/>
      <c r="AR94" s="250"/>
      <c r="AS94" s="250"/>
    </row>
    <row r="95" spans="1:45" ht="15.6" hidden="1">
      <c r="B95" s="252" t="s">
        <v>63</v>
      </c>
      <c r="C95" s="252" t="s">
        <v>63</v>
      </c>
      <c r="D95" s="253" t="s">
        <v>23</v>
      </c>
      <c r="E95" s="253" t="s">
        <v>98</v>
      </c>
      <c r="F95" s="261"/>
      <c r="G95" s="261"/>
      <c r="H95" s="258">
        <v>0</v>
      </c>
      <c r="I95" s="252"/>
      <c r="J95" s="259">
        <f>VLOOKUP(B95,'[2]MASTER PART LIST'!$B:$C,2,FALSE)</f>
        <v>2.4500000000000002</v>
      </c>
      <c r="K95" s="260">
        <f>VLOOKUP(B95,'[2]MASTER PART LIST'!$B:$D,3,FALSE)</f>
        <v>4</v>
      </c>
      <c r="L95" s="260">
        <f t="shared" si="21"/>
        <v>4</v>
      </c>
      <c r="M95" s="256"/>
      <c r="N95" s="256"/>
      <c r="O95" s="256"/>
      <c r="P95" s="256"/>
      <c r="Q95" s="256"/>
      <c r="R95" s="256"/>
      <c r="S95" s="256"/>
      <c r="T95" s="256"/>
      <c r="U95" s="261" t="s">
        <v>228</v>
      </c>
      <c r="V95" s="261" t="s">
        <v>230</v>
      </c>
      <c r="W95" s="255"/>
      <c r="X95" s="254"/>
      <c r="Y95" s="293"/>
      <c r="Z95" s="293"/>
      <c r="AA95" s="293"/>
      <c r="AB95" s="293"/>
      <c r="AC95" s="293"/>
      <c r="AD95" s="293"/>
      <c r="AE95" s="293"/>
      <c r="AF95" s="293"/>
      <c r="AG95" s="186"/>
      <c r="AH95" s="186"/>
      <c r="AI95" s="256"/>
      <c r="AJ95" s="256"/>
      <c r="AK95" s="256"/>
      <c r="AL95" s="256"/>
      <c r="AM95" s="256"/>
      <c r="AN95" s="256"/>
      <c r="AO95" s="256"/>
      <c r="AP95" s="256" t="s">
        <v>18</v>
      </c>
      <c r="AQ95" s="256"/>
      <c r="AR95" s="257"/>
      <c r="AS95" s="257"/>
    </row>
    <row r="96" spans="1:45" ht="27.6" hidden="1">
      <c r="B96" s="267" t="s">
        <v>62</v>
      </c>
      <c r="C96" s="267" t="s">
        <v>62</v>
      </c>
      <c r="D96" s="268" t="s">
        <v>24</v>
      </c>
      <c r="E96" s="268" t="s">
        <v>117</v>
      </c>
      <c r="F96" s="276"/>
      <c r="G96" s="276"/>
      <c r="H96" s="273">
        <v>0</v>
      </c>
      <c r="I96" s="267"/>
      <c r="J96" s="274">
        <f>VLOOKUP(B96,'[2]MASTER PART LIST'!$B:$C,2,FALSE)</f>
        <v>6.25</v>
      </c>
      <c r="K96" s="275">
        <f>VLOOKUP(B96,'[2]MASTER PART LIST'!$B:$D,3,FALSE)</f>
        <v>13.75</v>
      </c>
      <c r="L96" s="275">
        <f t="shared" si="21"/>
        <v>13.75</v>
      </c>
      <c r="M96" s="271"/>
      <c r="N96" s="271"/>
      <c r="O96" s="271"/>
      <c r="P96" s="271"/>
      <c r="Q96" s="271"/>
      <c r="R96" s="271"/>
      <c r="S96" s="271"/>
      <c r="T96" s="271"/>
      <c r="U96" s="276" t="s">
        <v>227</v>
      </c>
      <c r="V96" s="276" t="s">
        <v>229</v>
      </c>
      <c r="W96" s="270"/>
      <c r="X96" s="269"/>
      <c r="Y96" s="269"/>
      <c r="Z96" s="269"/>
      <c r="AA96" s="269"/>
      <c r="AB96" s="269"/>
      <c r="AC96" s="269"/>
      <c r="AD96" s="269"/>
      <c r="AE96" s="269"/>
      <c r="AF96" s="269"/>
      <c r="AG96" s="186"/>
      <c r="AH96" s="186"/>
      <c r="AI96" s="271"/>
      <c r="AJ96" s="271"/>
      <c r="AK96" s="271"/>
      <c r="AL96" s="271"/>
      <c r="AM96" s="271"/>
      <c r="AN96" s="271"/>
      <c r="AO96" s="271"/>
      <c r="AP96" s="271" t="s">
        <v>18</v>
      </c>
      <c r="AQ96" s="271"/>
      <c r="AR96" s="272"/>
      <c r="AS96" s="272"/>
    </row>
    <row r="97" spans="1:45" ht="15.6">
      <c r="H97" s="264"/>
      <c r="J97" s="265"/>
      <c r="K97" s="266"/>
      <c r="L97" s="266"/>
      <c r="M97" s="313"/>
      <c r="N97" s="313"/>
      <c r="O97" s="313"/>
      <c r="P97" s="313"/>
      <c r="Q97" s="313"/>
      <c r="R97" s="313"/>
      <c r="S97" s="313"/>
      <c r="T97" s="313"/>
      <c r="U97" s="113"/>
      <c r="V97" s="113"/>
      <c r="AG97" s="313"/>
      <c r="AH97" s="313"/>
      <c r="AI97" s="313"/>
      <c r="AJ97" s="313"/>
      <c r="AK97" s="313"/>
      <c r="AL97" s="313"/>
      <c r="AM97" s="313"/>
      <c r="AN97" s="313"/>
      <c r="AO97" s="313"/>
      <c r="AP97" s="313"/>
      <c r="AQ97" s="313"/>
      <c r="AR97" s="314"/>
      <c r="AS97" s="314"/>
    </row>
    <row r="98" spans="1:45" ht="15.6">
      <c r="H98" s="264"/>
      <c r="J98" s="265"/>
      <c r="K98" s="266"/>
      <c r="L98" s="266"/>
      <c r="M98" s="313"/>
      <c r="N98" s="313"/>
      <c r="O98" s="313"/>
      <c r="P98" s="313"/>
      <c r="Q98" s="313"/>
      <c r="R98" s="313"/>
      <c r="S98" s="313"/>
      <c r="T98" s="313"/>
      <c r="U98" s="113"/>
      <c r="V98" s="113"/>
      <c r="AG98" s="313"/>
      <c r="AH98" s="313"/>
      <c r="AI98" s="313"/>
      <c r="AJ98" s="313"/>
      <c r="AK98" s="313"/>
      <c r="AL98" s="313"/>
      <c r="AM98" s="313"/>
      <c r="AN98" s="313"/>
      <c r="AO98" s="313"/>
      <c r="AP98" s="313"/>
      <c r="AQ98" s="313"/>
      <c r="AR98" s="314"/>
      <c r="AS98" s="314"/>
    </row>
    <row r="99" spans="1:45" ht="15.6">
      <c r="H99" s="264"/>
      <c r="J99" s="265"/>
      <c r="K99" s="266"/>
      <c r="L99" s="266"/>
      <c r="M99" s="262"/>
      <c r="N99" s="262"/>
      <c r="O99" s="262"/>
      <c r="P99" s="262"/>
      <c r="Q99" s="262"/>
      <c r="R99" s="262"/>
      <c r="S99" s="262"/>
      <c r="T99" s="262"/>
      <c r="U99" s="113"/>
      <c r="V99" s="113"/>
      <c r="AG99" s="262"/>
      <c r="AH99" s="262"/>
      <c r="AI99" s="262"/>
      <c r="AJ99" s="262"/>
      <c r="AK99" s="262"/>
      <c r="AL99" s="262"/>
      <c r="AM99" s="262"/>
      <c r="AN99" s="262"/>
      <c r="AO99" s="262"/>
      <c r="AP99" s="262"/>
      <c r="AQ99" s="262"/>
      <c r="AR99" s="263"/>
      <c r="AS99" s="263"/>
    </row>
    <row r="101" spans="1:45" ht="27.6">
      <c r="A101" s="315" t="s">
        <v>499</v>
      </c>
      <c r="B101" s="103" t="s">
        <v>426</v>
      </c>
      <c r="C101" s="103" t="str">
        <f t="shared" ref="C101:C106" si="29">B101</f>
        <v>23ACC-BLK-TRHY</v>
      </c>
      <c r="D101" s="108" t="s">
        <v>427</v>
      </c>
      <c r="E101" s="108" t="s">
        <v>428</v>
      </c>
      <c r="F101" s="115" t="s">
        <v>432</v>
      </c>
      <c r="G101" s="115" t="s">
        <v>431</v>
      </c>
      <c r="H101" s="211">
        <f>H103+H27</f>
        <v>0.7</v>
      </c>
      <c r="I101" s="211"/>
      <c r="J101" s="211">
        <f>(J103+J26)*0.95</f>
        <v>113.05</v>
      </c>
      <c r="K101" s="211">
        <f>(K103+K26)*0.95</f>
        <v>188.1</v>
      </c>
      <c r="L101" s="164">
        <f t="shared" ref="L101:L106" si="30">K101+(H101*VLOOKUP(prov_cd,rate_table,2,FALSE))</f>
        <v>314.79999999999995</v>
      </c>
      <c r="M101" s="175"/>
      <c r="N101" s="175"/>
      <c r="O101" s="175" t="s">
        <v>19</v>
      </c>
      <c r="P101" s="186"/>
      <c r="Q101" s="175" t="s">
        <v>19</v>
      </c>
      <c r="R101" s="186" t="s">
        <v>18</v>
      </c>
      <c r="S101" s="186"/>
      <c r="T101" s="175"/>
      <c r="U101" s="115" t="s">
        <v>59</v>
      </c>
      <c r="V101" s="115" t="s">
        <v>124</v>
      </c>
      <c r="W101" s="247"/>
      <c r="X101" s="125" t="s">
        <v>166</v>
      </c>
      <c r="Y101" s="292"/>
      <c r="Z101" s="292"/>
      <c r="AA101" s="292"/>
      <c r="AB101" s="292"/>
      <c r="AC101" s="292"/>
      <c r="AD101" s="292"/>
      <c r="AE101" s="292"/>
      <c r="AF101" s="292"/>
      <c r="AG101" s="186"/>
      <c r="AH101" s="186"/>
      <c r="AI101" s="186" t="s">
        <v>18</v>
      </c>
      <c r="AJ101" s="186"/>
      <c r="AK101" s="186"/>
      <c r="AL101" s="186"/>
      <c r="AM101" s="186"/>
      <c r="AN101" s="186"/>
      <c r="AO101" s="186" t="s">
        <v>18</v>
      </c>
      <c r="AP101" s="186"/>
      <c r="AQ101" s="186"/>
      <c r="AR101" s="297"/>
      <c r="AS101" s="298" t="s">
        <v>479</v>
      </c>
    </row>
    <row r="102" spans="1:45" ht="27.6">
      <c r="A102" s="315" t="s">
        <v>499</v>
      </c>
      <c r="B102" s="103" t="s">
        <v>423</v>
      </c>
      <c r="C102" s="103" t="str">
        <f t="shared" si="29"/>
        <v>23ACC-BLK-SPHY</v>
      </c>
      <c r="D102" s="108" t="s">
        <v>424</v>
      </c>
      <c r="E102" s="108" t="s">
        <v>425</v>
      </c>
      <c r="F102" s="115" t="s">
        <v>429</v>
      </c>
      <c r="G102" s="115" t="s">
        <v>430</v>
      </c>
      <c r="H102" s="211">
        <f>H103+H104</f>
        <v>0.8</v>
      </c>
      <c r="I102" s="211"/>
      <c r="J102" s="211">
        <f>(J103+J104)*0.95</f>
        <v>113.05</v>
      </c>
      <c r="K102" s="211">
        <f>(K103+K104)*0.95</f>
        <v>188.1</v>
      </c>
      <c r="L102" s="164">
        <f t="shared" si="30"/>
        <v>332.9</v>
      </c>
      <c r="M102" s="175"/>
      <c r="N102" s="175"/>
      <c r="O102" s="175" t="s">
        <v>19</v>
      </c>
      <c r="P102" s="186"/>
      <c r="Q102" s="186" t="s">
        <v>18</v>
      </c>
      <c r="R102" s="175" t="s">
        <v>19</v>
      </c>
      <c r="S102" s="175"/>
      <c r="T102" s="175"/>
      <c r="U102" s="115" t="s">
        <v>59</v>
      </c>
      <c r="V102" s="115" t="s">
        <v>124</v>
      </c>
      <c r="W102" s="247"/>
      <c r="X102" s="125" t="s">
        <v>166</v>
      </c>
      <c r="Y102" s="292"/>
      <c r="Z102" s="292"/>
      <c r="AA102" s="292"/>
      <c r="AB102" s="292"/>
      <c r="AC102" s="292"/>
      <c r="AD102" s="292"/>
      <c r="AE102" s="292"/>
      <c r="AF102" s="292"/>
      <c r="AG102" s="186"/>
      <c r="AH102" s="186"/>
      <c r="AI102" s="186" t="s">
        <v>18</v>
      </c>
      <c r="AJ102" s="186"/>
      <c r="AK102" s="186"/>
      <c r="AL102" s="186"/>
      <c r="AM102" s="186"/>
      <c r="AN102" s="186"/>
      <c r="AO102" s="186" t="s">
        <v>18</v>
      </c>
      <c r="AP102" s="186"/>
      <c r="AQ102" s="186"/>
      <c r="AR102" s="297"/>
      <c r="AS102" s="298" t="s">
        <v>480</v>
      </c>
    </row>
    <row r="103" spans="1:45" ht="27.6">
      <c r="A103" s="315" t="s">
        <v>499</v>
      </c>
      <c r="B103" s="103" t="s">
        <v>374</v>
      </c>
      <c r="C103" s="103" t="str">
        <f t="shared" si="29"/>
        <v>08F20-30A-100</v>
      </c>
      <c r="D103" s="108" t="s">
        <v>379</v>
      </c>
      <c r="E103" s="108" t="s">
        <v>376</v>
      </c>
      <c r="F103" s="115" t="s">
        <v>511</v>
      </c>
      <c r="G103" s="115" t="s">
        <v>510</v>
      </c>
      <c r="H103" s="105">
        <v>0.5</v>
      </c>
      <c r="I103" s="103"/>
      <c r="J103" s="161">
        <f>VLOOKUP(B103,'[2]MASTER PART LIST'!$B:$C,2,FALSE)</f>
        <v>75</v>
      </c>
      <c r="K103" s="164">
        <f>VLOOKUP(B103,'[2]MASTER PART LIST'!$B:$D,3,FALSE)</f>
        <v>125</v>
      </c>
      <c r="L103" s="164">
        <f t="shared" si="30"/>
        <v>215.5</v>
      </c>
      <c r="M103" s="186"/>
      <c r="N103" s="186"/>
      <c r="O103" s="186" t="s">
        <v>18</v>
      </c>
      <c r="P103" s="186"/>
      <c r="Q103" s="186" t="s">
        <v>19</v>
      </c>
      <c r="R103" s="186" t="s">
        <v>18</v>
      </c>
      <c r="S103" s="186"/>
      <c r="T103" s="175"/>
      <c r="U103" s="115" t="s">
        <v>116</v>
      </c>
      <c r="V103" s="115" t="s">
        <v>123</v>
      </c>
      <c r="W103" s="247"/>
      <c r="X103" s="125"/>
      <c r="Y103" s="292"/>
      <c r="Z103" s="292"/>
      <c r="AA103" s="292"/>
      <c r="AB103" s="292"/>
      <c r="AC103" s="292"/>
      <c r="AD103" s="292"/>
      <c r="AE103" s="292"/>
      <c r="AF103" s="292"/>
      <c r="AG103" s="186"/>
      <c r="AH103" s="186"/>
      <c r="AI103" s="186"/>
      <c r="AJ103" s="186"/>
      <c r="AK103" s="186"/>
      <c r="AL103" s="186"/>
      <c r="AM103" s="186"/>
      <c r="AN103" s="186"/>
      <c r="AO103" s="186" t="s">
        <v>18</v>
      </c>
      <c r="AP103" s="186"/>
      <c r="AQ103" s="186"/>
      <c r="AR103" s="297"/>
      <c r="AS103" s="298" t="s">
        <v>472</v>
      </c>
    </row>
    <row r="104" spans="1:45" ht="27.6">
      <c r="A104" s="315" t="s">
        <v>499</v>
      </c>
      <c r="B104" s="103" t="s">
        <v>105</v>
      </c>
      <c r="C104" s="103" t="str">
        <f t="shared" si="29"/>
        <v>08F20-TVA-100C</v>
      </c>
      <c r="D104" s="108" t="s">
        <v>381</v>
      </c>
      <c r="E104" s="108" t="s">
        <v>377</v>
      </c>
      <c r="F104" s="115" t="s">
        <v>221</v>
      </c>
      <c r="G104" s="115" t="s">
        <v>224</v>
      </c>
      <c r="H104" s="105">
        <v>0.3</v>
      </c>
      <c r="I104" s="103"/>
      <c r="J104" s="161">
        <f>VLOOKUP(B104,'[2]MASTER PART LIST'!$B:$C,2,FALSE)</f>
        <v>44</v>
      </c>
      <c r="K104" s="164">
        <f>VLOOKUP(B104,'[2]MASTER PART LIST'!$B:$D,3,FALSE)</f>
        <v>73</v>
      </c>
      <c r="L104" s="164">
        <f t="shared" si="30"/>
        <v>127.3</v>
      </c>
      <c r="M104" s="175"/>
      <c r="N104" s="175"/>
      <c r="O104" s="186" t="s">
        <v>19</v>
      </c>
      <c r="P104" s="186"/>
      <c r="Q104" s="186" t="s">
        <v>19</v>
      </c>
      <c r="R104" s="186" t="s">
        <v>19</v>
      </c>
      <c r="S104" s="186"/>
      <c r="T104" s="175"/>
      <c r="U104" s="115"/>
      <c r="V104" s="115"/>
      <c r="W104" s="247"/>
      <c r="X104" s="125"/>
      <c r="Y104" s="292"/>
      <c r="Z104" s="292"/>
      <c r="AA104" s="292"/>
      <c r="AB104" s="292"/>
      <c r="AC104" s="292"/>
      <c r="AD104" s="292"/>
      <c r="AE104" s="292"/>
      <c r="AF104" s="292"/>
      <c r="AG104" s="186"/>
      <c r="AH104" s="186"/>
      <c r="AI104" s="186"/>
      <c r="AJ104" s="186"/>
      <c r="AK104" s="186"/>
      <c r="AL104" s="186"/>
      <c r="AM104" s="186"/>
      <c r="AN104" s="186"/>
      <c r="AO104" s="186" t="s">
        <v>18</v>
      </c>
      <c r="AP104" s="186"/>
      <c r="AQ104" s="186"/>
      <c r="AR104" s="297"/>
      <c r="AS104" s="298" t="s">
        <v>471</v>
      </c>
    </row>
    <row r="105" spans="1:45" ht="40.799999999999997" collapsed="1">
      <c r="A105" s="315" t="s">
        <v>499</v>
      </c>
      <c r="B105" s="103" t="s">
        <v>320</v>
      </c>
      <c r="C105" s="103" t="str">
        <f t="shared" si="29"/>
        <v>08U58-30A-110A</v>
      </c>
      <c r="D105" s="108" t="s">
        <v>329</v>
      </c>
      <c r="E105" s="108" t="s">
        <v>330</v>
      </c>
      <c r="F105" s="115" t="s">
        <v>340</v>
      </c>
      <c r="G105" s="115" t="s">
        <v>341</v>
      </c>
      <c r="H105" s="165">
        <v>1.5</v>
      </c>
      <c r="I105" s="103"/>
      <c r="J105" s="161">
        <f>VLOOKUP(B105,'[2]MASTER PART LIST'!$B:$C,2,FALSE)</f>
        <v>383</v>
      </c>
      <c r="K105" s="164">
        <f>VLOOKUP(B105,'[2]MASTER PART LIST'!$B:$D,3,FALSE)</f>
        <v>547</v>
      </c>
      <c r="L105" s="164">
        <f t="shared" si="30"/>
        <v>818.5</v>
      </c>
      <c r="M105" s="186"/>
      <c r="N105" s="186"/>
      <c r="O105" s="186" t="s">
        <v>18</v>
      </c>
      <c r="P105" s="186"/>
      <c r="Q105" s="186" t="s">
        <v>167</v>
      </c>
      <c r="R105" s="186" t="s">
        <v>167</v>
      </c>
      <c r="S105" s="186"/>
      <c r="T105" s="186"/>
      <c r="U105" s="115"/>
      <c r="V105" s="115"/>
      <c r="W105" s="247"/>
      <c r="X105" s="125" t="s">
        <v>166</v>
      </c>
      <c r="Y105" s="292"/>
      <c r="Z105" s="292"/>
      <c r="AA105" s="292"/>
      <c r="AB105" s="292"/>
      <c r="AC105" s="292"/>
      <c r="AD105" s="292"/>
      <c r="AE105" s="292"/>
      <c r="AF105" s="292"/>
      <c r="AG105" s="186"/>
      <c r="AH105" s="186"/>
      <c r="AI105" s="186"/>
      <c r="AJ105" s="186"/>
      <c r="AK105" s="186"/>
      <c r="AL105" s="186"/>
      <c r="AM105" s="186" t="s">
        <v>18</v>
      </c>
      <c r="AN105" s="186"/>
      <c r="AO105" s="186"/>
      <c r="AP105" s="186"/>
      <c r="AQ105" s="186"/>
      <c r="AR105" s="297"/>
      <c r="AS105" s="297"/>
    </row>
    <row r="106" spans="1:45" s="328" customFormat="1" ht="40.799999999999997">
      <c r="A106" s="316" t="s">
        <v>346</v>
      </c>
      <c r="B106" s="317" t="s">
        <v>321</v>
      </c>
      <c r="C106" s="317" t="str">
        <f t="shared" si="29"/>
        <v>08U58-30A-110B</v>
      </c>
      <c r="D106" s="318" t="s">
        <v>329</v>
      </c>
      <c r="E106" s="318" t="s">
        <v>330</v>
      </c>
      <c r="F106" s="319" t="s">
        <v>340</v>
      </c>
      <c r="G106" s="319" t="s">
        <v>341</v>
      </c>
      <c r="H106" s="320">
        <v>1.5</v>
      </c>
      <c r="I106" s="317"/>
      <c r="J106" s="321">
        <f>VLOOKUP(B106,'[2]MASTER PART LIST'!$B:$C,2,FALSE)</f>
        <v>383</v>
      </c>
      <c r="K106" s="322">
        <f>VLOOKUP(B106,'[2]MASTER PART LIST'!$B:$D,3,FALSE)</f>
        <v>547</v>
      </c>
      <c r="L106" s="322">
        <f t="shared" si="30"/>
        <v>818.5</v>
      </c>
      <c r="M106" s="323"/>
      <c r="N106" s="323"/>
      <c r="O106" s="323" t="s">
        <v>19</v>
      </c>
      <c r="P106" s="323"/>
      <c r="Q106" s="323" t="s">
        <v>18</v>
      </c>
      <c r="R106" s="323" t="s">
        <v>167</v>
      </c>
      <c r="S106" s="323"/>
      <c r="T106" s="323"/>
      <c r="U106" s="319"/>
      <c r="V106" s="319"/>
      <c r="W106" s="324"/>
      <c r="X106" s="325" t="s">
        <v>166</v>
      </c>
      <c r="Y106" s="326"/>
      <c r="Z106" s="326"/>
      <c r="AA106" s="326"/>
      <c r="AB106" s="326"/>
      <c r="AC106" s="326"/>
      <c r="AD106" s="326"/>
      <c r="AE106" s="326"/>
      <c r="AF106" s="326"/>
      <c r="AG106" s="323"/>
      <c r="AH106" s="323"/>
      <c r="AI106" s="323"/>
      <c r="AJ106" s="323"/>
      <c r="AK106" s="323"/>
      <c r="AL106" s="323"/>
      <c r="AM106" s="323" t="s">
        <v>18</v>
      </c>
      <c r="AN106" s="323"/>
      <c r="AO106" s="323"/>
      <c r="AP106" s="323"/>
      <c r="AQ106" s="323"/>
      <c r="AR106" s="327"/>
      <c r="AS106" s="327"/>
    </row>
  </sheetData>
  <mergeCells count="8">
    <mergeCell ref="AI6:AI7"/>
    <mergeCell ref="AJ6:AJ7"/>
    <mergeCell ref="AK6:AQ6"/>
    <mergeCell ref="X6:AF6"/>
    <mergeCell ref="M4:T4"/>
    <mergeCell ref="M5:T5"/>
    <mergeCell ref="AG6:AG7"/>
    <mergeCell ref="AH6:AH7"/>
  </mergeCells>
  <phoneticPr fontId="47" type="noConversion"/>
  <conditionalFormatting sqref="AG3:AQ4 W2:W5 W8:W27 W29:W1048576">
    <cfRule type="duplicateValues" dxfId="7" priority="4"/>
  </conditionalFormatting>
  <conditionalFormatting sqref="X8:AF27 X29:AF1048576">
    <cfRule type="containsText" dxfId="6" priority="3" operator="containsText" text="NEW">
      <formula>NOT(ISERROR(SEARCH("NEW",X8)))</formula>
    </cfRule>
  </conditionalFormatting>
  <conditionalFormatting sqref="W6:W7">
    <cfRule type="duplicateValues" dxfId="5" priority="1"/>
  </conditionalFormatting>
  <dataValidations count="1">
    <dataValidation type="list" allowBlank="1" showInputMessage="1" showErrorMessage="1" sqref="X94:AF99 X29:AF85 X18:AF27 X8:AF16 X101:AF106" xr:uid="{DD807CBA-51A8-46CA-937A-B9007E1CD9B1}">
      <formula1>$X$2:$X$5</formula1>
    </dataValidation>
  </dataValidations>
  <printOptions horizontalCentered="1"/>
  <pageMargins left="0.23622047244094491" right="0.23622047244094491" top="0.39370078740157483" bottom="0.39370078740157483" header="0.31496062992125984" footer="0.31496062992125984"/>
  <pageSetup scale="26"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zoomScaleNormal="100" workbookViewId="0">
      <selection activeCell="F12" sqref="F12"/>
    </sheetView>
  </sheetViews>
  <sheetFormatPr defaultColWidth="9.109375" defaultRowHeight="13.2"/>
  <cols>
    <col min="1" max="1" width="49.44140625" style="28" customWidth="1"/>
    <col min="2" max="3" width="14.109375" style="28" customWidth="1"/>
    <col min="4" max="16384" width="9.109375" style="28"/>
  </cols>
  <sheetData>
    <row r="1" spans="1:12" ht="47.4" thickBot="1">
      <c r="A1" s="88" t="s">
        <v>139</v>
      </c>
      <c r="B1" s="87" t="s">
        <v>9</v>
      </c>
      <c r="C1" s="31"/>
      <c r="G1" s="29"/>
      <c r="H1" s="29"/>
      <c r="I1" s="29"/>
      <c r="J1" s="29"/>
      <c r="K1" s="29"/>
    </row>
    <row r="2" spans="1:12">
      <c r="A2" s="33"/>
      <c r="C2" s="31"/>
      <c r="F2" s="30"/>
      <c r="G2" s="34"/>
      <c r="H2" s="34"/>
      <c r="I2" s="34"/>
      <c r="J2" s="34"/>
      <c r="K2" s="34"/>
      <c r="L2" s="31"/>
    </row>
    <row r="3" spans="1:12" ht="13.8" thickBot="1">
      <c r="A3" s="33"/>
      <c r="B3" s="34"/>
      <c r="C3" s="39"/>
      <c r="E3" s="32"/>
      <c r="F3" s="30"/>
      <c r="G3" s="34"/>
      <c r="H3" s="34"/>
      <c r="I3" s="34"/>
      <c r="J3" s="34"/>
      <c r="K3" s="34"/>
      <c r="L3" s="31"/>
    </row>
    <row r="4" spans="1:12" ht="15" thickBot="1">
      <c r="A4" s="33"/>
      <c r="B4" s="38" t="s">
        <v>27</v>
      </c>
      <c r="C4" s="40"/>
      <c r="F4" s="30"/>
      <c r="G4" s="34"/>
      <c r="H4" s="34"/>
      <c r="I4" s="34"/>
      <c r="J4" s="34"/>
      <c r="K4" s="34"/>
      <c r="L4" s="31"/>
    </row>
    <row r="5" spans="1:12" ht="14.4">
      <c r="B5" s="38" t="s">
        <v>138</v>
      </c>
      <c r="C5" s="40"/>
      <c r="F5" s="30"/>
      <c r="G5" s="34"/>
      <c r="H5" s="34"/>
      <c r="I5" s="34"/>
      <c r="J5" s="34"/>
      <c r="K5" s="34"/>
      <c r="L5" s="31"/>
    </row>
    <row r="6" spans="1:12" ht="13.8">
      <c r="A6" s="30"/>
      <c r="B6" s="36" t="s">
        <v>0</v>
      </c>
      <c r="C6" s="41">
        <v>171</v>
      </c>
      <c r="D6" s="31"/>
      <c r="F6" s="30"/>
      <c r="G6" s="34"/>
      <c r="H6" s="34"/>
      <c r="I6" s="34"/>
      <c r="J6" s="34"/>
      <c r="K6" s="34"/>
      <c r="L6" s="31"/>
    </row>
    <row r="7" spans="1:12" ht="13.8">
      <c r="A7" s="30"/>
      <c r="B7" s="36" t="s">
        <v>1</v>
      </c>
      <c r="C7" s="41">
        <v>181</v>
      </c>
      <c r="D7" s="31"/>
      <c r="F7" s="30"/>
      <c r="G7" s="34"/>
      <c r="H7" s="34"/>
      <c r="I7" s="34"/>
      <c r="J7" s="34"/>
      <c r="K7" s="34"/>
      <c r="L7" s="31"/>
    </row>
    <row r="8" spans="1:12" ht="13.8">
      <c r="A8" s="30"/>
      <c r="B8" s="36" t="s">
        <v>2</v>
      </c>
      <c r="C8" s="41">
        <v>164</v>
      </c>
      <c r="D8" s="31"/>
      <c r="F8" s="30"/>
      <c r="G8" s="34"/>
      <c r="H8" s="34"/>
      <c r="I8" s="34"/>
      <c r="J8" s="34"/>
      <c r="K8" s="34"/>
      <c r="L8" s="31"/>
    </row>
    <row r="9" spans="1:12" ht="13.8">
      <c r="A9" s="30"/>
      <c r="B9" s="36" t="s">
        <v>3</v>
      </c>
      <c r="C9" s="41">
        <v>142</v>
      </c>
      <c r="D9" s="31"/>
      <c r="F9" s="30"/>
      <c r="G9" s="34"/>
      <c r="H9" s="34"/>
      <c r="I9" s="34"/>
      <c r="J9" s="34"/>
      <c r="K9" s="34"/>
      <c r="L9" s="31"/>
    </row>
    <row r="10" spans="1:12" ht="13.8">
      <c r="A10" s="30"/>
      <c r="B10" s="36" t="s">
        <v>4</v>
      </c>
      <c r="C10" s="41">
        <v>142</v>
      </c>
      <c r="D10" s="31"/>
      <c r="F10" s="30"/>
      <c r="G10" s="34"/>
      <c r="H10" s="34"/>
      <c r="I10" s="34"/>
      <c r="J10" s="34"/>
      <c r="K10" s="34"/>
      <c r="L10" s="31"/>
    </row>
    <row r="11" spans="1:12" ht="14.4" thickBot="1">
      <c r="A11" s="30"/>
      <c r="B11" s="36" t="s">
        <v>5</v>
      </c>
      <c r="C11" s="41">
        <v>142</v>
      </c>
      <c r="D11" s="31"/>
      <c r="F11" s="30"/>
      <c r="G11" s="34"/>
      <c r="H11" s="34"/>
      <c r="I11" s="34"/>
      <c r="J11" s="34"/>
      <c r="K11" s="34"/>
      <c r="L11" s="31"/>
    </row>
    <row r="12" spans="1:12" ht="14.4" thickBot="1">
      <c r="A12" s="30"/>
      <c r="B12" s="36" t="s">
        <v>6</v>
      </c>
      <c r="C12" s="41">
        <v>160</v>
      </c>
      <c r="D12" s="31"/>
      <c r="F12" s="45" t="str">
        <f>prov_cd</f>
        <v>YT</v>
      </c>
      <c r="G12" s="34"/>
      <c r="H12" s="34"/>
      <c r="I12" s="34"/>
      <c r="J12" s="34"/>
      <c r="K12" s="34"/>
      <c r="L12" s="31"/>
    </row>
    <row r="13" spans="1:12" ht="13.8">
      <c r="A13" s="30"/>
      <c r="B13" s="36" t="s">
        <v>58</v>
      </c>
      <c r="C13" s="41">
        <v>134</v>
      </c>
      <c r="D13" s="31"/>
      <c r="F13" s="30"/>
      <c r="G13" s="34"/>
      <c r="H13" s="34"/>
      <c r="I13" s="34"/>
      <c r="J13" s="34"/>
      <c r="K13" s="34"/>
      <c r="L13" s="31"/>
    </row>
    <row r="14" spans="1:12" ht="13.8">
      <c r="A14" s="30"/>
      <c r="B14" s="36" t="s">
        <v>7</v>
      </c>
      <c r="C14" s="41">
        <v>152</v>
      </c>
      <c r="D14" s="31"/>
      <c r="F14" s="30"/>
      <c r="G14" s="34"/>
      <c r="H14" s="34"/>
      <c r="I14" s="34"/>
      <c r="J14" s="34"/>
      <c r="K14" s="34"/>
      <c r="L14" s="31"/>
    </row>
    <row r="15" spans="1:12" ht="13.8">
      <c r="A15" s="30"/>
      <c r="B15" s="36" t="s">
        <v>8</v>
      </c>
      <c r="C15" s="41">
        <v>164</v>
      </c>
      <c r="D15" s="31"/>
      <c r="F15" s="30"/>
      <c r="G15" s="34"/>
      <c r="H15" s="34"/>
      <c r="I15" s="34"/>
      <c r="J15" s="34"/>
      <c r="K15" s="34"/>
      <c r="L15" s="31"/>
    </row>
    <row r="16" spans="1:12" ht="14.4" thickBot="1">
      <c r="A16" s="30"/>
      <c r="B16" s="37" t="s">
        <v>9</v>
      </c>
      <c r="C16" s="42">
        <v>181</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c r="A23" s="32" t="s">
        <v>29</v>
      </c>
      <c r="F23" s="30"/>
      <c r="G23" s="34"/>
      <c r="H23" s="34"/>
      <c r="I23" s="34"/>
      <c r="J23" s="34"/>
      <c r="K23" s="34"/>
      <c r="L23" s="31"/>
    </row>
    <row r="24" spans="1:12">
      <c r="A24" s="32" t="s">
        <v>99</v>
      </c>
      <c r="F24" s="30"/>
      <c r="G24" s="34"/>
      <c r="H24" s="34"/>
      <c r="I24" s="34"/>
      <c r="J24" s="34"/>
      <c r="K24" s="34"/>
      <c r="L24" s="31"/>
    </row>
    <row r="25" spans="1:12">
      <c r="F25" s="30"/>
      <c r="G25" s="34"/>
      <c r="H25" s="34"/>
      <c r="I25" s="34"/>
      <c r="J25" s="34"/>
      <c r="K25" s="34"/>
      <c r="L25" s="31"/>
    </row>
    <row r="26" spans="1:12">
      <c r="A26" s="119"/>
      <c r="F26" s="30"/>
      <c r="G26" s="34"/>
      <c r="H26" s="34"/>
      <c r="I26" s="34"/>
      <c r="J26" s="34"/>
      <c r="K26" s="34"/>
      <c r="L26" s="31"/>
    </row>
    <row r="27" spans="1:12">
      <c r="A27" s="119"/>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A2:U174"/>
  <sheetViews>
    <sheetView view="pageBreakPreview" topLeftCell="A22" zoomScale="70" zoomScaleNormal="60" zoomScaleSheetLayoutView="70" workbookViewId="0">
      <selection activeCell="W73" sqref="W73"/>
    </sheetView>
  </sheetViews>
  <sheetFormatPr defaultColWidth="9.109375" defaultRowHeight="13.8" outlineLevelCol="1"/>
  <cols>
    <col min="1" max="1" width="9.109375" style="46"/>
    <col min="2" max="2" width="15.5546875" style="285" customWidth="1"/>
    <col min="3" max="3" width="46.109375" style="46" customWidth="1"/>
    <col min="4" max="4" width="19.88671875" style="46" customWidth="1"/>
    <col min="5" max="5" width="10.88671875" style="46" customWidth="1" outlineLevel="1"/>
    <col min="6" max="6" width="10.88671875" style="46" customWidth="1"/>
    <col min="7" max="7" width="8.5546875" style="46" customWidth="1"/>
    <col min="8" max="8" width="13.5546875" style="46" customWidth="1"/>
    <col min="9" max="10" width="10.5546875" style="46" hidden="1" customWidth="1"/>
    <col min="11" max="11" width="10.5546875" style="46" customWidth="1"/>
    <col min="12" max="12" width="10.5546875" style="46" hidden="1" customWidth="1"/>
    <col min="13" max="14" width="10.5546875" style="46" customWidth="1"/>
    <col min="15" max="16" width="10.5546875" style="46" hidden="1" customWidth="1"/>
    <col min="17" max="17" width="62" style="46" customWidth="1"/>
    <col min="18" max="18" width="9.109375" style="46" customWidth="1"/>
    <col min="19" max="16384" width="9.109375" style="46"/>
  </cols>
  <sheetData>
    <row r="2" spans="2:20" ht="35.25" customHeight="1">
      <c r="B2" s="279"/>
      <c r="C2" s="158" t="s">
        <v>71</v>
      </c>
      <c r="D2" s="158"/>
      <c r="E2" s="155"/>
      <c r="F2" s="15"/>
      <c r="G2" s="129"/>
      <c r="H2" s="130"/>
      <c r="I2" s="130"/>
      <c r="J2" s="130"/>
      <c r="K2" s="130"/>
      <c r="L2" s="145"/>
      <c r="M2" s="146"/>
      <c r="N2" s="145"/>
      <c r="O2" s="145"/>
      <c r="P2" s="145"/>
      <c r="Q2" s="145"/>
    </row>
    <row r="3" spans="2:20" ht="25.8">
      <c r="B3" s="279"/>
      <c r="C3" s="159" t="s">
        <v>15</v>
      </c>
      <c r="D3" s="277" t="str">
        <f>'26MY_ACCORD_DATA'!$C$2</f>
        <v>Accord</v>
      </c>
      <c r="E3" s="156"/>
      <c r="F3" s="2"/>
      <c r="G3" s="129"/>
      <c r="H3" s="130"/>
      <c r="I3" s="130"/>
      <c r="J3" s="130"/>
      <c r="K3" s="130"/>
      <c r="L3" s="147"/>
      <c r="N3" s="148"/>
      <c r="O3" s="145"/>
      <c r="P3" s="145"/>
      <c r="Q3" s="145"/>
    </row>
    <row r="4" spans="2:20" ht="25.8">
      <c r="B4" s="279"/>
      <c r="C4" s="159" t="s">
        <v>16</v>
      </c>
      <c r="D4" s="288">
        <f>'26MY_ACCORD_DATA'!$C$3</f>
        <v>2026</v>
      </c>
      <c r="E4" s="156"/>
      <c r="F4" s="2"/>
      <c r="G4" s="129"/>
      <c r="H4" s="130"/>
      <c r="I4" s="130"/>
      <c r="J4" s="130"/>
      <c r="K4" s="130"/>
      <c r="L4" s="145"/>
      <c r="M4" s="149"/>
      <c r="N4" s="145"/>
      <c r="O4" s="145"/>
      <c r="P4" s="145"/>
      <c r="Q4" s="145"/>
    </row>
    <row r="5" spans="2:20">
      <c r="B5" s="279"/>
      <c r="C5" s="157" t="s">
        <v>198</v>
      </c>
      <c r="D5" s="157"/>
      <c r="E5" s="118"/>
      <c r="F5" s="118"/>
      <c r="G5" s="118"/>
      <c r="H5" s="118"/>
      <c r="I5" s="118"/>
      <c r="J5" s="118"/>
      <c r="K5" s="118"/>
      <c r="L5" s="118"/>
      <c r="M5" s="118"/>
      <c r="N5" s="118"/>
      <c r="O5" s="118"/>
      <c r="P5" s="118"/>
      <c r="Q5" s="150"/>
    </row>
    <row r="6" spans="2:20">
      <c r="B6" s="279"/>
      <c r="C6" s="139" t="s">
        <v>199</v>
      </c>
      <c r="D6" s="139"/>
      <c r="E6" s="139"/>
      <c r="F6" s="139"/>
      <c r="G6" s="139"/>
      <c r="H6" s="139"/>
      <c r="I6" s="139"/>
      <c r="J6" s="139"/>
      <c r="K6" s="139"/>
      <c r="L6" s="139"/>
      <c r="M6" s="139"/>
      <c r="N6" s="139"/>
      <c r="O6" s="118"/>
      <c r="P6" s="118"/>
      <c r="Q6" s="150"/>
    </row>
    <row r="7" spans="2:20">
      <c r="B7" s="279"/>
      <c r="C7" s="139" t="s">
        <v>200</v>
      </c>
      <c r="D7" s="139"/>
      <c r="E7" s="139"/>
      <c r="F7" s="139"/>
      <c r="G7" s="139"/>
      <c r="H7" s="139"/>
      <c r="I7" s="139"/>
      <c r="J7" s="139"/>
      <c r="K7" s="139"/>
      <c r="L7" s="139"/>
      <c r="M7" s="139"/>
      <c r="N7" s="139"/>
      <c r="O7" s="118"/>
      <c r="P7" s="118"/>
      <c r="Q7" s="150"/>
    </row>
    <row r="8" spans="2:20">
      <c r="B8" s="279"/>
      <c r="C8" s="139" t="s">
        <v>201</v>
      </c>
      <c r="D8" s="139"/>
      <c r="E8" s="139"/>
      <c r="F8" s="139"/>
      <c r="G8" s="139"/>
      <c r="H8" s="140"/>
      <c r="I8" s="139"/>
      <c r="J8" s="139"/>
      <c r="K8" s="139"/>
      <c r="L8" s="139"/>
      <c r="M8" s="139"/>
      <c r="N8" s="139"/>
      <c r="O8" s="118"/>
      <c r="P8" s="118"/>
      <c r="Q8" s="150"/>
    </row>
    <row r="9" spans="2:20">
      <c r="B9" s="279"/>
      <c r="C9" s="142"/>
      <c r="D9" s="142"/>
      <c r="E9" s="142"/>
      <c r="F9" s="142"/>
      <c r="G9" s="142"/>
      <c r="H9" s="142"/>
      <c r="I9" s="142"/>
      <c r="J9" s="142"/>
      <c r="K9" s="142"/>
      <c r="L9" s="142"/>
      <c r="M9" s="142"/>
      <c r="N9" s="142"/>
      <c r="O9" s="143"/>
      <c r="P9" s="143"/>
      <c r="Q9" s="160"/>
    </row>
    <row r="10" spans="2:20" ht="14.4">
      <c r="B10" s="279"/>
      <c r="C10" s="51"/>
      <c r="D10" s="51"/>
      <c r="E10" s="51"/>
      <c r="F10" s="51"/>
      <c r="G10" s="51"/>
      <c r="H10" s="152" t="s">
        <v>60</v>
      </c>
      <c r="I10" s="51"/>
      <c r="J10" s="51"/>
      <c r="K10" s="51"/>
      <c r="L10" s="51"/>
      <c r="M10" s="51"/>
      <c r="N10" s="51"/>
      <c r="O10" s="51"/>
      <c r="P10" s="51"/>
      <c r="Q10" s="151"/>
    </row>
    <row r="11" spans="2:20" ht="18">
      <c r="B11" s="279"/>
      <c r="C11" s="153" t="s">
        <v>70</v>
      </c>
      <c r="D11" s="154"/>
      <c r="E11" s="133"/>
      <c r="F11" s="133"/>
      <c r="G11" s="132"/>
      <c r="H11" s="180" t="str">
        <f>prov_cd</f>
        <v>YT</v>
      </c>
      <c r="I11" s="179"/>
      <c r="J11" s="179"/>
      <c r="K11" s="51"/>
      <c r="L11" s="51"/>
      <c r="M11" s="51"/>
      <c r="N11" s="51"/>
      <c r="O11" s="51"/>
      <c r="P11" s="51"/>
      <c r="Q11" s="51"/>
    </row>
    <row r="12" spans="2:20" ht="14.4">
      <c r="B12" s="279"/>
      <c r="C12" s="377" t="s">
        <v>61</v>
      </c>
      <c r="D12" s="377" t="s">
        <v>10</v>
      </c>
      <c r="E12" s="377" t="s">
        <v>17</v>
      </c>
      <c r="F12" s="377" t="s">
        <v>11</v>
      </c>
      <c r="G12" s="377" t="s">
        <v>12</v>
      </c>
      <c r="H12" s="378" t="s">
        <v>13</v>
      </c>
      <c r="I12" s="176"/>
      <c r="J12" s="377" t="s">
        <v>25</v>
      </c>
      <c r="K12" s="377"/>
      <c r="L12" s="377"/>
      <c r="M12" s="377"/>
      <c r="N12" s="377"/>
      <c r="O12" s="377"/>
      <c r="P12" s="377"/>
      <c r="Q12" s="377" t="s">
        <v>14</v>
      </c>
    </row>
    <row r="13" spans="2:20" ht="29.1" customHeight="1">
      <c r="B13" s="279"/>
      <c r="C13" s="377"/>
      <c r="D13" s="377"/>
      <c r="E13" s="377"/>
      <c r="F13" s="377"/>
      <c r="G13" s="377"/>
      <c r="H13" s="378"/>
      <c r="I13" s="176">
        <f>'26MY_ACCORD_DATA'!$M$7</f>
        <v>0</v>
      </c>
      <c r="J13" s="176">
        <f>'26MY_ACCORD_DATA'!$M$7</f>
        <v>0</v>
      </c>
      <c r="K13" s="176" t="str">
        <f>'26MY_ACCORD_DATA'!$O$7</f>
        <v>SE</v>
      </c>
      <c r="L13" s="176">
        <f>'26MY_ACCORD_DATA'!$P$7</f>
        <v>0</v>
      </c>
      <c r="M13" s="176" t="str">
        <f>'26MY_ACCORD_DATA'!$Q$7</f>
        <v>Sport -L Hybrid</v>
      </c>
      <c r="N13" s="176" t="str">
        <f>'26MY_ACCORD_DATA'!$R$7</f>
        <v>Touring Hybrid</v>
      </c>
      <c r="O13" s="176">
        <f>'26MY_ACCORD_DATA'!$T$7</f>
        <v>0</v>
      </c>
      <c r="P13" s="176">
        <f>'26MY_ACCORD_DATA'!$T$7</f>
        <v>0</v>
      </c>
      <c r="Q13" s="377"/>
    </row>
    <row r="14" spans="2:20" s="135" customFormat="1" ht="14.4">
      <c r="B14" s="280" t="s">
        <v>415</v>
      </c>
      <c r="C14" s="194" t="str">
        <f>VLOOKUP(B14,'26MY_ACCORD_DATA'!B:AS,3,FALSE)</f>
        <v xml:space="preserve">Protection Package </v>
      </c>
      <c r="D14" s="78" t="str">
        <f>B14</f>
        <v>23ACC-PRO-PK</v>
      </c>
      <c r="E14" s="350">
        <f>VLOOKUP(B14,'26MY_ACCORD_DATA'!B:AS,9,FALSE)</f>
        <v>273.60000000000002</v>
      </c>
      <c r="F14" s="350">
        <f>VLOOKUP(B14,'26MY_ACCORD_DATA'!B:AS,10,FALSE)</f>
        <v>507</v>
      </c>
      <c r="G14" s="382">
        <f>VLOOKUP(B14,'26MY_ACCORD_DATA'!B:AS,7,FALSE)</f>
        <v>0.2</v>
      </c>
      <c r="H14" s="374">
        <f>VLOOKUP(B14,'26MY_ACCORD_DATA'!B:AS,11,FALSE)</f>
        <v>543.20000000000005</v>
      </c>
      <c r="I14" s="365">
        <f>VLOOKUP($B14,'26MY_ACCORD_DATA'!$B:$AS,12,FALSE)</f>
        <v>0</v>
      </c>
      <c r="J14" s="365">
        <f>VLOOKUP($B14,'26MY_ACCORD_DATA'!$B:$AS,13,FALSE)</f>
        <v>0</v>
      </c>
      <c r="K14" s="365" t="str">
        <f>VLOOKUP(B14,'26MY_ACCORD_DATA'!B:AS,14,FALSE)</f>
        <v>•</v>
      </c>
      <c r="L14" s="365">
        <f>VLOOKUP(B14,'26MY_ACCORD_DATA'!B:AS,15,FALSE)</f>
        <v>0</v>
      </c>
      <c r="M14" s="365" t="str">
        <f>VLOOKUP(B14,'26MY_ACCORD_DATA'!B:AS,16,FALSE)</f>
        <v>•</v>
      </c>
      <c r="N14" s="365" t="str">
        <f>VLOOKUP(B14,'26MY_ACCORD_DATA'!B:AS,17,FALSE)</f>
        <v>•</v>
      </c>
      <c r="O14" s="365">
        <f>VLOOKUP($B14,'26MY_ACCORD_DATA'!$B:$AS,18,FALSE)</f>
        <v>0</v>
      </c>
      <c r="P14" s="365">
        <f>VLOOKUP(B14,'26MY_ACCORD_DATA'!B:AS,19,FALSE)</f>
        <v>0</v>
      </c>
      <c r="Q14" s="368" t="str">
        <f>IF(VLOOKUP(B14,'26MY_ACCORD_DATA'!B:AS,20,FALSE)="","",VLOOKUP(B14,'26MY_ACCORD_DATA'!B:AS,20,FALSE))</f>
        <v/>
      </c>
      <c r="R14" s="97"/>
      <c r="S14" s="97"/>
      <c r="T14" s="97"/>
    </row>
    <row r="15" spans="2:20" s="135" customFormat="1" ht="14.4">
      <c r="B15" s="280" t="s">
        <v>302</v>
      </c>
      <c r="C15" s="190" t="str">
        <f>VLOOKUP(B15,'26MY_ACCORD_DATA'!B:AS,3,FALSE)</f>
        <v>All Season Floor Mats</v>
      </c>
      <c r="D15" s="200" t="str">
        <f t="shared" ref="D15" si="0">B15</f>
        <v>08P17-30A-110</v>
      </c>
      <c r="E15" s="351"/>
      <c r="F15" s="351"/>
      <c r="G15" s="383"/>
      <c r="H15" s="375"/>
      <c r="I15" s="366"/>
      <c r="J15" s="366"/>
      <c r="K15" s="366"/>
      <c r="L15" s="366"/>
      <c r="M15" s="366"/>
      <c r="N15" s="366"/>
      <c r="O15" s="366"/>
      <c r="P15" s="366"/>
      <c r="Q15" s="369"/>
      <c r="R15" s="97"/>
      <c r="S15" s="97"/>
      <c r="T15" s="97"/>
    </row>
    <row r="16" spans="2:20" s="135" customFormat="1" ht="14.4">
      <c r="B16" s="280" t="s">
        <v>303</v>
      </c>
      <c r="C16" s="190" t="str">
        <f>VLOOKUP(B16,'26MY_ACCORD_DATA'!B:AS,3,FALSE)</f>
        <v>Trunk Tray</v>
      </c>
      <c r="D16" s="200" t="str">
        <f t="shared" ref="D16" si="1">B16</f>
        <v>08U45-30A-100</v>
      </c>
      <c r="E16" s="352"/>
      <c r="F16" s="352"/>
      <c r="G16" s="384"/>
      <c r="H16" s="376"/>
      <c r="I16" s="367"/>
      <c r="J16" s="367"/>
      <c r="K16" s="367"/>
      <c r="L16" s="367"/>
      <c r="M16" s="367"/>
      <c r="N16" s="367"/>
      <c r="O16" s="367"/>
      <c r="P16" s="367"/>
      <c r="Q16" s="370"/>
      <c r="R16" s="97"/>
      <c r="S16" s="97"/>
      <c r="T16" s="97"/>
    </row>
    <row r="17" spans="2:20" s="135" customFormat="1" ht="6.9" customHeight="1">
      <c r="B17" s="280"/>
      <c r="C17" s="201"/>
      <c r="D17" s="202"/>
      <c r="E17" s="202"/>
      <c r="F17" s="202"/>
      <c r="G17" s="202"/>
      <c r="H17" s="202"/>
      <c r="I17" s="202"/>
      <c r="J17" s="202"/>
      <c r="K17" s="202"/>
      <c r="L17" s="202"/>
      <c r="M17" s="202"/>
      <c r="N17" s="202"/>
      <c r="O17" s="202"/>
      <c r="P17" s="202"/>
      <c r="Q17" s="331"/>
      <c r="R17" s="97"/>
      <c r="S17" s="97"/>
    </row>
    <row r="18" spans="2:20" s="135" customFormat="1" ht="14.4">
      <c r="B18" s="280" t="s">
        <v>452</v>
      </c>
      <c r="C18" s="194" t="str">
        <f>VLOOKUP(B18,'26MY_ACCORD_DATA'!B:AS,3,FALSE)</f>
        <v>Protection Package Advance</v>
      </c>
      <c r="D18" s="78" t="str">
        <f>B18</f>
        <v>23ACC-PRO-PKA</v>
      </c>
      <c r="E18" s="350">
        <f>VLOOKUP(B18,'26MY_ACCORD_DATA'!B:AS,9,FALSE)</f>
        <v>342.89100000000002</v>
      </c>
      <c r="F18" s="350">
        <f>VLOOKUP(B18,'26MY_ACCORD_DATA'!B:AS,10,FALSE)</f>
        <v>583.20000000000005</v>
      </c>
      <c r="G18" s="371">
        <f>VLOOKUP(B18,'26MY_ACCORD_DATA'!B:AS,7,FALSE)</f>
        <v>1</v>
      </c>
      <c r="H18" s="374">
        <f>VLOOKUP(B18,'26MY_ACCORD_DATA'!B:AS,11,FALSE)</f>
        <v>764.2</v>
      </c>
      <c r="I18" s="365">
        <f>VLOOKUP(B18,'26MY_ACCORD_DATA'!B:AS,12,FALSE)</f>
        <v>0</v>
      </c>
      <c r="J18" s="365">
        <f>VLOOKUP(B18,'26MY_ACCORD_DATA'!B:AS,13,FALSE)</f>
        <v>0</v>
      </c>
      <c r="K18" s="365" t="str">
        <f>VLOOKUP(B18,'26MY_ACCORD_DATA'!B:AS,14,FALSE)</f>
        <v>•</v>
      </c>
      <c r="L18" s="365">
        <f>VLOOKUP(B18,'26MY_ACCORD_DATA'!B:AS,15,FALSE)</f>
        <v>0</v>
      </c>
      <c r="M18" s="365" t="str">
        <f>VLOOKUP(B18,'26MY_ACCORD_DATA'!B:AS,16,FALSE)</f>
        <v>•</v>
      </c>
      <c r="N18" s="365" t="str">
        <f>VLOOKUP(B18,'26MY_ACCORD_DATA'!B:AS,17,FALSE)</f>
        <v>N/A</v>
      </c>
      <c r="O18" s="303">
        <f>VLOOKUP(B18,'26MY_ACCORD_DATA'!B:AS,18,FALSE)</f>
        <v>0</v>
      </c>
      <c r="P18" s="365">
        <f>VLOOKUP(B18,'26MY_ACCORD_DATA'!B:AS,19,FALSE)</f>
        <v>0</v>
      </c>
      <c r="Q18" s="368" t="str">
        <f>IF(VLOOKUP(B18,'26MY_ACCORD_DATA'!B:AS,20,FALSE)="","",VLOOKUP(B18,'26MY_ACCORD_DATA'!B:AS,20,FALSE))</f>
        <v>10% Discount Applied.</v>
      </c>
      <c r="R18" s="97"/>
      <c r="S18" s="97"/>
      <c r="T18" s="97"/>
    </row>
    <row r="19" spans="2:20" s="135" customFormat="1" ht="14.4">
      <c r="B19" s="280" t="s">
        <v>302</v>
      </c>
      <c r="C19" s="190" t="str">
        <f>VLOOKUP(B19,'26MY_ACCORD_DATA'!B:AS,3,FALSE)</f>
        <v>All Season Floor Mats</v>
      </c>
      <c r="D19" s="200" t="str">
        <f t="shared" ref="D19:D22" si="2">B19</f>
        <v>08P17-30A-110</v>
      </c>
      <c r="E19" s="351"/>
      <c r="F19" s="351"/>
      <c r="G19" s="372"/>
      <c r="H19" s="375"/>
      <c r="I19" s="366"/>
      <c r="J19" s="366"/>
      <c r="K19" s="366"/>
      <c r="L19" s="366"/>
      <c r="M19" s="366"/>
      <c r="N19" s="366"/>
      <c r="O19" s="303"/>
      <c r="P19" s="366"/>
      <c r="Q19" s="369"/>
      <c r="R19" s="97"/>
      <c r="S19" s="97"/>
      <c r="T19" s="97"/>
    </row>
    <row r="20" spans="2:20" s="135" customFormat="1" ht="14.4">
      <c r="B20" s="280" t="s">
        <v>303</v>
      </c>
      <c r="C20" s="190" t="str">
        <f>VLOOKUP(B20,'26MY_ACCORD_DATA'!B:AS,3,FALSE)</f>
        <v>Trunk Tray</v>
      </c>
      <c r="D20" s="200" t="str">
        <f t="shared" ref="D20:D21" si="3">B20</f>
        <v>08U45-30A-100</v>
      </c>
      <c r="E20" s="351"/>
      <c r="F20" s="351"/>
      <c r="G20" s="372"/>
      <c r="H20" s="375"/>
      <c r="I20" s="366"/>
      <c r="J20" s="366"/>
      <c r="K20" s="366"/>
      <c r="L20" s="366"/>
      <c r="M20" s="366"/>
      <c r="N20" s="366"/>
      <c r="O20" s="303"/>
      <c r="P20" s="366"/>
      <c r="Q20" s="369"/>
      <c r="R20" s="97"/>
      <c r="S20" s="97"/>
      <c r="T20" s="97"/>
    </row>
    <row r="21" spans="2:20" s="135" customFormat="1" ht="14.4">
      <c r="B21" s="280" t="s">
        <v>360</v>
      </c>
      <c r="C21" s="190" t="str">
        <f>VLOOKUP(B21,'26MY_ACCORD_DATA'!B:AS,3,FALSE)</f>
        <v>Rear Splash Guards</v>
      </c>
      <c r="D21" s="200" t="str">
        <f t="shared" si="3"/>
        <v>08P09-30A-300</v>
      </c>
      <c r="E21" s="351"/>
      <c r="F21" s="351"/>
      <c r="G21" s="372"/>
      <c r="H21" s="375"/>
      <c r="I21" s="366"/>
      <c r="J21" s="366"/>
      <c r="K21" s="366"/>
      <c r="L21" s="366"/>
      <c r="M21" s="366"/>
      <c r="N21" s="366"/>
      <c r="O21" s="303"/>
      <c r="P21" s="366"/>
      <c r="Q21" s="369"/>
      <c r="R21" s="97"/>
      <c r="S21" s="97"/>
      <c r="T21" s="97"/>
    </row>
    <row r="22" spans="2:20" s="135" customFormat="1" ht="14.4">
      <c r="B22" s="280" t="s">
        <v>308</v>
      </c>
      <c r="C22" s="190" t="str">
        <f>VLOOKUP(B22,'26MY_ACCORD_DATA'!B:AS,3,FALSE)</f>
        <v>Cargo Net</v>
      </c>
      <c r="D22" s="200" t="str">
        <f t="shared" si="2"/>
        <v>08L96-TVA-300</v>
      </c>
      <c r="E22" s="352"/>
      <c r="F22" s="352"/>
      <c r="G22" s="373"/>
      <c r="H22" s="376"/>
      <c r="I22" s="367"/>
      <c r="J22" s="367"/>
      <c r="K22" s="367"/>
      <c r="L22" s="367"/>
      <c r="M22" s="367"/>
      <c r="N22" s="367"/>
      <c r="O22" s="303"/>
      <c r="P22" s="367"/>
      <c r="Q22" s="370"/>
      <c r="R22" s="97"/>
      <c r="S22" s="97"/>
      <c r="T22" s="97"/>
    </row>
    <row r="23" spans="2:20" s="135" customFormat="1" ht="6.9" customHeight="1">
      <c r="B23" s="280"/>
      <c r="C23" s="201"/>
      <c r="D23" s="202"/>
      <c r="E23" s="202"/>
      <c r="F23" s="202"/>
      <c r="G23" s="202"/>
      <c r="H23" s="202"/>
      <c r="I23" s="202"/>
      <c r="J23" s="202"/>
      <c r="K23" s="202"/>
      <c r="L23" s="202"/>
      <c r="M23" s="202"/>
      <c r="N23" s="202"/>
      <c r="O23" s="202"/>
      <c r="P23" s="202"/>
      <c r="Q23" s="331"/>
      <c r="R23" s="97"/>
      <c r="S23" s="97"/>
      <c r="T23" s="97"/>
    </row>
    <row r="24" spans="2:20" s="135" customFormat="1" ht="14.4">
      <c r="B24" s="280" t="s">
        <v>517</v>
      </c>
      <c r="C24" s="194" t="str">
        <f>VLOOKUP(B24,'26MY_ACCORD_DATA'!B:AS,3,FALSE)</f>
        <v>Black Emblem Set - Touring</v>
      </c>
      <c r="D24" s="78" t="str">
        <f>B24</f>
        <v>26ACC-BLK-EMB</v>
      </c>
      <c r="E24" s="350">
        <f>VLOOKUP(B24,'26MY_ACCORD_DATA'!B:AS,9,FALSE)</f>
        <v>155.79999999999998</v>
      </c>
      <c r="F24" s="353">
        <f>VLOOKUP(B24,'26MY_ACCORD_DATA'!B:AS,10,FALSE)</f>
        <v>260.3</v>
      </c>
      <c r="G24" s="356">
        <f>VLOOKUP(B24,'26MY_ACCORD_DATA'!B:AS,7,FALSE)</f>
        <v>0.89999999999999991</v>
      </c>
      <c r="H24" s="359">
        <f>VLOOKUP(B24,'26MY_ACCORD_DATA'!B:AS,11,FALSE)</f>
        <v>423.2</v>
      </c>
      <c r="I24" s="309">
        <f>VLOOKUP($B24,'26MY_ACCORD_DATA'!$B:$AS,12,FALSE)</f>
        <v>0</v>
      </c>
      <c r="J24" s="309">
        <f>VLOOKUP($B24,'26MY_ACCORD_DATA'!$B:$AS,13,FALSE)</f>
        <v>0</v>
      </c>
      <c r="K24" s="385" t="str">
        <f>VLOOKUP(B24,'26MY_ACCORD_DATA'!B:AS,14,FALSE)</f>
        <v>N/A</v>
      </c>
      <c r="L24" s="309">
        <f>VLOOKUP(B24,'26MY_ACCORD_DATA'!B:AS,15,FALSE)</f>
        <v>0</v>
      </c>
      <c r="M24" s="385" t="str">
        <f>VLOOKUP(B24,'26MY_ACCORD_DATA'!B:AS,16,FALSE)</f>
        <v>N/A</v>
      </c>
      <c r="N24" s="385" t="str">
        <f>VLOOKUP(B24,'26MY_ACCORD_DATA'!B:AS,17,FALSE)</f>
        <v>•</v>
      </c>
      <c r="O24" s="309">
        <f>VLOOKUP($B24,'26MY_ACCORD_DATA'!$B:$AS,18,FALSE)</f>
        <v>0</v>
      </c>
      <c r="P24" s="309">
        <f>VLOOKUP(B24,'26MY_ACCORD_DATA'!B:AS,19,FALSE)</f>
        <v>0</v>
      </c>
      <c r="Q24" s="362" t="str">
        <f>IF(VLOOKUP(B24,'26MY_ACCORD_DATA'!B:AS,20,FALSE)="","",VLOOKUP(B24,'26MY_ACCORD_DATA'!B:AS,20,FALSE))</f>
        <v>5% Discount Applied.</v>
      </c>
      <c r="R24" s="97"/>
      <c r="S24" s="97"/>
      <c r="T24" s="97"/>
    </row>
    <row r="25" spans="2:20" s="135" customFormat="1" ht="14.4">
      <c r="B25" s="280" t="s">
        <v>514</v>
      </c>
      <c r="C25" s="190" t="str">
        <f>VLOOKUP(B25,'26MY_ACCORD_DATA'!B:AS,3,FALSE)</f>
        <v>Black Emblem Rear "H" mark</v>
      </c>
      <c r="D25" s="200" t="str">
        <f t="shared" ref="D25:D28" si="4">B25</f>
        <v>08F20-30A-100C</v>
      </c>
      <c r="E25" s="351"/>
      <c r="F25" s="354"/>
      <c r="G25" s="357"/>
      <c r="H25" s="360"/>
      <c r="I25" s="310"/>
      <c r="J25" s="310"/>
      <c r="K25" s="386"/>
      <c r="L25" s="310"/>
      <c r="M25" s="386"/>
      <c r="N25" s="386"/>
      <c r="O25" s="310"/>
      <c r="P25" s="310"/>
      <c r="Q25" s="363"/>
      <c r="R25" s="97"/>
      <c r="S25" s="97"/>
      <c r="T25" s="97"/>
    </row>
    <row r="26" spans="2:20" s="135" customFormat="1" ht="14.4">
      <c r="B26" s="280" t="s">
        <v>503</v>
      </c>
      <c r="C26" s="190" t="str">
        <f>VLOOKUP(B26,'26MY_ACCORD_DATA'!B:AS,3,FALSE)</f>
        <v>Black Emblem, Accord</v>
      </c>
      <c r="D26" s="200" t="str">
        <f t="shared" si="4"/>
        <v>08F20-30A-100D</v>
      </c>
      <c r="E26" s="352"/>
      <c r="F26" s="354"/>
      <c r="G26" s="357"/>
      <c r="H26" s="360"/>
      <c r="I26" s="311"/>
      <c r="J26" s="311"/>
      <c r="K26" s="386"/>
      <c r="L26" s="311"/>
      <c r="M26" s="386"/>
      <c r="N26" s="386"/>
      <c r="O26" s="311"/>
      <c r="P26" s="311"/>
      <c r="Q26" s="363"/>
      <c r="R26" s="97"/>
      <c r="S26" s="97"/>
      <c r="T26" s="97"/>
    </row>
    <row r="27" spans="2:20" s="135" customFormat="1" ht="14.4">
      <c r="B27" s="280" t="s">
        <v>375</v>
      </c>
      <c r="C27" s="190" t="str">
        <f>VLOOKUP(B27,'26MY_ACCORD_DATA'!B:AS,3,FALSE)</f>
        <v>Black Emblem, Touring</v>
      </c>
      <c r="D27" s="200" t="str">
        <f t="shared" si="4"/>
        <v>08F20-3A0-100C</v>
      </c>
      <c r="E27" s="307"/>
      <c r="F27" s="354"/>
      <c r="G27" s="357"/>
      <c r="H27" s="360"/>
      <c r="I27" s="308"/>
      <c r="J27" s="308"/>
      <c r="K27" s="386"/>
      <c r="L27" s="308"/>
      <c r="M27" s="386"/>
      <c r="N27" s="386"/>
      <c r="O27" s="308"/>
      <c r="P27" s="308"/>
      <c r="Q27" s="363"/>
      <c r="R27" s="97"/>
      <c r="S27" s="97"/>
      <c r="T27" s="97"/>
    </row>
    <row r="28" spans="2:20" s="135" customFormat="1" ht="14.4">
      <c r="B28" s="280" t="s">
        <v>507</v>
      </c>
      <c r="C28" s="190" t="str">
        <f>VLOOKUP(B28,'26MY_ACCORD_DATA'!B:AS,3,FALSE)</f>
        <v>Black Emblem, Hybrid</v>
      </c>
      <c r="D28" s="200" t="str">
        <f t="shared" si="4"/>
        <v>08F20-T20-100B</v>
      </c>
      <c r="E28" s="307"/>
      <c r="F28" s="355"/>
      <c r="G28" s="358"/>
      <c r="H28" s="361"/>
      <c r="I28" s="308"/>
      <c r="J28" s="308"/>
      <c r="K28" s="387"/>
      <c r="L28" s="308"/>
      <c r="M28" s="387"/>
      <c r="N28" s="387"/>
      <c r="O28" s="308"/>
      <c r="P28" s="308"/>
      <c r="Q28" s="364"/>
      <c r="R28" s="97"/>
      <c r="S28" s="97"/>
      <c r="T28" s="97"/>
    </row>
    <row r="29" spans="2:20" s="135" customFormat="1" ht="6.9" customHeight="1">
      <c r="B29" s="280"/>
      <c r="C29" s="201"/>
      <c r="D29" s="202"/>
      <c r="E29" s="202"/>
      <c r="F29" s="202"/>
      <c r="G29" s="202"/>
      <c r="H29" s="202"/>
      <c r="I29" s="202"/>
      <c r="J29" s="202"/>
      <c r="K29" s="202"/>
      <c r="L29" s="202"/>
      <c r="M29" s="202"/>
      <c r="N29" s="202"/>
      <c r="O29" s="202"/>
      <c r="P29" s="202"/>
      <c r="Q29" s="331"/>
      <c r="R29" s="97"/>
      <c r="S29" s="97"/>
      <c r="T29" s="97"/>
    </row>
    <row r="30" spans="2:20" s="135" customFormat="1" ht="45" customHeight="1">
      <c r="B30" s="280" t="s">
        <v>413</v>
      </c>
      <c r="C30" s="194" t="str">
        <f>VLOOKUP(B30,'26MY_ACCORD_DATA'!B:AS,3,FALSE)</f>
        <v>Aero Kit - SE Trim</v>
      </c>
      <c r="D30" s="78" t="str">
        <f>B30</f>
        <v>23ACC-ARO-EX</v>
      </c>
      <c r="E30" s="350">
        <f>VLOOKUP(B30,'26MY_ACCORD_DATA'!B:AS,9,FALSE)</f>
        <v>1555.2</v>
      </c>
      <c r="F30" s="350">
        <f>VLOOKUP(B30,'26MY_ACCORD_DATA'!B:AS,10,FALSE)</f>
        <v>2591.1</v>
      </c>
      <c r="G30" s="371">
        <f>VLOOKUP(B30,'26MY_ACCORD_DATA'!B:AS,7,FALSE)</f>
        <v>3.5</v>
      </c>
      <c r="H30" s="374">
        <f>VLOOKUP(B30,'26MY_ACCORD_DATA'!B:AS,11,FALSE)</f>
        <v>3224.6</v>
      </c>
      <c r="I30" s="365">
        <f>VLOOKUP(B30,'26MY_ACCORD_DATA'!B:AS,12,FALSE)</f>
        <v>0</v>
      </c>
      <c r="J30" s="365">
        <f>VLOOKUP(B30,'26MY_ACCORD_DATA'!B:AS,13,FALSE)</f>
        <v>0</v>
      </c>
      <c r="K30" s="365" t="str">
        <f>VLOOKUP(B30,'26MY_ACCORD_DATA'!B:AS,14,FALSE)</f>
        <v>•</v>
      </c>
      <c r="L30" s="365">
        <f>VLOOKUP(B30,'26MY_ACCORD_DATA'!B:AS,15,FALSE)</f>
        <v>0</v>
      </c>
      <c r="M30" s="365" t="str">
        <f>VLOOKUP(B30,'26MY_ACCORD_DATA'!B:AS,16,FALSE)</f>
        <v>N/A</v>
      </c>
      <c r="N30" s="365" t="str">
        <f>VLOOKUP(B30,'26MY_ACCORD_DATA'!B:AS,17,FALSE)</f>
        <v>N/A</v>
      </c>
      <c r="O30" s="365">
        <f>VLOOKUP(B30,'26MY_ACCORD_DATA'!B:AS,18,FALSE)</f>
        <v>0</v>
      </c>
      <c r="P30" s="365">
        <f>VLOOKUP(B30,'26MY_ACCORD_DATA'!B:AS,19,FALSE)</f>
        <v>0</v>
      </c>
      <c r="Q30" s="368" t="str">
        <f>IF(VLOOKUP(B30,'26MY_ACCORD_DATA'!B:AS,20,FALSE)="","",VLOOKUP(B30,'26MY_ACCORD_DATA'!B:AS,20,FALSE))</f>
        <v>10% Discount Applied
Decklid Spoiler - Crystal Black Pearl (NH-731P) colour</v>
      </c>
      <c r="R30" s="97"/>
      <c r="S30" s="97"/>
      <c r="T30" s="97"/>
    </row>
    <row r="31" spans="2:20" s="135" customFormat="1" ht="14.4">
      <c r="B31" s="280" t="s">
        <v>388</v>
      </c>
      <c r="C31" s="190" t="str">
        <f>VLOOKUP(B31,'26MY_ACCORD_DATA'!B:AS,3,FALSE)</f>
        <v>Side Underbody Spoiler</v>
      </c>
      <c r="D31" s="200" t="str">
        <f t="shared" ref="D31" si="5">B31</f>
        <v>08F04-30A-1F0</v>
      </c>
      <c r="E31" s="351"/>
      <c r="F31" s="351"/>
      <c r="G31" s="372"/>
      <c r="H31" s="375"/>
      <c r="I31" s="366"/>
      <c r="J31" s="366"/>
      <c r="K31" s="366"/>
      <c r="L31" s="366"/>
      <c r="M31" s="366"/>
      <c r="N31" s="366"/>
      <c r="O31" s="366"/>
      <c r="P31" s="366"/>
      <c r="Q31" s="369"/>
      <c r="R31" s="97"/>
      <c r="S31" s="97"/>
      <c r="T31" s="97"/>
    </row>
    <row r="32" spans="2:20" s="135" customFormat="1" ht="14.4">
      <c r="B32" s="280" t="s">
        <v>389</v>
      </c>
      <c r="C32" s="190" t="str">
        <f>VLOOKUP(B32,'26MY_ACCORD_DATA'!B:AS,3,FALSE)</f>
        <v>Front Aero Bumper</v>
      </c>
      <c r="D32" s="200" t="str">
        <f t="shared" ref="D32:D35" si="6">B32</f>
        <v>08P98-30A-1F0</v>
      </c>
      <c r="E32" s="351"/>
      <c r="F32" s="351"/>
      <c r="G32" s="372"/>
      <c r="H32" s="375"/>
      <c r="I32" s="366"/>
      <c r="J32" s="366"/>
      <c r="K32" s="366"/>
      <c r="L32" s="366"/>
      <c r="M32" s="366"/>
      <c r="N32" s="366"/>
      <c r="O32" s="366"/>
      <c r="P32" s="366"/>
      <c r="Q32" s="369"/>
      <c r="R32" s="97"/>
      <c r="S32" s="97"/>
      <c r="T32" s="97"/>
    </row>
    <row r="33" spans="2:21" s="135" customFormat="1" ht="14.4">
      <c r="B33" s="280" t="s">
        <v>390</v>
      </c>
      <c r="C33" s="190" t="str">
        <f>VLOOKUP(B33,'26MY_ACCORD_DATA'!B:AS,3,FALSE)</f>
        <v>Rear Aero Bumper</v>
      </c>
      <c r="D33" s="200" t="str">
        <f t="shared" si="6"/>
        <v>08P99-30A-1F0</v>
      </c>
      <c r="E33" s="351"/>
      <c r="F33" s="351"/>
      <c r="G33" s="372"/>
      <c r="H33" s="375"/>
      <c r="I33" s="366"/>
      <c r="J33" s="366"/>
      <c r="K33" s="366"/>
      <c r="L33" s="366"/>
      <c r="M33" s="366"/>
      <c r="N33" s="366"/>
      <c r="O33" s="366"/>
      <c r="P33" s="366"/>
      <c r="Q33" s="369"/>
      <c r="R33" s="97"/>
      <c r="S33" s="97"/>
      <c r="T33" s="97"/>
    </row>
    <row r="34" spans="2:21" s="135" customFormat="1" ht="14.4">
      <c r="B34" s="280" t="s">
        <v>282</v>
      </c>
      <c r="C34" s="190" t="str">
        <f>VLOOKUP(B34,'26MY_ACCORD_DATA'!B:AS,3,FALSE)</f>
        <v>Crystal Black Pearl (NH-731P)</v>
      </c>
      <c r="D34" s="200" t="str">
        <f t="shared" si="6"/>
        <v>08F10-30A-170</v>
      </c>
      <c r="E34" s="351"/>
      <c r="F34" s="351"/>
      <c r="G34" s="372"/>
      <c r="H34" s="375"/>
      <c r="I34" s="366"/>
      <c r="J34" s="366"/>
      <c r="K34" s="366"/>
      <c r="L34" s="366"/>
      <c r="M34" s="366"/>
      <c r="N34" s="366"/>
      <c r="O34" s="366"/>
      <c r="P34" s="366"/>
      <c r="Q34" s="369"/>
      <c r="R34" s="97"/>
      <c r="S34" s="97"/>
      <c r="T34" s="97"/>
    </row>
    <row r="35" spans="2:21" s="135" customFormat="1" ht="14.4">
      <c r="B35" s="280" t="s">
        <v>399</v>
      </c>
      <c r="C35" s="190" t="str">
        <f>VLOOKUP(B35,'26MY_ACCORD_DATA'!B:AS,3,FALSE)</f>
        <v>Door Mirror Covers &amp; Lower Intake Accents</v>
      </c>
      <c r="D35" s="200" t="str">
        <f t="shared" si="6"/>
        <v>08R06-30A-110</v>
      </c>
      <c r="E35" s="352"/>
      <c r="F35" s="352"/>
      <c r="G35" s="373"/>
      <c r="H35" s="376"/>
      <c r="I35" s="367"/>
      <c r="J35" s="367"/>
      <c r="K35" s="367"/>
      <c r="L35" s="367"/>
      <c r="M35" s="367"/>
      <c r="N35" s="367"/>
      <c r="O35" s="367"/>
      <c r="P35" s="367"/>
      <c r="Q35" s="370"/>
      <c r="R35" s="97"/>
      <c r="S35" s="97"/>
      <c r="T35" s="97"/>
    </row>
    <row r="36" spans="2:21" s="135" customFormat="1" ht="6.9" customHeight="1">
      <c r="B36" s="280"/>
      <c r="C36" s="201"/>
      <c r="D36" s="202"/>
      <c r="E36" s="202"/>
      <c r="F36" s="202"/>
      <c r="G36" s="202"/>
      <c r="H36" s="202"/>
      <c r="I36" s="202"/>
      <c r="J36" s="202"/>
      <c r="K36" s="202"/>
      <c r="L36" s="202"/>
      <c r="M36" s="202"/>
      <c r="N36" s="202"/>
      <c r="O36" s="202"/>
      <c r="P36" s="202"/>
      <c r="Q36" s="331"/>
      <c r="R36" s="97"/>
      <c r="S36" s="97"/>
      <c r="T36" s="97"/>
    </row>
    <row r="37" spans="2:21" s="135" customFormat="1" ht="45" customHeight="1">
      <c r="B37" s="280" t="s">
        <v>444</v>
      </c>
      <c r="C37" s="194" t="str">
        <f>VLOOKUP(B37,'26MY_ACCORD_DATA'!B:AS,3,FALSE)</f>
        <v>Aero Kit - Sport Trim</v>
      </c>
      <c r="D37" s="78" t="str">
        <f>B37</f>
        <v>23ACC-ARO-SPHY</v>
      </c>
      <c r="E37" s="350">
        <f>VLOOKUP(B37,'26MY_ACCORD_DATA'!B:AS,9,FALSE)</f>
        <v>1018.8000000000001</v>
      </c>
      <c r="F37" s="350">
        <f>VLOOKUP(B37,'26MY_ACCORD_DATA'!B:AS,10,FALSE)</f>
        <v>1697.4</v>
      </c>
      <c r="G37" s="371">
        <f>VLOOKUP(B37,'26MY_ACCORD_DATA'!B:AS,7,FALSE)</f>
        <v>1.7999999999999998</v>
      </c>
      <c r="H37" s="374">
        <f>VLOOKUP(B37,'26MY_ACCORD_DATA'!B:AS,11,FALSE)</f>
        <v>2023.2</v>
      </c>
      <c r="I37" s="365">
        <f>VLOOKUP(B37,'26MY_ACCORD_DATA'!B:AS,12,FALSE)</f>
        <v>0</v>
      </c>
      <c r="J37" s="365">
        <f>VLOOKUP(B37,'26MY_ACCORD_DATA'!B:AS,13,FALSE)</f>
        <v>0</v>
      </c>
      <c r="K37" s="365" t="str">
        <f>VLOOKUP(B37,'26MY_ACCORD_DATA'!B:AS,14,FALSE)</f>
        <v>N/A</v>
      </c>
      <c r="L37" s="365">
        <f>VLOOKUP(B37,'26MY_ACCORD_DATA'!B:AS,15,FALSE)</f>
        <v>0</v>
      </c>
      <c r="M37" s="365" t="str">
        <f>VLOOKUP(B37,'26MY_ACCORD_DATA'!B:AS,16,FALSE)</f>
        <v>•</v>
      </c>
      <c r="N37" s="365" t="str">
        <f>VLOOKUP(B37,'26MY_ACCORD_DATA'!B:AS,17,FALSE)</f>
        <v>N/A</v>
      </c>
      <c r="O37" s="365">
        <f>VLOOKUP(B37,'26MY_ACCORD_DATA'!B:AS,18,FALSE)</f>
        <v>0</v>
      </c>
      <c r="P37" s="365">
        <f>VLOOKUP(B37,'26MY_ACCORD_DATA'!B:AS,19,FALSE)</f>
        <v>0</v>
      </c>
      <c r="Q37" s="368" t="str">
        <f>IF(VLOOKUP(B37,'26MY_ACCORD_DATA'!B:AS,20,FALSE)="","",VLOOKUP(B37,'26MY_ACCORD_DATA'!B:AS,20,FALSE))</f>
        <v>10% Discount Applied
Sport Trim already comes standard with Decklid Spoiler</v>
      </c>
      <c r="R37" s="97"/>
      <c r="S37" s="97"/>
      <c r="T37" s="97"/>
    </row>
    <row r="38" spans="2:21" s="135" customFormat="1" ht="14.4">
      <c r="B38" s="280" t="s">
        <v>388</v>
      </c>
      <c r="C38" s="190" t="str">
        <f>VLOOKUP(B38,'26MY_ACCORD_DATA'!B:AS,3,FALSE)</f>
        <v>Side Underbody Spoiler</v>
      </c>
      <c r="D38" s="200" t="str">
        <f t="shared" ref="D38:D40" si="7">B38</f>
        <v>08F04-30A-1F0</v>
      </c>
      <c r="E38" s="351"/>
      <c r="F38" s="351"/>
      <c r="G38" s="372"/>
      <c r="H38" s="375"/>
      <c r="I38" s="366"/>
      <c r="J38" s="366"/>
      <c r="K38" s="366"/>
      <c r="L38" s="366"/>
      <c r="M38" s="366"/>
      <c r="N38" s="366"/>
      <c r="O38" s="366"/>
      <c r="P38" s="366"/>
      <c r="Q38" s="369"/>
      <c r="R38" s="97"/>
      <c r="S38" s="97"/>
      <c r="T38" s="97"/>
    </row>
    <row r="39" spans="2:21" s="135" customFormat="1" ht="14.4">
      <c r="B39" s="280" t="s">
        <v>389</v>
      </c>
      <c r="C39" s="190" t="str">
        <f>VLOOKUP(B39,'26MY_ACCORD_DATA'!B:AS,3,FALSE)</f>
        <v>Front Aero Bumper</v>
      </c>
      <c r="D39" s="200" t="str">
        <f t="shared" si="7"/>
        <v>08P98-30A-1F0</v>
      </c>
      <c r="E39" s="351"/>
      <c r="F39" s="351"/>
      <c r="G39" s="372"/>
      <c r="H39" s="375"/>
      <c r="I39" s="366"/>
      <c r="J39" s="366"/>
      <c r="K39" s="366"/>
      <c r="L39" s="366"/>
      <c r="M39" s="366"/>
      <c r="N39" s="366"/>
      <c r="O39" s="366"/>
      <c r="P39" s="366"/>
      <c r="Q39" s="369"/>
      <c r="R39" s="97"/>
      <c r="S39" s="97"/>
      <c r="T39" s="97"/>
    </row>
    <row r="40" spans="2:21" s="135" customFormat="1" ht="14.4">
      <c r="B40" s="280" t="s">
        <v>390</v>
      </c>
      <c r="C40" s="190" t="str">
        <f>VLOOKUP(B40,'26MY_ACCORD_DATA'!B:AS,3,FALSE)</f>
        <v>Rear Aero Bumper</v>
      </c>
      <c r="D40" s="200" t="str">
        <f t="shared" si="7"/>
        <v>08P99-30A-1F0</v>
      </c>
      <c r="E40" s="352"/>
      <c r="F40" s="352"/>
      <c r="G40" s="373"/>
      <c r="H40" s="376"/>
      <c r="I40" s="367"/>
      <c r="J40" s="367"/>
      <c r="K40" s="367"/>
      <c r="L40" s="367"/>
      <c r="M40" s="367"/>
      <c r="N40" s="367"/>
      <c r="O40" s="367"/>
      <c r="P40" s="367"/>
      <c r="Q40" s="370"/>
      <c r="R40" s="97"/>
      <c r="S40" s="249"/>
      <c r="T40" s="249"/>
      <c r="U40" s="249"/>
    </row>
    <row r="41" spans="2:21" s="135" customFormat="1" ht="6.9" customHeight="1">
      <c r="B41" s="280"/>
      <c r="C41" s="201"/>
      <c r="D41" s="202"/>
      <c r="E41" s="202"/>
      <c r="F41" s="202"/>
      <c r="G41" s="202"/>
      <c r="H41" s="202"/>
      <c r="I41" s="202"/>
      <c r="J41" s="202"/>
      <c r="K41" s="202"/>
      <c r="L41" s="202"/>
      <c r="M41" s="202"/>
      <c r="N41" s="202"/>
      <c r="O41" s="202"/>
      <c r="P41" s="202"/>
      <c r="Q41" s="331"/>
      <c r="R41" s="97"/>
      <c r="S41" s="97"/>
      <c r="T41" s="97"/>
    </row>
    <row r="42" spans="2:21" s="135" customFormat="1" ht="45" customHeight="1">
      <c r="B42" s="280" t="s">
        <v>436</v>
      </c>
      <c r="C42" s="194" t="str">
        <f>VLOOKUP(B42,'26MY_ACCORD_DATA'!B:AS,3,FALSE)</f>
        <v>Aero Kit - Touring Trim</v>
      </c>
      <c r="D42" s="78" t="str">
        <f>B42</f>
        <v>23ACC-ARO-TRHY</v>
      </c>
      <c r="E42" s="350">
        <f>VLOOKUP(B42,'26MY_ACCORD_DATA'!B:AS,9,FALSE)</f>
        <v>1555.2</v>
      </c>
      <c r="F42" s="350">
        <f>VLOOKUP(B42,'26MY_ACCORD_DATA'!B:AS,10,FALSE)</f>
        <v>2591.1</v>
      </c>
      <c r="G42" s="371">
        <f>VLOOKUP(B42,'26MY_ACCORD_DATA'!B:AS,7,FALSE)</f>
        <v>3.5</v>
      </c>
      <c r="H42" s="374">
        <f>VLOOKUP(B42,'26MY_ACCORD_DATA'!B:AS,11,FALSE)</f>
        <v>3224.6</v>
      </c>
      <c r="I42" s="365">
        <f>VLOOKUP(B42,'26MY_ACCORD_DATA'!B:AS,12,FALSE)</f>
        <v>0</v>
      </c>
      <c r="J42" s="365">
        <f>VLOOKUP(B42,'26MY_ACCORD_DATA'!B:AS,13,FALSE)</f>
        <v>0</v>
      </c>
      <c r="K42" s="365" t="str">
        <f>VLOOKUP(B42,'26MY_ACCORD_DATA'!B:AS,14,FALSE)</f>
        <v>N/A</v>
      </c>
      <c r="L42" s="365">
        <f>VLOOKUP(B42,'26MY_ACCORD_DATA'!B:AS,15,FALSE)</f>
        <v>0</v>
      </c>
      <c r="M42" s="365" t="str">
        <f>VLOOKUP(B42,'26MY_ACCORD_DATA'!B:AS,16,FALSE)</f>
        <v>N/A</v>
      </c>
      <c r="N42" s="365" t="str">
        <f>VLOOKUP(B42,'26MY_ACCORD_DATA'!B:AS,17,FALSE)</f>
        <v>•</v>
      </c>
      <c r="O42" s="365">
        <f>VLOOKUP(B42,'26MY_ACCORD_DATA'!B:AS,18,FALSE)</f>
        <v>0</v>
      </c>
      <c r="P42" s="365">
        <f>VLOOKUP(B42,'26MY_ACCORD_DATA'!B:AS,19,FALSE)</f>
        <v>0</v>
      </c>
      <c r="Q42" s="368" t="str">
        <f>IF(VLOOKUP(B42,'26MY_ACCORD_DATA'!B:AS,20,FALSE)="","",VLOOKUP(B42,'26MY_ACCORD_DATA'!B:AS,20,FALSE))</f>
        <v>10% Discount Applied
Decklid Spoiler - Crystal Black Pearl (NH-731P) colour</v>
      </c>
      <c r="R42" s="97"/>
      <c r="S42" s="97"/>
      <c r="T42" s="97"/>
    </row>
    <row r="43" spans="2:21" s="135" customFormat="1" ht="14.4">
      <c r="B43" s="280" t="s">
        <v>388</v>
      </c>
      <c r="C43" s="190" t="str">
        <f>VLOOKUP(B43,'26MY_ACCORD_DATA'!B:AS,3,FALSE)</f>
        <v>Side Underbody Spoiler</v>
      </c>
      <c r="D43" s="200" t="str">
        <f t="shared" ref="D43:D47" si="8">B43</f>
        <v>08F04-30A-1F0</v>
      </c>
      <c r="E43" s="351"/>
      <c r="F43" s="351"/>
      <c r="G43" s="372"/>
      <c r="H43" s="375"/>
      <c r="I43" s="366"/>
      <c r="J43" s="366"/>
      <c r="K43" s="366"/>
      <c r="L43" s="366"/>
      <c r="M43" s="366"/>
      <c r="N43" s="366"/>
      <c r="O43" s="366"/>
      <c r="P43" s="366"/>
      <c r="Q43" s="369"/>
      <c r="R43" s="97"/>
      <c r="S43" s="97"/>
      <c r="T43" s="97"/>
    </row>
    <row r="44" spans="2:21" s="135" customFormat="1" ht="14.4">
      <c r="B44" s="280" t="s">
        <v>389</v>
      </c>
      <c r="C44" s="190" t="str">
        <f>VLOOKUP(B44,'26MY_ACCORD_DATA'!B:AS,3,FALSE)</f>
        <v>Front Aero Bumper</v>
      </c>
      <c r="D44" s="200" t="str">
        <f t="shared" ref="D44:D46" si="9">B44</f>
        <v>08P98-30A-1F0</v>
      </c>
      <c r="E44" s="351"/>
      <c r="F44" s="351"/>
      <c r="G44" s="372"/>
      <c r="H44" s="375"/>
      <c r="I44" s="366"/>
      <c r="J44" s="366"/>
      <c r="K44" s="366"/>
      <c r="L44" s="366"/>
      <c r="M44" s="366"/>
      <c r="N44" s="366"/>
      <c r="O44" s="366"/>
      <c r="P44" s="366"/>
      <c r="Q44" s="369"/>
      <c r="R44" s="97"/>
      <c r="S44" s="97"/>
      <c r="T44" s="97"/>
    </row>
    <row r="45" spans="2:21" s="135" customFormat="1" ht="14.4">
      <c r="B45" s="280" t="s">
        <v>390</v>
      </c>
      <c r="C45" s="190" t="str">
        <f>VLOOKUP(B45,'26MY_ACCORD_DATA'!B:AS,3,FALSE)</f>
        <v>Rear Aero Bumper</v>
      </c>
      <c r="D45" s="200" t="str">
        <f t="shared" si="9"/>
        <v>08P99-30A-1F0</v>
      </c>
      <c r="E45" s="351"/>
      <c r="F45" s="351"/>
      <c r="G45" s="372"/>
      <c r="H45" s="375"/>
      <c r="I45" s="366"/>
      <c r="J45" s="366"/>
      <c r="K45" s="366"/>
      <c r="L45" s="366"/>
      <c r="M45" s="366"/>
      <c r="N45" s="366"/>
      <c r="O45" s="366"/>
      <c r="P45" s="366"/>
      <c r="Q45" s="369"/>
      <c r="R45" s="97"/>
      <c r="S45" s="97"/>
      <c r="T45" s="97"/>
    </row>
    <row r="46" spans="2:21" s="135" customFormat="1" ht="14.4">
      <c r="B46" s="280" t="s">
        <v>282</v>
      </c>
      <c r="C46" s="190" t="str">
        <f>VLOOKUP(B46,'26MY_ACCORD_DATA'!B:AS,3,FALSE)</f>
        <v>Crystal Black Pearl (NH-731P)</v>
      </c>
      <c r="D46" s="200" t="str">
        <f t="shared" si="9"/>
        <v>08F10-30A-170</v>
      </c>
      <c r="E46" s="351"/>
      <c r="F46" s="351"/>
      <c r="G46" s="372"/>
      <c r="H46" s="375"/>
      <c r="I46" s="366"/>
      <c r="J46" s="366"/>
      <c r="K46" s="366"/>
      <c r="L46" s="366"/>
      <c r="M46" s="366"/>
      <c r="N46" s="366"/>
      <c r="O46" s="366"/>
      <c r="P46" s="366"/>
      <c r="Q46" s="369"/>
      <c r="R46" s="97"/>
      <c r="S46" s="97"/>
      <c r="T46" s="97"/>
    </row>
    <row r="47" spans="2:21" s="135" customFormat="1" ht="14.4">
      <c r="B47" s="280" t="s">
        <v>400</v>
      </c>
      <c r="C47" s="190" t="str">
        <f>VLOOKUP(B47,'26MY_ACCORD_DATA'!B:AS,3,FALSE)</f>
        <v>Door Mirror Covers &amp; Lower Intake Accents</v>
      </c>
      <c r="D47" s="200" t="str">
        <f t="shared" si="8"/>
        <v>08R06-30A-110A</v>
      </c>
      <c r="E47" s="352"/>
      <c r="F47" s="352"/>
      <c r="G47" s="373"/>
      <c r="H47" s="376"/>
      <c r="I47" s="367"/>
      <c r="J47" s="367"/>
      <c r="K47" s="367"/>
      <c r="L47" s="367"/>
      <c r="M47" s="367"/>
      <c r="N47" s="367"/>
      <c r="O47" s="367"/>
      <c r="P47" s="367"/>
      <c r="Q47" s="370"/>
      <c r="R47" s="97"/>
      <c r="S47" s="97"/>
      <c r="T47" s="97"/>
    </row>
    <row r="48" spans="2:21" s="135" customFormat="1" ht="6.9" customHeight="1">
      <c r="B48" s="280"/>
      <c r="C48" s="201"/>
      <c r="D48" s="202"/>
      <c r="E48" s="202"/>
      <c r="F48" s="202"/>
      <c r="G48" s="202"/>
      <c r="H48" s="202"/>
      <c r="I48" s="202"/>
      <c r="J48" s="202"/>
      <c r="K48" s="202"/>
      <c r="L48" s="202"/>
      <c r="M48" s="202"/>
      <c r="N48" s="202"/>
      <c r="O48" s="202"/>
      <c r="P48" s="202"/>
      <c r="Q48" s="331"/>
      <c r="R48" s="97"/>
      <c r="S48" s="97"/>
      <c r="T48" s="97"/>
    </row>
    <row r="49" spans="1:20" s="135" customFormat="1" ht="14.4">
      <c r="B49" s="280" t="s">
        <v>448</v>
      </c>
      <c r="C49" s="194" t="str">
        <f>VLOOKUP(B49,'26MY_ACCORD_DATA'!B:AS,3,FALSE)</f>
        <v>Cold Weather Package</v>
      </c>
      <c r="D49" s="78" t="str">
        <f>B49</f>
        <v>23ACC-COLD-PKP</v>
      </c>
      <c r="E49" s="350">
        <f>VLOOKUP(B49,'26MY_ACCORD_DATA'!B:AS,9,FALSE)</f>
        <v>226.1</v>
      </c>
      <c r="F49" s="350">
        <f>VLOOKUP(B49,'26MY_ACCORD_DATA'!B:AS,10,FALSE)</f>
        <v>377.15</v>
      </c>
      <c r="G49" s="382">
        <f>VLOOKUP(B49,'26MY_ACCORD_DATA'!B:AS,7,FALSE)</f>
        <v>1.2</v>
      </c>
      <c r="H49" s="374">
        <f>VLOOKUP(B49,'26MY_ACCORD_DATA'!B:AS,11,FALSE)</f>
        <v>594.34999999999991</v>
      </c>
      <c r="I49" s="365">
        <f>VLOOKUP($B49,'26MY_ACCORD_DATA'!$B:$AS,12,FALSE)</f>
        <v>0</v>
      </c>
      <c r="J49" s="365">
        <f>VLOOKUP($B49,'26MY_ACCORD_DATA'!$B:$AS,13,FALSE)</f>
        <v>0</v>
      </c>
      <c r="K49" s="365" t="str">
        <f>VLOOKUP(B49,'26MY_ACCORD_DATA'!B:AS,14,FALSE)</f>
        <v>•</v>
      </c>
      <c r="L49" s="365">
        <f>VLOOKUP(B49,'26MY_ACCORD_DATA'!B:AS,15,FALSE)</f>
        <v>0</v>
      </c>
      <c r="M49" s="365" t="str">
        <f>VLOOKUP(B49,'26MY_ACCORD_DATA'!B:AS,16,FALSE)</f>
        <v>N/A</v>
      </c>
      <c r="N49" s="365" t="str">
        <f>VLOOKUP(B49,'26MY_ACCORD_DATA'!B:AS,17,FALSE)</f>
        <v>N/A</v>
      </c>
      <c r="O49" s="365">
        <f>VLOOKUP($B49,'26MY_ACCORD_DATA'!$B:$AS,18,FALSE)</f>
        <v>0</v>
      </c>
      <c r="P49" s="365">
        <f>VLOOKUP(B49,'26MY_ACCORD_DATA'!B:AS,19,FALSE)</f>
        <v>0</v>
      </c>
      <c r="Q49" s="368" t="str">
        <f>IF(VLOOKUP(B49,'26MY_ACCORD_DATA'!B:AS,20,FALSE)="","",VLOOKUP(B49,'26MY_ACCORD_DATA'!B:AS,20,FALSE))</f>
        <v>5% Discount Applied.</v>
      </c>
      <c r="R49" s="97"/>
      <c r="S49" s="97"/>
      <c r="T49" s="97"/>
    </row>
    <row r="50" spans="1:20" s="135" customFormat="1" ht="14.4">
      <c r="A50" s="280"/>
      <c r="B50" s="280" t="s">
        <v>333</v>
      </c>
      <c r="C50" s="190" t="str">
        <f>VLOOKUP(B50,'26MY_ACCORD_DATA'!B:AS,3,FALSE)</f>
        <v>Engine Block Heater</v>
      </c>
      <c r="D50" s="200" t="str">
        <f t="shared" ref="D50:D51" si="10">B50</f>
        <v>08T44-30A-300A</v>
      </c>
      <c r="E50" s="351"/>
      <c r="F50" s="351"/>
      <c r="G50" s="383"/>
      <c r="H50" s="375"/>
      <c r="I50" s="366"/>
      <c r="J50" s="366"/>
      <c r="K50" s="366"/>
      <c r="L50" s="366"/>
      <c r="M50" s="366"/>
      <c r="N50" s="366"/>
      <c r="O50" s="366"/>
      <c r="P50" s="366"/>
      <c r="Q50" s="369"/>
      <c r="R50" s="97"/>
      <c r="S50" s="97"/>
      <c r="T50" s="97"/>
    </row>
    <row r="51" spans="1:20" s="135" customFormat="1" ht="14.4">
      <c r="B51" s="280" t="s">
        <v>26</v>
      </c>
      <c r="C51" s="190" t="str">
        <f>VLOOKUP(B51,'26MY_ACCORD_DATA'!B:AS,3,FALSE)</f>
        <v>Optimate 12V Auto Battery Charger/Maintainer</v>
      </c>
      <c r="D51" s="200" t="str">
        <f t="shared" si="10"/>
        <v>31670-BMS-004H</v>
      </c>
      <c r="E51" s="352"/>
      <c r="F51" s="352"/>
      <c r="G51" s="384"/>
      <c r="H51" s="376"/>
      <c r="I51" s="367"/>
      <c r="J51" s="367"/>
      <c r="K51" s="367"/>
      <c r="L51" s="367"/>
      <c r="M51" s="367"/>
      <c r="N51" s="367"/>
      <c r="O51" s="367"/>
      <c r="P51" s="367"/>
      <c r="Q51" s="370"/>
      <c r="R51" s="97"/>
      <c r="S51" s="97"/>
      <c r="T51" s="97"/>
    </row>
    <row r="52" spans="1:20" s="135" customFormat="1" ht="6.9" customHeight="1">
      <c r="B52" s="280"/>
      <c r="C52" s="201"/>
      <c r="D52" s="202"/>
      <c r="E52" s="202"/>
      <c r="F52" s="202"/>
      <c r="G52" s="202"/>
      <c r="H52" s="202"/>
      <c r="I52" s="202"/>
      <c r="J52" s="202"/>
      <c r="K52" s="202"/>
      <c r="L52" s="202"/>
      <c r="M52" s="202"/>
      <c r="N52" s="202"/>
      <c r="O52" s="202"/>
      <c r="P52" s="202"/>
      <c r="Q52" s="331"/>
      <c r="R52" s="97"/>
      <c r="S52" s="97"/>
      <c r="T52" s="97"/>
    </row>
    <row r="53" spans="1:20" s="135" customFormat="1" ht="14.4">
      <c r="B53" s="280" t="s">
        <v>451</v>
      </c>
      <c r="C53" s="194" t="str">
        <f>VLOOKUP(B53,'26MY_ACCORD_DATA'!B:AS,3,FALSE)</f>
        <v>Cold Weather Package</v>
      </c>
      <c r="D53" s="78" t="str">
        <f>B53</f>
        <v>23ACC-COLD-PKH</v>
      </c>
      <c r="E53" s="350">
        <f>VLOOKUP(B53,'26MY_ACCORD_DATA'!B:AS,9,FALSE)</f>
        <v>251.75</v>
      </c>
      <c r="F53" s="350">
        <f>VLOOKUP(B53,'26MY_ACCORD_DATA'!B:AS,10,FALSE)</f>
        <v>419.9</v>
      </c>
      <c r="G53" s="382">
        <f>VLOOKUP(B53,'26MY_ACCORD_DATA'!B:AS,7,FALSE)</f>
        <v>1.2</v>
      </c>
      <c r="H53" s="374">
        <f>VLOOKUP(B53,'26MY_ACCORD_DATA'!B:AS,11,FALSE)</f>
        <v>637.09999999999991</v>
      </c>
      <c r="I53" s="365">
        <f>VLOOKUP($B53,'26MY_ACCORD_DATA'!$B:$AS,12,FALSE)</f>
        <v>0</v>
      </c>
      <c r="J53" s="365">
        <f>VLOOKUP($B53,'26MY_ACCORD_DATA'!$B:$AS,13,FALSE)</f>
        <v>0</v>
      </c>
      <c r="K53" s="365" t="str">
        <f>VLOOKUP(B53,'26MY_ACCORD_DATA'!B:AS,14,FALSE)</f>
        <v>N/A</v>
      </c>
      <c r="L53" s="365">
        <f>VLOOKUP(B53,'26MY_ACCORD_DATA'!B:AS,15,FALSE)</f>
        <v>0</v>
      </c>
      <c r="M53" s="365" t="str">
        <f>VLOOKUP(B53,'26MY_ACCORD_DATA'!B:AS,16,FALSE)</f>
        <v>•</v>
      </c>
      <c r="N53" s="365" t="str">
        <f>VLOOKUP(B53,'26MY_ACCORD_DATA'!B:AS,17,FALSE)</f>
        <v>•</v>
      </c>
      <c r="O53" s="365">
        <f>VLOOKUP($B53,'26MY_ACCORD_DATA'!$B:$AS,18,FALSE)</f>
        <v>0</v>
      </c>
      <c r="P53" s="365">
        <f>VLOOKUP(B53,'26MY_ACCORD_DATA'!B:AS,19,FALSE)</f>
        <v>0</v>
      </c>
      <c r="Q53" s="368" t="str">
        <f>IF(VLOOKUP(B53,'26MY_ACCORD_DATA'!B:AS,20,FALSE)="","",VLOOKUP(B53,'26MY_ACCORD_DATA'!B:AS,20,FALSE))</f>
        <v>5% Discount Applied.</v>
      </c>
      <c r="R53" s="97"/>
      <c r="S53" s="97"/>
      <c r="T53" s="97"/>
    </row>
    <row r="54" spans="1:20" s="135" customFormat="1" ht="14.4">
      <c r="B54" s="280" t="s">
        <v>334</v>
      </c>
      <c r="C54" s="190" t="str">
        <f>VLOOKUP(B54,'26MY_ACCORD_DATA'!B:AS,3,FALSE)</f>
        <v>Engine Block Heater</v>
      </c>
      <c r="D54" s="200" t="str">
        <f t="shared" ref="D54:D55" si="11">B54</f>
        <v>08T44-30B-300A</v>
      </c>
      <c r="E54" s="351"/>
      <c r="F54" s="351"/>
      <c r="G54" s="383"/>
      <c r="H54" s="375"/>
      <c r="I54" s="366"/>
      <c r="J54" s="366"/>
      <c r="K54" s="366"/>
      <c r="L54" s="366"/>
      <c r="M54" s="366"/>
      <c r="N54" s="366"/>
      <c r="O54" s="366"/>
      <c r="P54" s="366"/>
      <c r="Q54" s="369"/>
      <c r="R54" s="97"/>
      <c r="S54" s="97"/>
      <c r="T54" s="97"/>
    </row>
    <row r="55" spans="1:20" s="135" customFormat="1" ht="14.4">
      <c r="B55" s="280" t="s">
        <v>26</v>
      </c>
      <c r="C55" s="190" t="str">
        <f>VLOOKUP(B55,'26MY_ACCORD_DATA'!B:AS,3,FALSE)</f>
        <v>Optimate 12V Auto Battery Charger/Maintainer</v>
      </c>
      <c r="D55" s="200" t="str">
        <f t="shared" si="11"/>
        <v>31670-BMS-004H</v>
      </c>
      <c r="E55" s="352"/>
      <c r="F55" s="352"/>
      <c r="G55" s="384"/>
      <c r="H55" s="376"/>
      <c r="I55" s="367"/>
      <c r="J55" s="367"/>
      <c r="K55" s="367"/>
      <c r="L55" s="367"/>
      <c r="M55" s="367"/>
      <c r="N55" s="367"/>
      <c r="O55" s="367"/>
      <c r="P55" s="367"/>
      <c r="Q55" s="370"/>
      <c r="R55" s="97"/>
      <c r="S55" s="97"/>
      <c r="T55" s="97"/>
    </row>
    <row r="56" spans="1:20" s="136" customFormat="1" ht="15" customHeight="1">
      <c r="B56" s="281"/>
      <c r="C56" s="133"/>
      <c r="D56" s="133"/>
      <c r="E56" s="133"/>
      <c r="F56" s="133"/>
      <c r="G56" s="132"/>
      <c r="H56" s="133"/>
      <c r="I56" s="133"/>
      <c r="J56" s="133"/>
      <c r="K56" s="133"/>
      <c r="L56" s="133"/>
      <c r="M56" s="133"/>
      <c r="N56" s="133"/>
      <c r="O56" s="133"/>
      <c r="P56" s="133"/>
      <c r="Q56" s="133"/>
    </row>
    <row r="57" spans="1:20" s="134" customFormat="1" ht="18">
      <c r="B57" s="280"/>
      <c r="C57" s="153" t="s">
        <v>69</v>
      </c>
      <c r="D57" s="153"/>
      <c r="E57" s="144"/>
      <c r="F57" s="144"/>
      <c r="G57" s="144"/>
      <c r="H57" s="144"/>
      <c r="I57" s="144"/>
      <c r="J57" s="144"/>
      <c r="K57" s="144"/>
      <c r="L57" s="144"/>
      <c r="M57" s="144"/>
      <c r="N57" s="144"/>
      <c r="O57" s="144"/>
      <c r="P57" s="144"/>
      <c r="Q57" s="144"/>
    </row>
    <row r="58" spans="1:20" s="135" customFormat="1" ht="15" customHeight="1">
      <c r="B58" s="280"/>
      <c r="C58" s="377" t="s">
        <v>61</v>
      </c>
      <c r="D58" s="377" t="s">
        <v>10</v>
      </c>
      <c r="E58" s="377" t="s">
        <v>17</v>
      </c>
      <c r="F58" s="377" t="s">
        <v>11</v>
      </c>
      <c r="G58" s="377" t="s">
        <v>12</v>
      </c>
      <c r="H58" s="378" t="s">
        <v>13</v>
      </c>
      <c r="I58" s="176"/>
      <c r="J58" s="377" t="s">
        <v>25</v>
      </c>
      <c r="K58" s="377"/>
      <c r="L58" s="377"/>
      <c r="M58" s="377"/>
      <c r="N58" s="377"/>
      <c r="O58" s="377"/>
      <c r="P58" s="377"/>
      <c r="Q58" s="377" t="s">
        <v>14</v>
      </c>
    </row>
    <row r="59" spans="1:20" s="135" customFormat="1" ht="29.1" customHeight="1">
      <c r="B59" s="282"/>
      <c r="C59" s="377"/>
      <c r="D59" s="377"/>
      <c r="E59" s="377"/>
      <c r="F59" s="377"/>
      <c r="G59" s="377"/>
      <c r="H59" s="378"/>
      <c r="I59" s="176">
        <f>'26MY_ACCORD_DATA'!$M$7</f>
        <v>0</v>
      </c>
      <c r="J59" s="176">
        <f>'26MY_ACCORD_DATA'!$M$7</f>
        <v>0</v>
      </c>
      <c r="K59" s="176" t="str">
        <f>'26MY_ACCORD_DATA'!$O$7</f>
        <v>SE</v>
      </c>
      <c r="L59" s="176">
        <f>'26MY_ACCORD_DATA'!$P$7</f>
        <v>0</v>
      </c>
      <c r="M59" s="176" t="str">
        <f>'26MY_ACCORD_DATA'!$Q$7</f>
        <v>Sport -L Hybrid</v>
      </c>
      <c r="N59" s="176" t="str">
        <f>'26MY_ACCORD_DATA'!$R$7</f>
        <v>Touring Hybrid</v>
      </c>
      <c r="O59" s="176">
        <f>'26MY_ACCORD_DATA'!$T$7</f>
        <v>0</v>
      </c>
      <c r="P59" s="176">
        <f>'26MY_ACCORD_DATA'!$T$7</f>
        <v>0</v>
      </c>
      <c r="Q59" s="377"/>
    </row>
    <row r="60" spans="1:20" s="136" customFormat="1" ht="15" customHeight="1">
      <c r="B60" s="281" t="s">
        <v>259</v>
      </c>
      <c r="C60" s="177" t="str">
        <f>VLOOKUP(B60,'26MY_ACCORD_DATA'!B:AS,3,FALSE)</f>
        <v xml:space="preserve">17" Steel Wheels </v>
      </c>
      <c r="D60" s="79" t="str">
        <f>B60</f>
        <v>08W17-PC4-300</v>
      </c>
      <c r="E60" s="302">
        <f>VLOOKUP(B60,'26MY_ACCORD_DATA'!B:AS,9,FALSE)</f>
        <v>376.4</v>
      </c>
      <c r="F60" s="302">
        <f>VLOOKUP(B60,'26MY_ACCORD_DATA'!B:AS,10,FALSE)</f>
        <v>627.28</v>
      </c>
      <c r="G60" s="306">
        <f>VLOOKUP(B60,'26MY_ACCORD_DATA'!B:AS,7,FALSE)</f>
        <v>1.6</v>
      </c>
      <c r="H60" s="301">
        <f>VLOOKUP(B60,'26MY_ACCORD_DATA'!B:AS,11,FALSE)</f>
        <v>916.88</v>
      </c>
      <c r="I60" s="304">
        <f>VLOOKUP(B60,'26MY_ACCORD_DATA'!B:AS,12,FALSE)</f>
        <v>0</v>
      </c>
      <c r="J60" s="304">
        <f>VLOOKUP(B60,'26MY_ACCORD_DATA'!B:AS,13,FALSE)</f>
        <v>0</v>
      </c>
      <c r="K60" s="304" t="str">
        <f>VLOOKUP(B60,'26MY_ACCORD_DATA'!B:AS,14,FALSE)</f>
        <v>T</v>
      </c>
      <c r="L60" s="304">
        <f>VLOOKUP(B60,'26MY_ACCORD_DATA'!B:AS,15,FALSE)</f>
        <v>0</v>
      </c>
      <c r="M60" s="304" t="str">
        <f>VLOOKUP(B60,'26MY_ACCORD_DATA'!B:AS,16,FALSE)</f>
        <v>T</v>
      </c>
      <c r="N60" s="304" t="str">
        <f>VLOOKUP(B60,'26MY_ACCORD_DATA'!B:AS,17,FALSE)</f>
        <v>T</v>
      </c>
      <c r="O60" s="304">
        <f>VLOOKUP(B60,'26MY_ACCORD_DATA'!B:AS,18,FALSE)</f>
        <v>0</v>
      </c>
      <c r="P60" s="304">
        <f>VLOOKUP(B60,'26MY_ACCORD_DATA'!B:AS,19,FALSE)</f>
        <v>0</v>
      </c>
      <c r="Q60" s="332" t="str">
        <f>IF(VLOOKUP(B60,'26MY_ACCORD_DATA'!B:AS,20,FALSE)="","",VLOOKUP(B60,'26MY_ACCORD_DATA'!B:AS,20,FALSE))</f>
        <v>Priced as a set of 4 wheels. Tires sold separately.</v>
      </c>
    </row>
    <row r="61" spans="1:20" s="135" customFormat="1" ht="14.4">
      <c r="B61" s="282" t="s">
        <v>261</v>
      </c>
      <c r="C61" s="177" t="str">
        <f>VLOOKUP(B61,'26MY_ACCORD_DATA'!B:AS,3,FALSE)</f>
        <v>19" HPD Alloy Wheels, Black</v>
      </c>
      <c r="D61" s="79" t="str">
        <f t="shared" ref="D61:D65" si="12">B61</f>
        <v>08W19-30A-300</v>
      </c>
      <c r="E61" s="302">
        <f>VLOOKUP(B61,'26MY_ACCORD_DATA'!B:AS,9,FALSE)</f>
        <v>2628</v>
      </c>
      <c r="F61" s="302">
        <f>VLOOKUP(B61,'26MY_ACCORD_DATA'!B:AS,10,FALSE)</f>
        <v>3756</v>
      </c>
      <c r="G61" s="306">
        <f>VLOOKUP(B61,'26MY_ACCORD_DATA'!B:AS,7,FALSE)</f>
        <v>1.6</v>
      </c>
      <c r="H61" s="301">
        <f>VLOOKUP(B61,'26MY_ACCORD_DATA'!B:AS,11,FALSE)</f>
        <v>4045.6</v>
      </c>
      <c r="I61" s="304">
        <f>VLOOKUP(B61,'26MY_ACCORD_DATA'!B:AS,12,FALSE)</f>
        <v>0</v>
      </c>
      <c r="J61" s="304">
        <f>VLOOKUP(B61,'26MY_ACCORD_DATA'!B:AS,13,FALSE)</f>
        <v>0</v>
      </c>
      <c r="K61" s="304" t="str">
        <f>VLOOKUP(B61,'26MY_ACCORD_DATA'!B:AS,14,FALSE)</f>
        <v>E</v>
      </c>
      <c r="L61" s="304">
        <f>VLOOKUP(B61,'26MY_ACCORD_DATA'!B:AS,15,FALSE)</f>
        <v>0</v>
      </c>
      <c r="M61" s="304" t="str">
        <f>VLOOKUP(B61,'26MY_ACCORD_DATA'!B:AS,16,FALSE)</f>
        <v>E</v>
      </c>
      <c r="N61" s="304" t="str">
        <f>VLOOKUP(B61,'26MY_ACCORD_DATA'!B:AS,17,FALSE)</f>
        <v>E</v>
      </c>
      <c r="O61" s="304">
        <f>VLOOKUP(B61,'26MY_ACCORD_DATA'!B:AS,18,FALSE)</f>
        <v>0</v>
      </c>
      <c r="P61" s="304">
        <f>VLOOKUP(B61,'26MY_ACCORD_DATA'!B:AS,19,FALSE)</f>
        <v>0</v>
      </c>
      <c r="Q61" s="332" t="str">
        <f>IF(VLOOKUP(B61,'26MY_ACCORD_DATA'!B:AS,20,FALSE)="","",VLOOKUP(B61,'26MY_ACCORD_DATA'!B:AS,20,FALSE))</f>
        <v>Priced as a set of 4 wheels. Tires sold separately.</v>
      </c>
    </row>
    <row r="62" spans="1:20" s="135" customFormat="1" ht="14.4">
      <c r="B62" s="282" t="s">
        <v>233</v>
      </c>
      <c r="C62" s="177" t="str">
        <f>VLOOKUP(B62,'26MY_ACCORD_DATA'!B:AS,3,FALSE)</f>
        <v>Wheel Locks - Chrome</v>
      </c>
      <c r="D62" s="79" t="str">
        <f t="shared" si="12"/>
        <v>08W42-SCV-302</v>
      </c>
      <c r="E62" s="302">
        <f>VLOOKUP(B62,'26MY_ACCORD_DATA'!B:AS,9,FALSE)</f>
        <v>54</v>
      </c>
      <c r="F62" s="302">
        <f>VLOOKUP(B62,'26MY_ACCORD_DATA'!B:AS,10,FALSE)</f>
        <v>90</v>
      </c>
      <c r="G62" s="306">
        <f>VLOOKUP(B62,'26MY_ACCORD_DATA'!B:AS,7,FALSE)</f>
        <v>0.2</v>
      </c>
      <c r="H62" s="301">
        <f>VLOOKUP(B62,'26MY_ACCORD_DATA'!B:AS,11,FALSE)</f>
        <v>126.2</v>
      </c>
      <c r="I62" s="304">
        <f>VLOOKUP(B62,'26MY_ACCORD_DATA'!B:AS,12,FALSE)</f>
        <v>0</v>
      </c>
      <c r="J62" s="304">
        <f>VLOOKUP(B62,'26MY_ACCORD_DATA'!B:AS,13,FALSE)</f>
        <v>0</v>
      </c>
      <c r="K62" s="304" t="str">
        <f>VLOOKUP(B62,'26MY_ACCORD_DATA'!B:AS,14,FALSE)</f>
        <v>•</v>
      </c>
      <c r="L62" s="304">
        <f>VLOOKUP(B62,'26MY_ACCORD_DATA'!B:AS,15,FALSE)</f>
        <v>0</v>
      </c>
      <c r="M62" s="304" t="str">
        <f>VLOOKUP(B62,'26MY_ACCORD_DATA'!B:AS,16,FALSE)</f>
        <v>•</v>
      </c>
      <c r="N62" s="304" t="str">
        <f>VLOOKUP(B62,'26MY_ACCORD_DATA'!B:AS,17,FALSE)</f>
        <v>•</v>
      </c>
      <c r="O62" s="304">
        <f>VLOOKUP(B62,'26MY_ACCORD_DATA'!B:AS,18,FALSE)</f>
        <v>0</v>
      </c>
      <c r="P62" s="304">
        <f>VLOOKUP(B62,'26MY_ACCORD_DATA'!B:AS,19,FALSE)</f>
        <v>0</v>
      </c>
      <c r="Q62" s="332" t="str">
        <f>IF(VLOOKUP(B62,'26MY_ACCORD_DATA'!B:AS,20,FALSE)="","",VLOOKUP(B62,'26MY_ACCORD_DATA'!B:AS,20,FALSE))</f>
        <v/>
      </c>
    </row>
    <row r="63" spans="1:20" s="135" customFormat="1" ht="14.4">
      <c r="B63" s="282" t="s">
        <v>251</v>
      </c>
      <c r="C63" s="177" t="str">
        <f>VLOOKUP(B63,'26MY_ACCORD_DATA'!B:AS,3,FALSE)</f>
        <v>Wheel Locks, Chrome - Exposed</v>
      </c>
      <c r="D63" s="79" t="str">
        <f t="shared" si="12"/>
        <v>08W42-SNA-301</v>
      </c>
      <c r="E63" s="302">
        <f>VLOOKUP(B63,'26MY_ACCORD_DATA'!B:AS,9,FALSE)</f>
        <v>44</v>
      </c>
      <c r="F63" s="302">
        <f>VLOOKUP(B63,'26MY_ACCORD_DATA'!B:AS,10,FALSE)</f>
        <v>73</v>
      </c>
      <c r="G63" s="306">
        <f>VLOOKUP(B63,'26MY_ACCORD_DATA'!B:AS,7,FALSE)</f>
        <v>0.2</v>
      </c>
      <c r="H63" s="301">
        <f>VLOOKUP(B63,'26MY_ACCORD_DATA'!B:AS,11,FALSE)</f>
        <v>109.2</v>
      </c>
      <c r="I63" s="304">
        <f>VLOOKUP(B63,'26MY_ACCORD_DATA'!B:AS,12,FALSE)</f>
        <v>0</v>
      </c>
      <c r="J63" s="304">
        <f>VLOOKUP(B63,'26MY_ACCORD_DATA'!B:AS,13,FALSE)</f>
        <v>0</v>
      </c>
      <c r="K63" s="304" t="str">
        <f>VLOOKUP(B63,'26MY_ACCORD_DATA'!B:AS,14,FALSE)</f>
        <v>•</v>
      </c>
      <c r="L63" s="304">
        <f>VLOOKUP(B63,'26MY_ACCORD_DATA'!B:AS,15,FALSE)</f>
        <v>0</v>
      </c>
      <c r="M63" s="304" t="str">
        <f>VLOOKUP(B63,'26MY_ACCORD_DATA'!B:AS,16,FALSE)</f>
        <v>•</v>
      </c>
      <c r="N63" s="304" t="str">
        <f>VLOOKUP(B63,'26MY_ACCORD_DATA'!B:AS,17,FALSE)</f>
        <v>•</v>
      </c>
      <c r="O63" s="304">
        <f>VLOOKUP(B63,'26MY_ACCORD_DATA'!B:AS,18,FALSE)</f>
        <v>0</v>
      </c>
      <c r="P63" s="304">
        <f>VLOOKUP(B63,'26MY_ACCORD_DATA'!B:AS,19,FALSE)</f>
        <v>0</v>
      </c>
      <c r="Q63" s="332" t="str">
        <f>IF(VLOOKUP(B63,'26MY_ACCORD_DATA'!B:AS,20,FALSE)="","",VLOOKUP(B63,'26MY_ACCORD_DATA'!B:AS,20,FALSE))</f>
        <v/>
      </c>
    </row>
    <row r="64" spans="1:20" s="136" customFormat="1" ht="15" customHeight="1">
      <c r="B64" s="281" t="s">
        <v>232</v>
      </c>
      <c r="C64" s="177" t="str">
        <f>VLOOKUP(B64,'26MY_ACCORD_DATA'!B:AS,3,FALSE)</f>
        <v>Wheel Locks - Black</v>
      </c>
      <c r="D64" s="79" t="str">
        <f t="shared" si="12"/>
        <v>08W42-S2A-101</v>
      </c>
      <c r="E64" s="302">
        <f>VLOOKUP(B64,'26MY_ACCORD_DATA'!B:AS,9,FALSE)</f>
        <v>61</v>
      </c>
      <c r="F64" s="302">
        <f>VLOOKUP(B64,'26MY_ACCORD_DATA'!B:AS,10,FALSE)</f>
        <v>102</v>
      </c>
      <c r="G64" s="306">
        <f>VLOOKUP(B64,'26MY_ACCORD_DATA'!B:AS,7,FALSE)</f>
        <v>0.2</v>
      </c>
      <c r="H64" s="301">
        <f>VLOOKUP(B64,'26MY_ACCORD_DATA'!B:AS,11,FALSE)</f>
        <v>138.19999999999999</v>
      </c>
      <c r="I64" s="304">
        <f>VLOOKUP(B64,'26MY_ACCORD_DATA'!B:AS,12,FALSE)</f>
        <v>0</v>
      </c>
      <c r="J64" s="304">
        <f>VLOOKUP(B64,'26MY_ACCORD_DATA'!B:AS,13,FALSE)</f>
        <v>0</v>
      </c>
      <c r="K64" s="304" t="str">
        <f>VLOOKUP(B64,'26MY_ACCORD_DATA'!B:AS,14,FALSE)</f>
        <v>•</v>
      </c>
      <c r="L64" s="304">
        <f>VLOOKUP(B64,'26MY_ACCORD_DATA'!B:AS,15,FALSE)</f>
        <v>0</v>
      </c>
      <c r="M64" s="304" t="str">
        <f>VLOOKUP(B64,'26MY_ACCORD_DATA'!B:AS,16,FALSE)</f>
        <v>•</v>
      </c>
      <c r="N64" s="304" t="str">
        <f>VLOOKUP(B64,'26MY_ACCORD_DATA'!B:AS,17,FALSE)</f>
        <v>•</v>
      </c>
      <c r="O64" s="304">
        <f>VLOOKUP(B64,'26MY_ACCORD_DATA'!B:AS,18,FALSE)</f>
        <v>0</v>
      </c>
      <c r="P64" s="304">
        <f>VLOOKUP(B64,'26MY_ACCORD_DATA'!B:AS,19,FALSE)</f>
        <v>0</v>
      </c>
      <c r="Q64" s="332" t="str">
        <f>IF(VLOOKUP(B64,'26MY_ACCORD_DATA'!B:AS,20,FALSE)="","",VLOOKUP(B64,'26MY_ACCORD_DATA'!B:AS,20,FALSE))</f>
        <v/>
      </c>
    </row>
    <row r="65" spans="2:17" s="136" customFormat="1" ht="14.4">
      <c r="B65" s="281" t="s">
        <v>254</v>
      </c>
      <c r="C65" s="177" t="str">
        <f>VLOOKUP(B65,'26MY_ACCORD_DATA'!B:AS,3,FALSE)</f>
        <v>Wheel Lug Nuts - Black</v>
      </c>
      <c r="D65" s="79" t="str">
        <f t="shared" si="12"/>
        <v>08W42-PL4-100</v>
      </c>
      <c r="E65" s="302">
        <f>VLOOKUP(B65,'26MY_ACCORD_DATA'!B:AS,9,FALSE)</f>
        <v>170</v>
      </c>
      <c r="F65" s="302">
        <f>VLOOKUP(B65,'26MY_ACCORD_DATA'!B:AS,10,FALSE)</f>
        <v>283</v>
      </c>
      <c r="G65" s="306">
        <f>VLOOKUP(B65,'26MY_ACCORD_DATA'!B:AS,7,FALSE)</f>
        <v>0.2</v>
      </c>
      <c r="H65" s="301">
        <f>VLOOKUP(B65,'26MY_ACCORD_DATA'!B:AS,11,FALSE)</f>
        <v>319.2</v>
      </c>
      <c r="I65" s="304">
        <f>VLOOKUP(B65,'26MY_ACCORD_DATA'!B:AS,12,FALSE)</f>
        <v>0</v>
      </c>
      <c r="J65" s="304">
        <f>VLOOKUP(B65,'26MY_ACCORD_DATA'!B:AS,13,FALSE)</f>
        <v>0</v>
      </c>
      <c r="K65" s="304" t="str">
        <f>VLOOKUP(B65,'26MY_ACCORD_DATA'!B:AS,14,FALSE)</f>
        <v>•</v>
      </c>
      <c r="L65" s="304">
        <f>VLOOKUP(B65,'26MY_ACCORD_DATA'!B:AS,15,FALSE)</f>
        <v>0</v>
      </c>
      <c r="M65" s="304" t="str">
        <f>VLOOKUP(B65,'26MY_ACCORD_DATA'!B:AS,16,FALSE)</f>
        <v>•</v>
      </c>
      <c r="N65" s="304" t="str">
        <f>VLOOKUP(B65,'26MY_ACCORD_DATA'!B:AS,17,FALSE)</f>
        <v>•</v>
      </c>
      <c r="O65" s="304">
        <f>VLOOKUP(B65,'26MY_ACCORD_DATA'!B:AS,18,FALSE)</f>
        <v>0</v>
      </c>
      <c r="P65" s="304">
        <f>VLOOKUP(B65,'26MY_ACCORD_DATA'!B:AS,19,FALSE)</f>
        <v>0</v>
      </c>
      <c r="Q65" s="332" t="str">
        <f>IF(VLOOKUP(B65,'26MY_ACCORD_DATA'!B:AS,20,FALSE)="","",VLOOKUP(B65,'26MY_ACCORD_DATA'!B:AS,20,FALSE))</f>
        <v>set of 20 lug nuts</v>
      </c>
    </row>
    <row r="66" spans="2:17" s="136" customFormat="1" ht="10.5" customHeight="1">
      <c r="B66" s="281"/>
      <c r="C66" s="20"/>
      <c r="D66" s="181"/>
      <c r="E66" s="182"/>
      <c r="F66" s="182"/>
      <c r="G66" s="183"/>
      <c r="H66" s="184"/>
      <c r="I66" s="91"/>
      <c r="J66" s="91"/>
      <c r="K66" s="97"/>
      <c r="L66" s="91"/>
      <c r="M66" s="91"/>
      <c r="N66" s="91"/>
      <c r="O66" s="91"/>
      <c r="P66" s="91"/>
      <c r="Q66" s="185"/>
    </row>
    <row r="67" spans="2:17" s="134" customFormat="1" ht="18">
      <c r="B67" s="283"/>
      <c r="C67" s="153" t="s">
        <v>68</v>
      </c>
      <c r="D67" s="153"/>
      <c r="E67" s="144"/>
      <c r="F67" s="144"/>
      <c r="G67" s="144"/>
      <c r="H67" s="144"/>
      <c r="I67" s="144"/>
      <c r="J67" s="144"/>
      <c r="K67" s="91"/>
      <c r="L67" s="144"/>
      <c r="M67" s="144"/>
      <c r="N67" s="144"/>
      <c r="O67" s="144"/>
      <c r="P67" s="144"/>
      <c r="Q67" s="144"/>
    </row>
    <row r="68" spans="2:17" s="135" customFormat="1" ht="15" customHeight="1">
      <c r="B68" s="282"/>
      <c r="C68" s="377" t="s">
        <v>61</v>
      </c>
      <c r="D68" s="377" t="s">
        <v>10</v>
      </c>
      <c r="E68" s="377" t="s">
        <v>17</v>
      </c>
      <c r="F68" s="377" t="s">
        <v>11</v>
      </c>
      <c r="G68" s="377" t="s">
        <v>12</v>
      </c>
      <c r="H68" s="378" t="s">
        <v>13</v>
      </c>
      <c r="I68" s="176"/>
      <c r="J68" s="377" t="s">
        <v>25</v>
      </c>
      <c r="K68" s="377"/>
      <c r="L68" s="377"/>
      <c r="M68" s="377"/>
      <c r="N68" s="377"/>
      <c r="O68" s="377"/>
      <c r="P68" s="377"/>
      <c r="Q68" s="377" t="s">
        <v>14</v>
      </c>
    </row>
    <row r="69" spans="2:17" s="135" customFormat="1" ht="28.8">
      <c r="B69" s="282"/>
      <c r="C69" s="377"/>
      <c r="D69" s="377"/>
      <c r="E69" s="377"/>
      <c r="F69" s="377"/>
      <c r="G69" s="377"/>
      <c r="H69" s="378"/>
      <c r="I69" s="176">
        <f>'26MY_ACCORD_DATA'!$M$7</f>
        <v>0</v>
      </c>
      <c r="J69" s="176">
        <f>'26MY_ACCORD_DATA'!$M$7</f>
        <v>0</v>
      </c>
      <c r="K69" s="176" t="str">
        <f>'26MY_ACCORD_DATA'!$O$7</f>
        <v>SE</v>
      </c>
      <c r="L69" s="176">
        <f>'26MY_ACCORD_DATA'!$P$7</f>
        <v>0</v>
      </c>
      <c r="M69" s="176" t="str">
        <f>'26MY_ACCORD_DATA'!$Q$7</f>
        <v>Sport -L Hybrid</v>
      </c>
      <c r="N69" s="176" t="str">
        <f>'26MY_ACCORD_DATA'!$R$7</f>
        <v>Touring Hybrid</v>
      </c>
      <c r="O69" s="176">
        <f>'26MY_ACCORD_DATA'!$T$7</f>
        <v>0</v>
      </c>
      <c r="P69" s="176">
        <f>'26MY_ACCORD_DATA'!$T$7</f>
        <v>0</v>
      </c>
      <c r="Q69" s="377"/>
    </row>
    <row r="70" spans="2:17" s="136" customFormat="1" ht="15" customHeight="1">
      <c r="B70" s="281" t="s">
        <v>388</v>
      </c>
      <c r="C70" s="177" t="str">
        <f>VLOOKUP(B70,'26MY_ACCORD_DATA'!B:AS,3,FALSE)</f>
        <v>Side Underbody Spoiler</v>
      </c>
      <c r="D70" s="79" t="str">
        <f>B70</f>
        <v>08F04-30A-1F0</v>
      </c>
      <c r="E70" s="302">
        <f>VLOOKUP(B70,'26MY_ACCORD_DATA'!B:AS,9,FALSE)</f>
        <v>432</v>
      </c>
      <c r="F70" s="302">
        <f>VLOOKUP(B70,'26MY_ACCORD_DATA'!B:AS,10,FALSE)</f>
        <v>720</v>
      </c>
      <c r="G70" s="306">
        <f>VLOOKUP(B70,'26MY_ACCORD_DATA'!B:AS,7,FALSE)</f>
        <v>0.6</v>
      </c>
      <c r="H70" s="301">
        <f>VLOOKUP(B70,'26MY_ACCORD_DATA'!B:AS,11,FALSE)</f>
        <v>828.6</v>
      </c>
      <c r="I70" s="304">
        <f>VLOOKUP(B70,'26MY_ACCORD_DATA'!B:AS,12,FALSE)</f>
        <v>0</v>
      </c>
      <c r="J70" s="304">
        <f>VLOOKUP(B70,'26MY_ACCORD_DATA'!B:AS,13,FALSE)</f>
        <v>0</v>
      </c>
      <c r="K70" s="304" t="str">
        <f>VLOOKUP(B70,'26MY_ACCORD_DATA'!B:AS,14,FALSE)</f>
        <v>•</v>
      </c>
      <c r="L70" s="304">
        <f>VLOOKUP(B70,'26MY_ACCORD_DATA'!B:AS,15,FALSE)</f>
        <v>0</v>
      </c>
      <c r="M70" s="304" t="str">
        <f>VLOOKUP(B70,'26MY_ACCORD_DATA'!B:AS,16,FALSE)</f>
        <v>•</v>
      </c>
      <c r="N70" s="304" t="str">
        <f>VLOOKUP(B70,'26MY_ACCORD_DATA'!B:AS,17,FALSE)</f>
        <v>•</v>
      </c>
      <c r="O70" s="304">
        <f>VLOOKUP(B70,'26MY_ACCORD_DATA'!B:AS,18,FALSE)</f>
        <v>0</v>
      </c>
      <c r="P70" s="304">
        <f>VLOOKUP(B70,'26MY_ACCORD_DATA'!B:AS,19,FALSE)</f>
        <v>0</v>
      </c>
      <c r="Q70" s="332" t="str">
        <f>IF(VLOOKUP(B70,'26MY_ACCORD_DATA'!B:AS,20,FALSE)="","",VLOOKUP(B70,'26MY_ACCORD_DATA'!B:AS,20,FALSE))</f>
        <v/>
      </c>
    </row>
    <row r="71" spans="2:17" s="136" customFormat="1" ht="15" customHeight="1">
      <c r="B71" s="282" t="s">
        <v>389</v>
      </c>
      <c r="C71" s="177" t="str">
        <f>VLOOKUP(B71,'26MY_ACCORD_DATA'!B:AS,3,FALSE)</f>
        <v>Front Aero Bumper</v>
      </c>
      <c r="D71" s="79" t="str">
        <f t="shared" ref="D71:D85" si="13">B71</f>
        <v>08P98-30A-1F0</v>
      </c>
      <c r="E71" s="302">
        <f>VLOOKUP(B71,'26MY_ACCORD_DATA'!B:AS,9,FALSE)</f>
        <v>350</v>
      </c>
      <c r="F71" s="302">
        <f>VLOOKUP(B71,'26MY_ACCORD_DATA'!B:AS,10,FALSE)</f>
        <v>583</v>
      </c>
      <c r="G71" s="306">
        <f>VLOOKUP(B71,'26MY_ACCORD_DATA'!B:AS,7,FALSE)</f>
        <v>0.6</v>
      </c>
      <c r="H71" s="301">
        <f>VLOOKUP(B71,'26MY_ACCORD_DATA'!B:AS,11,FALSE)</f>
        <v>691.6</v>
      </c>
      <c r="I71" s="304">
        <f>VLOOKUP(B71,'26MY_ACCORD_DATA'!B:AS,12,FALSE)</f>
        <v>0</v>
      </c>
      <c r="J71" s="304">
        <f>VLOOKUP(B71,'26MY_ACCORD_DATA'!B:AS,13,FALSE)</f>
        <v>0</v>
      </c>
      <c r="K71" s="304" t="str">
        <f>VLOOKUP(B71,'26MY_ACCORD_DATA'!B:AS,14,FALSE)</f>
        <v>•</v>
      </c>
      <c r="L71" s="304">
        <f>VLOOKUP(B71,'26MY_ACCORD_DATA'!B:AS,15,FALSE)</f>
        <v>0</v>
      </c>
      <c r="M71" s="304" t="str">
        <f>VLOOKUP(B71,'26MY_ACCORD_DATA'!B:AS,16,FALSE)</f>
        <v>•</v>
      </c>
      <c r="N71" s="304" t="str">
        <f>VLOOKUP(B71,'26MY_ACCORD_DATA'!B:AS,17,FALSE)</f>
        <v>•</v>
      </c>
      <c r="O71" s="304">
        <f>VLOOKUP(B71,'26MY_ACCORD_DATA'!B:AS,18,FALSE)</f>
        <v>0</v>
      </c>
      <c r="P71" s="304">
        <f>VLOOKUP(B71,'26MY_ACCORD_DATA'!B:AS,19,FALSE)</f>
        <v>0</v>
      </c>
      <c r="Q71" s="332" t="str">
        <f>IF(VLOOKUP(B71,'26MY_ACCORD_DATA'!B:AS,20,FALSE)="","",VLOOKUP(B71,'26MY_ACCORD_DATA'!B:AS,20,FALSE))</f>
        <v/>
      </c>
    </row>
    <row r="72" spans="2:17" s="136" customFormat="1" ht="15" customHeight="1">
      <c r="B72" s="282" t="s">
        <v>390</v>
      </c>
      <c r="C72" s="177" t="str">
        <f>VLOOKUP(B72,'26MY_ACCORD_DATA'!B:AS,3,FALSE)</f>
        <v>Rear Aero Bumper</v>
      </c>
      <c r="D72" s="79" t="str">
        <f t="shared" si="13"/>
        <v>08P99-30A-1F0</v>
      </c>
      <c r="E72" s="302">
        <f>VLOOKUP(B72,'26MY_ACCORD_DATA'!B:AS,9,FALSE)</f>
        <v>350</v>
      </c>
      <c r="F72" s="302">
        <f>VLOOKUP(B72,'26MY_ACCORD_DATA'!B:AS,10,FALSE)</f>
        <v>583</v>
      </c>
      <c r="G72" s="306">
        <f>VLOOKUP(B72,'26MY_ACCORD_DATA'!B:AS,7,FALSE)</f>
        <v>0.6</v>
      </c>
      <c r="H72" s="301">
        <f>VLOOKUP(B72,'26MY_ACCORD_DATA'!B:AS,11,FALSE)</f>
        <v>691.6</v>
      </c>
      <c r="I72" s="304">
        <f>VLOOKUP(B72,'26MY_ACCORD_DATA'!B:AS,12,FALSE)</f>
        <v>0</v>
      </c>
      <c r="J72" s="304">
        <f>VLOOKUP(B72,'26MY_ACCORD_DATA'!B:AS,13,FALSE)</f>
        <v>0</v>
      </c>
      <c r="K72" s="304" t="str">
        <f>VLOOKUP(B72,'26MY_ACCORD_DATA'!B:AS,14,FALSE)</f>
        <v>•</v>
      </c>
      <c r="L72" s="304">
        <f>VLOOKUP(B72,'26MY_ACCORD_DATA'!B:AS,15,FALSE)</f>
        <v>0</v>
      </c>
      <c r="M72" s="304" t="str">
        <f>VLOOKUP(B72,'26MY_ACCORD_DATA'!B:AS,16,FALSE)</f>
        <v>•</v>
      </c>
      <c r="N72" s="304" t="str">
        <f>VLOOKUP(B72,'26MY_ACCORD_DATA'!B:AS,17,FALSE)</f>
        <v>•</v>
      </c>
      <c r="O72" s="304">
        <f>VLOOKUP(B72,'26MY_ACCORD_DATA'!B:AS,18,FALSE)</f>
        <v>0</v>
      </c>
      <c r="P72" s="304">
        <f>VLOOKUP(B72,'26MY_ACCORD_DATA'!B:AS,19,FALSE)</f>
        <v>0</v>
      </c>
      <c r="Q72" s="332" t="str">
        <f>IF(VLOOKUP(B72,'26MY_ACCORD_DATA'!B:AS,20,FALSE)="","",VLOOKUP(B72,'26MY_ACCORD_DATA'!B:AS,20,FALSE))</f>
        <v/>
      </c>
    </row>
    <row r="73" spans="2:17" s="136" customFormat="1" ht="15" customHeight="1">
      <c r="B73" s="281" t="s">
        <v>399</v>
      </c>
      <c r="C73" s="177" t="str">
        <f>VLOOKUP(B73,'26MY_ACCORD_DATA'!B:AS,3,FALSE)</f>
        <v>Door Mirror Covers &amp; Lower Intake Accents</v>
      </c>
      <c r="D73" s="79" t="str">
        <f t="shared" si="13"/>
        <v>08R06-30A-110</v>
      </c>
      <c r="E73" s="302">
        <f>VLOOKUP(B73,'26MY_ACCORD_DATA'!B:AS,9,FALSE)</f>
        <v>210</v>
      </c>
      <c r="F73" s="302">
        <f>VLOOKUP(B73,'26MY_ACCORD_DATA'!B:AS,10,FALSE)</f>
        <v>350</v>
      </c>
      <c r="G73" s="306">
        <f>VLOOKUP(B73,'26MY_ACCORD_DATA'!B:AS,7,FALSE)</f>
        <v>1.1000000000000001</v>
      </c>
      <c r="H73" s="301">
        <f>VLOOKUP(B73,'26MY_ACCORD_DATA'!B:AS,11,FALSE)</f>
        <v>549.1</v>
      </c>
      <c r="I73" s="304">
        <f>VLOOKUP(B73,'26MY_ACCORD_DATA'!B:AS,12,FALSE)</f>
        <v>0</v>
      </c>
      <c r="J73" s="304">
        <f>VLOOKUP(B73,'26MY_ACCORD_DATA'!B:AS,13,FALSE)</f>
        <v>0</v>
      </c>
      <c r="K73" s="304" t="str">
        <f>VLOOKUP(B73,'26MY_ACCORD_DATA'!B:AS,14,FALSE)</f>
        <v>•</v>
      </c>
      <c r="L73" s="304">
        <f>VLOOKUP(B73,'26MY_ACCORD_DATA'!B:AS,15,FALSE)</f>
        <v>0</v>
      </c>
      <c r="M73" s="304" t="str">
        <f>VLOOKUP(B73,'26MY_ACCORD_DATA'!B:AS,16,FALSE)</f>
        <v>N/A</v>
      </c>
      <c r="N73" s="304" t="str">
        <f>VLOOKUP(B73,'26MY_ACCORD_DATA'!B:AS,17,FALSE)</f>
        <v>N/A</v>
      </c>
      <c r="O73" s="304">
        <f>VLOOKUP(B73,'26MY_ACCORD_DATA'!B:AS,18,FALSE)</f>
        <v>0</v>
      </c>
      <c r="P73" s="304">
        <f>VLOOKUP(B73,'26MY_ACCORD_DATA'!B:AS,19,FALSE)</f>
        <v>0</v>
      </c>
      <c r="Q73" s="332" t="str">
        <f>IF(VLOOKUP(B73,'26MY_ACCORD_DATA'!B:AS,20,FALSE)="","",VLOOKUP(B73,'26MY_ACCORD_DATA'!B:AS,20,FALSE))</f>
        <v/>
      </c>
    </row>
    <row r="74" spans="2:17" s="136" customFormat="1" ht="15" customHeight="1">
      <c r="B74" s="281" t="s">
        <v>400</v>
      </c>
      <c r="C74" s="177" t="str">
        <f>VLOOKUP(B74,'26MY_ACCORD_DATA'!B:AS,3,FALSE)</f>
        <v>Door Mirror Covers &amp; Lower Intake Accents</v>
      </c>
      <c r="D74" s="79" t="str">
        <f t="shared" si="13"/>
        <v>08R06-30A-110A</v>
      </c>
      <c r="E74" s="302">
        <f>VLOOKUP(B74,'26MY_ACCORD_DATA'!B:AS,9,FALSE)</f>
        <v>210</v>
      </c>
      <c r="F74" s="302">
        <f>VLOOKUP(B74,'26MY_ACCORD_DATA'!B:AS,10,FALSE)</f>
        <v>350</v>
      </c>
      <c r="G74" s="306">
        <f>VLOOKUP(B74,'26MY_ACCORD_DATA'!B:AS,7,FALSE)</f>
        <v>1.1000000000000001</v>
      </c>
      <c r="H74" s="301">
        <f>VLOOKUP(B74,'26MY_ACCORD_DATA'!B:AS,11,FALSE)</f>
        <v>549.1</v>
      </c>
      <c r="I74" s="304">
        <f>VLOOKUP(B74,'26MY_ACCORD_DATA'!B:AS,12,FALSE)</f>
        <v>0</v>
      </c>
      <c r="J74" s="304">
        <f>VLOOKUP(B74,'26MY_ACCORD_DATA'!B:AS,13,FALSE)</f>
        <v>0</v>
      </c>
      <c r="K74" s="304" t="str">
        <f>VLOOKUP(B74,'26MY_ACCORD_DATA'!B:AS,14,FALSE)</f>
        <v>N/A</v>
      </c>
      <c r="L74" s="304">
        <f>VLOOKUP(B74,'26MY_ACCORD_DATA'!B:AS,15,FALSE)</f>
        <v>0</v>
      </c>
      <c r="M74" s="304" t="str">
        <f>VLOOKUP(B74,'26MY_ACCORD_DATA'!B:AS,16,FALSE)</f>
        <v>N/A</v>
      </c>
      <c r="N74" s="304" t="str">
        <f>VLOOKUP(B74,'26MY_ACCORD_DATA'!B:AS,17,FALSE)</f>
        <v>•</v>
      </c>
      <c r="O74" s="304">
        <f>VLOOKUP(B74,'26MY_ACCORD_DATA'!B:AS,18,FALSE)</f>
        <v>0</v>
      </c>
      <c r="P74" s="304">
        <f>VLOOKUP(B74,'26MY_ACCORD_DATA'!B:AS,19,FALSE)</f>
        <v>0</v>
      </c>
      <c r="Q74" s="332" t="str">
        <f>IF(VLOOKUP(B74,'26MY_ACCORD_DATA'!B:AS,20,FALSE)="","",VLOOKUP(B74,'26MY_ACCORD_DATA'!B:AS,20,FALSE))</f>
        <v/>
      </c>
    </row>
    <row r="75" spans="2:17" s="136" customFormat="1" ht="15" customHeight="1">
      <c r="B75" s="281" t="s">
        <v>514</v>
      </c>
      <c r="C75" s="177" t="str">
        <f>VLOOKUP(B75,'26MY_ACCORD_DATA'!B:AS,3,FALSE)</f>
        <v>Black Emblem Rear "H" mark</v>
      </c>
      <c r="D75" s="79" t="str">
        <f t="shared" si="13"/>
        <v>08F20-30A-100C</v>
      </c>
      <c r="E75" s="302">
        <f>VLOOKUP(B75,'26MY_ACCORD_DATA'!B:AS,9,FALSE)</f>
        <v>37</v>
      </c>
      <c r="F75" s="302">
        <f>VLOOKUP(B75,'26MY_ACCORD_DATA'!B:AS,10,FALSE)</f>
        <v>62</v>
      </c>
      <c r="G75" s="306">
        <f>VLOOKUP(B75,'26MY_ACCORD_DATA'!B:AS,7,FALSE)</f>
        <v>0.2</v>
      </c>
      <c r="H75" s="301">
        <f>VLOOKUP(B75,'26MY_ACCORD_DATA'!B:AS,11,FALSE)</f>
        <v>98.2</v>
      </c>
      <c r="I75" s="304">
        <f>VLOOKUP(B75,'26MY_ACCORD_DATA'!B:AS,12,FALSE)</f>
        <v>0</v>
      </c>
      <c r="J75" s="304">
        <f>VLOOKUP(B75,'26MY_ACCORD_DATA'!B:AS,13,FALSE)</f>
        <v>0</v>
      </c>
      <c r="K75" s="304" t="str">
        <f>VLOOKUP(B75,'26MY_ACCORD_DATA'!B:AS,14,FALSE)</f>
        <v>•</v>
      </c>
      <c r="L75" s="304">
        <f>VLOOKUP(B75,'26MY_ACCORD_DATA'!B:AS,15,FALSE)</f>
        <v>0</v>
      </c>
      <c r="M75" s="304" t="str">
        <f>VLOOKUP(B75,'26MY_ACCORD_DATA'!B:AS,16,FALSE)</f>
        <v>•</v>
      </c>
      <c r="N75" s="304" t="str">
        <f>VLOOKUP(B75,'26MY_ACCORD_DATA'!B:AS,17,FALSE)</f>
        <v>•</v>
      </c>
      <c r="O75" s="304">
        <f>VLOOKUP(B75,'26MY_ACCORD_DATA'!B:AS,18,FALSE)</f>
        <v>0</v>
      </c>
      <c r="P75" s="304">
        <f>VLOOKUP(B75,'26MY_ACCORD_DATA'!B:AS,19,FALSE)</f>
        <v>0</v>
      </c>
      <c r="Q75" s="332" t="str">
        <f>IF(VLOOKUP(B75,'26MY_ACCORD_DATA'!B:AS,20,FALSE)="","",VLOOKUP(B75,'26MY_ACCORD_DATA'!B:AS,20,FALSE))</f>
        <v>Rear H-Mark Logo.</v>
      </c>
    </row>
    <row r="76" spans="2:17" s="136" customFormat="1" ht="15" customHeight="1">
      <c r="B76" s="281" t="s">
        <v>503</v>
      </c>
      <c r="C76" s="177" t="str">
        <f>VLOOKUP(B76,'26MY_ACCORD_DATA'!B:AS,3,FALSE)</f>
        <v>Black Emblem, Accord</v>
      </c>
      <c r="D76" s="79" t="str">
        <f t="shared" si="13"/>
        <v>08F20-30A-100D</v>
      </c>
      <c r="E76" s="302">
        <f>VLOOKUP(B76,'26MY_ACCORD_DATA'!B:AS,9,FALSE)</f>
        <v>37</v>
      </c>
      <c r="F76" s="302">
        <f>VLOOKUP(B76,'26MY_ACCORD_DATA'!B:AS,10,FALSE)</f>
        <v>62</v>
      </c>
      <c r="G76" s="306">
        <f>VLOOKUP(B76,'26MY_ACCORD_DATA'!B:AS,7,FALSE)</f>
        <v>0.3</v>
      </c>
      <c r="H76" s="301">
        <f>VLOOKUP(B76,'26MY_ACCORD_DATA'!B:AS,11,FALSE)</f>
        <v>116.3</v>
      </c>
      <c r="I76" s="304">
        <f>VLOOKUP(B76,'26MY_ACCORD_DATA'!B:AS,12,FALSE)</f>
        <v>0</v>
      </c>
      <c r="J76" s="304">
        <f>VLOOKUP(B76,'26MY_ACCORD_DATA'!B:AS,13,FALSE)</f>
        <v>0</v>
      </c>
      <c r="K76" s="304" t="str">
        <f>VLOOKUP(B76,'26MY_ACCORD_DATA'!B:AS,14,FALSE)</f>
        <v>•</v>
      </c>
      <c r="L76" s="304">
        <f>VLOOKUP(B76,'26MY_ACCORD_DATA'!B:AS,15,FALSE)</f>
        <v>0</v>
      </c>
      <c r="M76" s="304" t="str">
        <f>VLOOKUP(B76,'26MY_ACCORD_DATA'!B:AS,16,FALSE)</f>
        <v>N/A</v>
      </c>
      <c r="N76" s="304" t="str">
        <f>VLOOKUP(B76,'26MY_ACCORD_DATA'!B:AS,17,FALSE)</f>
        <v>•</v>
      </c>
      <c r="O76" s="304">
        <f>VLOOKUP(B76,'26MY_ACCORD_DATA'!B:AS,18,FALSE)</f>
        <v>0</v>
      </c>
      <c r="P76" s="304">
        <f>VLOOKUP(B76,'26MY_ACCORD_DATA'!B:AS,19,FALSE)</f>
        <v>0</v>
      </c>
      <c r="Q76" s="332" t="str">
        <f>IF(VLOOKUP(B76,'26MY_ACCORD_DATA'!B:AS,20,FALSE)="","",VLOOKUP(B76,'26MY_ACCORD_DATA'!B:AS,20,FALSE))</f>
        <v/>
      </c>
    </row>
    <row r="77" spans="2:17" s="136" customFormat="1" ht="15" customHeight="1">
      <c r="B77" s="281" t="s">
        <v>375</v>
      </c>
      <c r="C77" s="177" t="str">
        <f>VLOOKUP(B77,'26MY_ACCORD_DATA'!B:AS,3,FALSE)</f>
        <v>Black Emblem, Touring</v>
      </c>
      <c r="D77" s="79" t="str">
        <f t="shared" ref="D77:D78" si="14">B77</f>
        <v>08F20-3A0-100C</v>
      </c>
      <c r="E77" s="302">
        <f>VLOOKUP(B77,'26MY_ACCORD_DATA'!B:AS,9,FALSE)</f>
        <v>44</v>
      </c>
      <c r="F77" s="302">
        <f>VLOOKUP(B77,'26MY_ACCORD_DATA'!B:AS,10,FALSE)</f>
        <v>73</v>
      </c>
      <c r="G77" s="306">
        <f>VLOOKUP(B77,'26MY_ACCORD_DATA'!B:AS,7,FALSE)</f>
        <v>0.2</v>
      </c>
      <c r="H77" s="301">
        <f>VLOOKUP(B77,'26MY_ACCORD_DATA'!B:AS,11,FALSE)</f>
        <v>109.2</v>
      </c>
      <c r="I77" s="304">
        <f>VLOOKUP(B77,'26MY_ACCORD_DATA'!B:AS,12,FALSE)</f>
        <v>0</v>
      </c>
      <c r="J77" s="304">
        <f>VLOOKUP(B77,'26MY_ACCORD_DATA'!B:AS,13,FALSE)</f>
        <v>0</v>
      </c>
      <c r="K77" s="304" t="str">
        <f>VLOOKUP(B77,'26MY_ACCORD_DATA'!B:AS,14,FALSE)</f>
        <v>N/A</v>
      </c>
      <c r="L77" s="304">
        <f>VLOOKUP(B77,'26MY_ACCORD_DATA'!B:AS,15,FALSE)</f>
        <v>0</v>
      </c>
      <c r="M77" s="304" t="str">
        <f>VLOOKUP(B77,'26MY_ACCORD_DATA'!B:AS,16,FALSE)</f>
        <v>N/A</v>
      </c>
      <c r="N77" s="304" t="str">
        <f>VLOOKUP(B77,'26MY_ACCORD_DATA'!B:AS,17,FALSE)</f>
        <v>•</v>
      </c>
      <c r="O77" s="304">
        <f>VLOOKUP(B77,'26MY_ACCORD_DATA'!B:AS,18,FALSE)</f>
        <v>0</v>
      </c>
      <c r="P77" s="304">
        <f>VLOOKUP(B77,'26MY_ACCORD_DATA'!B:AS,19,FALSE)</f>
        <v>0</v>
      </c>
      <c r="Q77" s="332" t="str">
        <f>IF(VLOOKUP(B77,'26MY_ACCORD_DATA'!B:AS,20,FALSE)="","",VLOOKUP(B77,'26MY_ACCORD_DATA'!B:AS,20,FALSE))</f>
        <v/>
      </c>
    </row>
    <row r="78" spans="2:17" s="136" customFormat="1" ht="15" customHeight="1">
      <c r="B78" s="281" t="s">
        <v>507</v>
      </c>
      <c r="C78" s="177" t="str">
        <f>VLOOKUP(B78,'26MY_ACCORD_DATA'!B:AS,3,FALSE)</f>
        <v>Black Emblem, Hybrid</v>
      </c>
      <c r="D78" s="79" t="str">
        <f t="shared" si="14"/>
        <v>08F20-T20-100B</v>
      </c>
      <c r="E78" s="302">
        <f>VLOOKUP(B78,'26MY_ACCORD_DATA'!B:AS,9,FALSE)</f>
        <v>46</v>
      </c>
      <c r="F78" s="302">
        <f>VLOOKUP(B78,'26MY_ACCORD_DATA'!B:AS,10,FALSE)</f>
        <v>77</v>
      </c>
      <c r="G78" s="306">
        <f>VLOOKUP(B78,'26MY_ACCORD_DATA'!B:AS,7,FALSE)</f>
        <v>0.2</v>
      </c>
      <c r="H78" s="301">
        <f>VLOOKUP(B78,'26MY_ACCORD_DATA'!B:AS,11,FALSE)</f>
        <v>113.2</v>
      </c>
      <c r="I78" s="304">
        <f>VLOOKUP(B78,'26MY_ACCORD_DATA'!B:AS,12,FALSE)</f>
        <v>0</v>
      </c>
      <c r="J78" s="304">
        <f>VLOOKUP(B78,'26MY_ACCORD_DATA'!B:AS,13,FALSE)</f>
        <v>0</v>
      </c>
      <c r="K78" s="304" t="str">
        <f>VLOOKUP(B78,'26MY_ACCORD_DATA'!B:AS,14,FALSE)</f>
        <v>N/A</v>
      </c>
      <c r="L78" s="304">
        <f>VLOOKUP(B78,'26MY_ACCORD_DATA'!B:AS,15,FALSE)</f>
        <v>0</v>
      </c>
      <c r="M78" s="304" t="str">
        <f>VLOOKUP(B78,'26MY_ACCORD_DATA'!B:AS,16,FALSE)</f>
        <v>N/A</v>
      </c>
      <c r="N78" s="304" t="str">
        <f>VLOOKUP(B78,'26MY_ACCORD_DATA'!B:AS,17,FALSE)</f>
        <v>•</v>
      </c>
      <c r="O78" s="304">
        <f>VLOOKUP(B78,'26MY_ACCORD_DATA'!B:AS,18,FALSE)</f>
        <v>0</v>
      </c>
      <c r="P78" s="304">
        <f>VLOOKUP(B78,'26MY_ACCORD_DATA'!B:AS,19,FALSE)</f>
        <v>0</v>
      </c>
      <c r="Q78" s="332" t="str">
        <f>IF(VLOOKUP(B78,'26MY_ACCORD_DATA'!B:AS,20,FALSE)="","",VLOOKUP(B78,'26MY_ACCORD_DATA'!B:AS,20,FALSE))</f>
        <v/>
      </c>
    </row>
    <row r="79" spans="2:17" s="136" customFormat="1" ht="15" customHeight="1">
      <c r="B79" s="281" t="s">
        <v>387</v>
      </c>
      <c r="C79" s="177" t="str">
        <f>VLOOKUP(B79,'26MY_ACCORD_DATA'!B:AS,3,FALSE)</f>
        <v>Fender Emblem</v>
      </c>
      <c r="D79" s="79" t="str">
        <f t="shared" si="13"/>
        <v>08F59-30A-100</v>
      </c>
      <c r="E79" s="302">
        <f>VLOOKUP(B79,'26MY_ACCORD_DATA'!B:AS,9,FALSE)</f>
        <v>94</v>
      </c>
      <c r="F79" s="302">
        <f>VLOOKUP(B79,'26MY_ACCORD_DATA'!B:AS,10,FALSE)</f>
        <v>157</v>
      </c>
      <c r="G79" s="306">
        <f>VLOOKUP(B79,'26MY_ACCORD_DATA'!B:AS,7,FALSE)</f>
        <v>0.2</v>
      </c>
      <c r="H79" s="301">
        <f>VLOOKUP(B79,'26MY_ACCORD_DATA'!B:AS,11,FALSE)</f>
        <v>193.2</v>
      </c>
      <c r="I79" s="304">
        <f>VLOOKUP(B79,'26MY_ACCORD_DATA'!B:AS,12,FALSE)</f>
        <v>0</v>
      </c>
      <c r="J79" s="304">
        <f>VLOOKUP(B79,'26MY_ACCORD_DATA'!B:AS,13,FALSE)</f>
        <v>0</v>
      </c>
      <c r="K79" s="304" t="str">
        <f>VLOOKUP(B79,'26MY_ACCORD_DATA'!B:AS,14,FALSE)</f>
        <v>•</v>
      </c>
      <c r="L79" s="304">
        <f>VLOOKUP(B79,'26MY_ACCORD_DATA'!B:AS,15,FALSE)</f>
        <v>0</v>
      </c>
      <c r="M79" s="304" t="str">
        <f>VLOOKUP(B79,'26MY_ACCORD_DATA'!B:AS,16,FALSE)</f>
        <v>•</v>
      </c>
      <c r="N79" s="304" t="str">
        <f>VLOOKUP(B79,'26MY_ACCORD_DATA'!B:AS,17,FALSE)</f>
        <v>•</v>
      </c>
      <c r="O79" s="304">
        <f>VLOOKUP(B79,'26MY_ACCORD_DATA'!B:AS,18,FALSE)</f>
        <v>0</v>
      </c>
      <c r="P79" s="304">
        <f>VLOOKUP(B79,'26MY_ACCORD_DATA'!B:AS,19,FALSE)</f>
        <v>0</v>
      </c>
      <c r="Q79" s="332" t="str">
        <f>IF(VLOOKUP(B79,'26MY_ACCORD_DATA'!B:AS,20,FALSE)="","",VLOOKUP(B79,'26MY_ACCORD_DATA'!B:AS,20,FALSE))</f>
        <v/>
      </c>
    </row>
    <row r="80" spans="2:17" s="136" customFormat="1" ht="15" customHeight="1">
      <c r="B80" s="281" t="s">
        <v>384</v>
      </c>
      <c r="C80" s="177" t="str">
        <f>VLOOKUP(B80,'26MY_ACCORD_DATA'!B:AS,3,FALSE)</f>
        <v>HPD Badge</v>
      </c>
      <c r="D80" s="79" t="str">
        <f t="shared" si="13"/>
        <v>08F20-30A-100B</v>
      </c>
      <c r="E80" s="302">
        <f>VLOOKUP(B80,'26MY_ACCORD_DATA'!B:AS,9,FALSE)</f>
        <v>71</v>
      </c>
      <c r="F80" s="302">
        <f>VLOOKUP(B80,'26MY_ACCORD_DATA'!B:AS,10,FALSE)</f>
        <v>118</v>
      </c>
      <c r="G80" s="306">
        <f>VLOOKUP(B80,'26MY_ACCORD_DATA'!B:AS,7,FALSE)</f>
        <v>0.1</v>
      </c>
      <c r="H80" s="301">
        <f>VLOOKUP(B80,'26MY_ACCORD_DATA'!B:AS,11,FALSE)</f>
        <v>136.1</v>
      </c>
      <c r="I80" s="304">
        <f>VLOOKUP(B80,'26MY_ACCORD_DATA'!B:AS,12,FALSE)</f>
        <v>0</v>
      </c>
      <c r="J80" s="304">
        <f>VLOOKUP(B80,'26MY_ACCORD_DATA'!B:AS,13,FALSE)</f>
        <v>0</v>
      </c>
      <c r="K80" s="304" t="str">
        <f>VLOOKUP(B80,'26MY_ACCORD_DATA'!B:AS,14,FALSE)</f>
        <v>•</v>
      </c>
      <c r="L80" s="304">
        <f>VLOOKUP(B80,'26MY_ACCORD_DATA'!B:AS,15,FALSE)</f>
        <v>0</v>
      </c>
      <c r="M80" s="304" t="str">
        <f>VLOOKUP(B80,'26MY_ACCORD_DATA'!B:AS,16,FALSE)</f>
        <v>•</v>
      </c>
      <c r="N80" s="304" t="str">
        <f>VLOOKUP(B80,'26MY_ACCORD_DATA'!B:AS,17,FALSE)</f>
        <v>•</v>
      </c>
      <c r="O80" s="304">
        <f>VLOOKUP(B80,'26MY_ACCORD_DATA'!B:AS,18,FALSE)</f>
        <v>0</v>
      </c>
      <c r="P80" s="304">
        <f>VLOOKUP(B80,'26MY_ACCORD_DATA'!B:AS,19,FALSE)</f>
        <v>0</v>
      </c>
      <c r="Q80" s="332" t="str">
        <f>IF(VLOOKUP(B80,'26MY_ACCORD_DATA'!B:AS,20,FALSE)="","",VLOOKUP(B80,'26MY_ACCORD_DATA'!B:AS,20,FALSE))</f>
        <v/>
      </c>
    </row>
    <row r="81" spans="2:17" s="136" customFormat="1" ht="15" customHeight="1">
      <c r="B81" s="281" t="s">
        <v>360</v>
      </c>
      <c r="C81" s="177" t="str">
        <f>VLOOKUP(B81,'26MY_ACCORD_DATA'!B:AS,3,FALSE)</f>
        <v>Rear Splash Guards</v>
      </c>
      <c r="D81" s="79" t="str">
        <f t="shared" si="13"/>
        <v>08P09-30A-300</v>
      </c>
      <c r="E81" s="302">
        <f>VLOOKUP(B81,'26MY_ACCORD_DATA'!B:AS,9,FALSE)</f>
        <v>50</v>
      </c>
      <c r="F81" s="302">
        <f>VLOOKUP(B81,'26MY_ACCORD_DATA'!B:AS,10,FALSE)</f>
        <v>83</v>
      </c>
      <c r="G81" s="306">
        <f>VLOOKUP(B81,'26MY_ACCORD_DATA'!B:AS,7,FALSE)</f>
        <v>0.4</v>
      </c>
      <c r="H81" s="301">
        <f>VLOOKUP(B81,'26MY_ACCORD_DATA'!B:AS,11,FALSE)</f>
        <v>155.4</v>
      </c>
      <c r="I81" s="304">
        <f>VLOOKUP(B81,'26MY_ACCORD_DATA'!B:AS,12,FALSE)</f>
        <v>0</v>
      </c>
      <c r="J81" s="304">
        <f>VLOOKUP(B81,'26MY_ACCORD_DATA'!B:AS,13,FALSE)</f>
        <v>0</v>
      </c>
      <c r="K81" s="304" t="str">
        <f>VLOOKUP(B81,'26MY_ACCORD_DATA'!B:AS,14,FALSE)</f>
        <v>•</v>
      </c>
      <c r="L81" s="304">
        <f>VLOOKUP(B81,'26MY_ACCORD_DATA'!B:AS,15,FALSE)</f>
        <v>0</v>
      </c>
      <c r="M81" s="304" t="str">
        <f>VLOOKUP(B81,'26MY_ACCORD_DATA'!B:AS,16,FALSE)</f>
        <v>•</v>
      </c>
      <c r="N81" s="304" t="str">
        <f>VLOOKUP(B81,'26MY_ACCORD_DATA'!B:AS,17,FALSE)</f>
        <v>•</v>
      </c>
      <c r="O81" s="304">
        <f>VLOOKUP(B81,'26MY_ACCORD_DATA'!B:AS,18,FALSE)</f>
        <v>0</v>
      </c>
      <c r="P81" s="304">
        <f>VLOOKUP(B81,'26MY_ACCORD_DATA'!B:AS,19,FALSE)</f>
        <v>0</v>
      </c>
      <c r="Q81" s="332" t="str">
        <f>IF(VLOOKUP(B81,'26MY_ACCORD_DATA'!B:AS,20,FALSE)="","",VLOOKUP(B81,'26MY_ACCORD_DATA'!B:AS,20,FALSE))</f>
        <v/>
      </c>
    </row>
    <row r="82" spans="2:17" s="136" customFormat="1" ht="15" customHeight="1">
      <c r="B82" s="281" t="s">
        <v>363</v>
      </c>
      <c r="C82" s="177" t="str">
        <f>VLOOKUP(B82,'26MY_ACCORD_DATA'!B:AS,3,FALSE)</f>
        <v>Door Visors</v>
      </c>
      <c r="D82" s="79" t="str">
        <f t="shared" si="13"/>
        <v>08R04-TVA-101</v>
      </c>
      <c r="E82" s="302">
        <f>VLOOKUP(B82,'26MY_ACCORD_DATA'!B:AS,9,FALSE)</f>
        <v>200</v>
      </c>
      <c r="F82" s="302">
        <f>VLOOKUP(B82,'26MY_ACCORD_DATA'!B:AS,10,FALSE)</f>
        <v>333</v>
      </c>
      <c r="G82" s="306">
        <f>VLOOKUP(B82,'26MY_ACCORD_DATA'!B:AS,7,FALSE)</f>
        <v>0.5</v>
      </c>
      <c r="H82" s="301">
        <f>VLOOKUP(B82,'26MY_ACCORD_DATA'!B:AS,11,FALSE)</f>
        <v>423.5</v>
      </c>
      <c r="I82" s="304">
        <f>VLOOKUP(B82,'26MY_ACCORD_DATA'!B:AS,12,FALSE)</f>
        <v>0</v>
      </c>
      <c r="J82" s="304">
        <f>VLOOKUP(B82,'26MY_ACCORD_DATA'!B:AS,13,FALSE)</f>
        <v>0</v>
      </c>
      <c r="K82" s="304" t="str">
        <f>VLOOKUP(B82,'26MY_ACCORD_DATA'!B:AS,14,FALSE)</f>
        <v>•</v>
      </c>
      <c r="L82" s="304">
        <f>VLOOKUP(B82,'26MY_ACCORD_DATA'!B:AS,15,FALSE)</f>
        <v>0</v>
      </c>
      <c r="M82" s="304" t="str">
        <f>VLOOKUP(B82,'26MY_ACCORD_DATA'!B:AS,16,FALSE)</f>
        <v>•</v>
      </c>
      <c r="N82" s="304" t="str">
        <f>VLOOKUP(B82,'26MY_ACCORD_DATA'!B:AS,17,FALSE)</f>
        <v>•</v>
      </c>
      <c r="O82" s="304">
        <f>VLOOKUP(B82,'26MY_ACCORD_DATA'!B:AS,18,FALSE)</f>
        <v>0</v>
      </c>
      <c r="P82" s="304">
        <f>VLOOKUP(B82,'26MY_ACCORD_DATA'!B:AS,19,FALSE)</f>
        <v>0</v>
      </c>
      <c r="Q82" s="332" t="str">
        <f>IF(VLOOKUP(B82,'26MY_ACCORD_DATA'!B:AS,20,FALSE)="","",VLOOKUP(B82,'26MY_ACCORD_DATA'!B:AS,20,FALSE))</f>
        <v/>
      </c>
    </row>
    <row r="83" spans="2:17" s="136" customFormat="1" ht="15" customHeight="1">
      <c r="B83" s="281" t="s">
        <v>362</v>
      </c>
      <c r="C83" s="177" t="str">
        <f>VLOOKUP(B83,'26MY_ACCORD_DATA'!B:AS,3,FALSE)</f>
        <v>Moonroof Visor</v>
      </c>
      <c r="D83" s="79" t="str">
        <f t="shared" si="13"/>
        <v>08R01-30A-300</v>
      </c>
      <c r="E83" s="302">
        <f>VLOOKUP(B83,'26MY_ACCORD_DATA'!B:AS,9,FALSE)</f>
        <v>200</v>
      </c>
      <c r="F83" s="302">
        <f>VLOOKUP(B83,'26MY_ACCORD_DATA'!B:AS,10,FALSE)</f>
        <v>333</v>
      </c>
      <c r="G83" s="306">
        <f>VLOOKUP(B83,'26MY_ACCORD_DATA'!B:AS,7,FALSE)</f>
        <v>0.3</v>
      </c>
      <c r="H83" s="301">
        <f>VLOOKUP(B83,'26MY_ACCORD_DATA'!B:AS,11,FALSE)</f>
        <v>387.3</v>
      </c>
      <c r="I83" s="304">
        <f>VLOOKUP(B83,'26MY_ACCORD_DATA'!B:AS,12,FALSE)</f>
        <v>0</v>
      </c>
      <c r="J83" s="304">
        <f>VLOOKUP(B83,'26MY_ACCORD_DATA'!B:AS,13,FALSE)</f>
        <v>0</v>
      </c>
      <c r="K83" s="304" t="str">
        <f>VLOOKUP(B83,'26MY_ACCORD_DATA'!B:AS,14,FALSE)</f>
        <v>•</v>
      </c>
      <c r="L83" s="304">
        <f>VLOOKUP(B83,'26MY_ACCORD_DATA'!B:AS,15,FALSE)</f>
        <v>0</v>
      </c>
      <c r="M83" s="304" t="str">
        <f>VLOOKUP(B83,'26MY_ACCORD_DATA'!B:AS,16,FALSE)</f>
        <v>•</v>
      </c>
      <c r="N83" s="304" t="str">
        <f>VLOOKUP(B83,'26MY_ACCORD_DATA'!B:AS,17,FALSE)</f>
        <v>•</v>
      </c>
      <c r="O83" s="304">
        <f>VLOOKUP(B83,'26MY_ACCORD_DATA'!B:AS,18,FALSE)</f>
        <v>0</v>
      </c>
      <c r="P83" s="304">
        <f>VLOOKUP(B83,'26MY_ACCORD_DATA'!B:AS,19,FALSE)</f>
        <v>0</v>
      </c>
      <c r="Q83" s="332" t="str">
        <f>IF(VLOOKUP(B83,'26MY_ACCORD_DATA'!B:AS,20,FALSE)="","",VLOOKUP(B83,'26MY_ACCORD_DATA'!B:AS,20,FALSE))</f>
        <v/>
      </c>
    </row>
    <row r="84" spans="2:17" s="136" customFormat="1" ht="15.6" customHeight="1">
      <c r="B84" s="281" t="s">
        <v>369</v>
      </c>
      <c r="C84" s="177" t="str">
        <f>VLOOKUP(B84,'26MY_ACCORD_DATA'!B:AS,3,FALSE)</f>
        <v>Film Set - Door Handle &amp; Rear Bumper Film</v>
      </c>
      <c r="D84" s="79" t="str">
        <f t="shared" si="13"/>
        <v>08P48-30A-100</v>
      </c>
      <c r="E84" s="302">
        <f>VLOOKUP(B84,'26MY_ACCORD_DATA'!B:AS,9,FALSE)</f>
        <v>131</v>
      </c>
      <c r="F84" s="302">
        <f>VLOOKUP(B84,'26MY_ACCORD_DATA'!B:AS,10,FALSE)</f>
        <v>218</v>
      </c>
      <c r="G84" s="306">
        <f>VLOOKUP(B84,'26MY_ACCORD_DATA'!B:AS,7,FALSE)</f>
        <v>0.7</v>
      </c>
      <c r="H84" s="301">
        <f>VLOOKUP(B84,'26MY_ACCORD_DATA'!B:AS,11,FALSE)</f>
        <v>344.7</v>
      </c>
      <c r="I84" s="304">
        <f>VLOOKUP(B84,'26MY_ACCORD_DATA'!B:AS,12,FALSE)</f>
        <v>0</v>
      </c>
      <c r="J84" s="304">
        <f>VLOOKUP(B84,'26MY_ACCORD_DATA'!B:AS,13,FALSE)</f>
        <v>0</v>
      </c>
      <c r="K84" s="304" t="str">
        <f>VLOOKUP(B84,'26MY_ACCORD_DATA'!B:AS,14,FALSE)</f>
        <v>•</v>
      </c>
      <c r="L84" s="304">
        <f>VLOOKUP(B84,'26MY_ACCORD_DATA'!B:AS,15,FALSE)</f>
        <v>0</v>
      </c>
      <c r="M84" s="304" t="str">
        <f>VLOOKUP(B84,'26MY_ACCORD_DATA'!B:AS,16,FALSE)</f>
        <v>•</v>
      </c>
      <c r="N84" s="304" t="str">
        <f>VLOOKUP(B84,'26MY_ACCORD_DATA'!B:AS,17,FALSE)</f>
        <v>•</v>
      </c>
      <c r="O84" s="304">
        <f>VLOOKUP(B84,'26MY_ACCORD_DATA'!B:AS,18,FALSE)</f>
        <v>0</v>
      </c>
      <c r="P84" s="304">
        <f>VLOOKUP(B84,'26MY_ACCORD_DATA'!B:AS,19,FALSE)</f>
        <v>0</v>
      </c>
      <c r="Q84" s="332" t="str">
        <f>IF(VLOOKUP(B84,'26MY_ACCORD_DATA'!B:AS,20,FALSE)="","",VLOOKUP(B84,'26MY_ACCORD_DATA'!B:AS,20,FALSE))</f>
        <v/>
      </c>
    </row>
    <row r="85" spans="2:17" s="136" customFormat="1" ht="15" customHeight="1">
      <c r="B85" s="281" t="s">
        <v>368</v>
      </c>
      <c r="C85" s="177" t="str">
        <f>VLOOKUP(B85,'26MY_ACCORD_DATA'!B:AS,3,FALSE)</f>
        <v>Door Edge Film</v>
      </c>
      <c r="D85" s="79" t="str">
        <f t="shared" si="13"/>
        <v>08P20-30A-100A</v>
      </c>
      <c r="E85" s="302">
        <f>VLOOKUP(B85,'26MY_ACCORD_DATA'!B:AS,9,FALSE)</f>
        <v>71</v>
      </c>
      <c r="F85" s="302">
        <f>VLOOKUP(B85,'26MY_ACCORD_DATA'!B:AS,10,FALSE)</f>
        <v>118</v>
      </c>
      <c r="G85" s="306">
        <f>VLOOKUP(B85,'26MY_ACCORD_DATA'!B:AS,7,FALSE)</f>
        <v>0.5</v>
      </c>
      <c r="H85" s="301">
        <f>VLOOKUP(B85,'26MY_ACCORD_DATA'!B:AS,11,FALSE)</f>
        <v>208.5</v>
      </c>
      <c r="I85" s="304">
        <f>VLOOKUP(B85,'26MY_ACCORD_DATA'!B:AS,12,FALSE)</f>
        <v>0</v>
      </c>
      <c r="J85" s="304">
        <f>VLOOKUP(B85,'26MY_ACCORD_DATA'!B:AS,13,FALSE)</f>
        <v>0</v>
      </c>
      <c r="K85" s="304" t="str">
        <f>VLOOKUP(B85,'26MY_ACCORD_DATA'!B:AS,14,FALSE)</f>
        <v>•</v>
      </c>
      <c r="L85" s="304">
        <f>VLOOKUP(B85,'26MY_ACCORD_DATA'!B:AS,15,FALSE)</f>
        <v>0</v>
      </c>
      <c r="M85" s="304" t="str">
        <f>VLOOKUP(B85,'26MY_ACCORD_DATA'!B:AS,16,FALSE)</f>
        <v>•</v>
      </c>
      <c r="N85" s="304" t="str">
        <f>VLOOKUP(B85,'26MY_ACCORD_DATA'!B:AS,17,FALSE)</f>
        <v>•</v>
      </c>
      <c r="O85" s="304">
        <f>VLOOKUP(B85,'26MY_ACCORD_DATA'!B:AS,18,FALSE)</f>
        <v>0</v>
      </c>
      <c r="P85" s="304">
        <f>VLOOKUP(B85,'26MY_ACCORD_DATA'!B:AS,19,FALSE)</f>
        <v>0</v>
      </c>
      <c r="Q85" s="332" t="str">
        <f>IF(VLOOKUP(B85,'26MY_ACCORD_DATA'!B:AS,20,FALSE)="","",VLOOKUP(B85,'26MY_ACCORD_DATA'!B:AS,20,FALSE))</f>
        <v>Cannot be installed with Door Edge Guards</v>
      </c>
    </row>
    <row r="86" spans="2:17" s="136" customFormat="1" ht="15" customHeight="1">
      <c r="B86" s="281" t="s">
        <v>272</v>
      </c>
      <c r="C86" s="197" t="str">
        <f>VLOOKUP(B86,'26MY_ACCORD_DATA'!B:AS,3,FALSE)</f>
        <v>Decklid Spoiler</v>
      </c>
      <c r="D86" s="187"/>
      <c r="E86" s="187"/>
      <c r="F86" s="187"/>
      <c r="G86" s="187"/>
      <c r="H86" s="187"/>
      <c r="I86" s="187"/>
      <c r="J86" s="187"/>
      <c r="K86" s="187"/>
      <c r="L86" s="187"/>
      <c r="M86" s="187"/>
      <c r="N86" s="187"/>
      <c r="O86" s="187"/>
      <c r="P86" s="187"/>
      <c r="Q86" s="178"/>
    </row>
    <row r="87" spans="2:17" s="136" customFormat="1" ht="15" customHeight="1">
      <c r="B87" s="281" t="s">
        <v>271</v>
      </c>
      <c r="C87" s="196" t="str">
        <f>VLOOKUP(B87,'26MY_ACCORD_DATA'!B:AS,3,FALSE)</f>
        <v>Platinum White Pearl (NH-883P)</v>
      </c>
      <c r="D87" s="79" t="str">
        <f t="shared" ref="D87" si="15">B87</f>
        <v>08F10-30A-110</v>
      </c>
      <c r="E87" s="302">
        <f>VLOOKUP(B87,'26MY_ACCORD_DATA'!B:AS,9,FALSE)</f>
        <v>386</v>
      </c>
      <c r="F87" s="302">
        <f>VLOOKUP(B87,'26MY_ACCORD_DATA'!B:AS,10,FALSE)</f>
        <v>643</v>
      </c>
      <c r="G87" s="306">
        <f>VLOOKUP(B87,'26MY_ACCORD_DATA'!B:AS,7,FALSE)</f>
        <v>0.6</v>
      </c>
      <c r="H87" s="301">
        <f>VLOOKUP(B87,'26MY_ACCORD_DATA'!B:AS,11,FALSE)</f>
        <v>751.6</v>
      </c>
      <c r="I87" s="304">
        <f>VLOOKUP(B87,'26MY_ACCORD_DATA'!B:AS,12,FALSE)</f>
        <v>0</v>
      </c>
      <c r="J87" s="304">
        <f>VLOOKUP(B87,'26MY_ACCORD_DATA'!B:AS,13,FALSE)</f>
        <v>0</v>
      </c>
      <c r="K87" s="304" t="str">
        <f>VLOOKUP(B87,'26MY_ACCORD_DATA'!B:AS,14,FALSE)</f>
        <v>•</v>
      </c>
      <c r="L87" s="304">
        <f>VLOOKUP(B87,'26MY_ACCORD_DATA'!B:AS,15,FALSE)</f>
        <v>0</v>
      </c>
      <c r="M87" s="304" t="str">
        <f>VLOOKUP(B87,'26MY_ACCORD_DATA'!B:AS,16,FALSE)</f>
        <v>S</v>
      </c>
      <c r="N87" s="304" t="str">
        <f>VLOOKUP(B87,'26MY_ACCORD_DATA'!B:AS,17,FALSE)</f>
        <v>•</v>
      </c>
      <c r="O87" s="304">
        <f>VLOOKUP(B87,'26MY_ACCORD_DATA'!B:AS,18,FALSE)</f>
        <v>0</v>
      </c>
      <c r="P87" s="304">
        <f>VLOOKUP(B87,'26MY_ACCORD_DATA'!B:AS,19,FALSE)</f>
        <v>0</v>
      </c>
      <c r="Q87" s="379" t="str">
        <f>IF(VLOOKUP(B87,'26MY_ACCORD_DATA'!B:AS,20,FALSE)="","",VLOOKUP(B87,'26MY_ACCORD_DATA'!B:AS,20,FALSE))</f>
        <v/>
      </c>
    </row>
    <row r="88" spans="2:17" s="136" customFormat="1" ht="15" customHeight="1">
      <c r="B88" s="281" t="s">
        <v>279</v>
      </c>
      <c r="C88" s="196" t="str">
        <f>VLOOKUP(B88,'26MY_ACCORD_DATA'!B:AS,3,FALSE)</f>
        <v>Meteoroid Gray Pearl (NH-904M)</v>
      </c>
      <c r="D88" s="79" t="str">
        <f t="shared" ref="D88:D94" si="16">B88</f>
        <v>08F10-30A-140</v>
      </c>
      <c r="E88" s="302">
        <f>VLOOKUP(B88,'26MY_ACCORD_DATA'!B:AS,9,FALSE)</f>
        <v>386</v>
      </c>
      <c r="F88" s="302">
        <f>VLOOKUP(B88,'26MY_ACCORD_DATA'!B:AS,10,FALSE)</f>
        <v>643</v>
      </c>
      <c r="G88" s="306">
        <f>VLOOKUP(B88,'26MY_ACCORD_DATA'!B:AS,7,FALSE)</f>
        <v>0.6</v>
      </c>
      <c r="H88" s="301">
        <f>VLOOKUP(B88,'26MY_ACCORD_DATA'!B:AS,11,FALSE)</f>
        <v>751.6</v>
      </c>
      <c r="I88" s="304">
        <f>VLOOKUP(B88,'26MY_ACCORD_DATA'!B:AS,12,FALSE)</f>
        <v>0</v>
      </c>
      <c r="J88" s="304">
        <f>VLOOKUP(B88,'26MY_ACCORD_DATA'!B:AS,13,FALSE)</f>
        <v>0</v>
      </c>
      <c r="K88" s="304" t="str">
        <f>VLOOKUP(B88,'26MY_ACCORD_DATA'!B:AS,14,FALSE)</f>
        <v>N/A</v>
      </c>
      <c r="L88" s="304">
        <f>VLOOKUP(B88,'26MY_ACCORD_DATA'!B:AS,15,FALSE)</f>
        <v>0</v>
      </c>
      <c r="M88" s="304" t="str">
        <f>VLOOKUP(B88,'26MY_ACCORD_DATA'!B:AS,16,FALSE)</f>
        <v>S</v>
      </c>
      <c r="N88" s="304" t="str">
        <f>VLOOKUP(B88,'26MY_ACCORD_DATA'!B:AS,17,FALSE)</f>
        <v>N/A</v>
      </c>
      <c r="O88" s="304">
        <f>VLOOKUP(B88,'26MY_ACCORD_DATA'!B:AS,18,FALSE)</f>
        <v>0</v>
      </c>
      <c r="P88" s="304">
        <f>VLOOKUP(B88,'26MY_ACCORD_DATA'!B:AS,19,FALSE)</f>
        <v>0</v>
      </c>
      <c r="Q88" s="380"/>
    </row>
    <row r="89" spans="2:17" s="136" customFormat="1" ht="15" customHeight="1">
      <c r="B89" s="281" t="s">
        <v>281</v>
      </c>
      <c r="C89" s="196" t="str">
        <f>VLOOKUP(B89,'26MY_ACCORD_DATA'!B:AS,3,FALSE)</f>
        <v>Urban Grey Pearl (NH-912P)</v>
      </c>
      <c r="D89" s="79" t="str">
        <f t="shared" si="16"/>
        <v>08F10-30A-150</v>
      </c>
      <c r="E89" s="302">
        <f>VLOOKUP(B89,'26MY_ACCORD_DATA'!B:AS,9,FALSE)</f>
        <v>386</v>
      </c>
      <c r="F89" s="302">
        <f>VLOOKUP(B89,'26MY_ACCORD_DATA'!B:AS,10,FALSE)</f>
        <v>643</v>
      </c>
      <c r="G89" s="306">
        <f>VLOOKUP(B89,'26MY_ACCORD_DATA'!B:AS,7,FALSE)</f>
        <v>0.6</v>
      </c>
      <c r="H89" s="301">
        <f>VLOOKUP(B89,'26MY_ACCORD_DATA'!B:AS,11,FALSE)</f>
        <v>751.6</v>
      </c>
      <c r="I89" s="304">
        <f>VLOOKUP(B89,'26MY_ACCORD_DATA'!B:AS,12,FALSE)</f>
        <v>0</v>
      </c>
      <c r="J89" s="304">
        <f>VLOOKUP(B89,'26MY_ACCORD_DATA'!B:AS,13,FALSE)</f>
        <v>0</v>
      </c>
      <c r="K89" s="304" t="str">
        <f>VLOOKUP(B89,'26MY_ACCORD_DATA'!B:AS,14,FALSE)</f>
        <v>N/A</v>
      </c>
      <c r="L89" s="304">
        <f>VLOOKUP(B89,'26MY_ACCORD_DATA'!B:AS,15,FALSE)</f>
        <v>0</v>
      </c>
      <c r="M89" s="304" t="str">
        <f>VLOOKUP(B89,'26MY_ACCORD_DATA'!B:AS,16,FALSE)</f>
        <v>S</v>
      </c>
      <c r="N89" s="304" t="str">
        <f>VLOOKUP(B89,'26MY_ACCORD_DATA'!B:AS,17,FALSE)</f>
        <v>•</v>
      </c>
      <c r="O89" s="304">
        <f>VLOOKUP(B89,'26MY_ACCORD_DATA'!B:AS,18,FALSE)</f>
        <v>0</v>
      </c>
      <c r="P89" s="304">
        <f>VLOOKUP(B89,'26MY_ACCORD_DATA'!B:AS,19,FALSE)</f>
        <v>0</v>
      </c>
      <c r="Q89" s="380"/>
    </row>
    <row r="90" spans="2:17" s="136" customFormat="1" ht="15" customHeight="1">
      <c r="B90" s="281" t="s">
        <v>282</v>
      </c>
      <c r="C90" s="196" t="str">
        <f>VLOOKUP(B90,'26MY_ACCORD_DATA'!B:AS,3,FALSE)</f>
        <v>Crystal Black Pearl (NH-731P)</v>
      </c>
      <c r="D90" s="79" t="str">
        <f t="shared" ref="D90:D92" si="17">B90</f>
        <v>08F10-30A-170</v>
      </c>
      <c r="E90" s="302">
        <f>VLOOKUP(B90,'26MY_ACCORD_DATA'!B:AS,9,FALSE)</f>
        <v>386</v>
      </c>
      <c r="F90" s="302">
        <f>VLOOKUP(B90,'26MY_ACCORD_DATA'!B:AS,10,FALSE)</f>
        <v>643</v>
      </c>
      <c r="G90" s="306">
        <f>VLOOKUP(B90,'26MY_ACCORD_DATA'!B:AS,7,FALSE)</f>
        <v>0.6</v>
      </c>
      <c r="H90" s="301">
        <f>VLOOKUP(B90,'26MY_ACCORD_DATA'!B:AS,11,FALSE)</f>
        <v>751.6</v>
      </c>
      <c r="I90" s="304">
        <f>VLOOKUP(B90,'26MY_ACCORD_DATA'!B:AS,12,FALSE)</f>
        <v>0</v>
      </c>
      <c r="J90" s="304">
        <f>VLOOKUP(B90,'26MY_ACCORD_DATA'!B:AS,13,FALSE)</f>
        <v>0</v>
      </c>
      <c r="K90" s="304" t="str">
        <f>VLOOKUP(B90,'26MY_ACCORD_DATA'!B:AS,14,FALSE)</f>
        <v>•</v>
      </c>
      <c r="L90" s="304">
        <f>VLOOKUP(B90,'26MY_ACCORD_DATA'!B:AS,15,FALSE)</f>
        <v>0</v>
      </c>
      <c r="M90" s="304" t="str">
        <f>VLOOKUP(B90,'26MY_ACCORD_DATA'!B:AS,16,FALSE)</f>
        <v>S</v>
      </c>
      <c r="N90" s="304" t="str">
        <f>VLOOKUP(B90,'26MY_ACCORD_DATA'!B:AS,17,FALSE)</f>
        <v>•</v>
      </c>
      <c r="O90" s="304">
        <f>VLOOKUP(B90,'26MY_ACCORD_DATA'!B:AS,18,FALSE)</f>
        <v>0</v>
      </c>
      <c r="P90" s="304">
        <f>VLOOKUP(B90,'26MY_ACCORD_DATA'!B:AS,19,FALSE)</f>
        <v>0</v>
      </c>
      <c r="Q90" s="380"/>
    </row>
    <row r="91" spans="2:17" s="136" customFormat="1" ht="15" customHeight="1">
      <c r="B91" s="281" t="s">
        <v>283</v>
      </c>
      <c r="C91" s="196" t="str">
        <f>VLOOKUP(B91,'26MY_ACCORD_DATA'!B:AS,3,FALSE)</f>
        <v>Radiant Red Metallic (R-569M)</v>
      </c>
      <c r="D91" s="79" t="str">
        <f t="shared" si="17"/>
        <v>08F10-30A-1A0</v>
      </c>
      <c r="E91" s="302">
        <f>VLOOKUP(B91,'26MY_ACCORD_DATA'!B:AS,9,FALSE)</f>
        <v>386</v>
      </c>
      <c r="F91" s="302">
        <f>VLOOKUP(B91,'26MY_ACCORD_DATA'!B:AS,10,FALSE)</f>
        <v>643</v>
      </c>
      <c r="G91" s="306">
        <f>VLOOKUP(B91,'26MY_ACCORD_DATA'!B:AS,7,FALSE)</f>
        <v>0.6</v>
      </c>
      <c r="H91" s="301">
        <f>VLOOKUP(B91,'26MY_ACCORD_DATA'!B:AS,11,FALSE)</f>
        <v>751.6</v>
      </c>
      <c r="I91" s="304">
        <f>VLOOKUP(B91,'26MY_ACCORD_DATA'!B:AS,12,FALSE)</f>
        <v>0</v>
      </c>
      <c r="J91" s="304">
        <f>VLOOKUP(B91,'26MY_ACCORD_DATA'!B:AS,13,FALSE)</f>
        <v>0</v>
      </c>
      <c r="K91" s="304" t="str">
        <f>VLOOKUP(B91,'26MY_ACCORD_DATA'!B:AS,14,FALSE)</f>
        <v>N/A</v>
      </c>
      <c r="L91" s="304">
        <f>VLOOKUP(B91,'26MY_ACCORD_DATA'!B:AS,15,FALSE)</f>
        <v>0</v>
      </c>
      <c r="M91" s="304" t="str">
        <f>VLOOKUP(B91,'26MY_ACCORD_DATA'!B:AS,16,FALSE)</f>
        <v>S</v>
      </c>
      <c r="N91" s="304" t="str">
        <f>VLOOKUP(B91,'26MY_ACCORD_DATA'!B:AS,17,FALSE)</f>
        <v>•</v>
      </c>
      <c r="O91" s="304">
        <f>VLOOKUP(B91,'26MY_ACCORD_DATA'!B:AS,18,FALSE)</f>
        <v>0</v>
      </c>
      <c r="P91" s="304">
        <f>VLOOKUP(B91,'26MY_ACCORD_DATA'!B:AS,19,FALSE)</f>
        <v>0</v>
      </c>
      <c r="Q91" s="380"/>
    </row>
    <row r="92" spans="2:17" s="136" customFormat="1" ht="15" customHeight="1">
      <c r="B92" s="281" t="s">
        <v>280</v>
      </c>
      <c r="C92" s="196" t="str">
        <f>VLOOKUP(B92,'26MY_ACCORD_DATA'!B:AS,3,FALSE)</f>
        <v>Canyon River Blue Metallic (B-640M)</v>
      </c>
      <c r="D92" s="79" t="str">
        <f t="shared" si="17"/>
        <v>08F10-30A-1D0</v>
      </c>
      <c r="E92" s="302">
        <f>VLOOKUP(B92,'26MY_ACCORD_DATA'!B:AS,9,FALSE)</f>
        <v>386</v>
      </c>
      <c r="F92" s="302">
        <f>VLOOKUP(B92,'26MY_ACCORD_DATA'!B:AS,10,FALSE)</f>
        <v>643</v>
      </c>
      <c r="G92" s="306">
        <f>VLOOKUP(B92,'26MY_ACCORD_DATA'!B:AS,7,FALSE)</f>
        <v>0.6</v>
      </c>
      <c r="H92" s="301">
        <f>VLOOKUP(B92,'26MY_ACCORD_DATA'!B:AS,11,FALSE)</f>
        <v>751.6</v>
      </c>
      <c r="I92" s="304">
        <f>VLOOKUP(B92,'26MY_ACCORD_DATA'!B:AS,12,FALSE)</f>
        <v>0</v>
      </c>
      <c r="J92" s="304">
        <f>VLOOKUP(B92,'26MY_ACCORD_DATA'!B:AS,13,FALSE)</f>
        <v>0</v>
      </c>
      <c r="K92" s="304" t="str">
        <f>VLOOKUP(B92,'26MY_ACCORD_DATA'!B:AS,14,FALSE)</f>
        <v>N/A</v>
      </c>
      <c r="L92" s="304">
        <f>VLOOKUP(B92,'26MY_ACCORD_DATA'!B:AS,15,FALSE)</f>
        <v>0</v>
      </c>
      <c r="M92" s="304" t="str">
        <f>VLOOKUP(B92,'26MY_ACCORD_DATA'!B:AS,16,FALSE)</f>
        <v>S</v>
      </c>
      <c r="N92" s="304" t="str">
        <f>VLOOKUP(B92,'26MY_ACCORD_DATA'!B:AS,17,FALSE)</f>
        <v>•</v>
      </c>
      <c r="O92" s="304">
        <f>VLOOKUP(B92,'26MY_ACCORD_DATA'!B:AS,18,FALSE)</f>
        <v>0</v>
      </c>
      <c r="P92" s="304">
        <f>VLOOKUP(B92,'26MY_ACCORD_DATA'!B:AS,19,FALSE)</f>
        <v>0</v>
      </c>
      <c r="Q92" s="380"/>
    </row>
    <row r="93" spans="2:17" s="136" customFormat="1" ht="15" customHeight="1">
      <c r="B93" s="279" t="s">
        <v>284</v>
      </c>
      <c r="C93" s="196" t="str">
        <f>VLOOKUP(B93,'26MY_ACCORD_DATA'!B:AS,3,FALSE)</f>
        <v>Still Night Pearl (B-575P)</v>
      </c>
      <c r="D93" s="79" t="str">
        <f t="shared" si="16"/>
        <v>08F10-30A-1C0</v>
      </c>
      <c r="E93" s="302">
        <f>VLOOKUP(B93,'26MY_ACCORD_DATA'!B:AS,9,FALSE)</f>
        <v>386</v>
      </c>
      <c r="F93" s="302">
        <f>VLOOKUP(B93,'26MY_ACCORD_DATA'!B:AS,10,FALSE)</f>
        <v>643</v>
      </c>
      <c r="G93" s="306">
        <f>VLOOKUP(B93,'26MY_ACCORD_DATA'!B:AS,7,FALSE)</f>
        <v>0.6</v>
      </c>
      <c r="H93" s="301">
        <f>VLOOKUP(B93,'26MY_ACCORD_DATA'!B:AS,11,FALSE)</f>
        <v>751.6</v>
      </c>
      <c r="I93" s="304">
        <f>VLOOKUP(B93,'26MY_ACCORD_DATA'!B:AS,12,FALSE)</f>
        <v>0</v>
      </c>
      <c r="J93" s="304">
        <f>VLOOKUP(B93,'26MY_ACCORD_DATA'!B:AS,13,FALSE)</f>
        <v>0</v>
      </c>
      <c r="K93" s="304" t="str">
        <f>VLOOKUP(B93,'26MY_ACCORD_DATA'!B:AS,14,FALSE)</f>
        <v>N/A</v>
      </c>
      <c r="L93" s="304">
        <f>VLOOKUP(B93,'26MY_ACCORD_DATA'!B:AS,15,FALSE)</f>
        <v>0</v>
      </c>
      <c r="M93" s="304" t="str">
        <f>VLOOKUP(B93,'26MY_ACCORD_DATA'!B:AS,16,FALSE)</f>
        <v>S</v>
      </c>
      <c r="N93" s="304" t="str">
        <f>VLOOKUP(B93,'26MY_ACCORD_DATA'!B:AS,17,FALSE)</f>
        <v>N/A</v>
      </c>
      <c r="O93" s="304">
        <f>VLOOKUP(B93,'26MY_ACCORD_DATA'!B:AS,18,FALSE)</f>
        <v>0</v>
      </c>
      <c r="P93" s="304">
        <f>VLOOKUP(B93,'26MY_ACCORD_DATA'!B:AS,19,FALSE)</f>
        <v>0</v>
      </c>
      <c r="Q93" s="380"/>
    </row>
    <row r="94" spans="2:17" ht="14.4">
      <c r="B94" s="279" t="s">
        <v>458</v>
      </c>
      <c r="C94" s="196" t="str">
        <f>VLOOKUP(B94,'26MY_ACCORD_DATA'!B:AS,3,FALSE)</f>
        <v>Solar Reflection Silver (NH-932M)</v>
      </c>
      <c r="D94" s="79" t="str">
        <f t="shared" si="16"/>
        <v>08F10-30A-1H0</v>
      </c>
      <c r="E94" s="302">
        <f>VLOOKUP(B94,'26MY_ACCORD_DATA'!B:AS,9,FALSE)</f>
        <v>386</v>
      </c>
      <c r="F94" s="302">
        <f>VLOOKUP(B94,'26MY_ACCORD_DATA'!B:AS,10,FALSE)</f>
        <v>643</v>
      </c>
      <c r="G94" s="306">
        <f>VLOOKUP(B94,'26MY_ACCORD_DATA'!B:AS,7,FALSE)</f>
        <v>0.6</v>
      </c>
      <c r="H94" s="301">
        <f>VLOOKUP(B94,'26MY_ACCORD_DATA'!B:AS,11,FALSE)</f>
        <v>751.6</v>
      </c>
      <c r="I94" s="304">
        <f>VLOOKUP(B94,'26MY_ACCORD_DATA'!B:AS,12,FALSE)</f>
        <v>0</v>
      </c>
      <c r="J94" s="304">
        <f>VLOOKUP(B94,'26MY_ACCORD_DATA'!B:AS,13,FALSE)</f>
        <v>0</v>
      </c>
      <c r="K94" s="304" t="str">
        <f>VLOOKUP(B94,'26MY_ACCORD_DATA'!B:AS,14,FALSE)</f>
        <v>•</v>
      </c>
      <c r="L94" s="304">
        <f>VLOOKUP(B94,'26MY_ACCORD_DATA'!B:AS,15,FALSE)</f>
        <v>0</v>
      </c>
      <c r="M94" s="304" t="str">
        <f>VLOOKUP(B94,'26MY_ACCORD_DATA'!B:AS,16,FALSE)</f>
        <v>S</v>
      </c>
      <c r="N94" s="304" t="str">
        <f>VLOOKUP(B94,'26MY_ACCORD_DATA'!B:AS,17,FALSE)</f>
        <v>•</v>
      </c>
      <c r="O94" s="304">
        <f>VLOOKUP(B94,'26MY_ACCORD_DATA'!B:AS,18,FALSE)</f>
        <v>0</v>
      </c>
      <c r="P94" s="304">
        <f>VLOOKUP(B94,'26MY_ACCORD_DATA'!B:AS,19,FALSE)</f>
        <v>0</v>
      </c>
      <c r="Q94" s="381"/>
    </row>
    <row r="95" spans="2:17" s="136" customFormat="1" ht="15" customHeight="1">
      <c r="B95" s="281" t="s">
        <v>454</v>
      </c>
      <c r="C95" s="197" t="str">
        <f>VLOOKUP(B95,'26MY_ACCORD_DATA'!B:AS,3,FALSE)</f>
        <v>Body Side Moulding</v>
      </c>
      <c r="D95" s="187"/>
      <c r="E95" s="187"/>
      <c r="F95" s="187"/>
      <c r="G95" s="187"/>
      <c r="H95" s="187"/>
      <c r="I95" s="187"/>
      <c r="J95" s="187"/>
      <c r="K95" s="187"/>
      <c r="L95" s="187"/>
      <c r="M95" s="187"/>
      <c r="N95" s="187"/>
      <c r="O95" s="187"/>
      <c r="P95" s="187"/>
      <c r="Q95" s="178"/>
    </row>
    <row r="96" spans="2:17" s="136" customFormat="1" ht="15" customHeight="1">
      <c r="B96" s="281" t="s">
        <v>286</v>
      </c>
      <c r="C96" s="196" t="str">
        <f>VLOOKUP(B96,'26MY_ACCORD_DATA'!B:AS,3,FALSE)</f>
        <v>Platinum White Pearl (NH-883P)</v>
      </c>
      <c r="D96" s="79" t="str">
        <f t="shared" ref="D96" si="18">B96</f>
        <v>08P05-30A-110</v>
      </c>
      <c r="E96" s="302">
        <f>VLOOKUP(B96,'26MY_ACCORD_DATA'!B:AS,9,FALSE)</f>
        <v>232</v>
      </c>
      <c r="F96" s="302">
        <f>VLOOKUP(B96,'26MY_ACCORD_DATA'!B:AS,10,FALSE)</f>
        <v>387</v>
      </c>
      <c r="G96" s="306">
        <f>VLOOKUP(B96,'26MY_ACCORD_DATA'!B:AS,7,FALSE)</f>
        <v>0.4</v>
      </c>
      <c r="H96" s="301">
        <f>VLOOKUP(B96,'26MY_ACCORD_DATA'!B:AS,11,FALSE)</f>
        <v>459.4</v>
      </c>
      <c r="I96" s="304">
        <f>VLOOKUP(B96,'26MY_ACCORD_DATA'!B:AS,12,FALSE)</f>
        <v>0</v>
      </c>
      <c r="J96" s="304">
        <f>VLOOKUP(B96,'26MY_ACCORD_DATA'!B:AS,13,FALSE)</f>
        <v>0</v>
      </c>
      <c r="K96" s="304" t="str">
        <f>VLOOKUP(B96,'26MY_ACCORD_DATA'!B:AS,14,FALSE)</f>
        <v>•</v>
      </c>
      <c r="L96" s="304">
        <f>VLOOKUP(B96,'26MY_ACCORD_DATA'!B:AS,15,FALSE)</f>
        <v>0</v>
      </c>
      <c r="M96" s="304" t="str">
        <f>VLOOKUP(B96,'26MY_ACCORD_DATA'!B:AS,16,FALSE)</f>
        <v>•</v>
      </c>
      <c r="N96" s="304" t="str">
        <f>VLOOKUP(B96,'26MY_ACCORD_DATA'!B:AS,17,FALSE)</f>
        <v>•</v>
      </c>
      <c r="O96" s="304">
        <f>VLOOKUP(B96,'26MY_ACCORD_DATA'!B:AS,18,FALSE)</f>
        <v>0</v>
      </c>
      <c r="P96" s="304">
        <f>VLOOKUP(B96,'26MY_ACCORD_DATA'!B:AS,19,FALSE)</f>
        <v>0</v>
      </c>
      <c r="Q96" s="379" t="str">
        <f>IF(VLOOKUP(B96,'26MY_ACCORD_DATA'!B:AS,20,FALSE)="","",VLOOKUP(B96,'26MY_ACCORD_DATA'!B:AS,20,FALSE))</f>
        <v/>
      </c>
    </row>
    <row r="97" spans="2:17" s="136" customFormat="1" ht="15" customHeight="1">
      <c r="B97" s="281" t="s">
        <v>273</v>
      </c>
      <c r="C97" s="196" t="str">
        <f>VLOOKUP(B97,'26MY_ACCORD_DATA'!B:AS,3,FALSE)</f>
        <v>Meteoroid Gray Pearl (NH-904M)</v>
      </c>
      <c r="D97" s="79" t="str">
        <f t="shared" ref="D97:D103" si="19">B97</f>
        <v>08P05-30A-140</v>
      </c>
      <c r="E97" s="302">
        <f>VLOOKUP(B97,'26MY_ACCORD_DATA'!B:AS,9,FALSE)</f>
        <v>232</v>
      </c>
      <c r="F97" s="302">
        <f>VLOOKUP(B97,'26MY_ACCORD_DATA'!B:AS,10,FALSE)</f>
        <v>387</v>
      </c>
      <c r="G97" s="306">
        <f>VLOOKUP(B97,'26MY_ACCORD_DATA'!B:AS,7,FALSE)</f>
        <v>0.4</v>
      </c>
      <c r="H97" s="301">
        <f>VLOOKUP(B97,'26MY_ACCORD_DATA'!B:AS,11,FALSE)</f>
        <v>459.4</v>
      </c>
      <c r="I97" s="304">
        <f>VLOOKUP(B97,'26MY_ACCORD_DATA'!B:AS,12,FALSE)</f>
        <v>0</v>
      </c>
      <c r="J97" s="304">
        <f>VLOOKUP(B97,'26MY_ACCORD_DATA'!B:AS,13,FALSE)</f>
        <v>0</v>
      </c>
      <c r="K97" s="304" t="str">
        <f>VLOOKUP(B97,'26MY_ACCORD_DATA'!B:AS,14,FALSE)</f>
        <v>N/A</v>
      </c>
      <c r="L97" s="304">
        <f>VLOOKUP(B97,'26MY_ACCORD_DATA'!B:AS,15,FALSE)</f>
        <v>0</v>
      </c>
      <c r="M97" s="304" t="str">
        <f>VLOOKUP(B97,'26MY_ACCORD_DATA'!B:AS,16,FALSE)</f>
        <v>•</v>
      </c>
      <c r="N97" s="304" t="str">
        <f>VLOOKUP(B97,'26MY_ACCORD_DATA'!B:AS,17,FALSE)</f>
        <v>N/A</v>
      </c>
      <c r="O97" s="304">
        <f>VLOOKUP(B97,'26MY_ACCORD_DATA'!B:AS,18,FALSE)</f>
        <v>0</v>
      </c>
      <c r="P97" s="304">
        <f>VLOOKUP(B97,'26MY_ACCORD_DATA'!B:AS,19,FALSE)</f>
        <v>0</v>
      </c>
      <c r="Q97" s="380"/>
    </row>
    <row r="98" spans="2:17" s="136" customFormat="1" ht="15" customHeight="1">
      <c r="B98" s="281" t="s">
        <v>274</v>
      </c>
      <c r="C98" s="196" t="str">
        <f>VLOOKUP(B98,'26MY_ACCORD_DATA'!B:AS,3,FALSE)</f>
        <v>Urban Grey Pearl (NH-912P)</v>
      </c>
      <c r="D98" s="79" t="str">
        <f t="shared" si="19"/>
        <v>08P05-30A-150</v>
      </c>
      <c r="E98" s="302">
        <f>VLOOKUP(B98,'26MY_ACCORD_DATA'!B:AS,9,FALSE)</f>
        <v>232</v>
      </c>
      <c r="F98" s="302">
        <f>VLOOKUP(B98,'26MY_ACCORD_DATA'!B:AS,10,FALSE)</f>
        <v>387</v>
      </c>
      <c r="G98" s="306">
        <f>VLOOKUP(B98,'26MY_ACCORD_DATA'!B:AS,7,FALSE)</f>
        <v>0.4</v>
      </c>
      <c r="H98" s="301">
        <f>VLOOKUP(B98,'26MY_ACCORD_DATA'!B:AS,11,FALSE)</f>
        <v>459.4</v>
      </c>
      <c r="I98" s="304">
        <f>VLOOKUP(B98,'26MY_ACCORD_DATA'!B:AS,12,FALSE)</f>
        <v>0</v>
      </c>
      <c r="J98" s="304">
        <f>VLOOKUP(B98,'26MY_ACCORD_DATA'!B:AS,13,FALSE)</f>
        <v>0</v>
      </c>
      <c r="K98" s="304" t="str">
        <f>VLOOKUP(B98,'26MY_ACCORD_DATA'!B:AS,14,FALSE)</f>
        <v>N/A</v>
      </c>
      <c r="L98" s="304">
        <f>VLOOKUP(B98,'26MY_ACCORD_DATA'!B:AS,15,FALSE)</f>
        <v>0</v>
      </c>
      <c r="M98" s="304" t="str">
        <f>VLOOKUP(B98,'26MY_ACCORD_DATA'!B:AS,16,FALSE)</f>
        <v>N/A</v>
      </c>
      <c r="N98" s="304" t="str">
        <f>VLOOKUP(B98,'26MY_ACCORD_DATA'!B:AS,17,FALSE)</f>
        <v>•</v>
      </c>
      <c r="O98" s="304">
        <f>VLOOKUP(B98,'26MY_ACCORD_DATA'!B:AS,18,FALSE)</f>
        <v>0</v>
      </c>
      <c r="P98" s="304">
        <f>VLOOKUP(B98,'26MY_ACCORD_DATA'!B:AS,19,FALSE)</f>
        <v>0</v>
      </c>
      <c r="Q98" s="380"/>
    </row>
    <row r="99" spans="2:17" s="136" customFormat="1" ht="15" customHeight="1">
      <c r="B99" s="281" t="s">
        <v>275</v>
      </c>
      <c r="C99" s="196" t="str">
        <f>VLOOKUP(B99,'26MY_ACCORD_DATA'!B:AS,3,FALSE)</f>
        <v>Crystal Black Pearl (NH-731P)</v>
      </c>
      <c r="D99" s="79" t="str">
        <f t="shared" ref="D99:D100" si="20">B99</f>
        <v>08P05-30A-170</v>
      </c>
      <c r="E99" s="302">
        <f>VLOOKUP(B99,'26MY_ACCORD_DATA'!B:AS,9,FALSE)</f>
        <v>232</v>
      </c>
      <c r="F99" s="302">
        <f>VLOOKUP(B99,'26MY_ACCORD_DATA'!B:AS,10,FALSE)</f>
        <v>387</v>
      </c>
      <c r="G99" s="306">
        <f>VLOOKUP(B99,'26MY_ACCORD_DATA'!B:AS,7,FALSE)</f>
        <v>0.4</v>
      </c>
      <c r="H99" s="301">
        <f>VLOOKUP(B99,'26MY_ACCORD_DATA'!B:AS,11,FALSE)</f>
        <v>459.4</v>
      </c>
      <c r="I99" s="304">
        <f>VLOOKUP(B99,'26MY_ACCORD_DATA'!B:AS,12,FALSE)</f>
        <v>0</v>
      </c>
      <c r="J99" s="304">
        <f>VLOOKUP(B99,'26MY_ACCORD_DATA'!B:AS,13,FALSE)</f>
        <v>0</v>
      </c>
      <c r="K99" s="304" t="str">
        <f>VLOOKUP(B99,'26MY_ACCORD_DATA'!B:AS,14,FALSE)</f>
        <v>•</v>
      </c>
      <c r="L99" s="304">
        <f>VLOOKUP(B99,'26MY_ACCORD_DATA'!B:AS,15,FALSE)</f>
        <v>0</v>
      </c>
      <c r="M99" s="304" t="str">
        <f>VLOOKUP(B99,'26MY_ACCORD_DATA'!B:AS,16,FALSE)</f>
        <v>•</v>
      </c>
      <c r="N99" s="304" t="str">
        <f>VLOOKUP(B99,'26MY_ACCORD_DATA'!B:AS,17,FALSE)</f>
        <v>•</v>
      </c>
      <c r="O99" s="304">
        <f>VLOOKUP(B99,'26MY_ACCORD_DATA'!B:AS,18,FALSE)</f>
        <v>0</v>
      </c>
      <c r="P99" s="304">
        <f>VLOOKUP(B99,'26MY_ACCORD_DATA'!B:AS,19,FALSE)</f>
        <v>0</v>
      </c>
      <c r="Q99" s="380"/>
    </row>
    <row r="100" spans="2:17" s="136" customFormat="1" ht="15" customHeight="1">
      <c r="B100" s="281" t="s">
        <v>276</v>
      </c>
      <c r="C100" s="196" t="str">
        <f>VLOOKUP(B100,'26MY_ACCORD_DATA'!B:AS,3,FALSE)</f>
        <v>Radiant Red Metallic (R-569M)</v>
      </c>
      <c r="D100" s="79" t="str">
        <f t="shared" si="20"/>
        <v>08P05-30A-1A0</v>
      </c>
      <c r="E100" s="302">
        <f>VLOOKUP(B100,'26MY_ACCORD_DATA'!B:AS,9,FALSE)</f>
        <v>232</v>
      </c>
      <c r="F100" s="302">
        <f>VLOOKUP(B100,'26MY_ACCORD_DATA'!B:AS,10,FALSE)</f>
        <v>387</v>
      </c>
      <c r="G100" s="306">
        <f>VLOOKUP(B100,'26MY_ACCORD_DATA'!B:AS,7,FALSE)</f>
        <v>0.4</v>
      </c>
      <c r="H100" s="301">
        <f>VLOOKUP(B100,'26MY_ACCORD_DATA'!B:AS,11,FALSE)</f>
        <v>459.4</v>
      </c>
      <c r="I100" s="304">
        <f>VLOOKUP(B100,'26MY_ACCORD_DATA'!B:AS,12,FALSE)</f>
        <v>0</v>
      </c>
      <c r="J100" s="304">
        <f>VLOOKUP(B100,'26MY_ACCORD_DATA'!B:AS,13,FALSE)</f>
        <v>0</v>
      </c>
      <c r="K100" s="304" t="str">
        <f>VLOOKUP(B100,'26MY_ACCORD_DATA'!B:AS,14,FALSE)</f>
        <v>N/A</v>
      </c>
      <c r="L100" s="304">
        <f>VLOOKUP(B100,'26MY_ACCORD_DATA'!B:AS,15,FALSE)</f>
        <v>0</v>
      </c>
      <c r="M100" s="304" t="str">
        <f>VLOOKUP(B100,'26MY_ACCORD_DATA'!B:AS,16,FALSE)</f>
        <v>•</v>
      </c>
      <c r="N100" s="304" t="str">
        <f>VLOOKUP(B100,'26MY_ACCORD_DATA'!B:AS,17,FALSE)</f>
        <v>•</v>
      </c>
      <c r="O100" s="304">
        <f>VLOOKUP(B100,'26MY_ACCORD_DATA'!B:AS,18,FALSE)</f>
        <v>0</v>
      </c>
      <c r="P100" s="304">
        <f>VLOOKUP(B100,'26MY_ACCORD_DATA'!B:AS,19,FALSE)</f>
        <v>0</v>
      </c>
      <c r="Q100" s="380"/>
    </row>
    <row r="101" spans="2:17" s="136" customFormat="1" ht="15" customHeight="1">
      <c r="B101" s="281" t="s">
        <v>277</v>
      </c>
      <c r="C101" s="196" t="str">
        <f>VLOOKUP(B101,'26MY_ACCORD_DATA'!B:AS,3,FALSE)</f>
        <v>Canyon River Blue Metallic (B-640M)</v>
      </c>
      <c r="D101" s="79" t="str">
        <f t="shared" si="19"/>
        <v>08P05-30A-1D0</v>
      </c>
      <c r="E101" s="302">
        <f>VLOOKUP(B101,'26MY_ACCORD_DATA'!B:AS,9,FALSE)</f>
        <v>232</v>
      </c>
      <c r="F101" s="302">
        <f>VLOOKUP(B101,'26MY_ACCORD_DATA'!B:AS,10,FALSE)</f>
        <v>387</v>
      </c>
      <c r="G101" s="306">
        <f>VLOOKUP(B101,'26MY_ACCORD_DATA'!B:AS,7,FALSE)</f>
        <v>0.4</v>
      </c>
      <c r="H101" s="301">
        <f>VLOOKUP(B101,'26MY_ACCORD_DATA'!B:AS,11,FALSE)</f>
        <v>459.4</v>
      </c>
      <c r="I101" s="304">
        <f>VLOOKUP(B101,'26MY_ACCORD_DATA'!B:AS,12,FALSE)</f>
        <v>0</v>
      </c>
      <c r="J101" s="304">
        <f>VLOOKUP(B101,'26MY_ACCORD_DATA'!B:AS,13,FALSE)</f>
        <v>0</v>
      </c>
      <c r="K101" s="304" t="str">
        <f>VLOOKUP(B101,'26MY_ACCORD_DATA'!B:AS,14,FALSE)</f>
        <v>N/A</v>
      </c>
      <c r="L101" s="304">
        <f>VLOOKUP(B101,'26MY_ACCORD_DATA'!B:AS,15,FALSE)</f>
        <v>0</v>
      </c>
      <c r="M101" s="304" t="str">
        <f>VLOOKUP(B101,'26MY_ACCORD_DATA'!B:AS,16,FALSE)</f>
        <v>N/A</v>
      </c>
      <c r="N101" s="304" t="str">
        <f>VLOOKUP(B101,'26MY_ACCORD_DATA'!B:AS,17,FALSE)</f>
        <v>•</v>
      </c>
      <c r="O101" s="304">
        <f>VLOOKUP(B101,'26MY_ACCORD_DATA'!B:AS,18,FALSE)</f>
        <v>0</v>
      </c>
      <c r="P101" s="304">
        <f>VLOOKUP(B101,'26MY_ACCORD_DATA'!B:AS,19,FALSE)</f>
        <v>0</v>
      </c>
      <c r="Q101" s="380"/>
    </row>
    <row r="102" spans="2:17" ht="14.4">
      <c r="B102" s="279" t="s">
        <v>278</v>
      </c>
      <c r="C102" s="196" t="str">
        <f>VLOOKUP(B102,'26MY_ACCORD_DATA'!B:AS,3,FALSE)</f>
        <v>Still Night Pearl (B-575P)</v>
      </c>
      <c r="D102" s="79" t="str">
        <f t="shared" si="19"/>
        <v>08P05-30A-1C0</v>
      </c>
      <c r="E102" s="302">
        <f>VLOOKUP(B102,'26MY_ACCORD_DATA'!B:AS,9,FALSE)</f>
        <v>232</v>
      </c>
      <c r="F102" s="302">
        <f>VLOOKUP(B102,'26MY_ACCORD_DATA'!B:AS,10,FALSE)</f>
        <v>387</v>
      </c>
      <c r="G102" s="306">
        <f>VLOOKUP(B102,'26MY_ACCORD_DATA'!B:AS,7,FALSE)</f>
        <v>0.4</v>
      </c>
      <c r="H102" s="301">
        <f>VLOOKUP(B102,'26MY_ACCORD_DATA'!B:AS,11,FALSE)</f>
        <v>459.4</v>
      </c>
      <c r="I102" s="304">
        <f>VLOOKUP(B102,'26MY_ACCORD_DATA'!B:AS,12,FALSE)</f>
        <v>0</v>
      </c>
      <c r="J102" s="304">
        <f>VLOOKUP(B102,'26MY_ACCORD_DATA'!B:AS,13,FALSE)</f>
        <v>0</v>
      </c>
      <c r="K102" s="304" t="str">
        <f>VLOOKUP(B102,'26MY_ACCORD_DATA'!B:AS,14,FALSE)</f>
        <v>N/A</v>
      </c>
      <c r="L102" s="304">
        <f>VLOOKUP(B102,'26MY_ACCORD_DATA'!B:AS,15,FALSE)</f>
        <v>0</v>
      </c>
      <c r="M102" s="304" t="str">
        <f>VLOOKUP(B102,'26MY_ACCORD_DATA'!B:AS,16,FALSE)</f>
        <v>•</v>
      </c>
      <c r="N102" s="304" t="str">
        <f>VLOOKUP(B102,'26MY_ACCORD_DATA'!B:AS,17,FALSE)</f>
        <v>N/A</v>
      </c>
      <c r="O102" s="304">
        <f>VLOOKUP(B102,'26MY_ACCORD_DATA'!B:AS,18,FALSE)</f>
        <v>0</v>
      </c>
      <c r="P102" s="304">
        <f>VLOOKUP(B102,'26MY_ACCORD_DATA'!B:AS,19,FALSE)</f>
        <v>0</v>
      </c>
      <c r="Q102" s="380"/>
    </row>
    <row r="103" spans="2:17" ht="14.4">
      <c r="B103" s="279" t="s">
        <v>285</v>
      </c>
      <c r="C103" s="196" t="str">
        <f>VLOOKUP(B103,'26MY_ACCORD_DATA'!B:AS,3,FALSE)</f>
        <v>Solar Reflection Silver (NH-932M)</v>
      </c>
      <c r="D103" s="79" t="str">
        <f t="shared" si="19"/>
        <v>08P05-30A-1H0</v>
      </c>
      <c r="E103" s="302">
        <f>VLOOKUP(B103,'26MY_ACCORD_DATA'!B:AS,9,FALSE)</f>
        <v>232</v>
      </c>
      <c r="F103" s="302">
        <f>VLOOKUP(B103,'26MY_ACCORD_DATA'!B:AS,10,FALSE)</f>
        <v>387</v>
      </c>
      <c r="G103" s="306">
        <f>VLOOKUP(B103,'26MY_ACCORD_DATA'!B:AS,7,FALSE)</f>
        <v>0.4</v>
      </c>
      <c r="H103" s="301">
        <f>VLOOKUP(B103,'26MY_ACCORD_DATA'!B:AS,11,FALSE)</f>
        <v>459.4</v>
      </c>
      <c r="I103" s="304">
        <f>VLOOKUP(B103,'26MY_ACCORD_DATA'!B:AS,12,FALSE)</f>
        <v>0</v>
      </c>
      <c r="J103" s="304">
        <f>VLOOKUP(B103,'26MY_ACCORD_DATA'!B:AS,13,FALSE)</f>
        <v>0</v>
      </c>
      <c r="K103" s="304" t="str">
        <f>VLOOKUP(B103,'26MY_ACCORD_DATA'!B:AS,14,FALSE)</f>
        <v>•</v>
      </c>
      <c r="L103" s="304">
        <f>VLOOKUP(B103,'26MY_ACCORD_DATA'!B:AS,15,FALSE)</f>
        <v>0</v>
      </c>
      <c r="M103" s="304" t="str">
        <f>VLOOKUP(B103,'26MY_ACCORD_DATA'!B:AS,16,FALSE)</f>
        <v>•</v>
      </c>
      <c r="N103" s="304" t="str">
        <f>VLOOKUP(B103,'26MY_ACCORD_DATA'!B:AS,17,FALSE)</f>
        <v>•</v>
      </c>
      <c r="O103" s="304">
        <f>VLOOKUP(B103,'26MY_ACCORD_DATA'!B:AS,18,FALSE)</f>
        <v>0</v>
      </c>
      <c r="P103" s="304">
        <f>VLOOKUP(B103,'26MY_ACCORD_DATA'!B:AS,19,FALSE)</f>
        <v>0</v>
      </c>
      <c r="Q103" s="381"/>
    </row>
    <row r="104" spans="2:17" ht="14.4">
      <c r="B104" s="279" t="s">
        <v>455</v>
      </c>
      <c r="C104" s="197" t="str">
        <f>VLOOKUP(B104,'26MY_ACCORD_DATA'!B:AS,3,FALSE)</f>
        <v>Door Edge Guards</v>
      </c>
      <c r="D104" s="187"/>
      <c r="E104" s="187"/>
      <c r="F104" s="187"/>
      <c r="G104" s="187"/>
      <c r="H104" s="187"/>
      <c r="I104" s="187"/>
      <c r="J104" s="187"/>
      <c r="K104" s="187"/>
      <c r="L104" s="187"/>
      <c r="M104" s="187"/>
      <c r="N104" s="187"/>
      <c r="O104" s="187"/>
      <c r="P104" s="187"/>
      <c r="Q104" s="178"/>
    </row>
    <row r="105" spans="2:17" ht="14.4">
      <c r="B105" s="279" t="s">
        <v>294</v>
      </c>
      <c r="C105" s="196" t="str">
        <f>VLOOKUP(B105,'26MY_ACCORD_DATA'!B:AS,3,FALSE)</f>
        <v>Platinum White Pearl (NH-883P)</v>
      </c>
      <c r="D105" s="79" t="str">
        <f t="shared" ref="D105:D112" si="21">B105</f>
        <v>08P20-30A-110</v>
      </c>
      <c r="E105" s="302">
        <f>VLOOKUP(B105,'26MY_ACCORD_DATA'!B:AS,9,FALSE)</f>
        <v>176</v>
      </c>
      <c r="F105" s="302">
        <f>VLOOKUP(B105,'26MY_ACCORD_DATA'!B:AS,10,FALSE)</f>
        <v>293</v>
      </c>
      <c r="G105" s="306">
        <f>VLOOKUP(B105,'26MY_ACCORD_DATA'!B:AS,7,FALSE)</f>
        <v>0.4</v>
      </c>
      <c r="H105" s="301">
        <f>VLOOKUP(B105,'26MY_ACCORD_DATA'!B:AS,11,FALSE)</f>
        <v>365.4</v>
      </c>
      <c r="I105" s="304">
        <f>VLOOKUP(B105,'26MY_ACCORD_DATA'!B:AS,12,FALSE)</f>
        <v>0</v>
      </c>
      <c r="J105" s="304">
        <f>VLOOKUP(B105,'26MY_ACCORD_DATA'!B:AS,13,FALSE)</f>
        <v>0</v>
      </c>
      <c r="K105" s="304" t="str">
        <f>VLOOKUP(B105,'26MY_ACCORD_DATA'!B:AS,14,FALSE)</f>
        <v>•</v>
      </c>
      <c r="L105" s="304">
        <f>VLOOKUP(B105,'26MY_ACCORD_DATA'!B:AS,15,FALSE)</f>
        <v>0</v>
      </c>
      <c r="M105" s="304" t="str">
        <f>VLOOKUP(B105,'26MY_ACCORD_DATA'!B:AS,16,FALSE)</f>
        <v>•</v>
      </c>
      <c r="N105" s="304" t="str">
        <f>VLOOKUP(B105,'26MY_ACCORD_DATA'!B:AS,17,FALSE)</f>
        <v>•</v>
      </c>
      <c r="O105" s="304">
        <f>VLOOKUP(B105,'26MY_ACCORD_DATA'!B:AS,18,FALSE)</f>
        <v>0</v>
      </c>
      <c r="P105" s="304">
        <f>VLOOKUP(B105,'26MY_ACCORD_DATA'!B:AS,19,FALSE)</f>
        <v>0</v>
      </c>
      <c r="Q105" s="379" t="str">
        <f>IF(VLOOKUP(B105,'26MY_ACCORD_DATA'!B:AS,20,FALSE)="","",VLOOKUP(B105,'26MY_ACCORD_DATA'!B:AS,20,FALSE))</f>
        <v/>
      </c>
    </row>
    <row r="106" spans="2:17" ht="14.4">
      <c r="B106" s="279" t="s">
        <v>293</v>
      </c>
      <c r="C106" s="196" t="str">
        <f>VLOOKUP(B106,'26MY_ACCORD_DATA'!B:AS,3,FALSE)</f>
        <v>Meteoroid Gray Pearl (NH-904M)</v>
      </c>
      <c r="D106" s="79" t="str">
        <f t="shared" ref="D106:D107" si="22">B106</f>
        <v>08P20-30A-140</v>
      </c>
      <c r="E106" s="302">
        <f>VLOOKUP(B106,'26MY_ACCORD_DATA'!B:AS,9,FALSE)</f>
        <v>176</v>
      </c>
      <c r="F106" s="302">
        <f>VLOOKUP(B106,'26MY_ACCORD_DATA'!B:AS,10,FALSE)</f>
        <v>293</v>
      </c>
      <c r="G106" s="306">
        <f>VLOOKUP(B106,'26MY_ACCORD_DATA'!B:AS,7,FALSE)</f>
        <v>0.4</v>
      </c>
      <c r="H106" s="301">
        <f>VLOOKUP(B106,'26MY_ACCORD_DATA'!B:AS,11,FALSE)</f>
        <v>365.4</v>
      </c>
      <c r="I106" s="304">
        <f>VLOOKUP(B106,'26MY_ACCORD_DATA'!B:AS,12,FALSE)</f>
        <v>0</v>
      </c>
      <c r="J106" s="304">
        <f>VLOOKUP(B106,'26MY_ACCORD_DATA'!B:AS,13,FALSE)</f>
        <v>0</v>
      </c>
      <c r="K106" s="304" t="str">
        <f>VLOOKUP(B106,'26MY_ACCORD_DATA'!B:AS,14,FALSE)</f>
        <v>N/A</v>
      </c>
      <c r="L106" s="304">
        <f>VLOOKUP(B106,'26MY_ACCORD_DATA'!B:AS,15,FALSE)</f>
        <v>0</v>
      </c>
      <c r="M106" s="304" t="str">
        <f>VLOOKUP(B106,'26MY_ACCORD_DATA'!B:AS,16,FALSE)</f>
        <v>•</v>
      </c>
      <c r="N106" s="304" t="str">
        <f>VLOOKUP(B106,'26MY_ACCORD_DATA'!B:AS,17,FALSE)</f>
        <v>N/A</v>
      </c>
      <c r="O106" s="304">
        <f>VLOOKUP(B106,'26MY_ACCORD_DATA'!B:AS,18,FALSE)</f>
        <v>0</v>
      </c>
      <c r="P106" s="304">
        <f>VLOOKUP(B106,'26MY_ACCORD_DATA'!B:AS,19,FALSE)</f>
        <v>0</v>
      </c>
      <c r="Q106" s="380"/>
    </row>
    <row r="107" spans="2:17" ht="14.4">
      <c r="B107" s="279" t="s">
        <v>292</v>
      </c>
      <c r="C107" s="196" t="str">
        <f>VLOOKUP(B107,'26MY_ACCORD_DATA'!B:AS,3,FALSE)</f>
        <v>Urban Grey Pearl (NH-912P)</v>
      </c>
      <c r="D107" s="79" t="str">
        <f t="shared" si="22"/>
        <v>08P20-30A-150</v>
      </c>
      <c r="E107" s="302">
        <f>VLOOKUP(B107,'26MY_ACCORD_DATA'!B:AS,9,FALSE)</f>
        <v>176</v>
      </c>
      <c r="F107" s="302">
        <f>VLOOKUP(B107,'26MY_ACCORD_DATA'!B:AS,10,FALSE)</f>
        <v>293</v>
      </c>
      <c r="G107" s="306">
        <f>VLOOKUP(B107,'26MY_ACCORD_DATA'!B:AS,7,FALSE)</f>
        <v>0.4</v>
      </c>
      <c r="H107" s="301">
        <f>VLOOKUP(B107,'26MY_ACCORD_DATA'!B:AS,11,FALSE)</f>
        <v>365.4</v>
      </c>
      <c r="I107" s="304">
        <f>VLOOKUP(B107,'26MY_ACCORD_DATA'!B:AS,12,FALSE)</f>
        <v>0</v>
      </c>
      <c r="J107" s="304">
        <f>VLOOKUP(B107,'26MY_ACCORD_DATA'!B:AS,13,FALSE)</f>
        <v>0</v>
      </c>
      <c r="K107" s="304" t="str">
        <f>VLOOKUP(B107,'26MY_ACCORD_DATA'!B:AS,14,FALSE)</f>
        <v>N/A</v>
      </c>
      <c r="L107" s="304">
        <f>VLOOKUP(B107,'26MY_ACCORD_DATA'!B:AS,15,FALSE)</f>
        <v>0</v>
      </c>
      <c r="M107" s="304" t="str">
        <f>VLOOKUP(B107,'26MY_ACCORD_DATA'!B:AS,16,FALSE)</f>
        <v>N/A</v>
      </c>
      <c r="N107" s="304" t="str">
        <f>VLOOKUP(B107,'26MY_ACCORD_DATA'!B:AS,17,FALSE)</f>
        <v>•</v>
      </c>
      <c r="O107" s="304">
        <f>VLOOKUP(B107,'26MY_ACCORD_DATA'!B:AS,18,FALSE)</f>
        <v>0</v>
      </c>
      <c r="P107" s="304">
        <f>VLOOKUP(B107,'26MY_ACCORD_DATA'!B:AS,19,FALSE)</f>
        <v>0</v>
      </c>
      <c r="Q107" s="380"/>
    </row>
    <row r="108" spans="2:17" ht="14.4">
      <c r="B108" s="279" t="s">
        <v>291</v>
      </c>
      <c r="C108" s="196" t="str">
        <f>VLOOKUP(B108,'26MY_ACCORD_DATA'!B:AS,3,FALSE)</f>
        <v>Crystal Black Pearl (NH-731P)</v>
      </c>
      <c r="D108" s="79" t="str">
        <f t="shared" si="21"/>
        <v>08P20-30A-170</v>
      </c>
      <c r="E108" s="302">
        <f>VLOOKUP(B108,'26MY_ACCORD_DATA'!B:AS,9,FALSE)</f>
        <v>176</v>
      </c>
      <c r="F108" s="302">
        <f>VLOOKUP(B108,'26MY_ACCORD_DATA'!B:AS,10,FALSE)</f>
        <v>293</v>
      </c>
      <c r="G108" s="306">
        <f>VLOOKUP(B108,'26MY_ACCORD_DATA'!B:AS,7,FALSE)</f>
        <v>0.4</v>
      </c>
      <c r="H108" s="301">
        <f>VLOOKUP(B108,'26MY_ACCORD_DATA'!B:AS,11,FALSE)</f>
        <v>365.4</v>
      </c>
      <c r="I108" s="304">
        <f>VLOOKUP(B108,'26MY_ACCORD_DATA'!B:AS,12,FALSE)</f>
        <v>0</v>
      </c>
      <c r="J108" s="304">
        <f>VLOOKUP(B108,'26MY_ACCORD_DATA'!B:AS,13,FALSE)</f>
        <v>0</v>
      </c>
      <c r="K108" s="304" t="str">
        <f>VLOOKUP(B108,'26MY_ACCORD_DATA'!B:AS,14,FALSE)</f>
        <v>•</v>
      </c>
      <c r="L108" s="304">
        <f>VLOOKUP(B108,'26MY_ACCORD_DATA'!B:AS,15,FALSE)</f>
        <v>0</v>
      </c>
      <c r="M108" s="304" t="str">
        <f>VLOOKUP(B108,'26MY_ACCORD_DATA'!B:AS,16,FALSE)</f>
        <v>•</v>
      </c>
      <c r="N108" s="304" t="str">
        <f>VLOOKUP(B108,'26MY_ACCORD_DATA'!B:AS,17,FALSE)</f>
        <v>•</v>
      </c>
      <c r="O108" s="304">
        <f>VLOOKUP(B108,'26MY_ACCORD_DATA'!B:AS,18,FALSE)</f>
        <v>0</v>
      </c>
      <c r="P108" s="304">
        <f>VLOOKUP(B108,'26MY_ACCORD_DATA'!B:AS,19,FALSE)</f>
        <v>0</v>
      </c>
      <c r="Q108" s="380"/>
    </row>
    <row r="109" spans="2:17" ht="14.4">
      <c r="B109" s="279" t="s">
        <v>290</v>
      </c>
      <c r="C109" s="196" t="str">
        <f>VLOOKUP(B109,'26MY_ACCORD_DATA'!B:AS,3,FALSE)</f>
        <v>Radiant Red Metallic (R-569M)</v>
      </c>
      <c r="D109" s="79" t="str">
        <f t="shared" si="21"/>
        <v>08P20-30A-1A0</v>
      </c>
      <c r="E109" s="302">
        <f>VLOOKUP(B109,'26MY_ACCORD_DATA'!B:AS,9,FALSE)</f>
        <v>176</v>
      </c>
      <c r="F109" s="302">
        <f>VLOOKUP(B109,'26MY_ACCORD_DATA'!B:AS,10,FALSE)</f>
        <v>293</v>
      </c>
      <c r="G109" s="306">
        <f>VLOOKUP(B109,'26MY_ACCORD_DATA'!B:AS,7,FALSE)</f>
        <v>0.4</v>
      </c>
      <c r="H109" s="301">
        <f>VLOOKUP(B109,'26MY_ACCORD_DATA'!B:AS,11,FALSE)</f>
        <v>365.4</v>
      </c>
      <c r="I109" s="304">
        <f>VLOOKUP(B109,'26MY_ACCORD_DATA'!B:AS,12,FALSE)</f>
        <v>0</v>
      </c>
      <c r="J109" s="304">
        <f>VLOOKUP(B109,'26MY_ACCORD_DATA'!B:AS,13,FALSE)</f>
        <v>0</v>
      </c>
      <c r="K109" s="304" t="str">
        <f>VLOOKUP(B109,'26MY_ACCORD_DATA'!B:AS,14,FALSE)</f>
        <v>N/A</v>
      </c>
      <c r="L109" s="304">
        <f>VLOOKUP(B109,'26MY_ACCORD_DATA'!B:AS,15,FALSE)</f>
        <v>0</v>
      </c>
      <c r="M109" s="304" t="str">
        <f>VLOOKUP(B109,'26MY_ACCORD_DATA'!B:AS,16,FALSE)</f>
        <v>•</v>
      </c>
      <c r="N109" s="304" t="str">
        <f>VLOOKUP(B109,'26MY_ACCORD_DATA'!B:AS,17,FALSE)</f>
        <v>•</v>
      </c>
      <c r="O109" s="304">
        <f>VLOOKUP(B109,'26MY_ACCORD_DATA'!B:AS,18,FALSE)</f>
        <v>0</v>
      </c>
      <c r="P109" s="304">
        <f>VLOOKUP(B109,'26MY_ACCORD_DATA'!B:AS,19,FALSE)</f>
        <v>0</v>
      </c>
      <c r="Q109" s="380"/>
    </row>
    <row r="110" spans="2:17" ht="14.4">
      <c r="B110" s="279" t="s">
        <v>287</v>
      </c>
      <c r="C110" s="196" t="str">
        <f>VLOOKUP(B110,'26MY_ACCORD_DATA'!B:AS,3,FALSE)</f>
        <v>Canyon River Blue Metallic (B-640M)</v>
      </c>
      <c r="D110" s="79" t="str">
        <f t="shared" si="21"/>
        <v>08P20-30A-1D0</v>
      </c>
      <c r="E110" s="302">
        <f>VLOOKUP(B110,'26MY_ACCORD_DATA'!B:AS,9,FALSE)</f>
        <v>176</v>
      </c>
      <c r="F110" s="302">
        <f>VLOOKUP(B110,'26MY_ACCORD_DATA'!B:AS,10,FALSE)</f>
        <v>293</v>
      </c>
      <c r="G110" s="306">
        <f>VLOOKUP(B110,'26MY_ACCORD_DATA'!B:AS,7,FALSE)</f>
        <v>0.4</v>
      </c>
      <c r="H110" s="301">
        <f>VLOOKUP(B110,'26MY_ACCORD_DATA'!B:AS,11,FALSE)</f>
        <v>365.4</v>
      </c>
      <c r="I110" s="304">
        <f>VLOOKUP(B110,'26MY_ACCORD_DATA'!B:AS,12,FALSE)</f>
        <v>0</v>
      </c>
      <c r="J110" s="304">
        <f>VLOOKUP(B110,'26MY_ACCORD_DATA'!B:AS,13,FALSE)</f>
        <v>0</v>
      </c>
      <c r="K110" s="304" t="str">
        <f>VLOOKUP(B110,'26MY_ACCORD_DATA'!B:AS,14,FALSE)</f>
        <v>N/A</v>
      </c>
      <c r="L110" s="304">
        <f>VLOOKUP(B110,'26MY_ACCORD_DATA'!B:AS,15,FALSE)</f>
        <v>0</v>
      </c>
      <c r="M110" s="304" t="str">
        <f>VLOOKUP(B110,'26MY_ACCORD_DATA'!B:AS,16,FALSE)</f>
        <v>N/A</v>
      </c>
      <c r="N110" s="304" t="str">
        <f>VLOOKUP(B110,'26MY_ACCORD_DATA'!B:AS,17,FALSE)</f>
        <v>•</v>
      </c>
      <c r="O110" s="304">
        <f>VLOOKUP(B110,'26MY_ACCORD_DATA'!B:AS,18,FALSE)</f>
        <v>0</v>
      </c>
      <c r="P110" s="304">
        <f>VLOOKUP(B110,'26MY_ACCORD_DATA'!B:AS,19,FALSE)</f>
        <v>0</v>
      </c>
      <c r="Q110" s="380"/>
    </row>
    <row r="111" spans="2:17" ht="14.4">
      <c r="B111" s="279" t="s">
        <v>288</v>
      </c>
      <c r="C111" s="196" t="str">
        <f>VLOOKUP(B111,'26MY_ACCORD_DATA'!B:AS,3,FALSE)</f>
        <v>Still Night Pearl (B-575P)</v>
      </c>
      <c r="D111" s="79" t="str">
        <f t="shared" si="21"/>
        <v>08P20-30A-1C0</v>
      </c>
      <c r="E111" s="302">
        <f>VLOOKUP(B111,'26MY_ACCORD_DATA'!B:AS,9,FALSE)</f>
        <v>176</v>
      </c>
      <c r="F111" s="302">
        <f>VLOOKUP(B111,'26MY_ACCORD_DATA'!B:AS,10,FALSE)</f>
        <v>293</v>
      </c>
      <c r="G111" s="306">
        <f>VLOOKUP(B111,'26MY_ACCORD_DATA'!B:AS,7,FALSE)</f>
        <v>0.4</v>
      </c>
      <c r="H111" s="301">
        <f>VLOOKUP(B111,'26MY_ACCORD_DATA'!B:AS,11,FALSE)</f>
        <v>365.4</v>
      </c>
      <c r="I111" s="304">
        <f>VLOOKUP(B111,'26MY_ACCORD_DATA'!B:AS,12,FALSE)</f>
        <v>0</v>
      </c>
      <c r="J111" s="304">
        <f>VLOOKUP(B111,'26MY_ACCORD_DATA'!B:AS,13,FALSE)</f>
        <v>0</v>
      </c>
      <c r="K111" s="304" t="str">
        <f>VLOOKUP(B111,'26MY_ACCORD_DATA'!B:AS,14,FALSE)</f>
        <v>N/A</v>
      </c>
      <c r="L111" s="304">
        <f>VLOOKUP(B111,'26MY_ACCORD_DATA'!B:AS,15,FALSE)</f>
        <v>0</v>
      </c>
      <c r="M111" s="304" t="str">
        <f>VLOOKUP(B111,'26MY_ACCORD_DATA'!B:AS,16,FALSE)</f>
        <v>•</v>
      </c>
      <c r="N111" s="304" t="str">
        <f>VLOOKUP(B111,'26MY_ACCORD_DATA'!B:AS,17,FALSE)</f>
        <v>N/A</v>
      </c>
      <c r="O111" s="304">
        <f>VLOOKUP(B111,'26MY_ACCORD_DATA'!B:AS,18,FALSE)</f>
        <v>0</v>
      </c>
      <c r="P111" s="304">
        <f>VLOOKUP(B111,'26MY_ACCORD_DATA'!B:AS,19,FALSE)</f>
        <v>0</v>
      </c>
      <c r="Q111" s="380"/>
    </row>
    <row r="112" spans="2:17" ht="14.4">
      <c r="B112" s="279" t="s">
        <v>289</v>
      </c>
      <c r="C112" s="196" t="str">
        <f>VLOOKUP(B112,'26MY_ACCORD_DATA'!B:AS,3,FALSE)</f>
        <v>Solar Reflection Silver (NH-932M)</v>
      </c>
      <c r="D112" s="79" t="str">
        <f t="shared" si="21"/>
        <v>08P20-30A-1H0</v>
      </c>
      <c r="E112" s="302">
        <f>VLOOKUP(B112,'26MY_ACCORD_DATA'!B:AS,9,FALSE)</f>
        <v>176</v>
      </c>
      <c r="F112" s="302">
        <f>VLOOKUP(B112,'26MY_ACCORD_DATA'!B:AS,10,FALSE)</f>
        <v>293</v>
      </c>
      <c r="G112" s="306">
        <f>VLOOKUP(B112,'26MY_ACCORD_DATA'!B:AS,7,FALSE)</f>
        <v>0.4</v>
      </c>
      <c r="H112" s="301">
        <f>VLOOKUP(B112,'26MY_ACCORD_DATA'!B:AS,11,FALSE)</f>
        <v>365.4</v>
      </c>
      <c r="I112" s="304">
        <f>VLOOKUP(B112,'26MY_ACCORD_DATA'!B:AS,12,FALSE)</f>
        <v>0</v>
      </c>
      <c r="J112" s="304">
        <f>VLOOKUP(B112,'26MY_ACCORD_DATA'!B:AS,13,FALSE)</f>
        <v>0</v>
      </c>
      <c r="K112" s="304" t="str">
        <f>VLOOKUP(B112,'26MY_ACCORD_DATA'!B:AS,14,FALSE)</f>
        <v>•</v>
      </c>
      <c r="L112" s="304">
        <f>VLOOKUP(B112,'26MY_ACCORD_DATA'!B:AS,15,FALSE)</f>
        <v>0</v>
      </c>
      <c r="M112" s="304" t="str">
        <f>VLOOKUP(B112,'26MY_ACCORD_DATA'!B:AS,16,FALSE)</f>
        <v>•</v>
      </c>
      <c r="N112" s="304" t="str">
        <f>VLOOKUP(B112,'26MY_ACCORD_DATA'!B:AS,17,FALSE)</f>
        <v>•</v>
      </c>
      <c r="O112" s="304">
        <f>VLOOKUP(B112,'26MY_ACCORD_DATA'!B:AS,18,FALSE)</f>
        <v>0</v>
      </c>
      <c r="P112" s="304">
        <f>VLOOKUP(B112,'26MY_ACCORD_DATA'!B:AS,19,FALSE)</f>
        <v>0</v>
      </c>
      <c r="Q112" s="381"/>
    </row>
    <row r="113" spans="2:17" s="136" customFormat="1" ht="15" customHeight="1">
      <c r="B113" s="281"/>
      <c r="C113" s="131"/>
      <c r="D113" s="131"/>
      <c r="E113" s="141"/>
      <c r="F113" s="141"/>
      <c r="G113" s="191"/>
      <c r="H113" s="141"/>
      <c r="I113" s="141"/>
      <c r="J113" s="141"/>
      <c r="K113" s="141"/>
      <c r="L113" s="141"/>
      <c r="M113" s="141"/>
      <c r="N113" s="141"/>
      <c r="O113" s="141"/>
      <c r="P113" s="141"/>
      <c r="Q113" s="141"/>
    </row>
    <row r="114" spans="2:17" s="134" customFormat="1" ht="18">
      <c r="B114" s="283"/>
      <c r="C114" s="153" t="s">
        <v>67</v>
      </c>
      <c r="D114" s="153"/>
      <c r="E114" s="192"/>
      <c r="F114" s="192"/>
      <c r="G114" s="192"/>
      <c r="H114" s="192"/>
      <c r="I114" s="192"/>
      <c r="J114" s="192"/>
      <c r="K114" s="192"/>
      <c r="L114" s="192"/>
      <c r="M114" s="192"/>
      <c r="N114" s="192"/>
      <c r="O114" s="192"/>
      <c r="P114" s="192"/>
      <c r="Q114" s="192"/>
    </row>
    <row r="115" spans="2:17" s="135" customFormat="1" ht="15" customHeight="1">
      <c r="B115" s="282"/>
      <c r="C115" s="377" t="s">
        <v>61</v>
      </c>
      <c r="D115" s="377" t="s">
        <v>10</v>
      </c>
      <c r="E115" s="377" t="s">
        <v>17</v>
      </c>
      <c r="F115" s="377" t="s">
        <v>11</v>
      </c>
      <c r="G115" s="377" t="s">
        <v>12</v>
      </c>
      <c r="H115" s="378" t="s">
        <v>13</v>
      </c>
      <c r="I115" s="176"/>
      <c r="J115" s="377" t="s">
        <v>25</v>
      </c>
      <c r="K115" s="377"/>
      <c r="L115" s="377"/>
      <c r="M115" s="377"/>
      <c r="N115" s="377"/>
      <c r="O115" s="377"/>
      <c r="P115" s="377"/>
      <c r="Q115" s="377" t="s">
        <v>14</v>
      </c>
    </row>
    <row r="116" spans="2:17" s="135" customFormat="1" ht="28.8">
      <c r="B116" s="282"/>
      <c r="C116" s="377"/>
      <c r="D116" s="377"/>
      <c r="E116" s="377"/>
      <c r="F116" s="377"/>
      <c r="G116" s="377"/>
      <c r="H116" s="378"/>
      <c r="I116" s="176">
        <f>'26MY_ACCORD_DATA'!$M$7</f>
        <v>0</v>
      </c>
      <c r="J116" s="176">
        <f>'26MY_ACCORD_DATA'!$M$7</f>
        <v>0</v>
      </c>
      <c r="K116" s="176" t="str">
        <f>'26MY_ACCORD_DATA'!$O$7</f>
        <v>SE</v>
      </c>
      <c r="L116" s="176">
        <f>'26MY_ACCORD_DATA'!$P$7</f>
        <v>0</v>
      </c>
      <c r="M116" s="176" t="str">
        <f>'26MY_ACCORD_DATA'!$Q$7</f>
        <v>Sport -L Hybrid</v>
      </c>
      <c r="N116" s="176" t="str">
        <f>'26MY_ACCORD_DATA'!$R$7</f>
        <v>Touring Hybrid</v>
      </c>
      <c r="O116" s="176">
        <f>'26MY_ACCORD_DATA'!$T$7</f>
        <v>0</v>
      </c>
      <c r="P116" s="176">
        <f>'26MY_ACCORD_DATA'!$T$7</f>
        <v>0</v>
      </c>
      <c r="Q116" s="377"/>
    </row>
    <row r="117" spans="2:17" s="136" customFormat="1" ht="15" customHeight="1">
      <c r="B117" s="281" t="s">
        <v>302</v>
      </c>
      <c r="C117" s="177" t="str">
        <f>VLOOKUP(B117,'26MY_ACCORD_DATA'!B:AS,3,FALSE)</f>
        <v>All Season Floor Mats</v>
      </c>
      <c r="D117" s="79" t="str">
        <f t="shared" ref="D117" si="23">B117</f>
        <v>08P17-30A-110</v>
      </c>
      <c r="E117" s="302">
        <f>VLOOKUP(B117,'26MY_ACCORD_DATA'!B:AS,9,FALSE)</f>
        <v>175</v>
      </c>
      <c r="F117" s="302">
        <f>VLOOKUP(B117,'26MY_ACCORD_DATA'!B:AS,10,FALSE)</f>
        <v>292</v>
      </c>
      <c r="G117" s="306">
        <f>VLOOKUP(B117,'26MY_ACCORD_DATA'!B:AS,7,FALSE)</f>
        <v>0.1</v>
      </c>
      <c r="H117" s="301">
        <f>VLOOKUP(B117,'26MY_ACCORD_DATA'!B:AS,11,FALSE)</f>
        <v>310.10000000000002</v>
      </c>
      <c r="I117" s="304">
        <f>VLOOKUP(B117,'26MY_ACCORD_DATA'!B:AS,12,FALSE)</f>
        <v>0</v>
      </c>
      <c r="J117" s="304">
        <f>VLOOKUP(B117,'26MY_ACCORD_DATA'!B:AS,13,FALSE)</f>
        <v>0</v>
      </c>
      <c r="K117" s="304" t="str">
        <f>VLOOKUP(B117,'26MY_ACCORD_DATA'!B:AS,14,FALSE)</f>
        <v>•</v>
      </c>
      <c r="L117" s="304">
        <f>VLOOKUP(B117,'26MY_ACCORD_DATA'!B:AS,15,FALSE)</f>
        <v>0</v>
      </c>
      <c r="M117" s="304" t="str">
        <f>VLOOKUP(B117,'26MY_ACCORD_DATA'!B:AS,16,FALSE)</f>
        <v>•</v>
      </c>
      <c r="N117" s="304" t="str">
        <f>VLOOKUP(B117,'26MY_ACCORD_DATA'!B:AS,17,FALSE)</f>
        <v>•</v>
      </c>
      <c r="O117" s="304">
        <f>VLOOKUP(B117,'26MY_ACCORD_DATA'!B:AS,18,FALSE)</f>
        <v>0</v>
      </c>
      <c r="P117" s="304">
        <f>VLOOKUP(B117,'26MY_ACCORD_DATA'!B:AS,19,FALSE)</f>
        <v>0</v>
      </c>
      <c r="Q117" s="305" t="str">
        <f>IF(VLOOKUP(B117,'26MY_ACCORD_DATA'!B:AS,20,FALSE)="","",VLOOKUP(B117,'26MY_ACCORD_DATA'!B:AS,20,FALSE))</f>
        <v/>
      </c>
    </row>
    <row r="118" spans="2:17" s="136" customFormat="1" ht="15" customHeight="1">
      <c r="B118" s="281" t="s">
        <v>303</v>
      </c>
      <c r="C118" s="177" t="str">
        <f>VLOOKUP(B118,'26MY_ACCORD_DATA'!B:AS,3,FALSE)</f>
        <v>Trunk Tray</v>
      </c>
      <c r="D118" s="79" t="str">
        <f t="shared" ref="D118:D123" si="24">B118</f>
        <v>08U45-30A-100</v>
      </c>
      <c r="E118" s="302">
        <f>VLOOKUP(B118,'26MY_ACCORD_DATA'!B:AS,9,FALSE)</f>
        <v>129</v>
      </c>
      <c r="F118" s="302">
        <f>VLOOKUP(B118,'26MY_ACCORD_DATA'!B:AS,10,FALSE)</f>
        <v>215</v>
      </c>
      <c r="G118" s="306">
        <f>VLOOKUP(B118,'26MY_ACCORD_DATA'!B:AS,7,FALSE)</f>
        <v>0.1</v>
      </c>
      <c r="H118" s="301">
        <f>VLOOKUP(B118,'26MY_ACCORD_DATA'!B:AS,11,FALSE)</f>
        <v>233.1</v>
      </c>
      <c r="I118" s="304">
        <f>VLOOKUP(B118,'26MY_ACCORD_DATA'!B:AS,12,FALSE)</f>
        <v>0</v>
      </c>
      <c r="J118" s="304">
        <f>VLOOKUP(B118,'26MY_ACCORD_DATA'!B:AS,13,FALSE)</f>
        <v>0</v>
      </c>
      <c r="K118" s="304" t="str">
        <f>VLOOKUP(B118,'26MY_ACCORD_DATA'!B:AS,14,FALSE)</f>
        <v>•</v>
      </c>
      <c r="L118" s="304">
        <f>VLOOKUP(B118,'26MY_ACCORD_DATA'!B:AS,15,FALSE)</f>
        <v>0</v>
      </c>
      <c r="M118" s="304" t="str">
        <f>VLOOKUP(B118,'26MY_ACCORD_DATA'!B:AS,16,FALSE)</f>
        <v>•</v>
      </c>
      <c r="N118" s="304" t="str">
        <f>VLOOKUP(B118,'26MY_ACCORD_DATA'!B:AS,17,FALSE)</f>
        <v>•</v>
      </c>
      <c r="O118" s="304">
        <f>VLOOKUP(B118,'26MY_ACCORD_DATA'!B:AS,18,FALSE)</f>
        <v>0</v>
      </c>
      <c r="P118" s="304">
        <f>VLOOKUP(B118,'26MY_ACCORD_DATA'!B:AS,19,FALSE)</f>
        <v>0</v>
      </c>
      <c r="Q118" s="305" t="str">
        <f>IF(VLOOKUP(B118,'26MY_ACCORD_DATA'!B:AS,20,FALSE)="","",VLOOKUP(B118,'26MY_ACCORD_DATA'!B:AS,20,FALSE))</f>
        <v/>
      </c>
    </row>
    <row r="119" spans="2:17" s="136" customFormat="1" ht="15" customHeight="1">
      <c r="B119" s="281" t="s">
        <v>307</v>
      </c>
      <c r="C119" s="177" t="str">
        <f>VLOOKUP(B119,'26MY_ACCORD_DATA'!B:AS,3,FALSE)</f>
        <v>Cargo Hook</v>
      </c>
      <c r="D119" s="79" t="str">
        <f t="shared" si="24"/>
        <v>08L96-TA0-301A</v>
      </c>
      <c r="E119" s="302">
        <f>VLOOKUP(B119,'26MY_ACCORD_DATA'!B:AS,9,FALSE)</f>
        <v>17</v>
      </c>
      <c r="F119" s="302">
        <f>VLOOKUP(B119,'26MY_ACCORD_DATA'!B:AS,10,FALSE)</f>
        <v>28</v>
      </c>
      <c r="G119" s="306">
        <f>VLOOKUP(B119,'26MY_ACCORD_DATA'!B:AS,7,FALSE)</f>
        <v>0.2</v>
      </c>
      <c r="H119" s="301">
        <f>VLOOKUP(B119,'26MY_ACCORD_DATA'!B:AS,11,FALSE)</f>
        <v>64.2</v>
      </c>
      <c r="I119" s="304">
        <f>VLOOKUP(B119,'26MY_ACCORD_DATA'!B:AS,12,FALSE)</f>
        <v>0</v>
      </c>
      <c r="J119" s="304">
        <f>VLOOKUP(B119,'26MY_ACCORD_DATA'!B:AS,13,FALSE)</f>
        <v>0</v>
      </c>
      <c r="K119" s="304" t="str">
        <f>VLOOKUP(B119,'26MY_ACCORD_DATA'!B:AS,14,FALSE)</f>
        <v>•</v>
      </c>
      <c r="L119" s="304">
        <f>VLOOKUP(B119,'26MY_ACCORD_DATA'!B:AS,15,FALSE)</f>
        <v>0</v>
      </c>
      <c r="M119" s="304" t="str">
        <f>VLOOKUP(B119,'26MY_ACCORD_DATA'!B:AS,16,FALSE)</f>
        <v>•</v>
      </c>
      <c r="N119" s="304" t="str">
        <f>VLOOKUP(B119,'26MY_ACCORD_DATA'!B:AS,17,FALSE)</f>
        <v>•</v>
      </c>
      <c r="O119" s="304">
        <f>VLOOKUP(B119,'26MY_ACCORD_DATA'!B:AS,18,FALSE)</f>
        <v>0</v>
      </c>
      <c r="P119" s="304">
        <f>VLOOKUP(B119,'26MY_ACCORD_DATA'!B:AS,19,FALSE)</f>
        <v>0</v>
      </c>
      <c r="Q119" s="305" t="str">
        <f>IF(VLOOKUP(B119,'26MY_ACCORD_DATA'!B:AS,20,FALSE)="","",VLOOKUP(B119,'26MY_ACCORD_DATA'!B:AS,20,FALSE))</f>
        <v/>
      </c>
    </row>
    <row r="120" spans="2:17" s="136" customFormat="1" ht="15" customHeight="1">
      <c r="B120" s="281" t="s">
        <v>308</v>
      </c>
      <c r="C120" s="177" t="str">
        <f>VLOOKUP(B120,'26MY_ACCORD_DATA'!B:AS,3,FALSE)</f>
        <v>Cargo Net</v>
      </c>
      <c r="D120" s="79" t="str">
        <f t="shared" si="24"/>
        <v>08L96-TVA-300</v>
      </c>
      <c r="E120" s="302">
        <f>VLOOKUP(B120,'26MY_ACCORD_DATA'!B:AS,9,FALSE)</f>
        <v>26.99</v>
      </c>
      <c r="F120" s="302">
        <f>VLOOKUP(B120,'26MY_ACCORD_DATA'!B:AS,10,FALSE)</f>
        <v>58</v>
      </c>
      <c r="G120" s="306">
        <f>VLOOKUP(B120,'26MY_ACCORD_DATA'!B:AS,7,FALSE)</f>
        <v>0.4</v>
      </c>
      <c r="H120" s="301">
        <f>VLOOKUP(B120,'26MY_ACCORD_DATA'!B:AS,11,FALSE)</f>
        <v>130.4</v>
      </c>
      <c r="I120" s="304">
        <f>VLOOKUP(B120,'26MY_ACCORD_DATA'!B:AS,12,FALSE)</f>
        <v>0</v>
      </c>
      <c r="J120" s="304">
        <f>VLOOKUP(B120,'26MY_ACCORD_DATA'!B:AS,13,FALSE)</f>
        <v>0</v>
      </c>
      <c r="K120" s="304" t="str">
        <f>VLOOKUP(B120,'26MY_ACCORD_DATA'!B:AS,14,FALSE)</f>
        <v>•</v>
      </c>
      <c r="L120" s="304">
        <f>VLOOKUP(B120,'26MY_ACCORD_DATA'!B:AS,15,FALSE)</f>
        <v>0</v>
      </c>
      <c r="M120" s="304" t="str">
        <f>VLOOKUP(B120,'26MY_ACCORD_DATA'!B:AS,16,FALSE)</f>
        <v>•</v>
      </c>
      <c r="N120" s="304" t="str">
        <f>VLOOKUP(B120,'26MY_ACCORD_DATA'!B:AS,17,FALSE)</f>
        <v>•</v>
      </c>
      <c r="O120" s="304">
        <f>VLOOKUP(B120,'26MY_ACCORD_DATA'!B:AS,18,FALSE)</f>
        <v>0</v>
      </c>
      <c r="P120" s="304">
        <f>VLOOKUP(B120,'26MY_ACCORD_DATA'!B:AS,19,FALSE)</f>
        <v>0</v>
      </c>
      <c r="Q120" s="305" t="str">
        <f>IF(VLOOKUP(B120,'26MY_ACCORD_DATA'!B:AS,20,FALSE)="","",VLOOKUP(B120,'26MY_ACCORD_DATA'!B:AS,20,FALSE))</f>
        <v/>
      </c>
    </row>
    <row r="121" spans="2:17" s="136" customFormat="1" ht="15" customHeight="1">
      <c r="B121" s="281" t="s">
        <v>309</v>
      </c>
      <c r="C121" s="177" t="str">
        <f>VLOOKUP(B121,'26MY_ACCORD_DATA'!B:AS,3,FALSE)</f>
        <v>Door Sill Protection Film</v>
      </c>
      <c r="D121" s="79" t="str">
        <f t="shared" si="24"/>
        <v>08P04-30A-100</v>
      </c>
      <c r="E121" s="302">
        <f>VLOOKUP(B121,'26MY_ACCORD_DATA'!B:AS,9,FALSE)</f>
        <v>106</v>
      </c>
      <c r="F121" s="302">
        <f>VLOOKUP(B121,'26MY_ACCORD_DATA'!B:AS,10,FALSE)</f>
        <v>177</v>
      </c>
      <c r="G121" s="306">
        <f>VLOOKUP(B121,'26MY_ACCORD_DATA'!B:AS,7,FALSE)</f>
        <v>0.4</v>
      </c>
      <c r="H121" s="301">
        <f>VLOOKUP(B121,'26MY_ACCORD_DATA'!B:AS,11,FALSE)</f>
        <v>249.4</v>
      </c>
      <c r="I121" s="304">
        <f>VLOOKUP(B121,'26MY_ACCORD_DATA'!B:AS,12,FALSE)</f>
        <v>0</v>
      </c>
      <c r="J121" s="304">
        <f>VLOOKUP(B121,'26MY_ACCORD_DATA'!B:AS,13,FALSE)</f>
        <v>0</v>
      </c>
      <c r="K121" s="304" t="str">
        <f>VLOOKUP(B121,'26MY_ACCORD_DATA'!B:AS,14,FALSE)</f>
        <v>•</v>
      </c>
      <c r="L121" s="304">
        <f>VLOOKUP(B121,'26MY_ACCORD_DATA'!B:AS,15,FALSE)</f>
        <v>0</v>
      </c>
      <c r="M121" s="304" t="str">
        <f>VLOOKUP(B121,'26MY_ACCORD_DATA'!B:AS,16,FALSE)</f>
        <v>•</v>
      </c>
      <c r="N121" s="304" t="str">
        <f>VLOOKUP(B121,'26MY_ACCORD_DATA'!B:AS,17,FALSE)</f>
        <v>•</v>
      </c>
      <c r="O121" s="304">
        <f>VLOOKUP(B121,'26MY_ACCORD_DATA'!B:AS,18,FALSE)</f>
        <v>0</v>
      </c>
      <c r="P121" s="304">
        <f>VLOOKUP(B121,'26MY_ACCORD_DATA'!B:AS,19,FALSE)</f>
        <v>0</v>
      </c>
      <c r="Q121" s="305" t="str">
        <f>IF(VLOOKUP(B121,'26MY_ACCORD_DATA'!B:AS,20,FALSE)="","",VLOOKUP(B121,'26MY_ACCORD_DATA'!B:AS,20,FALSE))</f>
        <v/>
      </c>
    </row>
    <row r="122" spans="2:17" s="136" customFormat="1" ht="15" customHeight="1">
      <c r="B122" s="281" t="s">
        <v>310</v>
      </c>
      <c r="C122" s="177" t="str">
        <f>VLOOKUP(B122,'26MY_ACCORD_DATA'!B:AS,3,FALSE)</f>
        <v>Rear Window Shade</v>
      </c>
      <c r="D122" s="79" t="str">
        <f t="shared" si="24"/>
        <v>08R13-30A-100</v>
      </c>
      <c r="E122" s="302">
        <f>VLOOKUP(B122,'26MY_ACCORD_DATA'!B:AS,9,FALSE)</f>
        <v>180</v>
      </c>
      <c r="F122" s="302">
        <f>VLOOKUP(B122,'26MY_ACCORD_DATA'!B:AS,10,FALSE)</f>
        <v>300</v>
      </c>
      <c r="G122" s="306">
        <f>VLOOKUP(B122,'26MY_ACCORD_DATA'!B:AS,7,FALSE)</f>
        <v>0.5</v>
      </c>
      <c r="H122" s="301">
        <f>VLOOKUP(B122,'26MY_ACCORD_DATA'!B:AS,11,FALSE)</f>
        <v>390.5</v>
      </c>
      <c r="I122" s="304">
        <f>VLOOKUP(B122,'26MY_ACCORD_DATA'!B:AS,12,FALSE)</f>
        <v>0</v>
      </c>
      <c r="J122" s="304">
        <f>VLOOKUP(B122,'26MY_ACCORD_DATA'!B:AS,13,FALSE)</f>
        <v>0</v>
      </c>
      <c r="K122" s="304" t="str">
        <f>VLOOKUP(B122,'26MY_ACCORD_DATA'!B:AS,14,FALSE)</f>
        <v>•</v>
      </c>
      <c r="L122" s="304">
        <f>VLOOKUP(B122,'26MY_ACCORD_DATA'!B:AS,15,FALSE)</f>
        <v>0</v>
      </c>
      <c r="M122" s="304" t="str">
        <f>VLOOKUP(B122,'26MY_ACCORD_DATA'!B:AS,16,FALSE)</f>
        <v>•</v>
      </c>
      <c r="N122" s="304" t="str">
        <f>VLOOKUP(B122,'26MY_ACCORD_DATA'!B:AS,17,FALSE)</f>
        <v>•</v>
      </c>
      <c r="O122" s="304">
        <f>VLOOKUP(B122,'26MY_ACCORD_DATA'!B:AS,18,FALSE)</f>
        <v>0</v>
      </c>
      <c r="P122" s="304">
        <f>VLOOKUP(B122,'26MY_ACCORD_DATA'!B:AS,19,FALSE)</f>
        <v>0</v>
      </c>
      <c r="Q122" s="305" t="str">
        <f>IF(VLOOKUP(B122,'26MY_ACCORD_DATA'!B:AS,20,FALSE)="","",VLOOKUP(B122,'26MY_ACCORD_DATA'!B:AS,20,FALSE))</f>
        <v/>
      </c>
    </row>
    <row r="123" spans="2:17" s="136" customFormat="1" ht="15" customHeight="1">
      <c r="B123" s="281" t="s">
        <v>301</v>
      </c>
      <c r="C123" s="177" t="str">
        <f>VLOOKUP(B123,'26MY_ACCORD_DATA'!B:AS,3,FALSE)</f>
        <v>Ashtray</v>
      </c>
      <c r="D123" s="79" t="str">
        <f t="shared" si="24"/>
        <v>08U25-STK-413</v>
      </c>
      <c r="E123" s="302">
        <f>VLOOKUP(B123,'26MY_ACCORD_DATA'!B:AS,9,FALSE)</f>
        <v>41</v>
      </c>
      <c r="F123" s="302">
        <f>VLOOKUP(B123,'26MY_ACCORD_DATA'!B:AS,10,FALSE)</f>
        <v>68</v>
      </c>
      <c r="G123" s="306">
        <f>VLOOKUP(B123,'26MY_ACCORD_DATA'!B:AS,7,FALSE)</f>
        <v>0</v>
      </c>
      <c r="H123" s="301">
        <f>VLOOKUP(B123,'26MY_ACCORD_DATA'!B:AS,11,FALSE)</f>
        <v>68</v>
      </c>
      <c r="I123" s="304">
        <f>VLOOKUP(B123,'26MY_ACCORD_DATA'!B:AS,12,FALSE)</f>
        <v>0</v>
      </c>
      <c r="J123" s="304">
        <f>VLOOKUP(B123,'26MY_ACCORD_DATA'!B:AS,13,FALSE)</f>
        <v>0</v>
      </c>
      <c r="K123" s="304" t="str">
        <f>VLOOKUP(B123,'26MY_ACCORD_DATA'!B:AS,14,FALSE)</f>
        <v>•</v>
      </c>
      <c r="L123" s="304">
        <f>VLOOKUP(B123,'26MY_ACCORD_DATA'!B:AS,15,FALSE)</f>
        <v>0</v>
      </c>
      <c r="M123" s="304" t="str">
        <f>VLOOKUP(B123,'26MY_ACCORD_DATA'!B:AS,16,FALSE)</f>
        <v>•</v>
      </c>
      <c r="N123" s="304" t="str">
        <f>VLOOKUP(B123,'26MY_ACCORD_DATA'!B:AS,17,FALSE)</f>
        <v>•</v>
      </c>
      <c r="O123" s="304">
        <f>VLOOKUP(B123,'26MY_ACCORD_DATA'!B:AS,18,FALSE)</f>
        <v>0</v>
      </c>
      <c r="P123" s="304">
        <f>VLOOKUP(B123,'26MY_ACCORD_DATA'!B:AS,19,FALSE)</f>
        <v>0</v>
      </c>
      <c r="Q123" s="305" t="str">
        <f>IF(VLOOKUP(B123,'26MY_ACCORD_DATA'!B:AS,20,FALSE)="","",VLOOKUP(B123,'26MY_ACCORD_DATA'!B:AS,20,FALSE))</f>
        <v/>
      </c>
    </row>
    <row r="124" spans="2:17" s="136" customFormat="1" ht="12" customHeight="1">
      <c r="B124" s="281"/>
      <c r="C124" s="19"/>
      <c r="D124" s="27"/>
      <c r="E124" s="21"/>
      <c r="F124" s="21"/>
      <c r="G124" s="22"/>
      <c r="H124" s="23"/>
      <c r="I124" s="24"/>
      <c r="J124" s="24"/>
      <c r="K124" s="24"/>
      <c r="L124" s="24"/>
      <c r="M124" s="24"/>
      <c r="N124" s="24"/>
      <c r="O124" s="24"/>
      <c r="P124" s="24"/>
      <c r="Q124" s="25"/>
    </row>
    <row r="125" spans="2:17" s="134" customFormat="1" ht="18">
      <c r="B125" s="283"/>
      <c r="C125" s="153" t="s">
        <v>66</v>
      </c>
      <c r="D125" s="153"/>
      <c r="E125" s="48"/>
      <c r="F125" s="49"/>
      <c r="G125" s="49"/>
      <c r="H125" s="49"/>
      <c r="I125" s="49"/>
      <c r="J125" s="49"/>
      <c r="K125" s="49"/>
      <c r="L125" s="49"/>
      <c r="M125" s="49"/>
      <c r="N125" s="49"/>
      <c r="O125" s="49"/>
      <c r="P125" s="49"/>
      <c r="Q125" s="49"/>
    </row>
    <row r="126" spans="2:17" s="135" customFormat="1" ht="15" customHeight="1">
      <c r="B126" s="282"/>
      <c r="C126" s="377" t="s">
        <v>61</v>
      </c>
      <c r="D126" s="377" t="s">
        <v>10</v>
      </c>
      <c r="E126" s="377" t="s">
        <v>17</v>
      </c>
      <c r="F126" s="377" t="s">
        <v>11</v>
      </c>
      <c r="G126" s="377" t="s">
        <v>12</v>
      </c>
      <c r="H126" s="378" t="s">
        <v>13</v>
      </c>
      <c r="I126" s="176"/>
      <c r="J126" s="377" t="s">
        <v>25</v>
      </c>
      <c r="K126" s="377"/>
      <c r="L126" s="377"/>
      <c r="M126" s="377"/>
      <c r="N126" s="377"/>
      <c r="O126" s="377"/>
      <c r="P126" s="377"/>
      <c r="Q126" s="377" t="s">
        <v>14</v>
      </c>
    </row>
    <row r="127" spans="2:17" s="135" customFormat="1" ht="28.8">
      <c r="B127" s="282"/>
      <c r="C127" s="377"/>
      <c r="D127" s="377"/>
      <c r="E127" s="377"/>
      <c r="F127" s="377"/>
      <c r="G127" s="377"/>
      <c r="H127" s="378"/>
      <c r="I127" s="176">
        <f>'26MY_ACCORD_DATA'!$M$7</f>
        <v>0</v>
      </c>
      <c r="J127" s="176">
        <f>'26MY_ACCORD_DATA'!$M$7</f>
        <v>0</v>
      </c>
      <c r="K127" s="176" t="str">
        <f>'26MY_ACCORD_DATA'!$O$7</f>
        <v>SE</v>
      </c>
      <c r="L127" s="176">
        <f>'26MY_ACCORD_DATA'!$P$7</f>
        <v>0</v>
      </c>
      <c r="M127" s="176" t="str">
        <f>'26MY_ACCORD_DATA'!$Q$7</f>
        <v>Sport -L Hybrid</v>
      </c>
      <c r="N127" s="176" t="str">
        <f>'26MY_ACCORD_DATA'!$R$7</f>
        <v>Touring Hybrid</v>
      </c>
      <c r="O127" s="176">
        <f>'26MY_ACCORD_DATA'!$T$7</f>
        <v>0</v>
      </c>
      <c r="P127" s="176">
        <f>'26MY_ACCORD_DATA'!$T$7</f>
        <v>0</v>
      </c>
      <c r="Q127" s="377"/>
    </row>
    <row r="128" spans="2:17" s="136" customFormat="1" ht="15" customHeight="1">
      <c r="B128" s="281" t="s">
        <v>316</v>
      </c>
      <c r="C128" s="177" t="str">
        <f>VLOOKUP(B128,'26MY_ACCORD_DATA'!B:AS,3,FALSE)</f>
        <v>Illuminated Door Sill Trim</v>
      </c>
      <c r="D128" s="79" t="str">
        <f t="shared" ref="D128" si="25">B128</f>
        <v>08E12-30A-110</v>
      </c>
      <c r="E128" s="302">
        <f>VLOOKUP(B128,'26MY_ACCORD_DATA'!B:AS,9,FALSE)</f>
        <v>302</v>
      </c>
      <c r="F128" s="302">
        <f>VLOOKUP(B128,'26MY_ACCORD_DATA'!B:AS,10,FALSE)</f>
        <v>465</v>
      </c>
      <c r="G128" s="306">
        <f>VLOOKUP(B128,'26MY_ACCORD_DATA'!B:AS,7,FALSE)</f>
        <v>1.4</v>
      </c>
      <c r="H128" s="301">
        <f>VLOOKUP(B128,'26MY_ACCORD_DATA'!B:AS,11,FALSE)</f>
        <v>718.4</v>
      </c>
      <c r="I128" s="304">
        <f>VLOOKUP(B128,'26MY_ACCORD_DATA'!B:AS,12,FALSE)</f>
        <v>0</v>
      </c>
      <c r="J128" s="304">
        <f>VLOOKUP(B128,'26MY_ACCORD_DATA'!B:AS,13,FALSE)</f>
        <v>0</v>
      </c>
      <c r="K128" s="304" t="str">
        <f>VLOOKUP(B128,'26MY_ACCORD_DATA'!B:AS,14,FALSE)</f>
        <v>•</v>
      </c>
      <c r="L128" s="304">
        <f>VLOOKUP(B128,'26MY_ACCORD_DATA'!B:AS,15,FALSE)</f>
        <v>0</v>
      </c>
      <c r="M128" s="304" t="str">
        <f>VLOOKUP(B128,'26MY_ACCORD_DATA'!B:AS,16,FALSE)</f>
        <v>•</v>
      </c>
      <c r="N128" s="304" t="str">
        <f>VLOOKUP(B128,'26MY_ACCORD_DATA'!B:AS,17,FALSE)</f>
        <v>•</v>
      </c>
      <c r="O128" s="304">
        <f>VLOOKUP(B128,'26MY_ACCORD_DATA'!B:AS,18,FALSE)</f>
        <v>0</v>
      </c>
      <c r="P128" s="304">
        <f>VLOOKUP(B128,'26MY_ACCORD_DATA'!B:AS,19,FALSE)</f>
        <v>0</v>
      </c>
      <c r="Q128" s="332" t="str">
        <f>IF(VLOOKUP(B128,'26MY_ACCORD_DATA'!B:AS,20,FALSE)="","",VLOOKUP(B128,'26MY_ACCORD_DATA'!B:AS,20,FALSE))</f>
        <v>Requires Illuminated Door Sill Trim Attachment. 08E12-30A-100A</v>
      </c>
    </row>
    <row r="129" spans="2:20" s="136" customFormat="1" ht="15" customHeight="1">
      <c r="B129" s="281" t="s">
        <v>317</v>
      </c>
      <c r="C129" s="177" t="str">
        <f>VLOOKUP(B129,'26MY_ACCORD_DATA'!B:AS,3,FALSE)</f>
        <v>Illuminated Door Sill Trim Attachment</v>
      </c>
      <c r="D129" s="79" t="str">
        <f t="shared" ref="D129:D135" si="26">B129</f>
        <v>08E12-30A-100A</v>
      </c>
      <c r="E129" s="302">
        <f>VLOOKUP(B129,'26MY_ACCORD_DATA'!B:AS,9,FALSE)</f>
        <v>66</v>
      </c>
      <c r="F129" s="302">
        <f>VLOOKUP(B129,'26MY_ACCORD_DATA'!B:AS,10,FALSE)</f>
        <v>94</v>
      </c>
      <c r="G129" s="306">
        <f>VLOOKUP(B129,'26MY_ACCORD_DATA'!B:AS,7,FALSE)</f>
        <v>0</v>
      </c>
      <c r="H129" s="301">
        <f>VLOOKUP(B129,'26MY_ACCORD_DATA'!B:AS,11,FALSE)</f>
        <v>94</v>
      </c>
      <c r="I129" s="304">
        <f>VLOOKUP(B129,'26MY_ACCORD_DATA'!B:AS,12,FALSE)</f>
        <v>0</v>
      </c>
      <c r="J129" s="304">
        <f>VLOOKUP(B129,'26MY_ACCORD_DATA'!B:AS,13,FALSE)</f>
        <v>0</v>
      </c>
      <c r="K129" s="304" t="str">
        <f>VLOOKUP(B129,'26MY_ACCORD_DATA'!B:AS,14,FALSE)</f>
        <v>•</v>
      </c>
      <c r="L129" s="304">
        <f>VLOOKUP(B129,'26MY_ACCORD_DATA'!B:AS,15,FALSE)</f>
        <v>0</v>
      </c>
      <c r="M129" s="304" t="str">
        <f>VLOOKUP(B129,'26MY_ACCORD_DATA'!B:AS,16,FALSE)</f>
        <v>•</v>
      </c>
      <c r="N129" s="304" t="str">
        <f>VLOOKUP(B129,'26MY_ACCORD_DATA'!B:AS,17,FALSE)</f>
        <v>•</v>
      </c>
      <c r="O129" s="304">
        <f>VLOOKUP(B129,'26MY_ACCORD_DATA'!B:AS,18,FALSE)</f>
        <v>0</v>
      </c>
      <c r="P129" s="304">
        <f>VLOOKUP(B129,'26MY_ACCORD_DATA'!B:AS,19,FALSE)</f>
        <v>0</v>
      </c>
      <c r="Q129" s="332" t="str">
        <f>IF(VLOOKUP(B129,'26MY_ACCORD_DATA'!B:AS,20,FALSE)="","",VLOOKUP(B129,'26MY_ACCORD_DATA'!B:AS,20,FALSE))</f>
        <v/>
      </c>
    </row>
    <row r="130" spans="2:20" s="136" customFormat="1" ht="15" customHeight="1">
      <c r="B130" s="281" t="s">
        <v>318</v>
      </c>
      <c r="C130" s="177" t="str">
        <f>VLOOKUP(B130,'26MY_ACCORD_DATA'!B:AS,3,FALSE)</f>
        <v>Auto Day/Night Mirror with Home Link</v>
      </c>
      <c r="D130" s="79" t="str">
        <f t="shared" ref="D130:D131" si="27">B130</f>
        <v>08V03-3A0-100</v>
      </c>
      <c r="E130" s="302">
        <f>VLOOKUP(B130,'26MY_ACCORD_DATA'!B:AS,9,FALSE)</f>
        <v>324</v>
      </c>
      <c r="F130" s="302">
        <f>VLOOKUP(B130,'26MY_ACCORD_DATA'!B:AS,10,FALSE)</f>
        <v>463</v>
      </c>
      <c r="G130" s="306">
        <f>VLOOKUP(B130,'26MY_ACCORD_DATA'!B:AS,7,FALSE)</f>
        <v>0.2</v>
      </c>
      <c r="H130" s="301">
        <f>VLOOKUP(B130,'26MY_ACCORD_DATA'!B:AS,11,FALSE)</f>
        <v>499.2</v>
      </c>
      <c r="I130" s="304">
        <f>VLOOKUP(B130,'26MY_ACCORD_DATA'!B:AS,12,FALSE)</f>
        <v>0</v>
      </c>
      <c r="J130" s="304">
        <f>VLOOKUP(B130,'26MY_ACCORD_DATA'!B:AS,13,FALSE)</f>
        <v>0</v>
      </c>
      <c r="K130" s="304" t="str">
        <f>VLOOKUP(B130,'26MY_ACCORD_DATA'!B:AS,14,FALSE)</f>
        <v>•</v>
      </c>
      <c r="L130" s="304">
        <f>VLOOKUP(B130,'26MY_ACCORD_DATA'!B:AS,15,FALSE)</f>
        <v>0</v>
      </c>
      <c r="M130" s="304" t="str">
        <f>VLOOKUP(B130,'26MY_ACCORD_DATA'!B:AS,16,FALSE)</f>
        <v>•</v>
      </c>
      <c r="N130" s="304" t="str">
        <f>VLOOKUP(B130,'26MY_ACCORD_DATA'!B:AS,17,FALSE)</f>
        <v>•</v>
      </c>
      <c r="O130" s="304">
        <f>VLOOKUP(B130,'26MY_ACCORD_DATA'!B:AS,18,FALSE)</f>
        <v>0</v>
      </c>
      <c r="P130" s="304">
        <f>VLOOKUP(B130,'26MY_ACCORD_DATA'!B:AS,19,FALSE)</f>
        <v>0</v>
      </c>
      <c r="Q130" s="332" t="str">
        <f>IF(VLOOKUP(B130,'26MY_ACCORD_DATA'!B:AS,20,FALSE)="","",VLOOKUP(B130,'26MY_ACCORD_DATA'!B:AS,20,FALSE))</f>
        <v>Requires Auto Day/Night Mirror Attachment. 08V03-30A-100</v>
      </c>
    </row>
    <row r="131" spans="2:20" s="136" customFormat="1" ht="15" customHeight="1">
      <c r="B131" s="281" t="s">
        <v>319</v>
      </c>
      <c r="C131" s="177" t="str">
        <f>VLOOKUP(B131,'26MY_ACCORD_DATA'!B:AS,3,FALSE)</f>
        <v>Auto Day/Night Mirror Attachment</v>
      </c>
      <c r="D131" s="79" t="str">
        <f t="shared" si="27"/>
        <v>08V03-30A-100</v>
      </c>
      <c r="E131" s="302">
        <f>VLOOKUP(B131,'26MY_ACCORD_DATA'!B:AS,9,FALSE)</f>
        <v>70</v>
      </c>
      <c r="F131" s="302">
        <f>VLOOKUP(B131,'26MY_ACCORD_DATA'!B:AS,10,FALSE)</f>
        <v>117</v>
      </c>
      <c r="G131" s="306">
        <f>VLOOKUP(B131,'26MY_ACCORD_DATA'!B:AS,7,FALSE)</f>
        <v>0.6</v>
      </c>
      <c r="H131" s="301">
        <f>VLOOKUP(B131,'26MY_ACCORD_DATA'!B:AS,11,FALSE)</f>
        <v>225.6</v>
      </c>
      <c r="I131" s="304">
        <f>VLOOKUP(B131,'26MY_ACCORD_DATA'!B:AS,12,FALSE)</f>
        <v>0</v>
      </c>
      <c r="J131" s="304">
        <f>VLOOKUP(B131,'26MY_ACCORD_DATA'!B:AS,13,FALSE)</f>
        <v>0</v>
      </c>
      <c r="K131" s="304" t="str">
        <f>VLOOKUP(B131,'26MY_ACCORD_DATA'!B:AS,14,FALSE)</f>
        <v>•</v>
      </c>
      <c r="L131" s="304">
        <f>VLOOKUP(B131,'26MY_ACCORD_DATA'!B:AS,15,FALSE)</f>
        <v>0</v>
      </c>
      <c r="M131" s="304" t="str">
        <f>VLOOKUP(B131,'26MY_ACCORD_DATA'!B:AS,16,FALSE)</f>
        <v>•</v>
      </c>
      <c r="N131" s="304" t="str">
        <f>VLOOKUP(B131,'26MY_ACCORD_DATA'!B:AS,17,FALSE)</f>
        <v>•</v>
      </c>
      <c r="O131" s="304">
        <f>VLOOKUP(B131,'26MY_ACCORD_DATA'!B:AS,18,FALSE)</f>
        <v>0</v>
      </c>
      <c r="P131" s="304">
        <f>VLOOKUP(B131,'26MY_ACCORD_DATA'!B:AS,19,FALSE)</f>
        <v>0</v>
      </c>
      <c r="Q131" s="332" t="str">
        <f>IF(VLOOKUP(B131,'26MY_ACCORD_DATA'!B:AS,20,FALSE)="","",VLOOKUP(B131,'26MY_ACCORD_DATA'!B:AS,20,FALSE))</f>
        <v/>
      </c>
    </row>
    <row r="132" spans="2:20" s="136" customFormat="1" ht="15" customHeight="1">
      <c r="B132" s="281" t="s">
        <v>333</v>
      </c>
      <c r="C132" s="177" t="str">
        <f>VLOOKUP(B132,'26MY_ACCORD_DATA'!B:AS,3,FALSE)</f>
        <v>Engine Block Heater</v>
      </c>
      <c r="D132" s="79" t="str">
        <f t="shared" si="26"/>
        <v>08T44-30A-300A</v>
      </c>
      <c r="E132" s="302">
        <f>VLOOKUP(B132,'26MY_ACCORD_DATA'!B:AS,9,FALSE)</f>
        <v>144</v>
      </c>
      <c r="F132" s="302">
        <f>VLOOKUP(B132,'26MY_ACCORD_DATA'!B:AS,10,FALSE)</f>
        <v>240</v>
      </c>
      <c r="G132" s="306">
        <f>VLOOKUP(B132,'26MY_ACCORD_DATA'!B:AS,7,FALSE)</f>
        <v>1.2</v>
      </c>
      <c r="H132" s="301">
        <f>VLOOKUP(B132,'26MY_ACCORD_DATA'!B:AS,11,FALSE)</f>
        <v>457.2</v>
      </c>
      <c r="I132" s="304">
        <f>VLOOKUP(B132,'26MY_ACCORD_DATA'!B:AS,12,FALSE)</f>
        <v>0</v>
      </c>
      <c r="J132" s="304">
        <f>VLOOKUP(B132,'26MY_ACCORD_DATA'!B:AS,13,FALSE)</f>
        <v>0</v>
      </c>
      <c r="K132" s="304" t="str">
        <f>VLOOKUP(B132,'26MY_ACCORD_DATA'!B:AS,14,FALSE)</f>
        <v>•</v>
      </c>
      <c r="L132" s="304">
        <f>VLOOKUP(B132,'26MY_ACCORD_DATA'!B:AS,15,FALSE)</f>
        <v>0</v>
      </c>
      <c r="M132" s="304" t="str">
        <f>VLOOKUP(B132,'26MY_ACCORD_DATA'!B:AS,16,FALSE)</f>
        <v>N/A</v>
      </c>
      <c r="N132" s="304" t="str">
        <f>VLOOKUP(B132,'26MY_ACCORD_DATA'!B:AS,17,FALSE)</f>
        <v>N/A</v>
      </c>
      <c r="O132" s="304">
        <f>VLOOKUP(B132,'26MY_ACCORD_DATA'!B:AS,18,FALSE)</f>
        <v>0</v>
      </c>
      <c r="P132" s="304">
        <f>VLOOKUP(B132,'26MY_ACCORD_DATA'!B:AS,19,FALSE)</f>
        <v>0</v>
      </c>
      <c r="Q132" s="332" t="str">
        <f>IF(VLOOKUP(B132,'26MY_ACCORD_DATA'!B:AS,20,FALSE)="","",VLOOKUP(B132,'26MY_ACCORD_DATA'!B:AS,20,FALSE))</f>
        <v/>
      </c>
    </row>
    <row r="133" spans="2:20" s="136" customFormat="1" ht="15" customHeight="1">
      <c r="B133" s="281" t="s">
        <v>334</v>
      </c>
      <c r="C133" s="177" t="str">
        <f>VLOOKUP(B133,'26MY_ACCORD_DATA'!B:AS,3,FALSE)</f>
        <v>Engine Block Heater</v>
      </c>
      <c r="D133" s="79" t="str">
        <f t="shared" ref="D133:D134" si="28">B133</f>
        <v>08T44-30B-300A</v>
      </c>
      <c r="E133" s="302">
        <f>VLOOKUP(B133,'26MY_ACCORD_DATA'!B:AS,9,FALSE)</f>
        <v>171</v>
      </c>
      <c r="F133" s="302">
        <f>VLOOKUP(B133,'26MY_ACCORD_DATA'!B:AS,10,FALSE)</f>
        <v>285</v>
      </c>
      <c r="G133" s="306">
        <f>VLOOKUP(B133,'26MY_ACCORD_DATA'!B:AS,7,FALSE)</f>
        <v>1.2</v>
      </c>
      <c r="H133" s="301">
        <f>VLOOKUP(B133,'26MY_ACCORD_DATA'!B:AS,11,FALSE)</f>
        <v>502.2</v>
      </c>
      <c r="I133" s="304">
        <f>VLOOKUP(B133,'26MY_ACCORD_DATA'!B:AS,12,FALSE)</f>
        <v>0</v>
      </c>
      <c r="J133" s="304">
        <f>VLOOKUP(B133,'26MY_ACCORD_DATA'!B:AS,13,FALSE)</f>
        <v>0</v>
      </c>
      <c r="K133" s="304" t="str">
        <f>VLOOKUP(B133,'26MY_ACCORD_DATA'!B:AS,14,FALSE)</f>
        <v>N/A</v>
      </c>
      <c r="L133" s="304">
        <f>VLOOKUP(B133,'26MY_ACCORD_DATA'!B:AS,15,FALSE)</f>
        <v>0</v>
      </c>
      <c r="M133" s="304" t="str">
        <f>VLOOKUP(B133,'26MY_ACCORD_DATA'!B:AS,16,FALSE)</f>
        <v>•</v>
      </c>
      <c r="N133" s="304" t="str">
        <f>VLOOKUP(B133,'26MY_ACCORD_DATA'!B:AS,17,FALSE)</f>
        <v>•</v>
      </c>
      <c r="O133" s="304">
        <f>VLOOKUP(B133,'26MY_ACCORD_DATA'!B:AS,18,FALSE)</f>
        <v>0</v>
      </c>
      <c r="P133" s="304">
        <f>VLOOKUP(B133,'26MY_ACCORD_DATA'!B:AS,19,FALSE)</f>
        <v>0</v>
      </c>
      <c r="Q133" s="332" t="str">
        <f>IF(VLOOKUP(B133,'26MY_ACCORD_DATA'!B:AS,20,FALSE)="","",VLOOKUP(B133,'26MY_ACCORD_DATA'!B:AS,20,FALSE))</f>
        <v/>
      </c>
    </row>
    <row r="134" spans="2:20" s="136" customFormat="1" ht="15" customHeight="1">
      <c r="B134" s="281" t="s">
        <v>26</v>
      </c>
      <c r="C134" s="177" t="str">
        <f>VLOOKUP(B134,'26MY_ACCORD_DATA'!B:AS,3,FALSE)</f>
        <v>Optimate 12V Auto Battery Charger/Maintainer</v>
      </c>
      <c r="D134" s="79" t="str">
        <f t="shared" si="28"/>
        <v>31670-BMS-004H</v>
      </c>
      <c r="E134" s="302">
        <f>VLOOKUP(B134,'26MY_ACCORD_DATA'!B:AS,9,FALSE)</f>
        <v>94</v>
      </c>
      <c r="F134" s="302">
        <f>VLOOKUP(B134,'26MY_ACCORD_DATA'!B:AS,10,FALSE)</f>
        <v>157</v>
      </c>
      <c r="G134" s="306">
        <f>VLOOKUP(B134,'26MY_ACCORD_DATA'!B:AS,7,FALSE)</f>
        <v>0</v>
      </c>
      <c r="H134" s="301">
        <f>VLOOKUP(B134,'26MY_ACCORD_DATA'!B:AS,11,FALSE)</f>
        <v>157</v>
      </c>
      <c r="I134" s="304">
        <f>VLOOKUP(B134,'26MY_ACCORD_DATA'!B:AS,12,FALSE)</f>
        <v>0</v>
      </c>
      <c r="J134" s="304">
        <f>VLOOKUP(B134,'26MY_ACCORD_DATA'!B:AS,13,FALSE)</f>
        <v>0</v>
      </c>
      <c r="K134" s="304" t="str">
        <f>VLOOKUP(B134,'26MY_ACCORD_DATA'!B:AS,14,FALSE)</f>
        <v>•</v>
      </c>
      <c r="L134" s="304">
        <f>VLOOKUP(B134,'26MY_ACCORD_DATA'!B:AS,15,FALSE)</f>
        <v>0</v>
      </c>
      <c r="M134" s="304" t="str">
        <f>VLOOKUP(B134,'26MY_ACCORD_DATA'!B:AS,16,FALSE)</f>
        <v>•</v>
      </c>
      <c r="N134" s="304" t="str">
        <f>VLOOKUP(B134,'26MY_ACCORD_DATA'!B:AS,17,FALSE)</f>
        <v>•</v>
      </c>
      <c r="O134" s="304">
        <f>VLOOKUP(B134,'26MY_ACCORD_DATA'!B:AS,18,FALSE)</f>
        <v>0</v>
      </c>
      <c r="P134" s="304">
        <f>VLOOKUP(B134,'26MY_ACCORD_DATA'!B:AS,19,FALSE)</f>
        <v>0</v>
      </c>
      <c r="Q134" s="332" t="str">
        <f>IF(VLOOKUP(B134,'26MY_ACCORD_DATA'!B:AS,20,FALSE)="","",VLOOKUP(B134,'26MY_ACCORD_DATA'!B:AS,20,FALSE))</f>
        <v/>
      </c>
    </row>
    <row r="135" spans="2:20" s="136" customFormat="1" ht="15" customHeight="1">
      <c r="B135" s="281" t="s">
        <v>322</v>
      </c>
      <c r="C135" s="177" t="str">
        <f>VLOOKUP(B135,'26MY_ACCORD_DATA'!B:AS,3,FALSE)</f>
        <v>Optimate Battery Lead</v>
      </c>
      <c r="D135" s="79" t="str">
        <f t="shared" si="26"/>
        <v>31670-BMS-LEAD</v>
      </c>
      <c r="E135" s="302">
        <f>VLOOKUP(B135,'26MY_ACCORD_DATA'!B:AS,9,FALSE)</f>
        <v>20</v>
      </c>
      <c r="F135" s="302">
        <f>VLOOKUP(B135,'26MY_ACCORD_DATA'!B:AS,10,FALSE)</f>
        <v>28</v>
      </c>
      <c r="G135" s="306">
        <f>VLOOKUP(B135,'26MY_ACCORD_DATA'!B:AS,7,FALSE)</f>
        <v>0</v>
      </c>
      <c r="H135" s="301">
        <f>VLOOKUP(B135,'26MY_ACCORD_DATA'!B:AS,11,FALSE)</f>
        <v>28</v>
      </c>
      <c r="I135" s="304">
        <f>VLOOKUP(B135,'26MY_ACCORD_DATA'!B:AS,12,FALSE)</f>
        <v>0</v>
      </c>
      <c r="J135" s="304">
        <f>VLOOKUP(B135,'26MY_ACCORD_DATA'!B:AS,13,FALSE)</f>
        <v>0</v>
      </c>
      <c r="K135" s="304" t="str">
        <f>VLOOKUP(B135,'26MY_ACCORD_DATA'!B:AS,14,FALSE)</f>
        <v>•</v>
      </c>
      <c r="L135" s="304">
        <f>VLOOKUP(B135,'26MY_ACCORD_DATA'!B:AS,15,FALSE)</f>
        <v>0</v>
      </c>
      <c r="M135" s="304" t="str">
        <f>VLOOKUP(B135,'26MY_ACCORD_DATA'!B:AS,16,FALSE)</f>
        <v>•</v>
      </c>
      <c r="N135" s="304" t="str">
        <f>VLOOKUP(B135,'26MY_ACCORD_DATA'!B:AS,17,FALSE)</f>
        <v>•</v>
      </c>
      <c r="O135" s="304">
        <f>VLOOKUP(B135,'26MY_ACCORD_DATA'!B:AS,18,FALSE)</f>
        <v>0</v>
      </c>
      <c r="P135" s="304">
        <f>VLOOKUP(B135,'26MY_ACCORD_DATA'!B:AS,19,FALSE)</f>
        <v>0</v>
      </c>
      <c r="Q135" s="332" t="str">
        <f>IF(VLOOKUP(B135,'26MY_ACCORD_DATA'!B:AS,20,FALSE)="","",VLOOKUP(B135,'26MY_ACCORD_DATA'!B:AS,20,FALSE))</f>
        <v/>
      </c>
    </row>
    <row r="136" spans="2:20" s="136" customFormat="1" ht="15" customHeight="1">
      <c r="B136" s="281"/>
      <c r="C136" s="137"/>
      <c r="D136" s="198"/>
      <c r="E136" s="133"/>
      <c r="F136" s="133"/>
      <c r="G136" s="199"/>
      <c r="H136" s="133"/>
      <c r="I136" s="133"/>
      <c r="J136" s="133"/>
      <c r="K136" s="133"/>
      <c r="L136" s="133"/>
      <c r="M136" s="133"/>
      <c r="N136" s="133"/>
      <c r="O136" s="133"/>
      <c r="P136" s="133"/>
      <c r="Q136" s="133"/>
    </row>
    <row r="137" spans="2:20" s="134" customFormat="1" ht="18">
      <c r="B137" s="281"/>
      <c r="C137" s="153" t="s">
        <v>65</v>
      </c>
      <c r="D137" s="153"/>
      <c r="E137" s="144"/>
      <c r="F137" s="144"/>
      <c r="G137" s="144"/>
      <c r="H137" s="144"/>
      <c r="I137" s="144"/>
      <c r="J137" s="144"/>
      <c r="K137" s="144"/>
      <c r="L137" s="144"/>
      <c r="M137" s="144"/>
      <c r="N137" s="144"/>
      <c r="O137" s="144"/>
      <c r="P137" s="144"/>
      <c r="Q137" s="144"/>
      <c r="T137" s="136"/>
    </row>
    <row r="138" spans="2:20" s="135" customFormat="1" ht="15" customHeight="1">
      <c r="B138" s="282"/>
      <c r="C138" s="377" t="s">
        <v>61</v>
      </c>
      <c r="D138" s="377" t="s">
        <v>10</v>
      </c>
      <c r="E138" s="377" t="s">
        <v>17</v>
      </c>
      <c r="F138" s="377" t="s">
        <v>11</v>
      </c>
      <c r="G138" s="377" t="s">
        <v>12</v>
      </c>
      <c r="H138" s="378" t="s">
        <v>13</v>
      </c>
      <c r="I138" s="176"/>
      <c r="J138" s="377" t="s">
        <v>25</v>
      </c>
      <c r="K138" s="377"/>
      <c r="L138" s="377"/>
      <c r="M138" s="377"/>
      <c r="N138" s="377"/>
      <c r="O138" s="377"/>
      <c r="P138" s="377"/>
      <c r="Q138" s="377" t="s">
        <v>14</v>
      </c>
      <c r="T138" s="134"/>
    </row>
    <row r="139" spans="2:20" s="135" customFormat="1" ht="28.8">
      <c r="B139" s="282"/>
      <c r="C139" s="377"/>
      <c r="D139" s="377"/>
      <c r="E139" s="377"/>
      <c r="F139" s="377"/>
      <c r="G139" s="377"/>
      <c r="H139" s="378"/>
      <c r="I139" s="176">
        <f>'26MY_ACCORD_DATA'!$M$7</f>
        <v>0</v>
      </c>
      <c r="J139" s="176">
        <f>'26MY_ACCORD_DATA'!$M$7</f>
        <v>0</v>
      </c>
      <c r="K139" s="176" t="str">
        <f>'26MY_ACCORD_DATA'!$O$7</f>
        <v>SE</v>
      </c>
      <c r="L139" s="176">
        <f>'26MY_ACCORD_DATA'!$P$7</f>
        <v>0</v>
      </c>
      <c r="M139" s="176" t="str">
        <f>'26MY_ACCORD_DATA'!$Q$7</f>
        <v>Sport -L Hybrid</v>
      </c>
      <c r="N139" s="176" t="str">
        <f>'26MY_ACCORD_DATA'!$R$7</f>
        <v>Touring Hybrid</v>
      </c>
      <c r="O139" s="176">
        <f>'26MY_ACCORD_DATA'!$T$7</f>
        <v>0</v>
      </c>
      <c r="P139" s="176">
        <f>'26MY_ACCORD_DATA'!$T$7</f>
        <v>0</v>
      </c>
      <c r="Q139" s="377"/>
    </row>
    <row r="140" spans="2:20" s="136" customFormat="1" ht="15" customHeight="1">
      <c r="B140" s="281" t="s">
        <v>220</v>
      </c>
      <c r="C140" s="177" t="str">
        <f>VLOOKUP(B140,'26MY_ACCORD_DATA'!B:AS,3,FALSE)</f>
        <v>Platinum White Pearl (NH-883P)</v>
      </c>
      <c r="D140" s="79" t="str">
        <f t="shared" ref="D140" si="29">B140</f>
        <v>TUCH-NH883P-A1</v>
      </c>
      <c r="E140" s="350">
        <f>VLOOKUP(B140,'26MY_ACCORD_DATA'!B:AS,9,FALSE)</f>
        <v>13.25</v>
      </c>
      <c r="F140" s="350">
        <f>VLOOKUP(B140,'26MY_ACCORD_DATA'!B:AS,10,FALSE)</f>
        <v>22</v>
      </c>
      <c r="G140" s="371">
        <f>VLOOKUP(B140,'26MY_ACCORD_DATA'!B:AS,7,FALSE)</f>
        <v>0</v>
      </c>
      <c r="H140" s="374">
        <f>VLOOKUP(B140,'26MY_ACCORD_DATA'!B:AS,11,FALSE)</f>
        <v>22</v>
      </c>
      <c r="I140" s="304">
        <f>VLOOKUP(B140,'26MY_ACCORD_DATA'!B:AS,12,FALSE)</f>
        <v>0</v>
      </c>
      <c r="J140" s="304">
        <f>VLOOKUP(B140,'26MY_ACCORD_DATA'!B:AS,13,FALSE)</f>
        <v>0</v>
      </c>
      <c r="K140" s="304" t="str">
        <f>VLOOKUP(B140,'26MY_ACCORD_DATA'!B:AS,14,FALSE)</f>
        <v>•</v>
      </c>
      <c r="L140" s="304">
        <f>VLOOKUP(B140,'26MY_ACCORD_DATA'!B:AS,15,FALSE)</f>
        <v>0</v>
      </c>
      <c r="M140" s="304" t="str">
        <f>VLOOKUP(B140,'26MY_ACCORD_DATA'!B:AS,16,FALSE)</f>
        <v>•</v>
      </c>
      <c r="N140" s="304" t="str">
        <f>VLOOKUP(B140,'26MY_ACCORD_DATA'!B:AS,17,FALSE)</f>
        <v>•</v>
      </c>
      <c r="O140" s="304">
        <f>VLOOKUP(B140,'26MY_ACCORD_DATA'!B:AS,18,FALSE)</f>
        <v>0</v>
      </c>
      <c r="P140" s="304">
        <f>VLOOKUP(B140,'26MY_ACCORD_DATA'!B:AS,19,FALSE)</f>
        <v>0</v>
      </c>
      <c r="Q140" s="368" t="str">
        <f>IF(VLOOKUP(B140,'26MY_ACCORD_DATA'!B:AS,20,FALSE)="","",VLOOKUP(B140,'26MY_ACCORD_DATA'!B:AS,20,FALSE))</f>
        <v/>
      </c>
      <c r="T140" s="135"/>
    </row>
    <row r="141" spans="2:20" s="136" customFormat="1" ht="15" customHeight="1">
      <c r="B141" s="283" t="s">
        <v>131</v>
      </c>
      <c r="C141" s="177" t="str">
        <f>VLOOKUP(B141,'26MY_ACCORD_DATA'!B:AS,3,FALSE)</f>
        <v>Meteoroid Gray Pearl (NH-904M)</v>
      </c>
      <c r="D141" s="79" t="str">
        <f t="shared" ref="D141:D145" si="30">B141</f>
        <v>TUCHNH904MA1</v>
      </c>
      <c r="E141" s="351"/>
      <c r="F141" s="351"/>
      <c r="G141" s="372"/>
      <c r="H141" s="375"/>
      <c r="I141" s="304">
        <f>VLOOKUP(B141,'26MY_ACCORD_DATA'!B:AS,12,FALSE)</f>
        <v>0</v>
      </c>
      <c r="J141" s="304">
        <f>VLOOKUP(B141,'26MY_ACCORD_DATA'!B:AS,13,FALSE)</f>
        <v>0</v>
      </c>
      <c r="K141" s="304" t="str">
        <f>VLOOKUP(B141,'26MY_ACCORD_DATA'!B:AS,14,FALSE)</f>
        <v>N/A</v>
      </c>
      <c r="L141" s="304">
        <f>VLOOKUP(B141,'26MY_ACCORD_DATA'!B:AS,15,FALSE)</f>
        <v>0</v>
      </c>
      <c r="M141" s="304" t="str">
        <f>VLOOKUP(B141,'26MY_ACCORD_DATA'!B:AS,16,FALSE)</f>
        <v>•</v>
      </c>
      <c r="N141" s="304" t="str">
        <f>VLOOKUP(B141,'26MY_ACCORD_DATA'!B:AS,17,FALSE)</f>
        <v>N/A</v>
      </c>
      <c r="O141" s="304">
        <f>VLOOKUP(B141,'26MY_ACCORD_DATA'!B:AS,18,FALSE)</f>
        <v>0</v>
      </c>
      <c r="P141" s="304">
        <f>VLOOKUP(B141,'26MY_ACCORD_DATA'!B:AS,19,FALSE)</f>
        <v>0</v>
      </c>
      <c r="Q141" s="369"/>
    </row>
    <row r="142" spans="2:20" s="136" customFormat="1" ht="15" customHeight="1">
      <c r="B142" s="282" t="s">
        <v>216</v>
      </c>
      <c r="C142" s="177" t="str">
        <f>VLOOKUP(B142,'26MY_ACCORD_DATA'!B:AS,3,FALSE)</f>
        <v>Urban Grey Pearl (NH-912P)</v>
      </c>
      <c r="D142" s="79" t="str">
        <f t="shared" si="30"/>
        <v>TUCHNH912PA1</v>
      </c>
      <c r="E142" s="351"/>
      <c r="F142" s="351"/>
      <c r="G142" s="372"/>
      <c r="H142" s="375"/>
      <c r="I142" s="304">
        <f>VLOOKUP(B142,'26MY_ACCORD_DATA'!B:AS,12,FALSE)</f>
        <v>0</v>
      </c>
      <c r="J142" s="304">
        <f>VLOOKUP(B142,'26MY_ACCORD_DATA'!B:AS,13,FALSE)</f>
        <v>0</v>
      </c>
      <c r="K142" s="304" t="str">
        <f>VLOOKUP(B142,'26MY_ACCORD_DATA'!B:AS,14,FALSE)</f>
        <v>N/A</v>
      </c>
      <c r="L142" s="304">
        <f>VLOOKUP(B142,'26MY_ACCORD_DATA'!B:AS,15,FALSE)</f>
        <v>0</v>
      </c>
      <c r="M142" s="304" t="str">
        <f>VLOOKUP(B142,'26MY_ACCORD_DATA'!B:AS,16,FALSE)</f>
        <v>N/A</v>
      </c>
      <c r="N142" s="304" t="str">
        <f>VLOOKUP(B142,'26MY_ACCORD_DATA'!B:AS,17,FALSE)</f>
        <v>•</v>
      </c>
      <c r="O142" s="304">
        <f>VLOOKUP(B142,'26MY_ACCORD_DATA'!B:AS,18,FALSE)</f>
        <v>0</v>
      </c>
      <c r="P142" s="304">
        <f>VLOOKUP(B142,'26MY_ACCORD_DATA'!B:AS,19,FALSE)</f>
        <v>0</v>
      </c>
      <c r="Q142" s="369"/>
    </row>
    <row r="143" spans="2:20" s="136" customFormat="1" ht="15" customHeight="1">
      <c r="B143" s="282" t="s">
        <v>219</v>
      </c>
      <c r="C143" s="177" t="str">
        <f>VLOOKUP(B143,'26MY_ACCORD_DATA'!B:AS,3,FALSE)</f>
        <v>Crystal Black Pearl (NH-731P)</v>
      </c>
      <c r="D143" s="79" t="str">
        <f t="shared" si="30"/>
        <v>TUCH-NH731P-A1</v>
      </c>
      <c r="E143" s="351"/>
      <c r="F143" s="351"/>
      <c r="G143" s="372"/>
      <c r="H143" s="375"/>
      <c r="I143" s="304">
        <f>VLOOKUP(B143,'26MY_ACCORD_DATA'!B:AS,12,FALSE)</f>
        <v>0</v>
      </c>
      <c r="J143" s="304">
        <f>VLOOKUP(B143,'26MY_ACCORD_DATA'!B:AS,13,FALSE)</f>
        <v>0</v>
      </c>
      <c r="K143" s="304" t="str">
        <f>VLOOKUP(B143,'26MY_ACCORD_DATA'!B:AS,14,FALSE)</f>
        <v>•</v>
      </c>
      <c r="L143" s="304">
        <f>VLOOKUP(B143,'26MY_ACCORD_DATA'!B:AS,15,FALSE)</f>
        <v>0</v>
      </c>
      <c r="M143" s="304" t="str">
        <f>VLOOKUP(B143,'26MY_ACCORD_DATA'!B:AS,16,FALSE)</f>
        <v>•</v>
      </c>
      <c r="N143" s="304" t="str">
        <f>VLOOKUP(B143,'26MY_ACCORD_DATA'!B:AS,17,FALSE)</f>
        <v>•</v>
      </c>
      <c r="O143" s="304">
        <f>VLOOKUP(B143,'26MY_ACCORD_DATA'!B:AS,18,FALSE)</f>
        <v>0</v>
      </c>
      <c r="P143" s="304">
        <f>VLOOKUP(B143,'26MY_ACCORD_DATA'!B:AS,19,FALSE)</f>
        <v>0</v>
      </c>
      <c r="Q143" s="369"/>
    </row>
    <row r="144" spans="2:20" s="136" customFormat="1" ht="15" customHeight="1">
      <c r="B144" s="281" t="s">
        <v>244</v>
      </c>
      <c r="C144" s="177" t="str">
        <f>VLOOKUP(B144,'26MY_ACCORD_DATA'!B:AS,3,FALSE)</f>
        <v>Radiant Red Metallic (R-569M)</v>
      </c>
      <c r="D144" s="79" t="str">
        <f t="shared" si="30"/>
        <v>TUCH-R569M-A1</v>
      </c>
      <c r="E144" s="351"/>
      <c r="F144" s="351"/>
      <c r="G144" s="372"/>
      <c r="H144" s="375"/>
      <c r="I144" s="304">
        <f>VLOOKUP(B144,'26MY_ACCORD_DATA'!B:AS,12,FALSE)</f>
        <v>0</v>
      </c>
      <c r="J144" s="304">
        <f>VLOOKUP(B144,'26MY_ACCORD_DATA'!B:AS,13,FALSE)</f>
        <v>0</v>
      </c>
      <c r="K144" s="304" t="str">
        <f>VLOOKUP(B144,'26MY_ACCORD_DATA'!B:AS,14,FALSE)</f>
        <v>N/A</v>
      </c>
      <c r="L144" s="304">
        <f>VLOOKUP(B144,'26MY_ACCORD_DATA'!B:AS,15,FALSE)</f>
        <v>0</v>
      </c>
      <c r="M144" s="304" t="str">
        <f>VLOOKUP(B144,'26MY_ACCORD_DATA'!B:AS,16,FALSE)</f>
        <v>•</v>
      </c>
      <c r="N144" s="304" t="str">
        <f>VLOOKUP(B144,'26MY_ACCORD_DATA'!B:AS,17,FALSE)</f>
        <v>•</v>
      </c>
      <c r="O144" s="304">
        <f>VLOOKUP(B144,'26MY_ACCORD_DATA'!B:AS,18,FALSE)</f>
        <v>0</v>
      </c>
      <c r="P144" s="304">
        <f>VLOOKUP(B144,'26MY_ACCORD_DATA'!B:AS,19,FALSE)</f>
        <v>0</v>
      </c>
      <c r="Q144" s="369"/>
    </row>
    <row r="145" spans="2:17" s="136" customFormat="1" ht="15" customHeight="1">
      <c r="B145" s="281" t="s">
        <v>247</v>
      </c>
      <c r="C145" s="177" t="str">
        <f>VLOOKUP(B145,'26MY_ACCORD_DATA'!B:AS,3,FALSE)</f>
        <v>Canyon River Blue Metallic (B-640M)</v>
      </c>
      <c r="D145" s="79" t="str">
        <f t="shared" si="30"/>
        <v>TUCH-B640M-A1</v>
      </c>
      <c r="E145" s="351"/>
      <c r="F145" s="351"/>
      <c r="G145" s="372"/>
      <c r="H145" s="375"/>
      <c r="I145" s="304">
        <f>VLOOKUP(B145,'26MY_ACCORD_DATA'!B:AS,12,FALSE)</f>
        <v>0</v>
      </c>
      <c r="J145" s="304">
        <f>VLOOKUP(B145,'26MY_ACCORD_DATA'!B:AS,13,FALSE)</f>
        <v>0</v>
      </c>
      <c r="K145" s="304" t="str">
        <f>VLOOKUP(B145,'26MY_ACCORD_DATA'!B:AS,14,FALSE)</f>
        <v>N/A</v>
      </c>
      <c r="L145" s="304">
        <f>VLOOKUP(B145,'26MY_ACCORD_DATA'!B:AS,15,FALSE)</f>
        <v>0</v>
      </c>
      <c r="M145" s="304" t="str">
        <f>VLOOKUP(B145,'26MY_ACCORD_DATA'!B:AS,16,FALSE)</f>
        <v>N/A</v>
      </c>
      <c r="N145" s="304" t="str">
        <f>VLOOKUP(B145,'26MY_ACCORD_DATA'!B:AS,17,FALSE)</f>
        <v>•</v>
      </c>
      <c r="O145" s="304">
        <f>VLOOKUP(B145,'26MY_ACCORD_DATA'!B:AS,18,FALSE)</f>
        <v>0</v>
      </c>
      <c r="P145" s="304">
        <f>VLOOKUP(B145,'26MY_ACCORD_DATA'!B:AS,19,FALSE)</f>
        <v>0</v>
      </c>
      <c r="Q145" s="369"/>
    </row>
    <row r="146" spans="2:17" s="136" customFormat="1" ht="15" customHeight="1">
      <c r="B146" s="281" t="s">
        <v>250</v>
      </c>
      <c r="C146" s="177" t="str">
        <f>VLOOKUP(B146,'26MY_ACCORD_DATA'!B:AS,3,FALSE)</f>
        <v>Still Night Pearl (B-575P)</v>
      </c>
      <c r="D146" s="79" t="str">
        <f t="shared" ref="D146:D147" si="31">B146</f>
        <v xml:space="preserve">TUCH-B575P-A1 </v>
      </c>
      <c r="E146" s="351"/>
      <c r="F146" s="351"/>
      <c r="G146" s="372"/>
      <c r="H146" s="375"/>
      <c r="I146" s="304">
        <f>VLOOKUP(B146,'26MY_ACCORD_DATA'!B:AS,12,FALSE)</f>
        <v>0</v>
      </c>
      <c r="J146" s="304">
        <f>VLOOKUP(B146,'26MY_ACCORD_DATA'!B:AS,13,FALSE)</f>
        <v>0</v>
      </c>
      <c r="K146" s="304" t="str">
        <f>VLOOKUP(B146,'26MY_ACCORD_DATA'!B:AS,14,FALSE)</f>
        <v>N/A</v>
      </c>
      <c r="L146" s="304">
        <f>VLOOKUP(B146,'26MY_ACCORD_DATA'!B:AS,15,FALSE)</f>
        <v>0</v>
      </c>
      <c r="M146" s="304" t="str">
        <f>VLOOKUP(B146,'26MY_ACCORD_DATA'!B:AS,16,FALSE)</f>
        <v>•</v>
      </c>
      <c r="N146" s="304" t="str">
        <f>VLOOKUP(B146,'26MY_ACCORD_DATA'!B:AS,17,FALSE)</f>
        <v>N/A</v>
      </c>
      <c r="O146" s="304">
        <f>VLOOKUP(B146,'26MY_ACCORD_DATA'!B:AS,18,FALSE)</f>
        <v>0</v>
      </c>
      <c r="P146" s="304">
        <f>VLOOKUP(B146,'26MY_ACCORD_DATA'!B:AS,19,FALSE)</f>
        <v>0</v>
      </c>
      <c r="Q146" s="369"/>
    </row>
    <row r="147" spans="2:17" s="136" customFormat="1" ht="15" customHeight="1">
      <c r="B147" s="281" t="s">
        <v>453</v>
      </c>
      <c r="C147" s="177" t="str">
        <f>VLOOKUP(B147,'26MY_ACCORD_DATA'!B:AS,3,FALSE)</f>
        <v>Solar Reflection Silver (NH-932M)</v>
      </c>
      <c r="D147" s="79" t="str">
        <f t="shared" si="31"/>
        <v>TUCH-NH932M-A1</v>
      </c>
      <c r="E147" s="352"/>
      <c r="F147" s="352"/>
      <c r="G147" s="373"/>
      <c r="H147" s="376"/>
      <c r="I147" s="304">
        <f>VLOOKUP(B147,'26MY_ACCORD_DATA'!B:AS,12,FALSE)</f>
        <v>0</v>
      </c>
      <c r="J147" s="304">
        <f>VLOOKUP(B147,'26MY_ACCORD_DATA'!B:AS,13,FALSE)</f>
        <v>0</v>
      </c>
      <c r="K147" s="304" t="str">
        <f>VLOOKUP(B147,'26MY_ACCORD_DATA'!B:AS,14,FALSE)</f>
        <v>•</v>
      </c>
      <c r="L147" s="304">
        <f>VLOOKUP(B147,'26MY_ACCORD_DATA'!B:AS,15,FALSE)</f>
        <v>0</v>
      </c>
      <c r="M147" s="304" t="str">
        <f>VLOOKUP(B147,'26MY_ACCORD_DATA'!B:AS,16,FALSE)</f>
        <v>•</v>
      </c>
      <c r="N147" s="304" t="str">
        <f>VLOOKUP(B147,'26MY_ACCORD_DATA'!B:AS,17,FALSE)</f>
        <v>•</v>
      </c>
      <c r="O147" s="304">
        <f>VLOOKUP(B147,'26MY_ACCORD_DATA'!B:AS,18,FALSE)</f>
        <v>0</v>
      </c>
      <c r="P147" s="304">
        <f>VLOOKUP(B147,'26MY_ACCORD_DATA'!B:AS,19,FALSE)</f>
        <v>0</v>
      </c>
      <c r="Q147" s="370"/>
    </row>
    <row r="148" spans="2:17" s="135" customFormat="1" ht="6.9" customHeight="1">
      <c r="B148" s="281"/>
      <c r="C148" s="197"/>
      <c r="D148" s="187"/>
      <c r="E148" s="187"/>
      <c r="F148" s="187"/>
      <c r="G148" s="187"/>
      <c r="H148" s="187"/>
      <c r="I148" s="187"/>
      <c r="J148" s="187"/>
      <c r="K148" s="187"/>
      <c r="L148" s="187"/>
      <c r="M148" s="187"/>
      <c r="N148" s="187"/>
      <c r="O148" s="187"/>
      <c r="P148" s="187"/>
      <c r="Q148" s="193"/>
    </row>
    <row r="149" spans="2:17" s="136" customFormat="1" ht="15" customHeight="1">
      <c r="B149" s="281" t="s">
        <v>64</v>
      </c>
      <c r="C149" s="177" t="str">
        <f>VLOOKUP(B149,'26MY_ACCORD_DATA'!B:AS,3,FALSE)</f>
        <v>Fine Sanding Needles</v>
      </c>
      <c r="D149" s="79" t="str">
        <f t="shared" ref="D149" si="32">B149</f>
        <v>TUCH-NEEDLES</v>
      </c>
      <c r="E149" s="302">
        <f>VLOOKUP(B149,'26MY_ACCORD_DATA'!B:AS,9,FALSE)</f>
        <v>9.5</v>
      </c>
      <c r="F149" s="302">
        <f>VLOOKUP(B149,'26MY_ACCORD_DATA'!B:AS,10,FALSE)</f>
        <v>15.75</v>
      </c>
      <c r="G149" s="306">
        <f>VLOOKUP(B149,'26MY_ACCORD_DATA'!B:AS,7,FALSE)</f>
        <v>0</v>
      </c>
      <c r="H149" s="301">
        <f>VLOOKUP(B149,'26MY_ACCORD_DATA'!B:AS,11,FALSE)</f>
        <v>15.75</v>
      </c>
      <c r="I149" s="304">
        <f>VLOOKUP(B149,'26MY_ACCORD_DATA'!B:AS,12,FALSE)</f>
        <v>0</v>
      </c>
      <c r="J149" s="304">
        <f>VLOOKUP(B149,'26MY_ACCORD_DATA'!B:AS,13,FALSE)</f>
        <v>0</v>
      </c>
      <c r="K149" s="304">
        <f>VLOOKUP(B149,'26MY_ACCORD_DATA'!B:AS,14,FALSE)</f>
        <v>0</v>
      </c>
      <c r="L149" s="304">
        <f>VLOOKUP(B149,'26MY_ACCORD_DATA'!B:AS,15,FALSE)</f>
        <v>0</v>
      </c>
      <c r="M149" s="304">
        <f>VLOOKUP(B149,'26MY_ACCORD_DATA'!B:AS,16,FALSE)</f>
        <v>0</v>
      </c>
      <c r="N149" s="304">
        <f>VLOOKUP(B149,'26MY_ACCORD_DATA'!B:AS,17,FALSE)</f>
        <v>0</v>
      </c>
      <c r="O149" s="304">
        <f>VLOOKUP(B149,'26MY_ACCORD_DATA'!B:AS,18,FALSE)</f>
        <v>0</v>
      </c>
      <c r="P149" s="304">
        <f>VLOOKUP(B149,'26MY_ACCORD_DATA'!B:AS,19,FALSE)</f>
        <v>0</v>
      </c>
      <c r="Q149" s="332" t="str">
        <f>IF(VLOOKUP(B149,'26MY_ACCORD_DATA'!B:AS,20,FALSE)="","",VLOOKUP(B149,'26MY_ACCORD_DATA'!B:AS,20,FALSE))</f>
        <v>Quantity of 5.</v>
      </c>
    </row>
    <row r="150" spans="2:17" s="136" customFormat="1" ht="15" customHeight="1">
      <c r="B150" s="283" t="s">
        <v>63</v>
      </c>
      <c r="C150" s="177" t="str">
        <f>VLOOKUP(B150,'26MY_ACCORD_DATA'!B:AS,3,FALSE)</f>
        <v>Fine Sanding Sticks</v>
      </c>
      <c r="D150" s="79" t="str">
        <f t="shared" ref="D150:D151" si="33">B150</f>
        <v>TUCH-STICKS</v>
      </c>
      <c r="E150" s="302">
        <f>VLOOKUP(B150,'26MY_ACCORD_DATA'!B:AS,9,FALSE)</f>
        <v>2.4500000000000002</v>
      </c>
      <c r="F150" s="302">
        <f>VLOOKUP(B150,'26MY_ACCORD_DATA'!B:AS,10,FALSE)</f>
        <v>4</v>
      </c>
      <c r="G150" s="306">
        <f>VLOOKUP(B150,'26MY_ACCORD_DATA'!B:AS,7,FALSE)</f>
        <v>0</v>
      </c>
      <c r="H150" s="301">
        <f>VLOOKUP(B150,'26MY_ACCORD_DATA'!B:AS,11,FALSE)</f>
        <v>4</v>
      </c>
      <c r="I150" s="304">
        <f>VLOOKUP(B150,'26MY_ACCORD_DATA'!B:AS,12,FALSE)</f>
        <v>0</v>
      </c>
      <c r="J150" s="304">
        <f>VLOOKUP(B150,'26MY_ACCORD_DATA'!B:AS,13,FALSE)</f>
        <v>0</v>
      </c>
      <c r="K150" s="304">
        <f>VLOOKUP(B150,'26MY_ACCORD_DATA'!B:AS,14,FALSE)</f>
        <v>0</v>
      </c>
      <c r="L150" s="304">
        <f>VLOOKUP(B150,'26MY_ACCORD_DATA'!B:AS,15,FALSE)</f>
        <v>0</v>
      </c>
      <c r="M150" s="304">
        <f>VLOOKUP(B150,'26MY_ACCORD_DATA'!B:AS,16,FALSE)</f>
        <v>0</v>
      </c>
      <c r="N150" s="304">
        <f>VLOOKUP(B150,'26MY_ACCORD_DATA'!B:AS,17,FALSE)</f>
        <v>0</v>
      </c>
      <c r="O150" s="304">
        <f>VLOOKUP(B150,'26MY_ACCORD_DATA'!B:AS,18,FALSE)</f>
        <v>0</v>
      </c>
      <c r="P150" s="304">
        <f>VLOOKUP(B150,'26MY_ACCORD_DATA'!B:AS,19,FALSE)</f>
        <v>0</v>
      </c>
      <c r="Q150" s="332" t="str">
        <f>IF(VLOOKUP(B150,'26MY_ACCORD_DATA'!B:AS,20,FALSE)="","",VLOOKUP(B150,'26MY_ACCORD_DATA'!B:AS,20,FALSE))</f>
        <v>Quantity of 5.</v>
      </c>
    </row>
    <row r="151" spans="2:17" s="136" customFormat="1" ht="15" customHeight="1">
      <c r="B151" s="282" t="s">
        <v>62</v>
      </c>
      <c r="C151" s="177" t="str">
        <f>VLOOKUP(B151,'26MY_ACCORD_DATA'!B:AS,3,FALSE)</f>
        <v>Paint Pen Replacement Tips</v>
      </c>
      <c r="D151" s="79" t="str">
        <f t="shared" si="33"/>
        <v>TUCH-TIPS</v>
      </c>
      <c r="E151" s="302">
        <f>VLOOKUP(B151,'26MY_ACCORD_DATA'!B:AS,9,FALSE)</f>
        <v>6.25</v>
      </c>
      <c r="F151" s="302">
        <f>VLOOKUP(B151,'26MY_ACCORD_DATA'!B:AS,10,FALSE)</f>
        <v>13.75</v>
      </c>
      <c r="G151" s="306">
        <f>VLOOKUP(B151,'26MY_ACCORD_DATA'!B:AS,7,FALSE)</f>
        <v>0</v>
      </c>
      <c r="H151" s="301">
        <f>VLOOKUP(B151,'26MY_ACCORD_DATA'!B:AS,11,FALSE)</f>
        <v>13.75</v>
      </c>
      <c r="I151" s="304">
        <f>VLOOKUP(B151,'26MY_ACCORD_DATA'!B:AS,12,FALSE)</f>
        <v>0</v>
      </c>
      <c r="J151" s="304">
        <f>VLOOKUP(B151,'26MY_ACCORD_DATA'!B:AS,13,FALSE)</f>
        <v>0</v>
      </c>
      <c r="K151" s="304">
        <f>VLOOKUP(B151,'26MY_ACCORD_DATA'!B:AS,14,FALSE)</f>
        <v>0</v>
      </c>
      <c r="L151" s="304">
        <f>VLOOKUP(B151,'26MY_ACCORD_DATA'!B:AS,15,FALSE)</f>
        <v>0</v>
      </c>
      <c r="M151" s="304">
        <f>VLOOKUP(B151,'26MY_ACCORD_DATA'!B:AS,16,FALSE)</f>
        <v>0</v>
      </c>
      <c r="N151" s="304">
        <f>VLOOKUP(B151,'26MY_ACCORD_DATA'!B:AS,17,FALSE)</f>
        <v>0</v>
      </c>
      <c r="O151" s="304">
        <f>VLOOKUP(B151,'26MY_ACCORD_DATA'!B:AS,18,FALSE)</f>
        <v>0</v>
      </c>
      <c r="P151" s="304">
        <f>VLOOKUP(B151,'26MY_ACCORD_DATA'!B:AS,19,FALSE)</f>
        <v>0</v>
      </c>
      <c r="Q151" s="332" t="str">
        <f>IF(VLOOKUP(B151,'26MY_ACCORD_DATA'!B:AS,20,FALSE)="","",VLOOKUP(B151,'26MY_ACCORD_DATA'!B:AS,20,FALSE))</f>
        <v>Quantity of 25.</v>
      </c>
    </row>
    <row r="152" spans="2:17" s="136" customFormat="1" ht="15" customHeight="1">
      <c r="B152" s="282"/>
      <c r="C152" s="20"/>
      <c r="D152" s="26"/>
      <c r="E152" s="18"/>
      <c r="F152" s="18"/>
      <c r="G152" s="16"/>
      <c r="H152" s="17"/>
      <c r="I152" s="16"/>
      <c r="J152" s="16"/>
      <c r="K152" s="16"/>
      <c r="L152" s="16"/>
      <c r="M152" s="16"/>
      <c r="N152" s="16"/>
      <c r="O152" s="16"/>
      <c r="P152" s="16"/>
      <c r="Q152" s="16"/>
    </row>
    <row r="153" spans="2:17" s="136" customFormat="1" ht="15" customHeight="1">
      <c r="B153" s="284"/>
      <c r="C153" s="44" t="s">
        <v>133</v>
      </c>
      <c r="D153" s="43" t="s">
        <v>29</v>
      </c>
      <c r="E153" s="130"/>
      <c r="F153" s="130"/>
      <c r="G153" s="130"/>
      <c r="H153" s="130"/>
      <c r="I153" s="130"/>
      <c r="J153" s="130"/>
      <c r="K153" s="130"/>
      <c r="L153" s="130"/>
      <c r="M153" s="130"/>
      <c r="N153" s="130"/>
      <c r="O153" s="130"/>
      <c r="P153" s="130"/>
      <c r="Q153" s="130"/>
    </row>
    <row r="154" spans="2:17" ht="14.25" customHeight="1">
      <c r="C154" s="138">
        <f>'26MY_ACCORD_DATA'!$C$4</f>
        <v>46127</v>
      </c>
      <c r="D154" s="43" t="s">
        <v>211</v>
      </c>
      <c r="E154" s="51"/>
      <c r="F154" s="51"/>
      <c r="G154" s="51"/>
      <c r="H154" s="51"/>
      <c r="I154" s="51"/>
      <c r="J154" s="51"/>
      <c r="K154" s="51"/>
      <c r="L154" s="51"/>
      <c r="M154" s="51"/>
      <c r="N154" s="51"/>
      <c r="O154" s="51"/>
      <c r="P154" s="51"/>
      <c r="Q154" s="51"/>
    </row>
    <row r="155" spans="2:17" ht="14.25" customHeight="1">
      <c r="C155" s="51"/>
      <c r="D155" s="51"/>
      <c r="E155" s="51"/>
      <c r="F155" s="51"/>
      <c r="G155" s="51"/>
      <c r="H155" s="51"/>
      <c r="I155" s="51"/>
      <c r="J155" s="51"/>
      <c r="K155" s="51"/>
      <c r="L155" s="51"/>
      <c r="M155" s="51"/>
      <c r="N155" s="51"/>
      <c r="O155" s="51"/>
      <c r="P155" s="51"/>
      <c r="Q155" s="51"/>
    </row>
    <row r="156" spans="2:17" ht="14.25" customHeight="1">
      <c r="C156" s="51"/>
      <c r="D156" s="51"/>
      <c r="E156" s="51"/>
      <c r="F156" s="51"/>
      <c r="G156" s="51"/>
      <c r="H156" s="51"/>
      <c r="I156" s="51"/>
      <c r="J156" s="51"/>
      <c r="K156" s="51"/>
      <c r="L156" s="51"/>
      <c r="M156" s="51"/>
      <c r="N156" s="51"/>
      <c r="O156" s="51"/>
      <c r="P156" s="51"/>
      <c r="Q156" s="51"/>
    </row>
    <row r="157" spans="2:17" ht="14.25" customHeight="1">
      <c r="C157" s="51"/>
      <c r="D157" s="51"/>
      <c r="E157" s="51"/>
      <c r="F157" s="51"/>
      <c r="G157" s="51"/>
      <c r="H157" s="51"/>
      <c r="I157" s="51"/>
      <c r="J157" s="51"/>
      <c r="K157" s="51"/>
      <c r="L157" s="51"/>
      <c r="M157" s="51"/>
      <c r="N157" s="51"/>
      <c r="O157" s="51"/>
      <c r="P157" s="51"/>
      <c r="Q157" s="51"/>
    </row>
    <row r="158" spans="2:17" ht="14.25" customHeight="1">
      <c r="C158" s="51"/>
      <c r="D158" s="51"/>
      <c r="E158" s="51"/>
      <c r="F158" s="51"/>
      <c r="G158" s="51"/>
      <c r="H158" s="51"/>
      <c r="I158" s="51"/>
      <c r="J158" s="51"/>
      <c r="K158" s="51"/>
      <c r="L158" s="51"/>
      <c r="M158" s="51"/>
      <c r="N158" s="51"/>
      <c r="O158" s="51"/>
      <c r="P158" s="51"/>
      <c r="Q158" s="51"/>
    </row>
    <row r="159" spans="2:17" ht="14.25" customHeight="1">
      <c r="C159" s="51"/>
      <c r="D159" s="51"/>
      <c r="E159" s="51"/>
      <c r="F159" s="51"/>
      <c r="G159" s="51"/>
      <c r="H159" s="51"/>
      <c r="I159" s="51"/>
      <c r="J159" s="51"/>
      <c r="K159" s="51"/>
      <c r="L159" s="51"/>
      <c r="M159" s="51"/>
      <c r="N159" s="51"/>
      <c r="O159" s="51"/>
      <c r="P159" s="51"/>
      <c r="Q159" s="51"/>
    </row>
    <row r="160" spans="2:17" ht="14.25" customHeight="1">
      <c r="C160" s="51"/>
      <c r="D160" s="51"/>
      <c r="E160" s="51"/>
      <c r="F160" s="51"/>
      <c r="G160" s="51"/>
      <c r="H160" s="51"/>
      <c r="I160" s="51"/>
      <c r="J160" s="51"/>
      <c r="K160" s="51"/>
      <c r="L160" s="51"/>
      <c r="M160" s="51"/>
      <c r="N160" s="51"/>
      <c r="O160" s="51"/>
      <c r="P160" s="51"/>
      <c r="Q160" s="51"/>
    </row>
    <row r="161" spans="3:17" ht="14.25" customHeight="1">
      <c r="C161" s="51"/>
      <c r="D161" s="51"/>
      <c r="E161" s="51"/>
      <c r="F161" s="51"/>
      <c r="G161" s="51"/>
      <c r="H161" s="51"/>
      <c r="I161" s="51"/>
      <c r="J161" s="51"/>
      <c r="K161" s="51"/>
      <c r="L161" s="51"/>
      <c r="M161" s="51"/>
      <c r="N161" s="51"/>
      <c r="O161" s="51"/>
      <c r="P161" s="51"/>
      <c r="Q161" s="51"/>
    </row>
    <row r="162" spans="3:17" ht="14.25" customHeight="1">
      <c r="C162" s="51"/>
      <c r="D162" s="51"/>
      <c r="E162" s="51"/>
      <c r="F162" s="51"/>
      <c r="G162" s="51"/>
      <c r="H162" s="51"/>
      <c r="I162" s="51"/>
      <c r="J162" s="51"/>
      <c r="K162" s="51"/>
      <c r="L162" s="51"/>
      <c r="M162" s="51"/>
      <c r="N162" s="51"/>
      <c r="O162" s="51"/>
      <c r="P162" s="51"/>
      <c r="Q162" s="51"/>
    </row>
    <row r="163" spans="3:17" ht="14.25" customHeight="1">
      <c r="C163" s="51"/>
      <c r="D163" s="51"/>
      <c r="E163" s="51"/>
      <c r="F163" s="51"/>
      <c r="G163" s="51"/>
      <c r="H163" s="51"/>
      <c r="I163" s="51"/>
      <c r="J163" s="51"/>
      <c r="K163" s="51"/>
      <c r="L163" s="51"/>
      <c r="M163" s="51"/>
      <c r="N163" s="51"/>
      <c r="O163" s="51"/>
      <c r="P163" s="51"/>
      <c r="Q163" s="51"/>
    </row>
    <row r="164" spans="3:17" ht="14.25" customHeight="1">
      <c r="C164" s="51"/>
      <c r="D164" s="51"/>
      <c r="E164" s="51"/>
      <c r="F164" s="51"/>
      <c r="G164" s="51"/>
      <c r="H164" s="51"/>
      <c r="I164" s="51"/>
      <c r="J164" s="51"/>
      <c r="K164" s="51"/>
      <c r="L164" s="51"/>
      <c r="M164" s="51"/>
      <c r="N164" s="51"/>
      <c r="O164" s="51"/>
      <c r="P164" s="51"/>
      <c r="Q164" s="51"/>
    </row>
    <row r="165" spans="3:17" ht="14.25" customHeight="1">
      <c r="C165" s="51"/>
      <c r="D165" s="51"/>
      <c r="E165" s="51"/>
      <c r="F165" s="51"/>
      <c r="G165" s="51"/>
      <c r="H165" s="51"/>
      <c r="I165" s="51"/>
      <c r="J165" s="51"/>
      <c r="K165" s="51"/>
      <c r="L165" s="51"/>
      <c r="M165" s="51"/>
      <c r="N165" s="51"/>
      <c r="O165" s="51"/>
      <c r="P165" s="51"/>
      <c r="Q165" s="51"/>
    </row>
    <row r="166" spans="3:17" ht="14.25" customHeight="1">
      <c r="C166" s="51"/>
      <c r="D166" s="51"/>
      <c r="E166" s="51"/>
      <c r="F166" s="51"/>
      <c r="G166" s="51"/>
      <c r="H166" s="51"/>
      <c r="I166" s="51"/>
      <c r="J166" s="51"/>
      <c r="K166" s="51"/>
      <c r="L166" s="51"/>
      <c r="M166" s="51"/>
      <c r="N166" s="51"/>
      <c r="O166" s="51"/>
      <c r="P166" s="51"/>
      <c r="Q166" s="51"/>
    </row>
    <row r="167" spans="3:17" ht="14.25" customHeight="1">
      <c r="C167" s="51"/>
      <c r="D167" s="51"/>
      <c r="E167" s="51"/>
      <c r="F167" s="51"/>
      <c r="G167" s="51"/>
      <c r="H167" s="51"/>
      <c r="I167" s="51"/>
      <c r="J167" s="51"/>
      <c r="K167" s="51"/>
      <c r="L167" s="51"/>
      <c r="M167" s="51"/>
      <c r="N167" s="51"/>
      <c r="O167" s="51"/>
      <c r="P167" s="51"/>
      <c r="Q167" s="51"/>
    </row>
    <row r="168" spans="3:17" ht="14.25" customHeight="1">
      <c r="C168" s="51"/>
      <c r="D168" s="51"/>
      <c r="E168" s="51"/>
      <c r="F168" s="51"/>
      <c r="G168" s="51"/>
      <c r="H168" s="51"/>
      <c r="I168" s="51"/>
      <c r="J168" s="51"/>
      <c r="K168" s="51"/>
      <c r="L168" s="51"/>
      <c r="M168" s="51"/>
      <c r="N168" s="51"/>
      <c r="O168" s="51"/>
      <c r="P168" s="51"/>
      <c r="Q168" s="51"/>
    </row>
    <row r="169" spans="3:17" ht="14.25" customHeight="1">
      <c r="C169" s="51"/>
      <c r="D169" s="51"/>
      <c r="E169" s="51"/>
      <c r="F169" s="51"/>
      <c r="G169" s="51"/>
      <c r="H169" s="51"/>
      <c r="I169" s="51"/>
      <c r="J169" s="51"/>
      <c r="K169" s="51"/>
      <c r="L169" s="51"/>
      <c r="M169" s="51"/>
      <c r="N169" s="51"/>
      <c r="O169" s="51"/>
      <c r="P169" s="51"/>
      <c r="Q169" s="51"/>
    </row>
    <row r="170" spans="3:17" ht="14.25" customHeight="1">
      <c r="C170" s="51"/>
      <c r="D170" s="51"/>
      <c r="E170" s="51"/>
      <c r="F170" s="51"/>
      <c r="G170" s="51"/>
      <c r="H170" s="51"/>
      <c r="I170" s="51"/>
      <c r="J170" s="51"/>
      <c r="K170" s="51"/>
      <c r="L170" s="51"/>
      <c r="M170" s="51"/>
      <c r="N170" s="51"/>
      <c r="O170" s="51"/>
      <c r="P170" s="51"/>
      <c r="Q170" s="51"/>
    </row>
    <row r="171" spans="3:17" ht="14.25" customHeight="1">
      <c r="C171" s="51"/>
      <c r="D171" s="51"/>
      <c r="E171" s="51"/>
      <c r="F171" s="51"/>
      <c r="G171" s="51"/>
      <c r="H171" s="51"/>
      <c r="I171" s="51"/>
      <c r="J171" s="51"/>
      <c r="K171" s="51"/>
      <c r="L171" s="51"/>
      <c r="M171" s="51"/>
      <c r="N171" s="51"/>
      <c r="O171" s="51"/>
      <c r="P171" s="51"/>
      <c r="Q171" s="51"/>
    </row>
    <row r="172" spans="3:17" ht="14.25" customHeight="1">
      <c r="C172" s="51"/>
      <c r="D172" s="51"/>
      <c r="E172" s="51"/>
      <c r="F172" s="51"/>
      <c r="G172" s="51"/>
      <c r="H172" s="51"/>
      <c r="I172" s="51"/>
      <c r="J172" s="51"/>
      <c r="K172" s="51"/>
      <c r="L172" s="51"/>
      <c r="M172" s="51"/>
      <c r="N172" s="51"/>
      <c r="O172" s="51"/>
      <c r="P172" s="51"/>
      <c r="Q172" s="51"/>
    </row>
    <row r="173" spans="3:17" ht="14.25" customHeight="1">
      <c r="C173" s="51"/>
      <c r="D173" s="51"/>
      <c r="E173" s="51"/>
      <c r="F173" s="51"/>
      <c r="G173" s="51"/>
      <c r="H173" s="51"/>
      <c r="I173" s="51"/>
      <c r="J173" s="51"/>
      <c r="K173" s="51"/>
      <c r="L173" s="51"/>
      <c r="M173" s="51"/>
      <c r="N173" s="51"/>
      <c r="O173" s="51"/>
      <c r="P173" s="51"/>
      <c r="Q173" s="51"/>
    </row>
    <row r="174" spans="3:17">
      <c r="C174" s="51"/>
      <c r="D174" s="51"/>
      <c r="E174" s="51"/>
      <c r="F174" s="51"/>
      <c r="G174" s="51"/>
      <c r="H174" s="51"/>
      <c r="I174" s="51"/>
      <c r="J174" s="51"/>
      <c r="K174" s="51"/>
      <c r="L174" s="51"/>
      <c r="M174" s="51"/>
      <c r="N174" s="51"/>
      <c r="O174" s="51"/>
      <c r="P174" s="51"/>
      <c r="Q174" s="51"/>
    </row>
  </sheetData>
  <mergeCells count="154">
    <mergeCell ref="I42:I47"/>
    <mergeCell ref="I49:I51"/>
    <mergeCell ref="I53:I55"/>
    <mergeCell ref="O14:O16"/>
    <mergeCell ref="O30:O35"/>
    <mergeCell ref="O37:O40"/>
    <mergeCell ref="O42:O47"/>
    <mergeCell ref="O49:O51"/>
    <mergeCell ref="O53:O55"/>
    <mergeCell ref="K24:K28"/>
    <mergeCell ref="M24:M28"/>
    <mergeCell ref="N24:N28"/>
    <mergeCell ref="G49:G51"/>
    <mergeCell ref="H49:H51"/>
    <mergeCell ref="J49:J51"/>
    <mergeCell ref="K49:K51"/>
    <mergeCell ref="L49:L51"/>
    <mergeCell ref="M49:M51"/>
    <mergeCell ref="N49:N51"/>
    <mergeCell ref="P49:P51"/>
    <mergeCell ref="Q49:Q51"/>
    <mergeCell ref="P42:P47"/>
    <mergeCell ref="Q42:Q47"/>
    <mergeCell ref="E53:E55"/>
    <mergeCell ref="F53:F55"/>
    <mergeCell ref="G53:G55"/>
    <mergeCell ref="H53:H55"/>
    <mergeCell ref="J53:J55"/>
    <mergeCell ref="K53:K55"/>
    <mergeCell ref="L53:L55"/>
    <mergeCell ref="M53:M55"/>
    <mergeCell ref="N53:N55"/>
    <mergeCell ref="P53:P55"/>
    <mergeCell ref="Q53:Q55"/>
    <mergeCell ref="E42:E47"/>
    <mergeCell ref="F42:F47"/>
    <mergeCell ref="G42:G47"/>
    <mergeCell ref="H42:H47"/>
    <mergeCell ref="J42:J47"/>
    <mergeCell ref="K42:K47"/>
    <mergeCell ref="L42:L47"/>
    <mergeCell ref="M42:M47"/>
    <mergeCell ref="N42:N47"/>
    <mergeCell ref="E49:E51"/>
    <mergeCell ref="F49:F51"/>
    <mergeCell ref="P30:P35"/>
    <mergeCell ref="Q30:Q35"/>
    <mergeCell ref="E37:E40"/>
    <mergeCell ref="F37:F40"/>
    <mergeCell ref="G37:G40"/>
    <mergeCell ref="H37:H40"/>
    <mergeCell ref="J37:J40"/>
    <mergeCell ref="K37:K40"/>
    <mergeCell ref="L37:L40"/>
    <mergeCell ref="M37:M40"/>
    <mergeCell ref="N37:N40"/>
    <mergeCell ref="P37:P40"/>
    <mergeCell ref="Q37:Q40"/>
    <mergeCell ref="E30:E35"/>
    <mergeCell ref="F30:F35"/>
    <mergeCell ref="G30:G35"/>
    <mergeCell ref="H30:H35"/>
    <mergeCell ref="J30:J35"/>
    <mergeCell ref="K30:K35"/>
    <mergeCell ref="L30:L35"/>
    <mergeCell ref="M30:M35"/>
    <mergeCell ref="N30:N35"/>
    <mergeCell ref="I30:I35"/>
    <mergeCell ref="I37:I40"/>
    <mergeCell ref="E14:E16"/>
    <mergeCell ref="F14:F16"/>
    <mergeCell ref="G14:G16"/>
    <mergeCell ref="H12:H13"/>
    <mergeCell ref="Q12:Q13"/>
    <mergeCell ref="G12:G13"/>
    <mergeCell ref="J12:P12"/>
    <mergeCell ref="C12:C13"/>
    <mergeCell ref="D12:D13"/>
    <mergeCell ref="E12:E13"/>
    <mergeCell ref="F12:F13"/>
    <mergeCell ref="H14:H16"/>
    <mergeCell ref="J14:J16"/>
    <mergeCell ref="K14:K16"/>
    <mergeCell ref="L14:L16"/>
    <mergeCell ref="M14:M16"/>
    <mergeCell ref="N14:N16"/>
    <mergeCell ref="P14:P16"/>
    <mergeCell ref="Q14:Q16"/>
    <mergeCell ref="I14:I16"/>
    <mergeCell ref="J58:P58"/>
    <mergeCell ref="Q58:Q59"/>
    <mergeCell ref="C68:C69"/>
    <mergeCell ref="D68:D69"/>
    <mergeCell ref="E68:E69"/>
    <mergeCell ref="F68:F69"/>
    <mergeCell ref="G68:G69"/>
    <mergeCell ref="H68:H69"/>
    <mergeCell ref="J68:P68"/>
    <mergeCell ref="Q68:Q69"/>
    <mergeCell ref="C58:C59"/>
    <mergeCell ref="D58:D59"/>
    <mergeCell ref="E58:E59"/>
    <mergeCell ref="F58:F59"/>
    <mergeCell ref="G58:G59"/>
    <mergeCell ref="H58:H59"/>
    <mergeCell ref="Q87:Q94"/>
    <mergeCell ref="J115:P115"/>
    <mergeCell ref="Q115:Q116"/>
    <mergeCell ref="C126:C127"/>
    <mergeCell ref="D126:D127"/>
    <mergeCell ref="E126:E127"/>
    <mergeCell ref="F126:F127"/>
    <mergeCell ref="G126:G127"/>
    <mergeCell ref="H126:H127"/>
    <mergeCell ref="J126:P126"/>
    <mergeCell ref="Q126:Q127"/>
    <mergeCell ref="C115:C116"/>
    <mergeCell ref="D115:D116"/>
    <mergeCell ref="E115:E116"/>
    <mergeCell ref="F115:F116"/>
    <mergeCell ref="G115:G116"/>
    <mergeCell ref="H115:H116"/>
    <mergeCell ref="Q105:Q112"/>
    <mergeCell ref="Q96:Q103"/>
    <mergeCell ref="J138:P138"/>
    <mergeCell ref="Q138:Q139"/>
    <mergeCell ref="E140:E147"/>
    <mergeCell ref="F140:F147"/>
    <mergeCell ref="G140:G147"/>
    <mergeCell ref="H140:H147"/>
    <mergeCell ref="Q140:Q147"/>
    <mergeCell ref="C138:C139"/>
    <mergeCell ref="D138:D139"/>
    <mergeCell ref="E138:E139"/>
    <mergeCell ref="F138:F139"/>
    <mergeCell ref="G138:G139"/>
    <mergeCell ref="H138:H139"/>
    <mergeCell ref="E24:E26"/>
    <mergeCell ref="F24:F28"/>
    <mergeCell ref="G24:G28"/>
    <mergeCell ref="H24:H28"/>
    <mergeCell ref="Q24:Q28"/>
    <mergeCell ref="P18:P22"/>
    <mergeCell ref="Q18:Q22"/>
    <mergeCell ref="E18:E22"/>
    <mergeCell ref="F18:F22"/>
    <mergeCell ref="G18:G22"/>
    <mergeCell ref="H18:H22"/>
    <mergeCell ref="J18:J22"/>
    <mergeCell ref="K18:K22"/>
    <mergeCell ref="L18:L22"/>
    <mergeCell ref="M18:M22"/>
    <mergeCell ref="N18:N22"/>
    <mergeCell ref="I18:I22"/>
  </mergeCells>
  <conditionalFormatting sqref="E1:F14 E17:F17 E29:F29 E56:F59 E52:F53 E36:F36 E41:F41 E48:F49 E66:F69 E86:F86 E95:F95 E104:F104 E113:F116 E124:F127 E136:F139 E148:F148 E152:F1048576 E23:F24">
    <cfRule type="containsText" dxfId="4"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1" fitToHeight="0" orientation="portrait" horizontalDpi="1200" verticalDpi="1200" r:id="rId1"/>
  <headerFooter>
    <oddFooter>&amp;CPage &amp;P of &amp;N</oddFooter>
  </headerFooter>
  <rowBreaks count="2" manualBreakCount="2">
    <brk id="85" min="2" max="14" man="1"/>
    <brk id="156" min="2" max="14"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A2:T173"/>
  <sheetViews>
    <sheetView tabSelected="1" view="pageBreakPreview" zoomScale="70" zoomScaleNormal="60" zoomScaleSheetLayoutView="70" workbookViewId="0">
      <selection activeCell="W73" sqref="W73"/>
    </sheetView>
  </sheetViews>
  <sheetFormatPr defaultColWidth="9.109375" defaultRowHeight="13.8" outlineLevelCol="1"/>
  <cols>
    <col min="1" max="1" width="9.109375" style="46"/>
    <col min="2" max="2" width="15.5546875" style="285" customWidth="1"/>
    <col min="3" max="3" width="53.5546875" style="46" customWidth="1"/>
    <col min="4" max="4" width="22" style="46" customWidth="1"/>
    <col min="5" max="5" width="11.44140625" style="46" customWidth="1" outlineLevel="1"/>
    <col min="6" max="6" width="11.5546875" style="46" customWidth="1"/>
    <col min="7" max="7" width="8.5546875" style="46" customWidth="1"/>
    <col min="8" max="8" width="13.5546875" style="46" customWidth="1"/>
    <col min="9" max="10" width="10.5546875" style="46" hidden="1" customWidth="1"/>
    <col min="11" max="11" width="10.5546875" style="46" customWidth="1"/>
    <col min="12" max="12" width="10.5546875" style="46" hidden="1" customWidth="1"/>
    <col min="13" max="14" width="10.5546875" style="46" customWidth="1"/>
    <col min="15" max="16" width="10.5546875" style="46" hidden="1" customWidth="1"/>
    <col min="17" max="17" width="55.109375" style="46" customWidth="1"/>
    <col min="18" max="16384" width="9.109375" style="46"/>
  </cols>
  <sheetData>
    <row r="2" spans="2:20" ht="35.25" customHeight="1">
      <c r="B2" s="279" t="s">
        <v>202</v>
      </c>
      <c r="C2" s="158" t="s">
        <v>72</v>
      </c>
      <c r="D2" s="158"/>
      <c r="E2" s="155"/>
      <c r="F2" s="15"/>
      <c r="G2" s="129"/>
      <c r="H2" s="130"/>
      <c r="I2" s="130"/>
      <c r="J2" s="130"/>
      <c r="K2" s="130"/>
      <c r="L2" s="145"/>
      <c r="M2" s="146"/>
      <c r="N2" s="145"/>
      <c r="O2" s="145"/>
      <c r="P2" s="145"/>
      <c r="Q2" s="145"/>
    </row>
    <row r="3" spans="2:20" ht="25.8">
      <c r="B3" s="279"/>
      <c r="C3" s="159" t="s">
        <v>73</v>
      </c>
      <c r="D3" s="277" t="str">
        <f>'26MY_ACCORD_DATA'!$C$2</f>
        <v>Accord</v>
      </c>
      <c r="E3" s="156"/>
      <c r="F3" s="2"/>
      <c r="G3" s="129"/>
      <c r="H3" s="130"/>
      <c r="I3" s="130"/>
      <c r="J3" s="130"/>
      <c r="K3" s="130"/>
      <c r="L3" s="147"/>
      <c r="N3" s="148"/>
      <c r="O3" s="145"/>
      <c r="P3" s="145"/>
      <c r="Q3" s="145"/>
    </row>
    <row r="4" spans="2:20" ht="30" customHeight="1">
      <c r="B4" s="279"/>
      <c r="C4" s="159" t="s">
        <v>74</v>
      </c>
      <c r="D4" s="288">
        <f>'26MY_ACCORD_DATA'!$C$3</f>
        <v>2026</v>
      </c>
      <c r="E4" s="156"/>
      <c r="F4" s="2"/>
      <c r="G4" s="129"/>
      <c r="H4" s="130"/>
      <c r="I4" s="130"/>
      <c r="J4" s="130"/>
      <c r="K4" s="130"/>
      <c r="L4" s="145"/>
      <c r="M4" s="149"/>
      <c r="N4" s="145"/>
      <c r="O4" s="145"/>
      <c r="P4" s="145"/>
      <c r="Q4" s="145"/>
    </row>
    <row r="5" spans="2:20">
      <c r="B5" s="279"/>
      <c r="C5" s="391" t="s">
        <v>75</v>
      </c>
      <c r="D5" s="392"/>
      <c r="E5" s="392"/>
      <c r="F5" s="392"/>
      <c r="G5" s="392"/>
      <c r="H5" s="392"/>
      <c r="I5" s="392"/>
      <c r="J5" s="392"/>
      <c r="K5" s="392"/>
      <c r="L5" s="392"/>
      <c r="M5" s="392"/>
      <c r="N5" s="393"/>
      <c r="O5" s="118"/>
      <c r="P5" s="118"/>
      <c r="Q5" s="150"/>
    </row>
    <row r="6" spans="2:20">
      <c r="B6" s="279"/>
      <c r="C6" s="394" t="s">
        <v>76</v>
      </c>
      <c r="D6" s="395"/>
      <c r="E6" s="395"/>
      <c r="F6" s="395"/>
      <c r="G6" s="395"/>
      <c r="H6" s="395"/>
      <c r="I6" s="395"/>
      <c r="J6" s="395"/>
      <c r="K6" s="395"/>
      <c r="L6" s="395"/>
      <c r="M6" s="395"/>
      <c r="N6" s="396"/>
      <c r="O6" s="118"/>
      <c r="P6" s="118"/>
      <c r="Q6" s="150"/>
    </row>
    <row r="7" spans="2:20">
      <c r="B7" s="279"/>
      <c r="C7" s="394" t="s">
        <v>77</v>
      </c>
      <c r="D7" s="395"/>
      <c r="E7" s="395"/>
      <c r="F7" s="395"/>
      <c r="G7" s="395"/>
      <c r="H7" s="395"/>
      <c r="I7" s="395"/>
      <c r="J7" s="395"/>
      <c r="K7" s="395"/>
      <c r="L7" s="395"/>
      <c r="M7" s="395"/>
      <c r="N7" s="396"/>
      <c r="O7" s="118"/>
      <c r="P7" s="118"/>
      <c r="Q7" s="150"/>
    </row>
    <row r="8" spans="2:20">
      <c r="B8" s="279"/>
      <c r="C8" s="397" t="s">
        <v>78</v>
      </c>
      <c r="D8" s="398"/>
      <c r="E8" s="398"/>
      <c r="F8" s="398"/>
      <c r="G8" s="398"/>
      <c r="H8" s="398"/>
      <c r="I8" s="398"/>
      <c r="J8" s="398"/>
      <c r="K8" s="398"/>
      <c r="L8" s="398"/>
      <c r="M8" s="398"/>
      <c r="N8" s="399"/>
      <c r="O8" s="118"/>
      <c r="P8" s="118"/>
      <c r="Q8" s="150"/>
    </row>
    <row r="9" spans="2:20">
      <c r="B9" s="279"/>
      <c r="C9" s="142"/>
      <c r="D9" s="142"/>
      <c r="E9" s="142"/>
      <c r="F9" s="142"/>
      <c r="G9" s="142"/>
      <c r="H9" s="142"/>
      <c r="I9" s="142"/>
      <c r="J9" s="142"/>
      <c r="K9" s="142"/>
      <c r="L9" s="142"/>
      <c r="M9" s="142"/>
      <c r="N9" s="142"/>
      <c r="O9" s="143"/>
      <c r="P9" s="143"/>
      <c r="Q9" s="160"/>
    </row>
    <row r="10" spans="2:20" ht="14.4">
      <c r="B10" s="279"/>
      <c r="C10" s="51"/>
      <c r="D10" s="51"/>
      <c r="E10" s="51"/>
      <c r="F10" s="51"/>
      <c r="G10" s="51"/>
      <c r="H10" s="152" t="s">
        <v>60</v>
      </c>
      <c r="I10" s="51"/>
      <c r="J10" s="51"/>
      <c r="K10" s="51"/>
      <c r="L10" s="51"/>
      <c r="M10" s="51"/>
      <c r="N10" s="51"/>
      <c r="O10" s="51"/>
      <c r="P10" s="51"/>
      <c r="Q10" s="151"/>
    </row>
    <row r="11" spans="2:20" ht="18">
      <c r="B11" s="279"/>
      <c r="C11" s="153" t="s">
        <v>79</v>
      </c>
      <c r="D11" s="154"/>
      <c r="E11" s="133"/>
      <c r="F11" s="133"/>
      <c r="G11" s="132"/>
      <c r="H11" s="180" t="str">
        <f>prov_cd</f>
        <v>YT</v>
      </c>
      <c r="I11" s="179"/>
      <c r="J11" s="179"/>
      <c r="K11" s="51"/>
      <c r="L11" s="51"/>
      <c r="M11" s="51"/>
      <c r="N11" s="51"/>
      <c r="O11" s="51"/>
      <c r="P11" s="51"/>
      <c r="Q11" s="51"/>
    </row>
    <row r="12" spans="2:20" ht="14.4">
      <c r="B12" s="279"/>
      <c r="C12" s="377" t="s">
        <v>80</v>
      </c>
      <c r="D12" s="377" t="s">
        <v>81</v>
      </c>
      <c r="E12" s="377" t="s">
        <v>82</v>
      </c>
      <c r="F12" s="377" t="s">
        <v>83</v>
      </c>
      <c r="G12" s="377" t="s">
        <v>84</v>
      </c>
      <c r="H12" s="378" t="s">
        <v>85</v>
      </c>
      <c r="I12" s="377" t="s">
        <v>25</v>
      </c>
      <c r="J12" s="377"/>
      <c r="K12" s="377"/>
      <c r="L12" s="377"/>
      <c r="M12" s="377"/>
      <c r="N12" s="377"/>
      <c r="O12" s="377"/>
      <c r="P12" s="377"/>
      <c r="Q12" s="377" t="s">
        <v>86</v>
      </c>
    </row>
    <row r="13" spans="2:20" ht="29.1" customHeight="1">
      <c r="B13" s="279"/>
      <c r="C13" s="377"/>
      <c r="D13" s="377"/>
      <c r="E13" s="377"/>
      <c r="F13" s="377"/>
      <c r="G13" s="377"/>
      <c r="H13" s="378"/>
      <c r="I13" s="176">
        <f>'26MY_ACCORD_DATA'!$M$6</f>
        <v>0</v>
      </c>
      <c r="J13" s="176">
        <f>'26MY_ACCORD_DATA'!$M$6</f>
        <v>0</v>
      </c>
      <c r="K13" s="176" t="str">
        <f>'26MY_ACCORD_DATA'!$O$6</f>
        <v>SE</v>
      </c>
      <c r="L13" s="176">
        <f>'26MY_ACCORD_DATA'!$P$6</f>
        <v>0</v>
      </c>
      <c r="M13" s="176" t="str">
        <f>'26MY_ACCORD_DATA'!$Q$6</f>
        <v>Sport -L Hybride</v>
      </c>
      <c r="N13" s="221" t="str">
        <f>'26MY_ACCORD_DATA'!$R$6</f>
        <v>Touring Hybride</v>
      </c>
      <c r="O13" s="176">
        <f>'26MY_ACCORD_DATA'!$T$6</f>
        <v>0</v>
      </c>
      <c r="P13" s="176">
        <f>'26MY_ACCORD_DATA'!$T$6</f>
        <v>0</v>
      </c>
      <c r="Q13" s="377"/>
    </row>
    <row r="14" spans="2:20" s="134" customFormat="1" ht="18">
      <c r="B14" s="280" t="s">
        <v>415</v>
      </c>
      <c r="C14" s="194" t="str">
        <f>VLOOKUP(B14,'26MY_ACCORD_DATA'!B:AS,4,FALSE)</f>
        <v>Ensemble de protection</v>
      </c>
      <c r="D14" s="78" t="str">
        <f>B14</f>
        <v>23ACC-PRO-PK</v>
      </c>
      <c r="E14" s="350">
        <f>VLOOKUP(B14,'26MY_ACCORD_DATA'!B:AS,9,FALSE)</f>
        <v>273.60000000000002</v>
      </c>
      <c r="F14" s="350">
        <f>VLOOKUP(B14,'26MY_ACCORD_DATA'!B:AS,10,FALSE)</f>
        <v>507</v>
      </c>
      <c r="G14" s="382">
        <f>VLOOKUP(B14,'26MY_ACCORD_DATA'!B:AS,7,FALSE)</f>
        <v>0.2</v>
      </c>
      <c r="H14" s="374">
        <f>VLOOKUP(B14,'26MY_ACCORD_DATA'!B:AS,11,FALSE)</f>
        <v>543.20000000000005</v>
      </c>
      <c r="I14" s="365">
        <f>VLOOKUP($B14,'26MY_ACCORD_DATA'!$B:$AS,12,FALSE)</f>
        <v>0</v>
      </c>
      <c r="J14" s="365">
        <f>VLOOKUP($B14,'26MY_ACCORD_DATA'!$B:$AS,13,FALSE)</f>
        <v>0</v>
      </c>
      <c r="K14" s="365" t="str">
        <f>VLOOKUP(B14,'26MY_ACCORD_DATA'!B:AS,14,FALSE)</f>
        <v>•</v>
      </c>
      <c r="L14" s="365">
        <f>VLOOKUP(B14,'26MY_ACCORD_DATA'!B:AS,15,FALSE)</f>
        <v>0</v>
      </c>
      <c r="M14" s="365" t="str">
        <f>VLOOKUP(B14,'26MY_ACCORD_DATA'!B:AS,16,FALSE)</f>
        <v>•</v>
      </c>
      <c r="N14" s="365" t="str">
        <f>VLOOKUP(B14,'26MY_ACCORD_DATA'!B:AS,17,FALSE)</f>
        <v>•</v>
      </c>
      <c r="O14" s="365">
        <f>VLOOKUP($B14,'26MY_ACCORD_DATA'!$B:$AS,18,FALSE)</f>
        <v>0</v>
      </c>
      <c r="P14" s="365">
        <f>VLOOKUP(B14,'26MY_ACCORD_DATA'!B:AS,19,FALSE)</f>
        <v>0</v>
      </c>
      <c r="Q14" s="368" t="str">
        <f>IF(VLOOKUP(B14,'26MY_ACCORD_DATA'!B:AS,21,FALSE)="","",VLOOKUP(B14,'26MY_ACCORD_DATA'!B:AS,21,FALSE))</f>
        <v/>
      </c>
      <c r="R14" s="95"/>
      <c r="S14" s="95"/>
      <c r="T14" s="95"/>
    </row>
    <row r="15" spans="2:20" s="135" customFormat="1" ht="14.4">
      <c r="B15" s="280" t="s">
        <v>302</v>
      </c>
      <c r="C15" s="190" t="str">
        <f>VLOOKUP(B15,'26MY_ACCORD_DATA'!B:AS,4,FALSE)</f>
        <v xml:space="preserve">Protège-tapis toutes saisons </v>
      </c>
      <c r="D15" s="222" t="str">
        <f t="shared" ref="D15" si="0">B15</f>
        <v>08P17-30A-110</v>
      </c>
      <c r="E15" s="351"/>
      <c r="F15" s="351"/>
      <c r="G15" s="383"/>
      <c r="H15" s="375"/>
      <c r="I15" s="366"/>
      <c r="J15" s="366"/>
      <c r="K15" s="366"/>
      <c r="L15" s="366"/>
      <c r="M15" s="366"/>
      <c r="N15" s="366"/>
      <c r="O15" s="366"/>
      <c r="P15" s="366"/>
      <c r="Q15" s="369"/>
      <c r="R15" s="97"/>
      <c r="S15" s="97"/>
      <c r="T15" s="97"/>
    </row>
    <row r="16" spans="2:20" s="135" customFormat="1" ht="15" customHeight="1">
      <c r="B16" s="280" t="s">
        <v>303</v>
      </c>
      <c r="C16" s="190" t="str">
        <f>VLOOKUP(B16,'26MY_ACCORD_DATA'!B:AS,4,FALSE)</f>
        <v>Plateau de coffre</v>
      </c>
      <c r="D16" s="200" t="str">
        <f t="shared" ref="D16" si="1">B16</f>
        <v>08U45-30A-100</v>
      </c>
      <c r="E16" s="352"/>
      <c r="F16" s="352"/>
      <c r="G16" s="384"/>
      <c r="H16" s="376"/>
      <c r="I16" s="367"/>
      <c r="J16" s="367"/>
      <c r="K16" s="367"/>
      <c r="L16" s="367"/>
      <c r="M16" s="367"/>
      <c r="N16" s="367"/>
      <c r="O16" s="367"/>
      <c r="P16" s="367"/>
      <c r="Q16" s="370"/>
      <c r="R16" s="97"/>
      <c r="S16" s="97"/>
      <c r="T16" s="97"/>
    </row>
    <row r="17" spans="2:20" s="135" customFormat="1" ht="6.9" customHeight="1">
      <c r="B17" s="280"/>
      <c r="C17" s="201"/>
      <c r="D17" s="202"/>
      <c r="E17" s="202"/>
      <c r="F17" s="202"/>
      <c r="G17" s="202"/>
      <c r="H17" s="202"/>
      <c r="I17" s="202"/>
      <c r="J17" s="202"/>
      <c r="K17" s="202"/>
      <c r="L17" s="202"/>
      <c r="M17" s="202"/>
      <c r="N17" s="202"/>
      <c r="O17" s="202"/>
      <c r="P17" s="202"/>
      <c r="Q17" s="331"/>
      <c r="R17" s="97"/>
      <c r="S17" s="97"/>
      <c r="T17" s="97"/>
    </row>
    <row r="18" spans="2:20" s="135" customFormat="1" ht="15" customHeight="1">
      <c r="B18" s="280" t="s">
        <v>452</v>
      </c>
      <c r="C18" s="194" t="str">
        <f>VLOOKUP(B18,'26MY_ACCORD_DATA'!B:AS,4,FALSE)</f>
        <v>Ensemble de protection avancée</v>
      </c>
      <c r="D18" s="78" t="str">
        <f>B18</f>
        <v>23ACC-PRO-PKA</v>
      </c>
      <c r="E18" s="350">
        <f>VLOOKUP(B18,'26MY_ACCORD_DATA'!B:AS,9,FALSE)</f>
        <v>342.89100000000002</v>
      </c>
      <c r="F18" s="350">
        <f>VLOOKUP(B18,'26MY_ACCORD_DATA'!B:AS,10,FALSE)</f>
        <v>583.20000000000005</v>
      </c>
      <c r="G18" s="371">
        <f>VLOOKUP(B18,'26MY_ACCORD_DATA'!B:AS,7,FALSE)</f>
        <v>1</v>
      </c>
      <c r="H18" s="374">
        <f>VLOOKUP(B18,'26MY_ACCORD_DATA'!B:AS,11,FALSE)</f>
        <v>764.2</v>
      </c>
      <c r="I18" s="365">
        <f>VLOOKUP(B18,'26MY_ACCORD_DATA'!B:AS,12,FALSE)</f>
        <v>0</v>
      </c>
      <c r="J18" s="365">
        <f>VLOOKUP(B18,'26MY_ACCORD_DATA'!B:AS,13,FALSE)</f>
        <v>0</v>
      </c>
      <c r="K18" s="365" t="str">
        <f>VLOOKUP(B18,'26MY_ACCORD_DATA'!B:AS,14,FALSE)</f>
        <v>•</v>
      </c>
      <c r="L18" s="365">
        <f>VLOOKUP(B18,'26MY_ACCORD_DATA'!B:AS,15,FALSE)</f>
        <v>0</v>
      </c>
      <c r="M18" s="365" t="str">
        <f>VLOOKUP(B18,'26MY_ACCORD_DATA'!B:AS,16,FALSE)</f>
        <v>•</v>
      </c>
      <c r="N18" s="365" t="str">
        <f>VLOOKUP(B18,'26MY_ACCORD_DATA'!B:AS,17,FALSE)</f>
        <v>N/A</v>
      </c>
      <c r="O18" s="303">
        <f>VLOOKUP(B18,'26MY_ACCORD_DATA'!B:AS,18,FALSE)</f>
        <v>0</v>
      </c>
      <c r="P18" s="365">
        <f>VLOOKUP(B18,'26MY_ACCORD_DATA'!B:AS,19,FALSE)</f>
        <v>0</v>
      </c>
      <c r="Q18" s="368" t="str">
        <f>IF(VLOOKUP(B18,'26MY_ACCORD_DATA'!B:AS,21,FALSE)="","",VLOOKUP(B18,'26MY_ACCORD_DATA'!B:AS,21,FALSE))</f>
        <v>Rabais de 10 % appliqué.</v>
      </c>
      <c r="R18" s="97"/>
      <c r="S18" s="97"/>
      <c r="T18" s="97"/>
    </row>
    <row r="19" spans="2:20" s="135" customFormat="1" ht="14.4">
      <c r="B19" s="280" t="s">
        <v>302</v>
      </c>
      <c r="C19" s="190" t="str">
        <f>VLOOKUP(B19,'26MY_ACCORD_DATA'!B:AS,4,FALSE)</f>
        <v xml:space="preserve">Protège-tapis toutes saisons </v>
      </c>
      <c r="D19" s="200" t="str">
        <f t="shared" ref="D19" si="2">B19</f>
        <v>08P17-30A-110</v>
      </c>
      <c r="E19" s="351"/>
      <c r="F19" s="351"/>
      <c r="G19" s="372"/>
      <c r="H19" s="375"/>
      <c r="I19" s="366"/>
      <c r="J19" s="366"/>
      <c r="K19" s="366"/>
      <c r="L19" s="366"/>
      <c r="M19" s="366"/>
      <c r="N19" s="366"/>
      <c r="O19" s="303"/>
      <c r="P19" s="366"/>
      <c r="Q19" s="369"/>
      <c r="R19" s="97"/>
      <c r="S19" s="97"/>
      <c r="T19" s="97"/>
    </row>
    <row r="20" spans="2:20" s="135" customFormat="1" ht="14.4">
      <c r="B20" s="280" t="s">
        <v>303</v>
      </c>
      <c r="C20" s="190" t="str">
        <f>VLOOKUP(B20,'26MY_ACCORD_DATA'!B:AS,4,FALSE)</f>
        <v>Plateau de coffre</v>
      </c>
      <c r="D20" s="200" t="str">
        <f t="shared" ref="D20:D22" si="3">B20</f>
        <v>08U45-30A-100</v>
      </c>
      <c r="E20" s="351"/>
      <c r="F20" s="351"/>
      <c r="G20" s="372"/>
      <c r="H20" s="375"/>
      <c r="I20" s="366"/>
      <c r="J20" s="366"/>
      <c r="K20" s="366"/>
      <c r="L20" s="366"/>
      <c r="M20" s="366"/>
      <c r="N20" s="366"/>
      <c r="O20" s="303"/>
      <c r="P20" s="366"/>
      <c r="Q20" s="369"/>
      <c r="R20" s="97"/>
      <c r="S20" s="97"/>
      <c r="T20" s="97"/>
    </row>
    <row r="21" spans="2:20" s="135" customFormat="1" ht="14.4">
      <c r="B21" s="280" t="s">
        <v>360</v>
      </c>
      <c r="C21" s="190" t="str">
        <f>VLOOKUP(B21,'26MY_ACCORD_DATA'!B:AS,4,FALSE)</f>
        <v>Garde-boue arrière</v>
      </c>
      <c r="D21" s="200" t="str">
        <f t="shared" si="3"/>
        <v>08P09-30A-300</v>
      </c>
      <c r="E21" s="351"/>
      <c r="F21" s="351"/>
      <c r="G21" s="372"/>
      <c r="H21" s="375"/>
      <c r="I21" s="366"/>
      <c r="J21" s="366"/>
      <c r="K21" s="366"/>
      <c r="L21" s="366"/>
      <c r="M21" s="366"/>
      <c r="N21" s="366"/>
      <c r="O21" s="303"/>
      <c r="P21" s="366"/>
      <c r="Q21" s="369"/>
      <c r="R21" s="97"/>
      <c r="S21" s="97"/>
      <c r="T21" s="97"/>
    </row>
    <row r="22" spans="2:20" s="135" customFormat="1" ht="14.4">
      <c r="B22" s="280" t="s">
        <v>308</v>
      </c>
      <c r="C22" s="190" t="str">
        <f>VLOOKUP(B22,'26MY_ACCORD_DATA'!B:AS,4,FALSE)</f>
        <v>Filet de cargaison</v>
      </c>
      <c r="D22" s="200" t="str">
        <f t="shared" si="3"/>
        <v>08L96-TVA-300</v>
      </c>
      <c r="E22" s="352"/>
      <c r="F22" s="352"/>
      <c r="G22" s="373"/>
      <c r="H22" s="376"/>
      <c r="I22" s="367"/>
      <c r="J22" s="367"/>
      <c r="K22" s="367"/>
      <c r="L22" s="367"/>
      <c r="M22" s="367"/>
      <c r="N22" s="367"/>
      <c r="O22" s="303"/>
      <c r="P22" s="367"/>
      <c r="Q22" s="370"/>
      <c r="R22" s="97"/>
      <c r="S22" s="97"/>
      <c r="T22" s="97"/>
    </row>
    <row r="23" spans="2:20" s="135" customFormat="1" ht="6.9" customHeight="1">
      <c r="B23" s="280"/>
      <c r="C23" s="201"/>
      <c r="D23" s="202"/>
      <c r="E23" s="202"/>
      <c r="F23" s="202"/>
      <c r="G23" s="202"/>
      <c r="H23" s="202"/>
      <c r="I23" s="202"/>
      <c r="J23" s="202"/>
      <c r="K23" s="202"/>
      <c r="L23" s="202"/>
      <c r="M23" s="202"/>
      <c r="N23" s="202"/>
      <c r="O23" s="202"/>
      <c r="P23" s="202"/>
      <c r="Q23" s="331"/>
      <c r="R23" s="97"/>
      <c r="S23" s="97"/>
      <c r="T23" s="97"/>
    </row>
    <row r="24" spans="2:20" s="135" customFormat="1" ht="14.4">
      <c r="B24" s="280" t="s">
        <v>517</v>
      </c>
      <c r="C24" s="194" t="str">
        <f>VLOOKUP(B24,'26MY_ACCORD_DATA'!B:AS,4,FALSE)</f>
        <v>Ensemble d’emblèmes noirs – Touring</v>
      </c>
      <c r="D24" s="78" t="str">
        <f>B24</f>
        <v>26ACC-BLK-EMB</v>
      </c>
      <c r="E24" s="350">
        <f>VLOOKUP(B24,'26MY_ACCORD_DATA'!B:AS,9,FALSE)</f>
        <v>155.79999999999998</v>
      </c>
      <c r="F24" s="353">
        <f>VLOOKUP(B24,'26MY_ACCORD_DATA'!B:AS,10,FALSE)</f>
        <v>260.3</v>
      </c>
      <c r="G24" s="388">
        <f>VLOOKUP(B24,'26MY_ACCORD_DATA'!B:AS,7,FALSE)</f>
        <v>0.89999999999999991</v>
      </c>
      <c r="H24" s="359">
        <f>VLOOKUP(B24,'26MY_ACCORD_DATA'!B:AS,11,FALSE)</f>
        <v>423.2</v>
      </c>
      <c r="I24" s="365">
        <f>VLOOKUP($B24,'26MY_ACCORD_DATA'!$B:$AS,12,FALSE)</f>
        <v>0</v>
      </c>
      <c r="J24" s="365">
        <f>VLOOKUP($B24,'26MY_ACCORD_DATA'!$B:$AS,13,FALSE)</f>
        <v>0</v>
      </c>
      <c r="K24" s="385" t="str">
        <f>VLOOKUP(B24,'26MY_ACCORD_DATA'!B:AS,14,FALSE)</f>
        <v>N/A</v>
      </c>
      <c r="L24" s="365">
        <f>VLOOKUP(B24,'26MY_ACCORD_DATA'!B:AS,15,FALSE)</f>
        <v>0</v>
      </c>
      <c r="M24" s="385" t="str">
        <f>VLOOKUP(B24,'26MY_ACCORD_DATA'!B:AS,16,FALSE)</f>
        <v>N/A</v>
      </c>
      <c r="N24" s="385" t="str">
        <f>VLOOKUP(B24,'26MY_ACCORD_DATA'!B:AS,17,FALSE)</f>
        <v>•</v>
      </c>
      <c r="O24" s="365">
        <f>VLOOKUP($B24,'26MY_ACCORD_DATA'!$B:$AS,18,FALSE)</f>
        <v>0</v>
      </c>
      <c r="P24" s="365">
        <f>VLOOKUP(B24,'26MY_ACCORD_DATA'!B:AS,19,FALSE)</f>
        <v>0</v>
      </c>
      <c r="Q24" s="362" t="str">
        <f>IF(VLOOKUP(B24,'26MY_ACCORD_DATA'!B:AS,21,FALSE)="","",VLOOKUP(B24,'26MY_ACCORD_DATA'!B:AS,21,FALSE))</f>
        <v>Rabais de 5 % appliqué.</v>
      </c>
      <c r="R24" s="97"/>
      <c r="S24" s="97"/>
      <c r="T24" s="97"/>
    </row>
    <row r="25" spans="2:20" s="135" customFormat="1" ht="14.4">
      <c r="B25" s="280" t="s">
        <v>514</v>
      </c>
      <c r="C25" s="190" t="str">
        <f>VLOOKUP(B25,'26MY_ACCORD_DATA'!B:AS,4,FALSE)</f>
        <v>Emblème, noirs lustré arrière  « H »  mark</v>
      </c>
      <c r="D25" s="200" t="str">
        <f t="shared" ref="D25" si="4">B25</f>
        <v>08F20-30A-100C</v>
      </c>
      <c r="E25" s="351"/>
      <c r="F25" s="354"/>
      <c r="G25" s="389"/>
      <c r="H25" s="360"/>
      <c r="I25" s="366"/>
      <c r="J25" s="366"/>
      <c r="K25" s="386"/>
      <c r="L25" s="366"/>
      <c r="M25" s="386"/>
      <c r="N25" s="386"/>
      <c r="O25" s="366"/>
      <c r="P25" s="366"/>
      <c r="Q25" s="363"/>
      <c r="R25" s="97"/>
      <c r="S25" s="97"/>
      <c r="T25" s="97"/>
    </row>
    <row r="26" spans="2:20" s="135" customFormat="1" ht="14.4">
      <c r="B26" s="280" t="s">
        <v>503</v>
      </c>
      <c r="C26" s="190" t="str">
        <f>VLOOKUP(B26,'26MY_ACCORD_DATA'!B:AS,4,FALSE)</f>
        <v>Emblème, noirs lustré arrière  « Accord »</v>
      </c>
      <c r="D26" s="200" t="str">
        <f t="shared" ref="D26:D28" si="5">B26</f>
        <v>08F20-30A-100D</v>
      </c>
      <c r="E26" s="352"/>
      <c r="F26" s="354"/>
      <c r="G26" s="389"/>
      <c r="H26" s="360"/>
      <c r="I26" s="367"/>
      <c r="J26" s="367"/>
      <c r="K26" s="386"/>
      <c r="L26" s="367"/>
      <c r="M26" s="386"/>
      <c r="N26" s="386"/>
      <c r="O26" s="367"/>
      <c r="P26" s="367"/>
      <c r="Q26" s="363"/>
      <c r="R26" s="97"/>
      <c r="S26" s="97"/>
      <c r="T26" s="97"/>
    </row>
    <row r="27" spans="2:20" s="135" customFormat="1" ht="14.1" customHeight="1">
      <c r="B27" s="280" t="s">
        <v>375</v>
      </c>
      <c r="C27" s="190" t="str">
        <f>VLOOKUP(B27,'26MY_ACCORD_DATA'!B:AS,4,FALSE)</f>
        <v xml:space="preserve">Emblème, noirs lustré « Touring » </v>
      </c>
      <c r="D27" s="200" t="str">
        <f t="shared" si="5"/>
        <v>08F20-3A0-100C</v>
      </c>
      <c r="E27" s="307"/>
      <c r="F27" s="354"/>
      <c r="G27" s="389"/>
      <c r="H27" s="360"/>
      <c r="I27" s="308"/>
      <c r="J27" s="308"/>
      <c r="K27" s="386"/>
      <c r="L27" s="308"/>
      <c r="M27" s="386"/>
      <c r="N27" s="386"/>
      <c r="O27" s="308"/>
      <c r="P27" s="308"/>
      <c r="Q27" s="363"/>
      <c r="R27" s="97"/>
      <c r="S27" s="97"/>
      <c r="T27" s="97"/>
    </row>
    <row r="28" spans="2:20" s="135" customFormat="1" ht="14.1" customHeight="1">
      <c r="B28" s="280" t="s">
        <v>507</v>
      </c>
      <c r="C28" s="190" t="str">
        <f>VLOOKUP(B28,'26MY_ACCORD_DATA'!B:AS,4,FALSE)</f>
        <v xml:space="preserve">Emblème, noirs lustré « Hybride » </v>
      </c>
      <c r="D28" s="200" t="str">
        <f t="shared" si="5"/>
        <v>08F20-T20-100B</v>
      </c>
      <c r="E28" s="307"/>
      <c r="F28" s="355"/>
      <c r="G28" s="390"/>
      <c r="H28" s="361"/>
      <c r="I28" s="308"/>
      <c r="J28" s="308"/>
      <c r="K28" s="387"/>
      <c r="L28" s="308"/>
      <c r="M28" s="387"/>
      <c r="N28" s="387"/>
      <c r="O28" s="308"/>
      <c r="P28" s="308"/>
      <c r="Q28" s="364"/>
      <c r="R28" s="97"/>
      <c r="S28" s="97"/>
      <c r="T28" s="97"/>
    </row>
    <row r="29" spans="2:20" s="135" customFormat="1" ht="6.9" customHeight="1">
      <c r="B29" s="280"/>
      <c r="C29" s="201"/>
      <c r="D29" s="202"/>
      <c r="E29" s="202"/>
      <c r="F29" s="202"/>
      <c r="G29" s="202"/>
      <c r="H29" s="202"/>
      <c r="I29" s="202"/>
      <c r="J29" s="202"/>
      <c r="K29" s="202"/>
      <c r="L29" s="202"/>
      <c r="M29" s="202"/>
      <c r="N29" s="202"/>
      <c r="O29" s="202"/>
      <c r="P29" s="202"/>
      <c r="Q29" s="331"/>
      <c r="R29" s="97"/>
      <c r="S29" s="97"/>
      <c r="T29" s="97"/>
    </row>
    <row r="30" spans="2:20" s="135" customFormat="1" ht="14.4">
      <c r="B30" s="280" t="s">
        <v>413</v>
      </c>
      <c r="C30" s="194" t="str">
        <f>VLOOKUP(B30,'26MY_ACCORD_DATA'!B:AS,4,FALSE)</f>
        <v>Ensemble Aero – Version SE</v>
      </c>
      <c r="D30" s="78" t="str">
        <f>B30</f>
        <v>23ACC-ARO-EX</v>
      </c>
      <c r="E30" s="350">
        <f>VLOOKUP(B30,'26MY_ACCORD_DATA'!B:AS,9,FALSE)</f>
        <v>1555.2</v>
      </c>
      <c r="F30" s="350">
        <f>VLOOKUP(B30,'26MY_ACCORD_DATA'!B:AS,10,FALSE)</f>
        <v>2591.1</v>
      </c>
      <c r="G30" s="371">
        <f>VLOOKUP(B30,'26MY_ACCORD_DATA'!B:AS,7,FALSE)</f>
        <v>3.5</v>
      </c>
      <c r="H30" s="374">
        <f>VLOOKUP(B30,'26MY_ACCORD_DATA'!B:AS,11,FALSE)</f>
        <v>3224.6</v>
      </c>
      <c r="I30" s="365">
        <f>VLOOKUP(B30,'26MY_ACCORD_DATA'!B:AS,12,FALSE)</f>
        <v>0</v>
      </c>
      <c r="J30" s="365">
        <f>VLOOKUP(B30,'26MY_ACCORD_DATA'!B:AS,13,FALSE)</f>
        <v>0</v>
      </c>
      <c r="K30" s="365" t="str">
        <f>VLOOKUP(B30,'26MY_ACCORD_DATA'!B:AS,14,FALSE)</f>
        <v>•</v>
      </c>
      <c r="L30" s="365">
        <f>VLOOKUP(B30,'26MY_ACCORD_DATA'!B:AS,15,FALSE)</f>
        <v>0</v>
      </c>
      <c r="M30" s="365" t="str">
        <f>VLOOKUP(B30,'26MY_ACCORD_DATA'!B:AS,16,FALSE)</f>
        <v>N/A</v>
      </c>
      <c r="N30" s="365" t="str">
        <f>VLOOKUP(B30,'26MY_ACCORD_DATA'!B:AS,17,FALSE)</f>
        <v>N/A</v>
      </c>
      <c r="O30" s="365">
        <f>VLOOKUP(B30,'26MY_ACCORD_DATA'!B:AS,18,FALSE)</f>
        <v>0</v>
      </c>
      <c r="P30" s="365">
        <f>VLOOKUP(B30,'26MY_ACCORD_DATA'!B:AS,19,FALSE)</f>
        <v>0</v>
      </c>
      <c r="Q30" s="368" t="str">
        <f>IF(VLOOKUP(B30,'26MY_ACCORD_DATA'!B:AS,21,FALSE)="","",VLOOKUP(B30,'26MY_ACCORD_DATA'!B:AS,21,FALSE))</f>
        <v>Rabais de 10 % est appliqué
Déflecteur arrière de coffre - Noir cristal nacré couleur (NH-731P)</v>
      </c>
      <c r="R30" s="97"/>
      <c r="S30" s="97"/>
      <c r="T30" s="97"/>
    </row>
    <row r="31" spans="2:20" s="135" customFormat="1" ht="14.4">
      <c r="B31" s="280" t="s">
        <v>388</v>
      </c>
      <c r="C31" s="190" t="str">
        <f>VLOOKUP(B31,'26MY_ACCORD_DATA'!B:AS,4,FALSE)</f>
        <v>Becquet de bas de caisse, latéral</v>
      </c>
      <c r="D31" s="200" t="str">
        <f t="shared" ref="D31:D35" si="6">B31</f>
        <v>08F04-30A-1F0</v>
      </c>
      <c r="E31" s="351"/>
      <c r="F31" s="351"/>
      <c r="G31" s="372"/>
      <c r="H31" s="375"/>
      <c r="I31" s="366"/>
      <c r="J31" s="366"/>
      <c r="K31" s="366"/>
      <c r="L31" s="366"/>
      <c r="M31" s="366"/>
      <c r="N31" s="366"/>
      <c r="O31" s="366"/>
      <c r="P31" s="366"/>
      <c r="Q31" s="369"/>
      <c r="R31" s="97"/>
      <c r="S31" s="97"/>
      <c r="T31" s="97"/>
    </row>
    <row r="32" spans="2:20" s="135" customFormat="1" ht="14.4">
      <c r="B32" s="280" t="s">
        <v>389</v>
      </c>
      <c r="C32" s="190" t="str">
        <f>VLOOKUP(B32,'26MY_ACCORD_DATA'!B:AS,4,FALSE)</f>
        <v>Becquet de bas de caisse, avant</v>
      </c>
      <c r="D32" s="200" t="str">
        <f t="shared" ref="D32:D34" si="7">B32</f>
        <v>08P98-30A-1F0</v>
      </c>
      <c r="E32" s="351"/>
      <c r="F32" s="351"/>
      <c r="G32" s="372"/>
      <c r="H32" s="375"/>
      <c r="I32" s="366"/>
      <c r="J32" s="366"/>
      <c r="K32" s="366"/>
      <c r="L32" s="366"/>
      <c r="M32" s="366"/>
      <c r="N32" s="366"/>
      <c r="O32" s="366"/>
      <c r="P32" s="366"/>
      <c r="Q32" s="369"/>
      <c r="R32" s="97"/>
      <c r="S32" s="97"/>
      <c r="T32" s="97"/>
    </row>
    <row r="33" spans="2:20" s="135" customFormat="1" ht="14.4">
      <c r="B33" s="280" t="s">
        <v>390</v>
      </c>
      <c r="C33" s="190" t="str">
        <f>VLOOKUP(B33,'26MY_ACCORD_DATA'!B:AS,4,FALSE)</f>
        <v>Becquet de bas de caisse, arrière</v>
      </c>
      <c r="D33" s="200" t="str">
        <f t="shared" si="7"/>
        <v>08P99-30A-1F0</v>
      </c>
      <c r="E33" s="351"/>
      <c r="F33" s="351"/>
      <c r="G33" s="372"/>
      <c r="H33" s="375"/>
      <c r="I33" s="366"/>
      <c r="J33" s="366"/>
      <c r="K33" s="366"/>
      <c r="L33" s="366"/>
      <c r="M33" s="366"/>
      <c r="N33" s="366"/>
      <c r="O33" s="366"/>
      <c r="P33" s="366"/>
      <c r="Q33" s="369"/>
      <c r="R33" s="97"/>
      <c r="S33" s="97"/>
      <c r="T33" s="97"/>
    </row>
    <row r="34" spans="2:20" s="135" customFormat="1" ht="14.4">
      <c r="B34" s="280" t="s">
        <v>282</v>
      </c>
      <c r="C34" s="190" t="str">
        <f>VLOOKUP(B34,'26MY_ACCORD_DATA'!B:AS,4,FALSE)</f>
        <v>Noir cristal nacré (NH-731P)</v>
      </c>
      <c r="D34" s="200" t="str">
        <f t="shared" si="7"/>
        <v>08F10-30A-170</v>
      </c>
      <c r="E34" s="351"/>
      <c r="F34" s="351"/>
      <c r="G34" s="372"/>
      <c r="H34" s="375"/>
      <c r="I34" s="366"/>
      <c r="J34" s="366"/>
      <c r="K34" s="366"/>
      <c r="L34" s="366"/>
      <c r="M34" s="366"/>
      <c r="N34" s="366"/>
      <c r="O34" s="366"/>
      <c r="P34" s="366"/>
      <c r="Q34" s="369"/>
      <c r="R34" s="97"/>
      <c r="S34" s="97"/>
      <c r="T34" s="97"/>
    </row>
    <row r="35" spans="2:20" s="135" customFormat="1" ht="28.8">
      <c r="B35" s="280" t="s">
        <v>399</v>
      </c>
      <c r="C35" s="289" t="str">
        <f>VLOOKUP(B35,'26MY_ACCORD_DATA'!B:AS,4,FALSE)</f>
        <v>Couvercle de rétroviseur de portière et élément inférieur d’admission d’air</v>
      </c>
      <c r="D35" s="200" t="str">
        <f t="shared" si="6"/>
        <v>08R06-30A-110</v>
      </c>
      <c r="E35" s="352"/>
      <c r="F35" s="352"/>
      <c r="G35" s="373"/>
      <c r="H35" s="376"/>
      <c r="I35" s="367"/>
      <c r="J35" s="367"/>
      <c r="K35" s="367"/>
      <c r="L35" s="367"/>
      <c r="M35" s="367"/>
      <c r="N35" s="367"/>
      <c r="O35" s="367"/>
      <c r="P35" s="367"/>
      <c r="Q35" s="370"/>
      <c r="R35" s="97"/>
      <c r="S35" s="97"/>
      <c r="T35" s="97"/>
    </row>
    <row r="36" spans="2:20" s="135" customFormat="1" ht="6.9" customHeight="1">
      <c r="B36" s="280"/>
      <c r="C36" s="201"/>
      <c r="D36" s="202"/>
      <c r="E36" s="202"/>
      <c r="F36" s="202"/>
      <c r="G36" s="202"/>
      <c r="H36" s="202"/>
      <c r="I36" s="202"/>
      <c r="J36" s="202"/>
      <c r="K36" s="202"/>
      <c r="L36" s="202"/>
      <c r="M36" s="202"/>
      <c r="N36" s="202"/>
      <c r="O36" s="202"/>
      <c r="P36" s="202"/>
      <c r="Q36" s="331"/>
      <c r="R36" s="97"/>
      <c r="S36" s="97"/>
      <c r="T36" s="97"/>
    </row>
    <row r="37" spans="2:20" s="135" customFormat="1" ht="14.4">
      <c r="B37" s="280" t="s">
        <v>444</v>
      </c>
      <c r="C37" s="194" t="str">
        <f>VLOOKUP(B37,'26MY_ACCORD_DATA'!B:AS,4,FALSE)</f>
        <v>Ensemble Aero – Version Sport</v>
      </c>
      <c r="D37" s="78" t="str">
        <f>B37</f>
        <v>23ACC-ARO-SPHY</v>
      </c>
      <c r="E37" s="350">
        <f>VLOOKUP(B37,'26MY_ACCORD_DATA'!B:AS,9,FALSE)</f>
        <v>1018.8000000000001</v>
      </c>
      <c r="F37" s="350">
        <f>VLOOKUP(B37,'26MY_ACCORD_DATA'!B:AS,10,FALSE)</f>
        <v>1697.4</v>
      </c>
      <c r="G37" s="371">
        <f>VLOOKUP(B37,'26MY_ACCORD_DATA'!B:AS,7,FALSE)</f>
        <v>1.7999999999999998</v>
      </c>
      <c r="H37" s="374">
        <f>VLOOKUP(B37,'26MY_ACCORD_DATA'!B:AS,11,FALSE)</f>
        <v>2023.2</v>
      </c>
      <c r="I37" s="365">
        <f>VLOOKUP(B37,'26MY_ACCORD_DATA'!B:AS,12,FALSE)</f>
        <v>0</v>
      </c>
      <c r="J37" s="365">
        <f>VLOOKUP(B37,'26MY_ACCORD_DATA'!B:AS,13,FALSE)</f>
        <v>0</v>
      </c>
      <c r="K37" s="365" t="str">
        <f>VLOOKUP(B37,'26MY_ACCORD_DATA'!B:AS,14,FALSE)</f>
        <v>N/A</v>
      </c>
      <c r="L37" s="365">
        <f>VLOOKUP(B37,'26MY_ACCORD_DATA'!B:AS,15,FALSE)</f>
        <v>0</v>
      </c>
      <c r="M37" s="365" t="str">
        <f>VLOOKUP(B37,'26MY_ACCORD_DATA'!B:AS,16,FALSE)</f>
        <v>•</v>
      </c>
      <c r="N37" s="365" t="str">
        <f>VLOOKUP(B37,'26MY_ACCORD_DATA'!B:AS,17,FALSE)</f>
        <v>N/A</v>
      </c>
      <c r="O37" s="365">
        <f>VLOOKUP(B37,'26MY_ACCORD_DATA'!B:AS,18,FALSE)</f>
        <v>0</v>
      </c>
      <c r="P37" s="365">
        <f>VLOOKUP(B37,'26MY_ACCORD_DATA'!B:AS,19,FALSE)</f>
        <v>0</v>
      </c>
      <c r="Q37" s="368" t="str">
        <f>IF(VLOOKUP(B37,'26MY_ACCORD_DATA'!B:AS,21,FALSE)="","",VLOOKUP(B37,'26MY_ACCORD_DATA'!B:AS,21,FALSE))</f>
        <v>Rabais de 10 % est appliqué
Version Sport Hybride est livrée de série avec le becquet de bas de caisse, arrière</v>
      </c>
      <c r="R37" s="97"/>
      <c r="S37" s="97"/>
      <c r="T37" s="97"/>
    </row>
    <row r="38" spans="2:20" s="135" customFormat="1" ht="14.4">
      <c r="B38" s="280" t="s">
        <v>388</v>
      </c>
      <c r="C38" s="190" t="str">
        <f>VLOOKUP(B38,'26MY_ACCORD_DATA'!B:AS,4,FALSE)</f>
        <v>Becquet de bas de caisse, latéral</v>
      </c>
      <c r="D38" s="200" t="str">
        <f t="shared" ref="D38:D40" si="8">B38</f>
        <v>08F04-30A-1F0</v>
      </c>
      <c r="E38" s="351"/>
      <c r="F38" s="351"/>
      <c r="G38" s="372"/>
      <c r="H38" s="375"/>
      <c r="I38" s="366"/>
      <c r="J38" s="366"/>
      <c r="K38" s="366"/>
      <c r="L38" s="366"/>
      <c r="M38" s="366"/>
      <c r="N38" s="366"/>
      <c r="O38" s="366"/>
      <c r="P38" s="366"/>
      <c r="Q38" s="369"/>
      <c r="R38" s="97"/>
      <c r="S38" s="97"/>
      <c r="T38" s="97"/>
    </row>
    <row r="39" spans="2:20" s="135" customFormat="1" ht="14.4">
      <c r="B39" s="280" t="s">
        <v>389</v>
      </c>
      <c r="C39" s="190" t="str">
        <f>VLOOKUP(B39,'26MY_ACCORD_DATA'!B:AS,4,FALSE)</f>
        <v>Becquet de bas de caisse, avant</v>
      </c>
      <c r="D39" s="200" t="str">
        <f t="shared" ref="D39" si="9">B39</f>
        <v>08P98-30A-1F0</v>
      </c>
      <c r="E39" s="351"/>
      <c r="F39" s="351"/>
      <c r="G39" s="372"/>
      <c r="H39" s="375"/>
      <c r="I39" s="366"/>
      <c r="J39" s="366"/>
      <c r="K39" s="366"/>
      <c r="L39" s="366"/>
      <c r="M39" s="366"/>
      <c r="N39" s="366"/>
      <c r="O39" s="366"/>
      <c r="P39" s="366"/>
      <c r="Q39" s="369"/>
      <c r="R39" s="97"/>
      <c r="S39" s="97"/>
      <c r="T39" s="97"/>
    </row>
    <row r="40" spans="2:20" s="135" customFormat="1" ht="14.4">
      <c r="B40" s="280" t="s">
        <v>390</v>
      </c>
      <c r="C40" s="190" t="str">
        <f>VLOOKUP(B40,'26MY_ACCORD_DATA'!B:AS,4,FALSE)</f>
        <v>Becquet de bas de caisse, arrière</v>
      </c>
      <c r="D40" s="200" t="str">
        <f t="shared" si="8"/>
        <v>08P99-30A-1F0</v>
      </c>
      <c r="E40" s="352"/>
      <c r="F40" s="352"/>
      <c r="G40" s="373"/>
      <c r="H40" s="376"/>
      <c r="I40" s="367"/>
      <c r="J40" s="367"/>
      <c r="K40" s="367"/>
      <c r="L40" s="367"/>
      <c r="M40" s="367"/>
      <c r="N40" s="367"/>
      <c r="O40" s="367"/>
      <c r="P40" s="367"/>
      <c r="Q40" s="370"/>
      <c r="R40" s="97"/>
      <c r="S40" s="97"/>
      <c r="T40" s="97"/>
    </row>
    <row r="41" spans="2:20" s="135" customFormat="1" ht="6.9" customHeight="1">
      <c r="B41" s="280"/>
      <c r="C41" s="201"/>
      <c r="D41" s="202"/>
      <c r="E41" s="202"/>
      <c r="F41" s="202"/>
      <c r="G41" s="202"/>
      <c r="H41" s="202"/>
      <c r="I41" s="202"/>
      <c r="J41" s="202"/>
      <c r="K41" s="202"/>
      <c r="L41" s="202"/>
      <c r="M41" s="202"/>
      <c r="N41" s="202"/>
      <c r="O41" s="202"/>
      <c r="P41" s="202"/>
      <c r="Q41" s="331"/>
      <c r="R41" s="97"/>
      <c r="S41" s="97"/>
      <c r="T41" s="97"/>
    </row>
    <row r="42" spans="2:20" s="135" customFormat="1" ht="14.1" customHeight="1">
      <c r="B42" s="280" t="s">
        <v>436</v>
      </c>
      <c r="C42" s="194" t="str">
        <f>VLOOKUP(B42,'26MY_ACCORD_DATA'!B:AS,4,FALSE)</f>
        <v>Ensemble Aero – Version Touring</v>
      </c>
      <c r="D42" s="78" t="str">
        <f>B42</f>
        <v>23ACC-ARO-TRHY</v>
      </c>
      <c r="E42" s="350">
        <f>VLOOKUP(B42,'26MY_ACCORD_DATA'!B:AS,9,FALSE)</f>
        <v>1555.2</v>
      </c>
      <c r="F42" s="350">
        <f>VLOOKUP(B42,'26MY_ACCORD_DATA'!B:AS,10,FALSE)</f>
        <v>2591.1</v>
      </c>
      <c r="G42" s="371">
        <f>VLOOKUP(B42,'26MY_ACCORD_DATA'!B:AS,7,FALSE)</f>
        <v>3.5</v>
      </c>
      <c r="H42" s="374">
        <f>VLOOKUP(B42,'26MY_ACCORD_DATA'!B:AS,11,FALSE)</f>
        <v>3224.6</v>
      </c>
      <c r="I42" s="365">
        <f>VLOOKUP(B42,'26MY_ACCORD_DATA'!B:AS,12,FALSE)</f>
        <v>0</v>
      </c>
      <c r="J42" s="365">
        <f>VLOOKUP(B42,'26MY_ACCORD_DATA'!B:AS,13,FALSE)</f>
        <v>0</v>
      </c>
      <c r="K42" s="365" t="str">
        <f>VLOOKUP(B42,'26MY_ACCORD_DATA'!B:AS,14,FALSE)</f>
        <v>N/A</v>
      </c>
      <c r="L42" s="365">
        <f>VLOOKUP(B42,'26MY_ACCORD_DATA'!B:AS,15,FALSE)</f>
        <v>0</v>
      </c>
      <c r="M42" s="365" t="str">
        <f>VLOOKUP(B42,'26MY_ACCORD_DATA'!B:AS,16,FALSE)</f>
        <v>N/A</v>
      </c>
      <c r="N42" s="365" t="str">
        <f>VLOOKUP(B42,'26MY_ACCORD_DATA'!B:AS,17,FALSE)</f>
        <v>•</v>
      </c>
      <c r="O42" s="365">
        <f>VLOOKUP(B42,'26MY_ACCORD_DATA'!B:AS,18,FALSE)</f>
        <v>0</v>
      </c>
      <c r="P42" s="365">
        <f>VLOOKUP(B42,'26MY_ACCORD_DATA'!B:AS,19,FALSE)</f>
        <v>0</v>
      </c>
      <c r="Q42" s="368" t="str">
        <f>IF(VLOOKUP(B42,'26MY_ACCORD_DATA'!B:AS,21,FALSE)="","",VLOOKUP(B42,'26MY_ACCORD_DATA'!B:AS,21,FALSE))</f>
        <v>Rabais de 10 % est appliqué
Déflecteur arrière de coffre - Noir cristal nacré couleur (NH-731P)</v>
      </c>
      <c r="R42" s="97"/>
      <c r="S42" s="97"/>
      <c r="T42" s="97"/>
    </row>
    <row r="43" spans="2:20" s="135" customFormat="1" ht="14.1" customHeight="1">
      <c r="B43" s="280" t="s">
        <v>388</v>
      </c>
      <c r="C43" s="190" t="str">
        <f>VLOOKUP(B43,'26MY_ACCORD_DATA'!B:AS,4,FALSE)</f>
        <v>Becquet de bas de caisse, latéral</v>
      </c>
      <c r="D43" s="200" t="str">
        <f t="shared" ref="D43:D47" si="10">B43</f>
        <v>08F04-30A-1F0</v>
      </c>
      <c r="E43" s="351"/>
      <c r="F43" s="351"/>
      <c r="G43" s="372"/>
      <c r="H43" s="375"/>
      <c r="I43" s="366"/>
      <c r="J43" s="366"/>
      <c r="K43" s="366"/>
      <c r="L43" s="366"/>
      <c r="M43" s="366"/>
      <c r="N43" s="366"/>
      <c r="O43" s="366"/>
      <c r="P43" s="366"/>
      <c r="Q43" s="369"/>
      <c r="R43" s="97"/>
      <c r="S43" s="97"/>
      <c r="T43" s="97"/>
    </row>
    <row r="44" spans="2:20" s="135" customFormat="1" ht="14.1" customHeight="1">
      <c r="B44" s="280" t="s">
        <v>389</v>
      </c>
      <c r="C44" s="190" t="str">
        <f>VLOOKUP(B44,'26MY_ACCORD_DATA'!B:AS,4,FALSE)</f>
        <v>Becquet de bas de caisse, avant</v>
      </c>
      <c r="D44" s="200" t="str">
        <f t="shared" ref="D44:D46" si="11">B44</f>
        <v>08P98-30A-1F0</v>
      </c>
      <c r="E44" s="351"/>
      <c r="F44" s="351"/>
      <c r="G44" s="372"/>
      <c r="H44" s="375"/>
      <c r="I44" s="366"/>
      <c r="J44" s="366"/>
      <c r="K44" s="366"/>
      <c r="L44" s="366"/>
      <c r="M44" s="366"/>
      <c r="N44" s="366"/>
      <c r="O44" s="366"/>
      <c r="P44" s="366"/>
      <c r="Q44" s="369"/>
      <c r="R44" s="97"/>
      <c r="S44" s="97"/>
      <c r="T44" s="97"/>
    </row>
    <row r="45" spans="2:20" s="135" customFormat="1" ht="14.1" customHeight="1">
      <c r="B45" s="280" t="s">
        <v>390</v>
      </c>
      <c r="C45" s="190" t="str">
        <f>VLOOKUP(B45,'26MY_ACCORD_DATA'!B:AS,4,FALSE)</f>
        <v>Becquet de bas de caisse, arrière</v>
      </c>
      <c r="D45" s="200" t="str">
        <f t="shared" si="11"/>
        <v>08P99-30A-1F0</v>
      </c>
      <c r="E45" s="351"/>
      <c r="F45" s="351"/>
      <c r="G45" s="372"/>
      <c r="H45" s="375"/>
      <c r="I45" s="366"/>
      <c r="J45" s="366"/>
      <c r="K45" s="366"/>
      <c r="L45" s="366"/>
      <c r="M45" s="366"/>
      <c r="N45" s="366"/>
      <c r="O45" s="366"/>
      <c r="P45" s="366"/>
      <c r="Q45" s="369"/>
      <c r="R45" s="97"/>
      <c r="S45" s="97"/>
      <c r="T45" s="97"/>
    </row>
    <row r="46" spans="2:20" s="135" customFormat="1" ht="14.1" customHeight="1">
      <c r="B46" s="280" t="s">
        <v>282</v>
      </c>
      <c r="C46" s="190" t="str">
        <f>VLOOKUP(B46,'26MY_ACCORD_DATA'!B:AS,4,FALSE)</f>
        <v>Noir cristal nacré (NH-731P)</v>
      </c>
      <c r="D46" s="200" t="str">
        <f t="shared" si="11"/>
        <v>08F10-30A-170</v>
      </c>
      <c r="E46" s="351"/>
      <c r="F46" s="351"/>
      <c r="G46" s="372"/>
      <c r="H46" s="375"/>
      <c r="I46" s="366"/>
      <c r="J46" s="366"/>
      <c r="K46" s="366"/>
      <c r="L46" s="366"/>
      <c r="M46" s="366"/>
      <c r="N46" s="366"/>
      <c r="O46" s="366"/>
      <c r="P46" s="366"/>
      <c r="Q46" s="369"/>
      <c r="R46" s="97"/>
      <c r="S46" s="97"/>
      <c r="T46" s="97"/>
    </row>
    <row r="47" spans="2:20" s="135" customFormat="1" ht="28.8">
      <c r="B47" s="280" t="s">
        <v>400</v>
      </c>
      <c r="C47" s="289" t="str">
        <f>VLOOKUP(B47,'26MY_ACCORD_DATA'!B:AS,4,FALSE)</f>
        <v>Couvercle de rétroviseur de portière et élément inférieur d’admission d’air</v>
      </c>
      <c r="D47" s="200" t="str">
        <f t="shared" si="10"/>
        <v>08R06-30A-110A</v>
      </c>
      <c r="E47" s="352"/>
      <c r="F47" s="352"/>
      <c r="G47" s="373"/>
      <c r="H47" s="376"/>
      <c r="I47" s="367"/>
      <c r="J47" s="367"/>
      <c r="K47" s="367"/>
      <c r="L47" s="367"/>
      <c r="M47" s="367"/>
      <c r="N47" s="367"/>
      <c r="O47" s="367"/>
      <c r="P47" s="367"/>
      <c r="Q47" s="370"/>
      <c r="R47" s="97"/>
      <c r="S47" s="97"/>
      <c r="T47" s="97"/>
    </row>
    <row r="48" spans="2:20" s="135" customFormat="1" ht="6.9" customHeight="1">
      <c r="B48" s="280"/>
      <c r="C48" s="201"/>
      <c r="D48" s="202"/>
      <c r="E48" s="202"/>
      <c r="F48" s="202"/>
      <c r="G48" s="202"/>
      <c r="H48" s="202"/>
      <c r="I48" s="202"/>
      <c r="J48" s="202"/>
      <c r="K48" s="202"/>
      <c r="L48" s="202"/>
      <c r="M48" s="202"/>
      <c r="N48" s="202"/>
      <c r="O48" s="202"/>
      <c r="P48" s="202"/>
      <c r="Q48" s="331"/>
      <c r="R48" s="97"/>
      <c r="S48" s="97"/>
      <c r="T48" s="97"/>
    </row>
    <row r="49" spans="1:20" s="135" customFormat="1" ht="14.4">
      <c r="B49" s="280" t="s">
        <v>448</v>
      </c>
      <c r="C49" s="194" t="str">
        <f>VLOOKUP(B49,'26MY_ACCORD_DATA'!B:AS,4,FALSE)</f>
        <v xml:space="preserve">Ensemble de temps froid </v>
      </c>
      <c r="D49" s="78" t="str">
        <f>B49</f>
        <v>23ACC-COLD-PKP</v>
      </c>
      <c r="E49" s="350">
        <f>VLOOKUP(B49,'26MY_ACCORD_DATA'!B:AS,9,FALSE)</f>
        <v>226.1</v>
      </c>
      <c r="F49" s="350">
        <f>VLOOKUP(B49,'26MY_ACCORD_DATA'!B:AS,10,FALSE)</f>
        <v>377.15</v>
      </c>
      <c r="G49" s="382">
        <f>VLOOKUP(B49,'26MY_ACCORD_DATA'!B:AS,7,FALSE)</f>
        <v>1.2</v>
      </c>
      <c r="H49" s="374">
        <f>VLOOKUP(B49,'26MY_ACCORD_DATA'!B:AS,11,FALSE)</f>
        <v>594.34999999999991</v>
      </c>
      <c r="I49" s="365">
        <f>VLOOKUP($B49,'26MY_ACCORD_DATA'!$B:$AS,12,FALSE)</f>
        <v>0</v>
      </c>
      <c r="J49" s="365">
        <f>VLOOKUP($B49,'26MY_ACCORD_DATA'!$B:$AS,13,FALSE)</f>
        <v>0</v>
      </c>
      <c r="K49" s="365" t="str">
        <f>VLOOKUP(B49,'26MY_ACCORD_DATA'!B:AS,14,FALSE)</f>
        <v>•</v>
      </c>
      <c r="L49" s="365">
        <f>VLOOKUP(B49,'26MY_ACCORD_DATA'!B:AS,15,FALSE)</f>
        <v>0</v>
      </c>
      <c r="M49" s="365" t="str">
        <f>VLOOKUP(B49,'26MY_ACCORD_DATA'!B:AS,16,FALSE)</f>
        <v>N/A</v>
      </c>
      <c r="N49" s="365" t="str">
        <f>VLOOKUP(B49,'26MY_ACCORD_DATA'!B:AS,17,FALSE)</f>
        <v>N/A</v>
      </c>
      <c r="O49" s="365">
        <f>VLOOKUP($B49,'26MY_ACCORD_DATA'!$B:$AS,18,FALSE)</f>
        <v>0</v>
      </c>
      <c r="P49" s="365">
        <f>VLOOKUP(B49,'26MY_ACCORD_DATA'!B:AS,19,FALSE)</f>
        <v>0</v>
      </c>
      <c r="Q49" s="368" t="str">
        <f>IF(VLOOKUP(B49,'26MY_ACCORD_DATA'!B:AS,21,FALSE)="","",VLOOKUP(B49,'26MY_ACCORD_DATA'!B:AS,21,FALSE))</f>
        <v>Rabais de 5 % appliqué.</v>
      </c>
      <c r="R49" s="97"/>
      <c r="S49" s="97"/>
      <c r="T49" s="97"/>
    </row>
    <row r="50" spans="1:20" s="135" customFormat="1" ht="14.4">
      <c r="B50" s="280" t="s">
        <v>333</v>
      </c>
      <c r="C50" s="190" t="str">
        <f>VLOOKUP(B50,'26MY_ACCORD_DATA'!B:AS,4,FALSE)</f>
        <v>Chauffe-moteur</v>
      </c>
      <c r="D50" s="200" t="str">
        <f t="shared" ref="D50" si="12">B50</f>
        <v>08T44-30A-300A</v>
      </c>
      <c r="E50" s="351"/>
      <c r="F50" s="351"/>
      <c r="G50" s="383"/>
      <c r="H50" s="375"/>
      <c r="I50" s="366"/>
      <c r="J50" s="366"/>
      <c r="K50" s="366"/>
      <c r="L50" s="366"/>
      <c r="M50" s="366"/>
      <c r="N50" s="366"/>
      <c r="O50" s="366"/>
      <c r="P50" s="366"/>
      <c r="Q50" s="369"/>
      <c r="R50" s="97"/>
      <c r="S50" s="97"/>
      <c r="T50" s="97"/>
    </row>
    <row r="51" spans="1:20" s="135" customFormat="1" ht="14.4">
      <c r="B51" s="280" t="s">
        <v>26</v>
      </c>
      <c r="C51" s="190" t="str">
        <f>VLOOKUP(B51,'26MY_ACCORD_DATA'!B:AS,4,FALSE)</f>
        <v>Chargeur/mainteneur de batterie automobile 12 V Optimate</v>
      </c>
      <c r="D51" s="200" t="str">
        <f t="shared" ref="D51" si="13">B51</f>
        <v>31670-BMS-004H</v>
      </c>
      <c r="E51" s="352"/>
      <c r="F51" s="352"/>
      <c r="G51" s="384"/>
      <c r="H51" s="376"/>
      <c r="I51" s="367"/>
      <c r="J51" s="367"/>
      <c r="K51" s="367"/>
      <c r="L51" s="367"/>
      <c r="M51" s="367"/>
      <c r="N51" s="367"/>
      <c r="O51" s="367"/>
      <c r="P51" s="367"/>
      <c r="Q51" s="370"/>
      <c r="R51" s="97"/>
      <c r="S51" s="97"/>
      <c r="T51" s="97"/>
    </row>
    <row r="52" spans="1:20" s="135" customFormat="1" ht="6.9" customHeight="1">
      <c r="B52" s="280"/>
      <c r="C52" s="201"/>
      <c r="D52" s="202"/>
      <c r="E52" s="202"/>
      <c r="F52" s="202"/>
      <c r="G52" s="202"/>
      <c r="H52" s="202"/>
      <c r="I52" s="202"/>
      <c r="J52" s="202"/>
      <c r="K52" s="202"/>
      <c r="L52" s="202"/>
      <c r="M52" s="202"/>
      <c r="N52" s="202"/>
      <c r="O52" s="202"/>
      <c r="P52" s="202"/>
      <c r="Q52" s="331"/>
      <c r="R52" s="97"/>
      <c r="S52" s="97"/>
      <c r="T52" s="97"/>
    </row>
    <row r="53" spans="1:20" s="135" customFormat="1" ht="14.4">
      <c r="B53" s="280" t="s">
        <v>451</v>
      </c>
      <c r="C53" s="194" t="str">
        <f>VLOOKUP(B53,'26MY_ACCORD_DATA'!B:AS,4,FALSE)</f>
        <v xml:space="preserve">Ensemble de temps froid </v>
      </c>
      <c r="D53" s="78" t="str">
        <f>B53</f>
        <v>23ACC-COLD-PKH</v>
      </c>
      <c r="E53" s="350">
        <f>VLOOKUP(B53,'26MY_ACCORD_DATA'!B:AS,9,FALSE)</f>
        <v>251.75</v>
      </c>
      <c r="F53" s="350">
        <f>VLOOKUP(B53,'26MY_ACCORD_DATA'!B:AS,10,FALSE)</f>
        <v>419.9</v>
      </c>
      <c r="G53" s="382">
        <f>VLOOKUP(B53,'26MY_ACCORD_DATA'!B:AS,7,FALSE)</f>
        <v>1.2</v>
      </c>
      <c r="H53" s="374">
        <f>VLOOKUP(B53,'26MY_ACCORD_DATA'!B:AS,11,FALSE)</f>
        <v>637.09999999999991</v>
      </c>
      <c r="I53" s="365">
        <f>VLOOKUP($B53,'26MY_ACCORD_DATA'!$B:$AS,12,FALSE)</f>
        <v>0</v>
      </c>
      <c r="J53" s="365">
        <f>VLOOKUP($B53,'26MY_ACCORD_DATA'!$B:$AS,13,FALSE)</f>
        <v>0</v>
      </c>
      <c r="K53" s="365" t="str">
        <f>VLOOKUP(B53,'26MY_ACCORD_DATA'!B:AS,14,FALSE)</f>
        <v>N/A</v>
      </c>
      <c r="L53" s="365">
        <f>VLOOKUP(B53,'26MY_ACCORD_DATA'!B:AS,15,FALSE)</f>
        <v>0</v>
      </c>
      <c r="M53" s="365" t="str">
        <f>VLOOKUP(B53,'26MY_ACCORD_DATA'!B:AS,16,FALSE)</f>
        <v>•</v>
      </c>
      <c r="N53" s="365" t="str">
        <f>VLOOKUP(B53,'26MY_ACCORD_DATA'!B:AS,17,FALSE)</f>
        <v>•</v>
      </c>
      <c r="O53" s="365">
        <f>VLOOKUP($B53,'26MY_ACCORD_DATA'!$B:$AS,18,FALSE)</f>
        <v>0</v>
      </c>
      <c r="P53" s="365">
        <f>VLOOKUP(B53,'26MY_ACCORD_DATA'!B:AS,19,FALSE)</f>
        <v>0</v>
      </c>
      <c r="Q53" s="368" t="str">
        <f>IF(VLOOKUP(B53,'26MY_ACCORD_DATA'!B:AS,21,FALSE)="","",VLOOKUP(B53,'26MY_ACCORD_DATA'!B:AS,21,FALSE))</f>
        <v>Rabais de 5 % appliqué.</v>
      </c>
      <c r="R53" s="97"/>
      <c r="S53" s="97"/>
      <c r="T53" s="97"/>
    </row>
    <row r="54" spans="1:20" s="135" customFormat="1" ht="14.4">
      <c r="A54" s="280" t="s">
        <v>334</v>
      </c>
      <c r="B54" s="280" t="s">
        <v>334</v>
      </c>
      <c r="C54" s="190" t="str">
        <f>VLOOKUP(B54,'26MY_ACCORD_DATA'!B:AS,4,FALSE)</f>
        <v>Chauffe-moteur</v>
      </c>
      <c r="D54" s="200" t="str">
        <f t="shared" ref="D54:D55" si="14">B54</f>
        <v>08T44-30B-300A</v>
      </c>
      <c r="E54" s="351"/>
      <c r="F54" s="351"/>
      <c r="G54" s="383"/>
      <c r="H54" s="375"/>
      <c r="I54" s="366"/>
      <c r="J54" s="366"/>
      <c r="K54" s="366"/>
      <c r="L54" s="366"/>
      <c r="M54" s="366"/>
      <c r="N54" s="366"/>
      <c r="O54" s="366"/>
      <c r="P54" s="366"/>
      <c r="Q54" s="369"/>
      <c r="R54" s="97"/>
      <c r="S54" s="97"/>
      <c r="T54" s="97"/>
    </row>
    <row r="55" spans="1:20" s="135" customFormat="1" ht="14.4">
      <c r="B55" s="280" t="s">
        <v>26</v>
      </c>
      <c r="C55" s="190" t="str">
        <f>VLOOKUP(B55,'26MY_ACCORD_DATA'!B:AS,4,FALSE)</f>
        <v>Chargeur/mainteneur de batterie automobile 12 V Optimate</v>
      </c>
      <c r="D55" s="200" t="str">
        <f t="shared" si="14"/>
        <v>31670-BMS-004H</v>
      </c>
      <c r="E55" s="352"/>
      <c r="F55" s="352"/>
      <c r="G55" s="384"/>
      <c r="H55" s="376"/>
      <c r="I55" s="367"/>
      <c r="J55" s="367"/>
      <c r="K55" s="367"/>
      <c r="L55" s="367"/>
      <c r="M55" s="367"/>
      <c r="N55" s="367"/>
      <c r="O55" s="367"/>
      <c r="P55" s="367"/>
      <c r="Q55" s="370"/>
      <c r="R55" s="97"/>
      <c r="S55" s="97"/>
      <c r="T55" s="97"/>
    </row>
    <row r="56" spans="1:20" s="136" customFormat="1" ht="15" customHeight="1">
      <c r="B56" s="281"/>
      <c r="C56" s="133"/>
      <c r="D56" s="133"/>
      <c r="E56" s="133"/>
      <c r="F56" s="133"/>
      <c r="G56" s="132"/>
      <c r="H56" s="133"/>
      <c r="I56" s="133"/>
      <c r="J56" s="133"/>
      <c r="K56" s="133"/>
      <c r="L56" s="133"/>
      <c r="M56" s="133"/>
      <c r="N56" s="133"/>
      <c r="O56" s="133"/>
      <c r="P56" s="133"/>
      <c r="Q56" s="133"/>
    </row>
    <row r="57" spans="1:20" s="134" customFormat="1" ht="18">
      <c r="B57" s="283"/>
      <c r="C57" s="153" t="s">
        <v>87</v>
      </c>
      <c r="D57" s="153"/>
      <c r="E57" s="144"/>
      <c r="F57" s="144"/>
      <c r="G57" s="144"/>
      <c r="H57" s="144"/>
      <c r="I57" s="144"/>
      <c r="J57" s="144"/>
      <c r="K57" s="144"/>
      <c r="L57" s="144"/>
      <c r="M57" s="144"/>
      <c r="N57" s="144"/>
      <c r="O57" s="144"/>
      <c r="P57" s="144"/>
      <c r="Q57" s="144"/>
    </row>
    <row r="58" spans="1:20" s="135" customFormat="1" ht="15" customHeight="1">
      <c r="B58" s="282"/>
      <c r="C58" s="377" t="s">
        <v>80</v>
      </c>
      <c r="D58" s="377" t="s">
        <v>81</v>
      </c>
      <c r="E58" s="377" t="s">
        <v>82</v>
      </c>
      <c r="F58" s="377" t="s">
        <v>83</v>
      </c>
      <c r="G58" s="377" t="s">
        <v>84</v>
      </c>
      <c r="H58" s="378" t="s">
        <v>85</v>
      </c>
      <c r="I58" s="377" t="s">
        <v>25</v>
      </c>
      <c r="J58" s="377"/>
      <c r="K58" s="377"/>
      <c r="L58" s="377"/>
      <c r="M58" s="377"/>
      <c r="N58" s="377"/>
      <c r="O58" s="377"/>
      <c r="P58" s="377"/>
      <c r="Q58" s="377" t="s">
        <v>86</v>
      </c>
    </row>
    <row r="59" spans="1:20" s="135" customFormat="1" ht="29.1" customHeight="1">
      <c r="B59" s="282"/>
      <c r="C59" s="377"/>
      <c r="D59" s="377"/>
      <c r="E59" s="377"/>
      <c r="F59" s="377"/>
      <c r="G59" s="377"/>
      <c r="H59" s="378"/>
      <c r="I59" s="176">
        <f>'26MY_ACCORD_DATA'!$M$6</f>
        <v>0</v>
      </c>
      <c r="J59" s="176">
        <f>'26MY_ACCORD_DATA'!$M$6</f>
        <v>0</v>
      </c>
      <c r="K59" s="176" t="str">
        <f>'26MY_ACCORD_DATA'!$O$6</f>
        <v>SE</v>
      </c>
      <c r="L59" s="176">
        <f>'26MY_ACCORD_DATA'!$P$6</f>
        <v>0</v>
      </c>
      <c r="M59" s="176" t="str">
        <f>'26MY_ACCORD_DATA'!$Q$6</f>
        <v>Sport -L Hybride</v>
      </c>
      <c r="N59" s="221" t="str">
        <f>'26MY_ACCORD_DATA'!$R$6</f>
        <v>Touring Hybride</v>
      </c>
      <c r="O59" s="176">
        <f>'26MY_ACCORD_DATA'!$T$6</f>
        <v>0</v>
      </c>
      <c r="P59" s="176">
        <f>'26MY_ACCORD_DATA'!$T$6</f>
        <v>0</v>
      </c>
      <c r="Q59" s="377"/>
    </row>
    <row r="60" spans="1:20" s="136" customFormat="1" ht="15" customHeight="1">
      <c r="B60" s="281" t="s">
        <v>259</v>
      </c>
      <c r="C60" s="224" t="str">
        <f>VLOOKUP(B60,'26MY_ACCORD_DATA'!B:AS,4,FALSE)</f>
        <v xml:space="preserve">17 po en acier de roues </v>
      </c>
      <c r="D60" s="79" t="str">
        <f>B60</f>
        <v>08W17-PC4-300</v>
      </c>
      <c r="E60" s="302">
        <f>VLOOKUP(B60,'26MY_ACCORD_DATA'!B:AS,9,FALSE)</f>
        <v>376.4</v>
      </c>
      <c r="F60" s="302">
        <f>VLOOKUP(B60,'26MY_ACCORD_DATA'!B:AS,10,FALSE)</f>
        <v>627.28</v>
      </c>
      <c r="G60" s="306">
        <f>VLOOKUP(B60,'26MY_ACCORD_DATA'!B:AS,7,FALSE)</f>
        <v>1.6</v>
      </c>
      <c r="H60" s="301">
        <f>VLOOKUP(B60,'26MY_ACCORD_DATA'!B:AS,11,FALSE)</f>
        <v>916.88</v>
      </c>
      <c r="I60" s="304">
        <f>VLOOKUP(B60,'26MY_ACCORD_DATA'!B:AS,12,FALSE)</f>
        <v>0</v>
      </c>
      <c r="J60" s="304">
        <f>VLOOKUP(B60,'26MY_ACCORD_DATA'!B:AS,13,FALSE)</f>
        <v>0</v>
      </c>
      <c r="K60" s="304" t="str">
        <f>VLOOKUP(B60,'26MY_ACCORD_DATA'!B:AS,14,FALSE)</f>
        <v>T</v>
      </c>
      <c r="L60" s="304">
        <f>VLOOKUP(B60,'26MY_ACCORD_DATA'!B:AS,15,FALSE)</f>
        <v>0</v>
      </c>
      <c r="M60" s="304" t="str">
        <f>VLOOKUP(B60,'26MY_ACCORD_DATA'!B:AS,16,FALSE)</f>
        <v>T</v>
      </c>
      <c r="N60" s="304" t="str">
        <f>VLOOKUP(B60,'26MY_ACCORD_DATA'!B:AS,17,FALSE)</f>
        <v>T</v>
      </c>
      <c r="O60" s="304">
        <f>VLOOKUP(B60,'26MY_ACCORD_DATA'!B:AS,18,FALSE)</f>
        <v>0</v>
      </c>
      <c r="P60" s="304">
        <f>VLOOKUP(B60,'26MY_ACCORD_DATA'!B:AS,19,FALSE)</f>
        <v>0</v>
      </c>
      <c r="Q60" s="332" t="str">
        <f>IF(VLOOKUP(B60,'26MY_ACCORD_DATA'!B:AS,21,FALSE)="","",VLOOKUP(B60,'26MY_ACCORD_DATA'!B:AS,21,FALSE))</f>
        <v>Prix pour un ensemble de 4 roues. Pneus vendus séparément.</v>
      </c>
    </row>
    <row r="61" spans="1:20" s="135" customFormat="1" ht="14.4">
      <c r="B61" s="282" t="s">
        <v>261</v>
      </c>
      <c r="C61" s="224" t="str">
        <f>VLOOKUP(B61,'26MY_ACCORD_DATA'!B:AS,4,FALSE)</f>
        <v>Jantes de 19 pouces HPD en alliage noir</v>
      </c>
      <c r="D61" s="79" t="str">
        <f t="shared" ref="D61:D65" si="15">B61</f>
        <v>08W19-30A-300</v>
      </c>
      <c r="E61" s="302">
        <f>VLOOKUP(B61,'26MY_ACCORD_DATA'!B:AS,9,FALSE)</f>
        <v>2628</v>
      </c>
      <c r="F61" s="302">
        <f>VLOOKUP(B61,'26MY_ACCORD_DATA'!B:AS,10,FALSE)</f>
        <v>3756</v>
      </c>
      <c r="G61" s="306">
        <f>VLOOKUP(B61,'26MY_ACCORD_DATA'!B:AS,7,FALSE)</f>
        <v>1.6</v>
      </c>
      <c r="H61" s="301">
        <f>VLOOKUP(B61,'26MY_ACCORD_DATA'!B:AS,11,FALSE)</f>
        <v>4045.6</v>
      </c>
      <c r="I61" s="304">
        <f>VLOOKUP(B61,'26MY_ACCORD_DATA'!B:AS,12,FALSE)</f>
        <v>0</v>
      </c>
      <c r="J61" s="304">
        <f>VLOOKUP(B61,'26MY_ACCORD_DATA'!B:AS,13,FALSE)</f>
        <v>0</v>
      </c>
      <c r="K61" s="304" t="str">
        <f>VLOOKUP(B61,'26MY_ACCORD_DATA'!B:AS,14,FALSE)</f>
        <v>E</v>
      </c>
      <c r="L61" s="304">
        <f>VLOOKUP(B61,'26MY_ACCORD_DATA'!B:AS,15,FALSE)</f>
        <v>0</v>
      </c>
      <c r="M61" s="304" t="str">
        <f>VLOOKUP(B61,'26MY_ACCORD_DATA'!B:AS,16,FALSE)</f>
        <v>E</v>
      </c>
      <c r="N61" s="304" t="str">
        <f>VLOOKUP(B61,'26MY_ACCORD_DATA'!B:AS,17,FALSE)</f>
        <v>E</v>
      </c>
      <c r="O61" s="304">
        <f>VLOOKUP(B61,'26MY_ACCORD_DATA'!B:AS,18,FALSE)</f>
        <v>0</v>
      </c>
      <c r="P61" s="304">
        <f>VLOOKUP(B61,'26MY_ACCORD_DATA'!B:AS,19,FALSE)</f>
        <v>0</v>
      </c>
      <c r="Q61" s="332" t="str">
        <f>IF(VLOOKUP(B61,'26MY_ACCORD_DATA'!B:AS,21,FALSE)="","",VLOOKUP(B61,'26MY_ACCORD_DATA'!B:AS,21,FALSE))</f>
        <v>Prix pour un ensemble de 4 roues. Pneus vendus séparément.</v>
      </c>
    </row>
    <row r="62" spans="1:20" s="135" customFormat="1" ht="14.4">
      <c r="B62" s="282" t="s">
        <v>233</v>
      </c>
      <c r="C62" s="224" t="str">
        <f>VLOOKUP(B62,'26MY_ACCORD_DATA'!B:AS,4,FALSE)</f>
        <v>Écrous de roue antivols - Chromés</v>
      </c>
      <c r="D62" s="79" t="str">
        <f t="shared" si="15"/>
        <v>08W42-SCV-302</v>
      </c>
      <c r="E62" s="302">
        <f>VLOOKUP(B62,'26MY_ACCORD_DATA'!B:AS,9,FALSE)</f>
        <v>54</v>
      </c>
      <c r="F62" s="302">
        <f>VLOOKUP(B62,'26MY_ACCORD_DATA'!B:AS,10,FALSE)</f>
        <v>90</v>
      </c>
      <c r="G62" s="306">
        <f>VLOOKUP(B62,'26MY_ACCORD_DATA'!B:AS,7,FALSE)</f>
        <v>0.2</v>
      </c>
      <c r="H62" s="301">
        <f>VLOOKUP(B62,'26MY_ACCORD_DATA'!B:AS,11,FALSE)</f>
        <v>126.2</v>
      </c>
      <c r="I62" s="304">
        <f>VLOOKUP(B62,'26MY_ACCORD_DATA'!B:AS,12,FALSE)</f>
        <v>0</v>
      </c>
      <c r="J62" s="304">
        <f>VLOOKUP(B62,'26MY_ACCORD_DATA'!B:AS,13,FALSE)</f>
        <v>0</v>
      </c>
      <c r="K62" s="304" t="str">
        <f>VLOOKUP(B62,'26MY_ACCORD_DATA'!B:AS,14,FALSE)</f>
        <v>•</v>
      </c>
      <c r="L62" s="304">
        <f>VLOOKUP(B62,'26MY_ACCORD_DATA'!B:AS,15,FALSE)</f>
        <v>0</v>
      </c>
      <c r="M62" s="304" t="str">
        <f>VLOOKUP(B62,'26MY_ACCORD_DATA'!B:AS,16,FALSE)</f>
        <v>•</v>
      </c>
      <c r="N62" s="304" t="str">
        <f>VLOOKUP(B62,'26MY_ACCORD_DATA'!B:AS,17,FALSE)</f>
        <v>•</v>
      </c>
      <c r="O62" s="304">
        <f>VLOOKUP(B62,'26MY_ACCORD_DATA'!B:AS,18,FALSE)</f>
        <v>0</v>
      </c>
      <c r="P62" s="304">
        <f>VLOOKUP(B62,'26MY_ACCORD_DATA'!B:AS,19,FALSE)</f>
        <v>0</v>
      </c>
      <c r="Q62" s="332" t="str">
        <f>IF(VLOOKUP(B62,'26MY_ACCORD_DATA'!B:AS,21,FALSE)="","",VLOOKUP(B62,'26MY_ACCORD_DATA'!B:AS,21,FALSE))</f>
        <v/>
      </c>
    </row>
    <row r="63" spans="1:20" s="135" customFormat="1" ht="14.4">
      <c r="B63" s="282" t="s">
        <v>251</v>
      </c>
      <c r="C63" s="224" t="str">
        <f>VLOOKUP(B63,'26MY_ACCORD_DATA'!B:AS,4,FALSE)</f>
        <v>Écrous de roue antivol, chromée - exposés</v>
      </c>
      <c r="D63" s="79" t="str">
        <f t="shared" si="15"/>
        <v>08W42-SNA-301</v>
      </c>
      <c r="E63" s="302">
        <f>VLOOKUP(B63,'26MY_ACCORD_DATA'!B:AS,9,FALSE)</f>
        <v>44</v>
      </c>
      <c r="F63" s="302">
        <f>VLOOKUP(B63,'26MY_ACCORD_DATA'!B:AS,10,FALSE)</f>
        <v>73</v>
      </c>
      <c r="G63" s="306">
        <f>VLOOKUP(B63,'26MY_ACCORD_DATA'!B:AS,7,FALSE)</f>
        <v>0.2</v>
      </c>
      <c r="H63" s="301">
        <f>VLOOKUP(B63,'26MY_ACCORD_DATA'!B:AS,11,FALSE)</f>
        <v>109.2</v>
      </c>
      <c r="I63" s="304">
        <f>VLOOKUP(B63,'26MY_ACCORD_DATA'!B:AS,12,FALSE)</f>
        <v>0</v>
      </c>
      <c r="J63" s="304">
        <f>VLOOKUP(B63,'26MY_ACCORD_DATA'!B:AS,13,FALSE)</f>
        <v>0</v>
      </c>
      <c r="K63" s="304" t="str">
        <f>VLOOKUP(B63,'26MY_ACCORD_DATA'!B:AS,14,FALSE)</f>
        <v>•</v>
      </c>
      <c r="L63" s="304">
        <f>VLOOKUP(B63,'26MY_ACCORD_DATA'!B:AS,15,FALSE)</f>
        <v>0</v>
      </c>
      <c r="M63" s="304" t="str">
        <f>VLOOKUP(B63,'26MY_ACCORD_DATA'!B:AS,16,FALSE)</f>
        <v>•</v>
      </c>
      <c r="N63" s="304" t="str">
        <f>VLOOKUP(B63,'26MY_ACCORD_DATA'!B:AS,17,FALSE)</f>
        <v>•</v>
      </c>
      <c r="O63" s="304">
        <f>VLOOKUP(B63,'26MY_ACCORD_DATA'!B:AS,18,FALSE)</f>
        <v>0</v>
      </c>
      <c r="P63" s="304">
        <f>VLOOKUP(B63,'26MY_ACCORD_DATA'!B:AS,19,FALSE)</f>
        <v>0</v>
      </c>
      <c r="Q63" s="332" t="str">
        <f>IF(VLOOKUP(B63,'26MY_ACCORD_DATA'!B:AS,21,FALSE)="","",VLOOKUP(B63,'26MY_ACCORD_DATA'!B:AS,21,FALSE))</f>
        <v/>
      </c>
    </row>
    <row r="64" spans="1:20" s="136" customFormat="1" ht="14.4">
      <c r="B64" s="281" t="s">
        <v>232</v>
      </c>
      <c r="C64" s="224" t="str">
        <f>VLOOKUP(B64,'26MY_ACCORD_DATA'!B:AS,4,FALSE)</f>
        <v>Écrous de roue antivols - Noirs</v>
      </c>
      <c r="D64" s="79" t="str">
        <f t="shared" si="15"/>
        <v>08W42-S2A-101</v>
      </c>
      <c r="E64" s="302">
        <f>VLOOKUP(B64,'26MY_ACCORD_DATA'!B:AS,9,FALSE)</f>
        <v>61</v>
      </c>
      <c r="F64" s="302">
        <f>VLOOKUP(B64,'26MY_ACCORD_DATA'!B:AS,10,FALSE)</f>
        <v>102</v>
      </c>
      <c r="G64" s="306">
        <f>VLOOKUP(B64,'26MY_ACCORD_DATA'!B:AS,7,FALSE)</f>
        <v>0.2</v>
      </c>
      <c r="H64" s="301">
        <f>VLOOKUP(B64,'26MY_ACCORD_DATA'!B:AS,11,FALSE)</f>
        <v>138.19999999999999</v>
      </c>
      <c r="I64" s="304">
        <f>VLOOKUP(B64,'26MY_ACCORD_DATA'!B:AS,12,FALSE)</f>
        <v>0</v>
      </c>
      <c r="J64" s="304">
        <f>VLOOKUP(B64,'26MY_ACCORD_DATA'!B:AS,13,FALSE)</f>
        <v>0</v>
      </c>
      <c r="K64" s="304" t="str">
        <f>VLOOKUP(B64,'26MY_ACCORD_DATA'!B:AS,14,FALSE)</f>
        <v>•</v>
      </c>
      <c r="L64" s="304">
        <f>VLOOKUP(B64,'26MY_ACCORD_DATA'!B:AS,15,FALSE)</f>
        <v>0</v>
      </c>
      <c r="M64" s="304" t="str">
        <f>VLOOKUP(B64,'26MY_ACCORD_DATA'!B:AS,16,FALSE)</f>
        <v>•</v>
      </c>
      <c r="N64" s="304" t="str">
        <f>VLOOKUP(B64,'26MY_ACCORD_DATA'!B:AS,17,FALSE)</f>
        <v>•</v>
      </c>
      <c r="O64" s="304">
        <f>VLOOKUP(B64,'26MY_ACCORD_DATA'!B:AS,18,FALSE)</f>
        <v>0</v>
      </c>
      <c r="P64" s="304">
        <f>VLOOKUP(B64,'26MY_ACCORD_DATA'!B:AS,19,FALSE)</f>
        <v>0</v>
      </c>
      <c r="Q64" s="332" t="str">
        <f>IF(VLOOKUP(B64,'26MY_ACCORD_DATA'!B:AS,21,FALSE)="","",VLOOKUP(B64,'26MY_ACCORD_DATA'!B:AS,21,FALSE))</f>
        <v/>
      </c>
    </row>
    <row r="65" spans="2:17" s="136" customFormat="1" ht="15" customHeight="1">
      <c r="B65" s="281" t="s">
        <v>254</v>
      </c>
      <c r="C65" s="224" t="str">
        <f>VLOOKUP(B65,'26MY_ACCORD_DATA'!B:AS,4,FALSE)</f>
        <v>Écrous de roue - Noir</v>
      </c>
      <c r="D65" s="79" t="str">
        <f t="shared" si="15"/>
        <v>08W42-PL4-100</v>
      </c>
      <c r="E65" s="302">
        <f>VLOOKUP(B65,'26MY_ACCORD_DATA'!B:AS,9,FALSE)</f>
        <v>170</v>
      </c>
      <c r="F65" s="302">
        <f>VLOOKUP(B65,'26MY_ACCORD_DATA'!B:AS,10,FALSE)</f>
        <v>283</v>
      </c>
      <c r="G65" s="306">
        <f>VLOOKUP(B65,'26MY_ACCORD_DATA'!B:AS,7,FALSE)</f>
        <v>0.2</v>
      </c>
      <c r="H65" s="301">
        <f>VLOOKUP(B65,'26MY_ACCORD_DATA'!B:AS,11,FALSE)</f>
        <v>319.2</v>
      </c>
      <c r="I65" s="304">
        <f>VLOOKUP(B65,'26MY_ACCORD_DATA'!B:AS,12,FALSE)</f>
        <v>0</v>
      </c>
      <c r="J65" s="304">
        <f>VLOOKUP(B65,'26MY_ACCORD_DATA'!B:AS,13,FALSE)</f>
        <v>0</v>
      </c>
      <c r="K65" s="304" t="str">
        <f>VLOOKUP(B65,'26MY_ACCORD_DATA'!B:AS,14,FALSE)</f>
        <v>•</v>
      </c>
      <c r="L65" s="304">
        <f>VLOOKUP(B65,'26MY_ACCORD_DATA'!B:AS,15,FALSE)</f>
        <v>0</v>
      </c>
      <c r="M65" s="304" t="str">
        <f>VLOOKUP(B65,'26MY_ACCORD_DATA'!B:AS,16,FALSE)</f>
        <v>•</v>
      </c>
      <c r="N65" s="304" t="str">
        <f>VLOOKUP(B65,'26MY_ACCORD_DATA'!B:AS,17,FALSE)</f>
        <v>•</v>
      </c>
      <c r="O65" s="304">
        <f>VLOOKUP(B65,'26MY_ACCORD_DATA'!B:AS,18,FALSE)</f>
        <v>0</v>
      </c>
      <c r="P65" s="304">
        <f>VLOOKUP(B65,'26MY_ACCORD_DATA'!B:AS,19,FALSE)</f>
        <v>0</v>
      </c>
      <c r="Q65" s="332" t="str">
        <f>IF(VLOOKUP(B65,'26MY_ACCORD_DATA'!B:AS,21,FALSE)="","",VLOOKUP(B65,'26MY_ACCORD_DATA'!B:AS,21,FALSE))</f>
        <v>lot de 20 écrous de roue</v>
      </c>
    </row>
    <row r="66" spans="2:17" s="136" customFormat="1" ht="10.5" customHeight="1">
      <c r="B66" s="281"/>
      <c r="C66" s="20"/>
      <c r="D66" s="181"/>
      <c r="E66" s="182"/>
      <c r="F66" s="182"/>
      <c r="G66" s="183"/>
      <c r="H66" s="184"/>
      <c r="I66" s="91"/>
      <c r="J66" s="91"/>
      <c r="K66" s="97"/>
      <c r="L66" s="91"/>
      <c r="M66" s="91"/>
      <c r="N66" s="91"/>
      <c r="O66" s="91"/>
      <c r="P66" s="91"/>
      <c r="Q66" s="185"/>
    </row>
    <row r="67" spans="2:17" s="134" customFormat="1" ht="18">
      <c r="B67" s="283"/>
      <c r="C67" s="153" t="s">
        <v>90</v>
      </c>
      <c r="D67" s="153"/>
      <c r="E67" s="144"/>
      <c r="F67" s="144"/>
      <c r="G67" s="144"/>
      <c r="H67" s="144"/>
      <c r="I67" s="144"/>
      <c r="J67" s="144"/>
      <c r="K67" s="91"/>
      <c r="L67" s="144"/>
      <c r="M67" s="144"/>
      <c r="N67" s="144"/>
      <c r="O67" s="144"/>
      <c r="P67" s="144"/>
      <c r="Q67" s="144"/>
    </row>
    <row r="68" spans="2:17" s="135" customFormat="1" ht="15" customHeight="1">
      <c r="B68" s="282"/>
      <c r="C68" s="377" t="s">
        <v>80</v>
      </c>
      <c r="D68" s="377" t="s">
        <v>81</v>
      </c>
      <c r="E68" s="377" t="s">
        <v>82</v>
      </c>
      <c r="F68" s="377" t="s">
        <v>83</v>
      </c>
      <c r="G68" s="377" t="s">
        <v>84</v>
      </c>
      <c r="H68" s="378" t="s">
        <v>85</v>
      </c>
      <c r="I68" s="377" t="s">
        <v>25</v>
      </c>
      <c r="J68" s="377"/>
      <c r="K68" s="377"/>
      <c r="L68" s="377"/>
      <c r="M68" s="377"/>
      <c r="N68" s="377"/>
      <c r="O68" s="377"/>
      <c r="P68" s="377"/>
      <c r="Q68" s="377" t="s">
        <v>86</v>
      </c>
    </row>
    <row r="69" spans="2:17" s="135" customFormat="1" ht="28.8">
      <c r="B69" s="282"/>
      <c r="C69" s="377"/>
      <c r="D69" s="377"/>
      <c r="E69" s="377"/>
      <c r="F69" s="377"/>
      <c r="G69" s="377"/>
      <c r="H69" s="378"/>
      <c r="I69" s="176">
        <f>'26MY_ACCORD_DATA'!$M$6</f>
        <v>0</v>
      </c>
      <c r="J69" s="176">
        <f>'26MY_ACCORD_DATA'!$M$6</f>
        <v>0</v>
      </c>
      <c r="K69" s="176" t="str">
        <f>'26MY_ACCORD_DATA'!$O$6</f>
        <v>SE</v>
      </c>
      <c r="L69" s="176">
        <f>'26MY_ACCORD_DATA'!$P$6</f>
        <v>0</v>
      </c>
      <c r="M69" s="176" t="str">
        <f>'26MY_ACCORD_DATA'!$Q$6</f>
        <v>Sport -L Hybride</v>
      </c>
      <c r="N69" s="221" t="str">
        <f>'26MY_ACCORD_DATA'!$R$6</f>
        <v>Touring Hybride</v>
      </c>
      <c r="O69" s="176">
        <f>'26MY_ACCORD_DATA'!$T$6</f>
        <v>0</v>
      </c>
      <c r="P69" s="176">
        <f>'26MY_ACCORD_DATA'!$T$6</f>
        <v>0</v>
      </c>
      <c r="Q69" s="377"/>
    </row>
    <row r="70" spans="2:17" s="136" customFormat="1" ht="15" customHeight="1">
      <c r="B70" s="281" t="s">
        <v>388</v>
      </c>
      <c r="C70" s="224" t="str">
        <f>VLOOKUP(B70,'26MY_ACCORD_DATA'!B:AS,4,FALSE)</f>
        <v>Becquet de bas de caisse, latéral</v>
      </c>
      <c r="D70" s="79" t="str">
        <f>B70</f>
        <v>08F04-30A-1F0</v>
      </c>
      <c r="E70" s="302">
        <f>VLOOKUP(B70,'26MY_ACCORD_DATA'!B:AS,9,FALSE)</f>
        <v>432</v>
      </c>
      <c r="F70" s="302">
        <f>VLOOKUP(B70,'26MY_ACCORD_DATA'!B:AS,10,FALSE)</f>
        <v>720</v>
      </c>
      <c r="G70" s="306">
        <f>VLOOKUP(B70,'26MY_ACCORD_DATA'!B:AS,7,FALSE)</f>
        <v>0.6</v>
      </c>
      <c r="H70" s="301">
        <f>VLOOKUP(B70,'26MY_ACCORD_DATA'!B:AS,11,FALSE)</f>
        <v>828.6</v>
      </c>
      <c r="I70" s="304">
        <f>VLOOKUP(B70,'26MY_ACCORD_DATA'!B:AS,12,FALSE)</f>
        <v>0</v>
      </c>
      <c r="J70" s="304">
        <f>VLOOKUP(B70,'26MY_ACCORD_DATA'!B:AS,13,FALSE)</f>
        <v>0</v>
      </c>
      <c r="K70" s="304" t="str">
        <f>VLOOKUP(B70,'26MY_ACCORD_DATA'!B:AS,14,FALSE)</f>
        <v>•</v>
      </c>
      <c r="L70" s="304">
        <f>VLOOKUP(B70,'26MY_ACCORD_DATA'!B:AS,15,FALSE)</f>
        <v>0</v>
      </c>
      <c r="M70" s="304" t="str">
        <f>VLOOKUP(B70,'26MY_ACCORD_DATA'!B:AS,16,FALSE)</f>
        <v>•</v>
      </c>
      <c r="N70" s="304" t="str">
        <f>VLOOKUP(B70,'26MY_ACCORD_DATA'!B:AS,17,FALSE)</f>
        <v>•</v>
      </c>
      <c r="O70" s="304">
        <f>VLOOKUP(B70,'26MY_ACCORD_DATA'!B:AS,18,FALSE)</f>
        <v>0</v>
      </c>
      <c r="P70" s="304">
        <f>VLOOKUP(B70,'26MY_ACCORD_DATA'!B:AS,19,FALSE)</f>
        <v>0</v>
      </c>
      <c r="Q70" s="332" t="str">
        <f>IF(VLOOKUP(B70,'26MY_ACCORD_DATA'!B:AS,21,FALSE)="","",VLOOKUP(B70,'26MY_ACCORD_DATA'!B:AS,21,FALSE))</f>
        <v/>
      </c>
    </row>
    <row r="71" spans="2:17" s="136" customFormat="1" ht="15" customHeight="1">
      <c r="B71" s="282" t="s">
        <v>389</v>
      </c>
      <c r="C71" s="224" t="str">
        <f>VLOOKUP(B71,'26MY_ACCORD_DATA'!B:AS,4,FALSE)</f>
        <v>Becquet de bas de caisse, avant</v>
      </c>
      <c r="D71" s="79" t="str">
        <f t="shared" ref="D71:D91" si="16">B71</f>
        <v>08P98-30A-1F0</v>
      </c>
      <c r="E71" s="302">
        <f>VLOOKUP(B71,'26MY_ACCORD_DATA'!B:AS,9,FALSE)</f>
        <v>350</v>
      </c>
      <c r="F71" s="302">
        <f>VLOOKUP(B71,'26MY_ACCORD_DATA'!B:AS,10,FALSE)</f>
        <v>583</v>
      </c>
      <c r="G71" s="306">
        <f>VLOOKUP(B71,'26MY_ACCORD_DATA'!B:AS,7,FALSE)</f>
        <v>0.6</v>
      </c>
      <c r="H71" s="301">
        <f>VLOOKUP(B71,'26MY_ACCORD_DATA'!B:AS,11,FALSE)</f>
        <v>691.6</v>
      </c>
      <c r="I71" s="304">
        <f>VLOOKUP(B71,'26MY_ACCORD_DATA'!B:AS,12,FALSE)</f>
        <v>0</v>
      </c>
      <c r="J71" s="304">
        <f>VLOOKUP(B71,'26MY_ACCORD_DATA'!B:AS,13,FALSE)</f>
        <v>0</v>
      </c>
      <c r="K71" s="304" t="str">
        <f>VLOOKUP(B71,'26MY_ACCORD_DATA'!B:AS,14,FALSE)</f>
        <v>•</v>
      </c>
      <c r="L71" s="304">
        <f>VLOOKUP(B71,'26MY_ACCORD_DATA'!B:AS,15,FALSE)</f>
        <v>0</v>
      </c>
      <c r="M71" s="304" t="str">
        <f>VLOOKUP(B71,'26MY_ACCORD_DATA'!B:AS,16,FALSE)</f>
        <v>•</v>
      </c>
      <c r="N71" s="304" t="str">
        <f>VLOOKUP(B71,'26MY_ACCORD_DATA'!B:AS,17,FALSE)</f>
        <v>•</v>
      </c>
      <c r="O71" s="304">
        <f>VLOOKUP(B71,'26MY_ACCORD_DATA'!B:AS,18,FALSE)</f>
        <v>0</v>
      </c>
      <c r="P71" s="304">
        <f>VLOOKUP(B71,'26MY_ACCORD_DATA'!B:AS,19,FALSE)</f>
        <v>0</v>
      </c>
      <c r="Q71" s="332" t="str">
        <f>IF(VLOOKUP(B71,'26MY_ACCORD_DATA'!B:AS,21,FALSE)="","",VLOOKUP(B71,'26MY_ACCORD_DATA'!B:AS,21,FALSE))</f>
        <v/>
      </c>
    </row>
    <row r="72" spans="2:17" s="136" customFormat="1" ht="14.4">
      <c r="B72" s="282" t="s">
        <v>390</v>
      </c>
      <c r="C72" s="224" t="str">
        <f>VLOOKUP(B72,'26MY_ACCORD_DATA'!B:AS,4,FALSE)</f>
        <v>Becquet de bas de caisse, arrière</v>
      </c>
      <c r="D72" s="79" t="str">
        <f t="shared" si="16"/>
        <v>08P99-30A-1F0</v>
      </c>
      <c r="E72" s="302">
        <f>VLOOKUP(B72,'26MY_ACCORD_DATA'!B:AS,9,FALSE)</f>
        <v>350</v>
      </c>
      <c r="F72" s="302">
        <f>VLOOKUP(B72,'26MY_ACCORD_DATA'!B:AS,10,FALSE)</f>
        <v>583</v>
      </c>
      <c r="G72" s="306">
        <f>VLOOKUP(B72,'26MY_ACCORD_DATA'!B:AS,7,FALSE)</f>
        <v>0.6</v>
      </c>
      <c r="H72" s="301">
        <f>VLOOKUP(B72,'26MY_ACCORD_DATA'!B:AS,11,FALSE)</f>
        <v>691.6</v>
      </c>
      <c r="I72" s="304">
        <f>VLOOKUP(B72,'26MY_ACCORD_DATA'!B:AS,12,FALSE)</f>
        <v>0</v>
      </c>
      <c r="J72" s="304">
        <f>VLOOKUP(B72,'26MY_ACCORD_DATA'!B:AS,13,FALSE)</f>
        <v>0</v>
      </c>
      <c r="K72" s="304" t="str">
        <f>VLOOKUP(B72,'26MY_ACCORD_DATA'!B:AS,14,FALSE)</f>
        <v>•</v>
      </c>
      <c r="L72" s="304">
        <f>VLOOKUP(B72,'26MY_ACCORD_DATA'!B:AS,15,FALSE)</f>
        <v>0</v>
      </c>
      <c r="M72" s="304" t="str">
        <f>VLOOKUP(B72,'26MY_ACCORD_DATA'!B:AS,16,FALSE)</f>
        <v>•</v>
      </c>
      <c r="N72" s="304" t="str">
        <f>VLOOKUP(B72,'26MY_ACCORD_DATA'!B:AS,17,FALSE)</f>
        <v>•</v>
      </c>
      <c r="O72" s="304">
        <f>VLOOKUP(B72,'26MY_ACCORD_DATA'!B:AS,18,FALSE)</f>
        <v>0</v>
      </c>
      <c r="P72" s="304">
        <f>VLOOKUP(B72,'26MY_ACCORD_DATA'!B:AS,19,FALSE)</f>
        <v>0</v>
      </c>
      <c r="Q72" s="332" t="str">
        <f>IF(VLOOKUP(B72,'26MY_ACCORD_DATA'!B:AS,21,FALSE)="","",VLOOKUP(B72,'26MY_ACCORD_DATA'!B:AS,21,FALSE))</f>
        <v/>
      </c>
    </row>
    <row r="73" spans="2:17" s="136" customFormat="1" ht="28.8">
      <c r="B73" s="281" t="s">
        <v>399</v>
      </c>
      <c r="C73" s="278" t="str">
        <f>VLOOKUP(B73,'26MY_ACCORD_DATA'!B:AS,4,FALSE)</f>
        <v>Couvercle de rétroviseur de portière et élément inférieur d’admission d’air</v>
      </c>
      <c r="D73" s="79" t="str">
        <f t="shared" si="16"/>
        <v>08R06-30A-110</v>
      </c>
      <c r="E73" s="302">
        <f>VLOOKUP(B73,'26MY_ACCORD_DATA'!B:AS,9,FALSE)</f>
        <v>210</v>
      </c>
      <c r="F73" s="302">
        <f>VLOOKUP(B73,'26MY_ACCORD_DATA'!B:AS,10,FALSE)</f>
        <v>350</v>
      </c>
      <c r="G73" s="306">
        <f>VLOOKUP(B73,'26MY_ACCORD_DATA'!B:AS,7,FALSE)</f>
        <v>1.1000000000000001</v>
      </c>
      <c r="H73" s="301">
        <f>VLOOKUP(B73,'26MY_ACCORD_DATA'!B:AS,11,FALSE)</f>
        <v>549.1</v>
      </c>
      <c r="I73" s="304">
        <f>VLOOKUP(B73,'26MY_ACCORD_DATA'!B:AS,12,FALSE)</f>
        <v>0</v>
      </c>
      <c r="J73" s="304">
        <f>VLOOKUP(B73,'26MY_ACCORD_DATA'!B:AS,13,FALSE)</f>
        <v>0</v>
      </c>
      <c r="K73" s="304" t="str">
        <f>VLOOKUP(B73,'26MY_ACCORD_DATA'!B:AS,14,FALSE)</f>
        <v>•</v>
      </c>
      <c r="L73" s="304">
        <f>VLOOKUP(B73,'26MY_ACCORD_DATA'!B:AS,15,FALSE)</f>
        <v>0</v>
      </c>
      <c r="M73" s="304" t="str">
        <f>VLOOKUP(B73,'26MY_ACCORD_DATA'!B:AS,16,FALSE)</f>
        <v>N/A</v>
      </c>
      <c r="N73" s="304" t="str">
        <f>VLOOKUP(B73,'26MY_ACCORD_DATA'!B:AS,17,FALSE)</f>
        <v>N/A</v>
      </c>
      <c r="O73" s="304">
        <f>VLOOKUP(B73,'26MY_ACCORD_DATA'!B:AS,18,FALSE)</f>
        <v>0</v>
      </c>
      <c r="P73" s="304">
        <f>VLOOKUP(B73,'26MY_ACCORD_DATA'!B:AS,19,FALSE)</f>
        <v>0</v>
      </c>
      <c r="Q73" s="332" t="str">
        <f>IF(VLOOKUP(B73,'26MY_ACCORD_DATA'!B:AS,21,FALSE)="","",VLOOKUP(B73,'26MY_ACCORD_DATA'!B:AS,21,FALSE))</f>
        <v/>
      </c>
    </row>
    <row r="74" spans="2:17" s="136" customFormat="1" ht="28.8">
      <c r="B74" s="281" t="s">
        <v>400</v>
      </c>
      <c r="C74" s="278" t="str">
        <f>VLOOKUP(B74,'26MY_ACCORD_DATA'!B:AS,4,FALSE)</f>
        <v>Couvercle de rétroviseur de portière et élément inférieur d’admission d’air</v>
      </c>
      <c r="D74" s="79" t="str">
        <f t="shared" si="16"/>
        <v>08R06-30A-110A</v>
      </c>
      <c r="E74" s="302">
        <f>VLOOKUP(B74,'26MY_ACCORD_DATA'!B:AS,9,FALSE)</f>
        <v>210</v>
      </c>
      <c r="F74" s="302">
        <f>VLOOKUP(B74,'26MY_ACCORD_DATA'!B:AS,10,FALSE)</f>
        <v>350</v>
      </c>
      <c r="G74" s="306">
        <f>VLOOKUP(B74,'26MY_ACCORD_DATA'!B:AS,7,FALSE)</f>
        <v>1.1000000000000001</v>
      </c>
      <c r="H74" s="301">
        <f>VLOOKUP(B74,'26MY_ACCORD_DATA'!B:AS,11,FALSE)</f>
        <v>549.1</v>
      </c>
      <c r="I74" s="304">
        <f>VLOOKUP(B74,'26MY_ACCORD_DATA'!B:AS,12,FALSE)</f>
        <v>0</v>
      </c>
      <c r="J74" s="304">
        <f>VLOOKUP(B74,'26MY_ACCORD_DATA'!B:AS,13,FALSE)</f>
        <v>0</v>
      </c>
      <c r="K74" s="304" t="str">
        <f>VLOOKUP(B74,'26MY_ACCORD_DATA'!B:AS,14,FALSE)</f>
        <v>N/A</v>
      </c>
      <c r="L74" s="304">
        <f>VLOOKUP(B74,'26MY_ACCORD_DATA'!B:AS,15,FALSE)</f>
        <v>0</v>
      </c>
      <c r="M74" s="304" t="str">
        <f>VLOOKUP(B74,'26MY_ACCORD_DATA'!B:AS,16,FALSE)</f>
        <v>N/A</v>
      </c>
      <c r="N74" s="304" t="str">
        <f>VLOOKUP(B74,'26MY_ACCORD_DATA'!B:AS,17,FALSE)</f>
        <v>•</v>
      </c>
      <c r="O74" s="304">
        <f>VLOOKUP(B74,'26MY_ACCORD_DATA'!B:AS,18,FALSE)</f>
        <v>0</v>
      </c>
      <c r="P74" s="304">
        <f>VLOOKUP(B74,'26MY_ACCORD_DATA'!B:AS,19,FALSE)</f>
        <v>0</v>
      </c>
      <c r="Q74" s="332" t="str">
        <f>IF(VLOOKUP(B74,'26MY_ACCORD_DATA'!B:AS,21,FALSE)="","",VLOOKUP(B74,'26MY_ACCORD_DATA'!B:AS,21,FALSE))</f>
        <v/>
      </c>
    </row>
    <row r="75" spans="2:17" s="136" customFormat="1" ht="15" customHeight="1">
      <c r="B75" s="281" t="s">
        <v>514</v>
      </c>
      <c r="C75" s="224" t="str">
        <f>VLOOKUP(B75,'26MY_ACCORD_DATA'!B:AS,4,FALSE)</f>
        <v>Emblème, noirs lustré arrière  « H »  mark</v>
      </c>
      <c r="D75" s="79" t="str">
        <f t="shared" si="16"/>
        <v>08F20-30A-100C</v>
      </c>
      <c r="E75" s="302">
        <f>VLOOKUP(B75,'26MY_ACCORD_DATA'!B:AS,9,FALSE)</f>
        <v>37</v>
      </c>
      <c r="F75" s="302">
        <f>VLOOKUP(B75,'26MY_ACCORD_DATA'!B:AS,10,FALSE)</f>
        <v>62</v>
      </c>
      <c r="G75" s="306">
        <f>VLOOKUP(B75,'26MY_ACCORD_DATA'!B:AS,7,FALSE)</f>
        <v>0.2</v>
      </c>
      <c r="H75" s="301">
        <f>VLOOKUP(B75,'26MY_ACCORD_DATA'!B:AS,11,FALSE)</f>
        <v>98.2</v>
      </c>
      <c r="I75" s="304">
        <f>VLOOKUP(B75,'26MY_ACCORD_DATA'!B:AS,12,FALSE)</f>
        <v>0</v>
      </c>
      <c r="J75" s="304">
        <f>VLOOKUP(B75,'26MY_ACCORD_DATA'!B:AS,13,FALSE)</f>
        <v>0</v>
      </c>
      <c r="K75" s="304" t="str">
        <f>VLOOKUP(B75,'26MY_ACCORD_DATA'!B:AS,14,FALSE)</f>
        <v>•</v>
      </c>
      <c r="L75" s="304">
        <f>VLOOKUP(B75,'26MY_ACCORD_DATA'!B:AS,15,FALSE)</f>
        <v>0</v>
      </c>
      <c r="M75" s="304" t="str">
        <f>VLOOKUP(B75,'26MY_ACCORD_DATA'!B:AS,16,FALSE)</f>
        <v>•</v>
      </c>
      <c r="N75" s="304" t="str">
        <f>VLOOKUP(B75,'26MY_ACCORD_DATA'!B:AS,17,FALSE)</f>
        <v>•</v>
      </c>
      <c r="O75" s="304">
        <f>VLOOKUP(B75,'26MY_ACCORD_DATA'!B:AS,18,FALSE)</f>
        <v>0</v>
      </c>
      <c r="P75" s="304">
        <f>VLOOKUP(B75,'26MY_ACCORD_DATA'!B:AS,19,FALSE)</f>
        <v>0</v>
      </c>
      <c r="Q75" s="332" t="str">
        <f>IF(VLOOKUP(B75,'26MY_ACCORD_DATA'!B:AS,21,FALSE)="","",VLOOKUP(B75,'26MY_ACCORD_DATA'!B:AS,21,FALSE))</f>
        <v>Logo H-Mark l'arrière.</v>
      </c>
    </row>
    <row r="76" spans="2:17" s="136" customFormat="1" ht="15" customHeight="1">
      <c r="B76" s="281" t="s">
        <v>503</v>
      </c>
      <c r="C76" s="224" t="str">
        <f>VLOOKUP(B76,'26MY_ACCORD_DATA'!B:AS,4,FALSE)</f>
        <v>Emblème, noirs lustré arrière  « Accord »</v>
      </c>
      <c r="D76" s="79" t="str">
        <f t="shared" si="16"/>
        <v>08F20-30A-100D</v>
      </c>
      <c r="E76" s="302">
        <f>VLOOKUP(B76,'26MY_ACCORD_DATA'!B:AS,9,FALSE)</f>
        <v>37</v>
      </c>
      <c r="F76" s="302">
        <f>VLOOKUP(B76,'26MY_ACCORD_DATA'!B:AS,10,FALSE)</f>
        <v>62</v>
      </c>
      <c r="G76" s="306">
        <f>VLOOKUP(B76,'26MY_ACCORD_DATA'!B:AS,7,FALSE)</f>
        <v>0.3</v>
      </c>
      <c r="H76" s="301">
        <f>VLOOKUP(B76,'26MY_ACCORD_DATA'!B:AS,11,FALSE)</f>
        <v>116.3</v>
      </c>
      <c r="I76" s="304">
        <f>VLOOKUP(B76,'26MY_ACCORD_DATA'!B:AS,12,FALSE)</f>
        <v>0</v>
      </c>
      <c r="J76" s="304">
        <f>VLOOKUP(B76,'26MY_ACCORD_DATA'!B:AS,13,FALSE)</f>
        <v>0</v>
      </c>
      <c r="K76" s="304" t="str">
        <f>VLOOKUP(B76,'26MY_ACCORD_DATA'!B:AS,14,FALSE)</f>
        <v>•</v>
      </c>
      <c r="L76" s="304">
        <f>VLOOKUP(B76,'26MY_ACCORD_DATA'!B:AS,15,FALSE)</f>
        <v>0</v>
      </c>
      <c r="M76" s="304" t="str">
        <f>VLOOKUP(B76,'26MY_ACCORD_DATA'!B:AS,16,FALSE)</f>
        <v>N/A</v>
      </c>
      <c r="N76" s="304" t="str">
        <f>VLOOKUP(B76,'26MY_ACCORD_DATA'!B:AS,17,FALSE)</f>
        <v>•</v>
      </c>
      <c r="O76" s="304">
        <f>VLOOKUP(B76,'26MY_ACCORD_DATA'!B:AS,18,FALSE)</f>
        <v>0</v>
      </c>
      <c r="P76" s="304">
        <f>VLOOKUP(B76,'26MY_ACCORD_DATA'!B:AS,19,FALSE)</f>
        <v>0</v>
      </c>
      <c r="Q76" s="332" t="str">
        <f>IF(VLOOKUP(B76,'26MY_ACCORD_DATA'!B:AS,21,FALSE)="","",VLOOKUP(B76,'26MY_ACCORD_DATA'!B:AS,21,FALSE))</f>
        <v/>
      </c>
    </row>
    <row r="77" spans="2:17" s="136" customFormat="1" ht="15" customHeight="1">
      <c r="B77" s="281" t="s">
        <v>375</v>
      </c>
      <c r="C77" s="224" t="str">
        <f>VLOOKUP(B77,'26MY_ACCORD_DATA'!B:AS,4,FALSE)</f>
        <v xml:space="preserve">Emblème, noirs lustré « Touring » </v>
      </c>
      <c r="D77" s="79" t="str">
        <f t="shared" si="16"/>
        <v>08F20-3A0-100C</v>
      </c>
      <c r="E77" s="302">
        <f>VLOOKUP(B77,'26MY_ACCORD_DATA'!B:AS,9,FALSE)</f>
        <v>44</v>
      </c>
      <c r="F77" s="302">
        <f>VLOOKUP(B77,'26MY_ACCORD_DATA'!B:AS,10,FALSE)</f>
        <v>73</v>
      </c>
      <c r="G77" s="306">
        <f>VLOOKUP(B77,'26MY_ACCORD_DATA'!B:AS,7,FALSE)</f>
        <v>0.2</v>
      </c>
      <c r="H77" s="301">
        <f>VLOOKUP(B77,'26MY_ACCORD_DATA'!B:AS,11,FALSE)</f>
        <v>109.2</v>
      </c>
      <c r="I77" s="304">
        <f>VLOOKUP(B77,'26MY_ACCORD_DATA'!B:AS,12,FALSE)</f>
        <v>0</v>
      </c>
      <c r="J77" s="304">
        <f>VLOOKUP(B77,'26MY_ACCORD_DATA'!B:AS,13,FALSE)</f>
        <v>0</v>
      </c>
      <c r="K77" s="304" t="str">
        <f>VLOOKUP(B77,'26MY_ACCORD_DATA'!B:AS,14,FALSE)</f>
        <v>N/A</v>
      </c>
      <c r="L77" s="304">
        <f>VLOOKUP(B77,'26MY_ACCORD_DATA'!B:AS,15,FALSE)</f>
        <v>0</v>
      </c>
      <c r="M77" s="304" t="str">
        <f>VLOOKUP(B77,'26MY_ACCORD_DATA'!B:AS,16,FALSE)</f>
        <v>N/A</v>
      </c>
      <c r="N77" s="304" t="str">
        <f>VLOOKUP(B77,'26MY_ACCORD_DATA'!B:AS,17,FALSE)</f>
        <v>•</v>
      </c>
      <c r="O77" s="304">
        <f>VLOOKUP(B77,'26MY_ACCORD_DATA'!B:AS,18,FALSE)</f>
        <v>0</v>
      </c>
      <c r="P77" s="304">
        <f>VLOOKUP(B77,'26MY_ACCORD_DATA'!B:AS,19,FALSE)</f>
        <v>0</v>
      </c>
      <c r="Q77" s="332" t="str">
        <f>IF(VLOOKUP(B77,'26MY_ACCORD_DATA'!B:AS,21,FALSE)="","",VLOOKUP(B77,'26MY_ACCORD_DATA'!B:AS,21,FALSE))</f>
        <v/>
      </c>
    </row>
    <row r="78" spans="2:17" s="136" customFormat="1" ht="15" customHeight="1">
      <c r="B78" s="281" t="s">
        <v>507</v>
      </c>
      <c r="C78" s="224" t="str">
        <f>VLOOKUP(B78,'26MY_ACCORD_DATA'!B:AS,4,FALSE)</f>
        <v xml:space="preserve">Emblème, noirs lustré « Hybride » </v>
      </c>
      <c r="D78" s="79" t="str">
        <f t="shared" ref="D78" si="17">B78</f>
        <v>08F20-T20-100B</v>
      </c>
      <c r="E78" s="302">
        <f>VLOOKUP(B78,'26MY_ACCORD_DATA'!B:AS,9,FALSE)</f>
        <v>46</v>
      </c>
      <c r="F78" s="302">
        <f>VLOOKUP(B78,'26MY_ACCORD_DATA'!B:AS,10,FALSE)</f>
        <v>77</v>
      </c>
      <c r="G78" s="306">
        <f>VLOOKUP(B78,'26MY_ACCORD_DATA'!B:AS,7,FALSE)</f>
        <v>0.2</v>
      </c>
      <c r="H78" s="301">
        <f>VLOOKUP(B78,'26MY_ACCORD_DATA'!B:AS,11,FALSE)</f>
        <v>113.2</v>
      </c>
      <c r="I78" s="304">
        <f>VLOOKUP(B78,'26MY_ACCORD_DATA'!B:AS,12,FALSE)</f>
        <v>0</v>
      </c>
      <c r="J78" s="304">
        <f>VLOOKUP(B78,'26MY_ACCORD_DATA'!B:AS,13,FALSE)</f>
        <v>0</v>
      </c>
      <c r="K78" s="304" t="str">
        <f>VLOOKUP(B78,'26MY_ACCORD_DATA'!B:AS,14,FALSE)</f>
        <v>N/A</v>
      </c>
      <c r="L78" s="304">
        <f>VLOOKUP(B78,'26MY_ACCORD_DATA'!B:AS,15,FALSE)</f>
        <v>0</v>
      </c>
      <c r="M78" s="304" t="str">
        <f>VLOOKUP(B78,'26MY_ACCORD_DATA'!B:AS,16,FALSE)</f>
        <v>N/A</v>
      </c>
      <c r="N78" s="304" t="str">
        <f>VLOOKUP(B78,'26MY_ACCORD_DATA'!B:AS,17,FALSE)</f>
        <v>•</v>
      </c>
      <c r="O78" s="304">
        <f>VLOOKUP(B78,'26MY_ACCORD_DATA'!B:AS,18,FALSE)</f>
        <v>0</v>
      </c>
      <c r="P78" s="304">
        <f>VLOOKUP(B78,'26MY_ACCORD_DATA'!B:AS,19,FALSE)</f>
        <v>0</v>
      </c>
      <c r="Q78" s="332" t="str">
        <f>IF(VLOOKUP(B78,'26MY_ACCORD_DATA'!B:AS,21,FALSE)="","",VLOOKUP(B78,'26MY_ACCORD_DATA'!B:AS,21,FALSE))</f>
        <v/>
      </c>
    </row>
    <row r="79" spans="2:17" s="136" customFormat="1" ht="14.4">
      <c r="B79" s="281" t="s">
        <v>387</v>
      </c>
      <c r="C79" s="224" t="str">
        <f>VLOOKUP(B79,'26MY_ACCORD_DATA'!B:AS,4,FALSE)</f>
        <v>Emblème d’aile</v>
      </c>
      <c r="D79" s="79" t="str">
        <f t="shared" si="16"/>
        <v>08F59-30A-100</v>
      </c>
      <c r="E79" s="302">
        <f>VLOOKUP(B79,'26MY_ACCORD_DATA'!B:AS,9,FALSE)</f>
        <v>94</v>
      </c>
      <c r="F79" s="302">
        <f>VLOOKUP(B79,'26MY_ACCORD_DATA'!B:AS,10,FALSE)</f>
        <v>157</v>
      </c>
      <c r="G79" s="306">
        <f>VLOOKUP(B79,'26MY_ACCORD_DATA'!B:AS,7,FALSE)</f>
        <v>0.2</v>
      </c>
      <c r="H79" s="301">
        <f>VLOOKUP(B79,'26MY_ACCORD_DATA'!B:AS,11,FALSE)</f>
        <v>193.2</v>
      </c>
      <c r="I79" s="304">
        <f>VLOOKUP(B79,'26MY_ACCORD_DATA'!B:AS,12,FALSE)</f>
        <v>0</v>
      </c>
      <c r="J79" s="304">
        <f>VLOOKUP(B79,'26MY_ACCORD_DATA'!B:AS,13,FALSE)</f>
        <v>0</v>
      </c>
      <c r="K79" s="304" t="str">
        <f>VLOOKUP(B79,'26MY_ACCORD_DATA'!B:AS,14,FALSE)</f>
        <v>•</v>
      </c>
      <c r="L79" s="304">
        <f>VLOOKUP(B79,'26MY_ACCORD_DATA'!B:AS,15,FALSE)</f>
        <v>0</v>
      </c>
      <c r="M79" s="304" t="str">
        <f>VLOOKUP(B79,'26MY_ACCORD_DATA'!B:AS,16,FALSE)</f>
        <v>•</v>
      </c>
      <c r="N79" s="304" t="str">
        <f>VLOOKUP(B79,'26MY_ACCORD_DATA'!B:AS,17,FALSE)</f>
        <v>•</v>
      </c>
      <c r="O79" s="304">
        <f>VLOOKUP(B79,'26MY_ACCORD_DATA'!B:AS,18,FALSE)</f>
        <v>0</v>
      </c>
      <c r="P79" s="304">
        <f>VLOOKUP(B79,'26MY_ACCORD_DATA'!B:AS,19,FALSE)</f>
        <v>0</v>
      </c>
      <c r="Q79" s="332" t="str">
        <f>IF(VLOOKUP(B79,'26MY_ACCORD_DATA'!B:AS,21,FALSE)="","",VLOOKUP(B79,'26MY_ACCORD_DATA'!B:AS,21,FALSE))</f>
        <v/>
      </c>
    </row>
    <row r="80" spans="2:17" s="136" customFormat="1" ht="14.4">
      <c r="B80" s="281" t="s">
        <v>384</v>
      </c>
      <c r="C80" s="224" t="str">
        <f>VLOOKUP(B80,'26MY_ACCORD_DATA'!B:AS,4,FALSE)</f>
        <v>Emblème HPD</v>
      </c>
      <c r="D80" s="79" t="str">
        <f t="shared" ref="D80:D81" si="18">B80</f>
        <v>08F20-30A-100B</v>
      </c>
      <c r="E80" s="302">
        <f>VLOOKUP(B80,'26MY_ACCORD_DATA'!B:AS,9,FALSE)</f>
        <v>71</v>
      </c>
      <c r="F80" s="302">
        <f>VLOOKUP(B80,'26MY_ACCORD_DATA'!B:AS,10,FALSE)</f>
        <v>118</v>
      </c>
      <c r="G80" s="306">
        <f>VLOOKUP(B80,'26MY_ACCORD_DATA'!B:AS,7,FALSE)</f>
        <v>0.1</v>
      </c>
      <c r="H80" s="301">
        <f>VLOOKUP(B80,'26MY_ACCORD_DATA'!B:AS,11,FALSE)</f>
        <v>136.1</v>
      </c>
      <c r="I80" s="304">
        <f>VLOOKUP(B80,'26MY_ACCORD_DATA'!B:AS,12,FALSE)</f>
        <v>0</v>
      </c>
      <c r="J80" s="304">
        <f>VLOOKUP(B80,'26MY_ACCORD_DATA'!B:AS,13,FALSE)</f>
        <v>0</v>
      </c>
      <c r="K80" s="304" t="str">
        <f>VLOOKUP(B80,'26MY_ACCORD_DATA'!B:AS,14,FALSE)</f>
        <v>•</v>
      </c>
      <c r="L80" s="304">
        <f>VLOOKUP(B80,'26MY_ACCORD_DATA'!B:AS,15,FALSE)</f>
        <v>0</v>
      </c>
      <c r="M80" s="304" t="str">
        <f>VLOOKUP(B80,'26MY_ACCORD_DATA'!B:AS,16,FALSE)</f>
        <v>•</v>
      </c>
      <c r="N80" s="304" t="str">
        <f>VLOOKUP(B80,'26MY_ACCORD_DATA'!B:AS,17,FALSE)</f>
        <v>•</v>
      </c>
      <c r="O80" s="304">
        <f>VLOOKUP(B80,'26MY_ACCORD_DATA'!B:AS,18,FALSE)</f>
        <v>0</v>
      </c>
      <c r="P80" s="304">
        <f>VLOOKUP(B80,'26MY_ACCORD_DATA'!B:AS,19,FALSE)</f>
        <v>0</v>
      </c>
      <c r="Q80" s="332" t="str">
        <f>IF(VLOOKUP(B80,'26MY_ACCORD_DATA'!B:AS,21,FALSE)="","",VLOOKUP(B80,'26MY_ACCORD_DATA'!B:AS,21,FALSE))</f>
        <v/>
      </c>
    </row>
    <row r="81" spans="2:17" s="136" customFormat="1" ht="14.4">
      <c r="B81" s="281" t="s">
        <v>360</v>
      </c>
      <c r="C81" s="224" t="str">
        <f>VLOOKUP(B81,'26MY_ACCORD_DATA'!B:AS,4,FALSE)</f>
        <v>Garde-boue arrière</v>
      </c>
      <c r="D81" s="79" t="str">
        <f t="shared" si="18"/>
        <v>08P09-30A-300</v>
      </c>
      <c r="E81" s="302">
        <f>VLOOKUP(B81,'26MY_ACCORD_DATA'!B:AS,9,FALSE)</f>
        <v>50</v>
      </c>
      <c r="F81" s="302">
        <f>VLOOKUP(B81,'26MY_ACCORD_DATA'!B:AS,10,FALSE)</f>
        <v>83</v>
      </c>
      <c r="G81" s="306">
        <f>VLOOKUP(B81,'26MY_ACCORD_DATA'!B:AS,7,FALSE)</f>
        <v>0.4</v>
      </c>
      <c r="H81" s="301">
        <f>VLOOKUP(B81,'26MY_ACCORD_DATA'!B:AS,11,FALSE)</f>
        <v>155.4</v>
      </c>
      <c r="I81" s="304">
        <f>VLOOKUP(B81,'26MY_ACCORD_DATA'!B:AS,12,FALSE)</f>
        <v>0</v>
      </c>
      <c r="J81" s="304">
        <f>VLOOKUP(B81,'26MY_ACCORD_DATA'!B:AS,13,FALSE)</f>
        <v>0</v>
      </c>
      <c r="K81" s="304" t="str">
        <f>VLOOKUP(B81,'26MY_ACCORD_DATA'!B:AS,14,FALSE)</f>
        <v>•</v>
      </c>
      <c r="L81" s="304">
        <f>VLOOKUP(B81,'26MY_ACCORD_DATA'!B:AS,15,FALSE)</f>
        <v>0</v>
      </c>
      <c r="M81" s="304" t="str">
        <f>VLOOKUP(B81,'26MY_ACCORD_DATA'!B:AS,16,FALSE)</f>
        <v>•</v>
      </c>
      <c r="N81" s="304" t="str">
        <f>VLOOKUP(B81,'26MY_ACCORD_DATA'!B:AS,17,FALSE)</f>
        <v>•</v>
      </c>
      <c r="O81" s="304">
        <f>VLOOKUP(B81,'26MY_ACCORD_DATA'!B:AS,18,FALSE)</f>
        <v>0</v>
      </c>
      <c r="P81" s="304">
        <f>VLOOKUP(B81,'26MY_ACCORD_DATA'!B:AS,19,FALSE)</f>
        <v>0</v>
      </c>
      <c r="Q81" s="332" t="str">
        <f>IF(VLOOKUP(B81,'26MY_ACCORD_DATA'!B:AS,21,FALSE)="","",VLOOKUP(B81,'26MY_ACCORD_DATA'!B:AS,21,FALSE))</f>
        <v/>
      </c>
    </row>
    <row r="82" spans="2:17" s="136" customFormat="1" ht="14.4">
      <c r="B82" s="281" t="s">
        <v>363</v>
      </c>
      <c r="C82" s="224" t="str">
        <f>VLOOKUP(B82,'26MY_ACCORD_DATA'!B:AS,4,FALSE)</f>
        <v>Déflecteurs de portières</v>
      </c>
      <c r="D82" s="79" t="str">
        <f t="shared" ref="D82:D85" si="19">B82</f>
        <v>08R04-TVA-101</v>
      </c>
      <c r="E82" s="302">
        <f>VLOOKUP(B82,'26MY_ACCORD_DATA'!B:AS,9,FALSE)</f>
        <v>200</v>
      </c>
      <c r="F82" s="302">
        <f>VLOOKUP(B82,'26MY_ACCORD_DATA'!B:AS,10,FALSE)</f>
        <v>333</v>
      </c>
      <c r="G82" s="306">
        <f>VLOOKUP(B82,'26MY_ACCORD_DATA'!B:AS,7,FALSE)</f>
        <v>0.5</v>
      </c>
      <c r="H82" s="301">
        <f>VLOOKUP(B82,'26MY_ACCORD_DATA'!B:AS,11,FALSE)</f>
        <v>423.5</v>
      </c>
      <c r="I82" s="304">
        <f>VLOOKUP(B82,'26MY_ACCORD_DATA'!B:AS,12,FALSE)</f>
        <v>0</v>
      </c>
      <c r="J82" s="304">
        <f>VLOOKUP(B82,'26MY_ACCORD_DATA'!B:AS,13,FALSE)</f>
        <v>0</v>
      </c>
      <c r="K82" s="304" t="str">
        <f>VLOOKUP(B82,'26MY_ACCORD_DATA'!B:AS,14,FALSE)</f>
        <v>•</v>
      </c>
      <c r="L82" s="304">
        <f>VLOOKUP(B82,'26MY_ACCORD_DATA'!B:AS,15,FALSE)</f>
        <v>0</v>
      </c>
      <c r="M82" s="304" t="str">
        <f>VLOOKUP(B82,'26MY_ACCORD_DATA'!B:AS,16,FALSE)</f>
        <v>•</v>
      </c>
      <c r="N82" s="304" t="str">
        <f>VLOOKUP(B82,'26MY_ACCORD_DATA'!B:AS,17,FALSE)</f>
        <v>•</v>
      </c>
      <c r="O82" s="304">
        <f>VLOOKUP(B82,'26MY_ACCORD_DATA'!B:AS,18,FALSE)</f>
        <v>0</v>
      </c>
      <c r="P82" s="304">
        <f>VLOOKUP(B82,'26MY_ACCORD_DATA'!B:AS,19,FALSE)</f>
        <v>0</v>
      </c>
      <c r="Q82" s="332" t="str">
        <f>IF(VLOOKUP(B82,'26MY_ACCORD_DATA'!B:AS,21,FALSE)="","",VLOOKUP(B82,'26MY_ACCORD_DATA'!B:AS,21,FALSE))</f>
        <v/>
      </c>
    </row>
    <row r="83" spans="2:17" s="136" customFormat="1" ht="14.4">
      <c r="B83" s="281" t="s">
        <v>362</v>
      </c>
      <c r="C83" s="224" t="str">
        <f>VLOOKUP(B83,'26MY_ACCORD_DATA'!B:AS,4,FALSE)</f>
        <v>Déflecteur de toit ouvrant</v>
      </c>
      <c r="D83" s="79" t="str">
        <f t="shared" si="19"/>
        <v>08R01-30A-300</v>
      </c>
      <c r="E83" s="302">
        <f>VLOOKUP(B83,'26MY_ACCORD_DATA'!B:AS,9,FALSE)</f>
        <v>200</v>
      </c>
      <c r="F83" s="302">
        <f>VLOOKUP(B83,'26MY_ACCORD_DATA'!B:AS,10,FALSE)</f>
        <v>333</v>
      </c>
      <c r="G83" s="306">
        <f>VLOOKUP(B83,'26MY_ACCORD_DATA'!B:AS,7,FALSE)</f>
        <v>0.3</v>
      </c>
      <c r="H83" s="301">
        <f>VLOOKUP(B83,'26MY_ACCORD_DATA'!B:AS,11,FALSE)</f>
        <v>387.3</v>
      </c>
      <c r="I83" s="304">
        <f>VLOOKUP(B83,'26MY_ACCORD_DATA'!B:AS,12,FALSE)</f>
        <v>0</v>
      </c>
      <c r="J83" s="304">
        <f>VLOOKUP(B83,'26MY_ACCORD_DATA'!B:AS,13,FALSE)</f>
        <v>0</v>
      </c>
      <c r="K83" s="304" t="str">
        <f>VLOOKUP(B83,'26MY_ACCORD_DATA'!B:AS,14,FALSE)</f>
        <v>•</v>
      </c>
      <c r="L83" s="304">
        <f>VLOOKUP(B83,'26MY_ACCORD_DATA'!B:AS,15,FALSE)</f>
        <v>0</v>
      </c>
      <c r="M83" s="304" t="str">
        <f>VLOOKUP(B83,'26MY_ACCORD_DATA'!B:AS,16,FALSE)</f>
        <v>•</v>
      </c>
      <c r="N83" s="304" t="str">
        <f>VLOOKUP(B83,'26MY_ACCORD_DATA'!B:AS,17,FALSE)</f>
        <v>•</v>
      </c>
      <c r="O83" s="304">
        <f>VLOOKUP(B83,'26MY_ACCORD_DATA'!B:AS,18,FALSE)</f>
        <v>0</v>
      </c>
      <c r="P83" s="304">
        <f>VLOOKUP(B83,'26MY_ACCORD_DATA'!B:AS,19,FALSE)</f>
        <v>0</v>
      </c>
      <c r="Q83" s="332" t="str">
        <f>IF(VLOOKUP(B83,'26MY_ACCORD_DATA'!B:AS,21,FALSE)="","",VLOOKUP(B83,'26MY_ACCORD_DATA'!B:AS,21,FALSE))</f>
        <v/>
      </c>
    </row>
    <row r="84" spans="2:17" s="136" customFormat="1" ht="28.8">
      <c r="B84" s="281" t="s">
        <v>369</v>
      </c>
      <c r="C84" s="278" t="str">
        <f>VLOOKUP(B84,'26MY_ACCORD_DATA'!B:AS,4,FALSE)</f>
        <v>Ensemble de pellicule – Pellicule de poignée de portière et de pare-chocs arrière</v>
      </c>
      <c r="D84" s="79" t="str">
        <f t="shared" si="19"/>
        <v>08P48-30A-100</v>
      </c>
      <c r="E84" s="302">
        <f>VLOOKUP(B84,'26MY_ACCORD_DATA'!B:AS,9,FALSE)</f>
        <v>131</v>
      </c>
      <c r="F84" s="302">
        <f>VLOOKUP(B84,'26MY_ACCORD_DATA'!B:AS,10,FALSE)</f>
        <v>218</v>
      </c>
      <c r="G84" s="306">
        <f>VLOOKUP(B84,'26MY_ACCORD_DATA'!B:AS,7,FALSE)</f>
        <v>0.7</v>
      </c>
      <c r="H84" s="301">
        <f>VLOOKUP(B84,'26MY_ACCORD_DATA'!B:AS,11,FALSE)</f>
        <v>344.7</v>
      </c>
      <c r="I84" s="304">
        <f>VLOOKUP(B84,'26MY_ACCORD_DATA'!B:AS,12,FALSE)</f>
        <v>0</v>
      </c>
      <c r="J84" s="304">
        <f>VLOOKUP(B84,'26MY_ACCORD_DATA'!B:AS,13,FALSE)</f>
        <v>0</v>
      </c>
      <c r="K84" s="304" t="str">
        <f>VLOOKUP(B84,'26MY_ACCORD_DATA'!B:AS,14,FALSE)</f>
        <v>•</v>
      </c>
      <c r="L84" s="304">
        <f>VLOOKUP(B84,'26MY_ACCORD_DATA'!B:AS,15,FALSE)</f>
        <v>0</v>
      </c>
      <c r="M84" s="304" t="str">
        <f>VLOOKUP(B84,'26MY_ACCORD_DATA'!B:AS,16,FALSE)</f>
        <v>•</v>
      </c>
      <c r="N84" s="304" t="str">
        <f>VLOOKUP(B84,'26MY_ACCORD_DATA'!B:AS,17,FALSE)</f>
        <v>•</v>
      </c>
      <c r="O84" s="304">
        <f>VLOOKUP(B84,'26MY_ACCORD_DATA'!B:AS,18,FALSE)</f>
        <v>0</v>
      </c>
      <c r="P84" s="304">
        <f>VLOOKUP(B84,'26MY_ACCORD_DATA'!B:AS,19,FALSE)</f>
        <v>0</v>
      </c>
      <c r="Q84" s="332" t="str">
        <f>IF(VLOOKUP(B84,'26MY_ACCORD_DATA'!B:AS,21,FALSE)="","",VLOOKUP(B84,'26MY_ACCORD_DATA'!B:AS,21,FALSE))</f>
        <v/>
      </c>
    </row>
    <row r="85" spans="2:17" s="136" customFormat="1" ht="28.8">
      <c r="B85" s="281" t="s">
        <v>368</v>
      </c>
      <c r="C85" s="224" t="str">
        <f>VLOOKUP(B85,'26MY_ACCORD_DATA'!B:AS,4,FALSE)</f>
        <v>Pellicule pour rebord de portière</v>
      </c>
      <c r="D85" s="79" t="str">
        <f t="shared" si="19"/>
        <v>08P20-30A-100A</v>
      </c>
      <c r="E85" s="302">
        <f>VLOOKUP(B85,'26MY_ACCORD_DATA'!B:AS,9,FALSE)</f>
        <v>71</v>
      </c>
      <c r="F85" s="302">
        <f>VLOOKUP(B85,'26MY_ACCORD_DATA'!B:AS,10,FALSE)</f>
        <v>118</v>
      </c>
      <c r="G85" s="306">
        <f>VLOOKUP(B85,'26MY_ACCORD_DATA'!B:AS,7,FALSE)</f>
        <v>0.5</v>
      </c>
      <c r="H85" s="301">
        <f>VLOOKUP(B85,'26MY_ACCORD_DATA'!B:AS,11,FALSE)</f>
        <v>208.5</v>
      </c>
      <c r="I85" s="304">
        <f>VLOOKUP(B85,'26MY_ACCORD_DATA'!B:AS,12,FALSE)</f>
        <v>0</v>
      </c>
      <c r="J85" s="304">
        <f>VLOOKUP(B85,'26MY_ACCORD_DATA'!B:AS,13,FALSE)</f>
        <v>0</v>
      </c>
      <c r="K85" s="304" t="str">
        <f>VLOOKUP(B85,'26MY_ACCORD_DATA'!B:AS,14,FALSE)</f>
        <v>•</v>
      </c>
      <c r="L85" s="304">
        <f>VLOOKUP(B85,'26MY_ACCORD_DATA'!B:AS,15,FALSE)</f>
        <v>0</v>
      </c>
      <c r="M85" s="304" t="str">
        <f>VLOOKUP(B85,'26MY_ACCORD_DATA'!B:AS,16,FALSE)</f>
        <v>•</v>
      </c>
      <c r="N85" s="304" t="str">
        <f>VLOOKUP(B85,'26MY_ACCORD_DATA'!B:AS,17,FALSE)</f>
        <v>•</v>
      </c>
      <c r="O85" s="304">
        <f>VLOOKUP(B85,'26MY_ACCORD_DATA'!B:AS,18,FALSE)</f>
        <v>0</v>
      </c>
      <c r="P85" s="304">
        <f>VLOOKUP(B85,'26MY_ACCORD_DATA'!B:AS,19,FALSE)</f>
        <v>0</v>
      </c>
      <c r="Q85" s="332" t="str">
        <f>IF(VLOOKUP(B85,'26MY_ACCORD_DATA'!B:AS,21,FALSE)="","",VLOOKUP(B85,'26MY_ACCORD_DATA'!B:AS,21,FALSE))</f>
        <v>Ne peut être installé simultanément avec protecteurs de bordure de porte.</v>
      </c>
    </row>
    <row r="86" spans="2:17" s="136" customFormat="1" ht="15" customHeight="1">
      <c r="B86" s="281" t="s">
        <v>272</v>
      </c>
      <c r="C86" s="197" t="str">
        <f>VLOOKUP(B86,'26MY_ACCORD_DATA'!B:AS,4,FALSE)</f>
        <v>Déflecteur arrière de coffre</v>
      </c>
      <c r="D86" s="187"/>
      <c r="E86" s="187"/>
      <c r="F86" s="187"/>
      <c r="G86" s="187"/>
      <c r="H86" s="187"/>
      <c r="I86" s="187"/>
      <c r="J86" s="187"/>
      <c r="K86" s="187"/>
      <c r="L86" s="187"/>
      <c r="M86" s="187"/>
      <c r="N86" s="187"/>
      <c r="O86" s="187"/>
      <c r="P86" s="187"/>
      <c r="Q86" s="178"/>
    </row>
    <row r="87" spans="2:17" s="136" customFormat="1" ht="15" customHeight="1">
      <c r="B87" s="281" t="s">
        <v>271</v>
      </c>
      <c r="C87" s="190" t="str">
        <f>VLOOKUP(B87,'26MY_ACCORD_DATA'!B:AS,4,FALSE)</f>
        <v>Blanc platine nacré (NH-883P)</v>
      </c>
      <c r="D87" s="79" t="str">
        <f t="shared" si="16"/>
        <v>08F10-30A-110</v>
      </c>
      <c r="E87" s="302">
        <f>VLOOKUP(B87,'26MY_ACCORD_DATA'!B:AS,9,FALSE)</f>
        <v>386</v>
      </c>
      <c r="F87" s="302">
        <f>VLOOKUP(B87,'26MY_ACCORD_DATA'!B:AS,10,FALSE)</f>
        <v>643</v>
      </c>
      <c r="G87" s="306">
        <f>VLOOKUP(B87,'26MY_ACCORD_DATA'!B:AS,7,FALSE)</f>
        <v>0.6</v>
      </c>
      <c r="H87" s="301">
        <f>VLOOKUP(B87,'26MY_ACCORD_DATA'!B:AS,11,FALSE)</f>
        <v>751.6</v>
      </c>
      <c r="I87" s="304">
        <f>VLOOKUP(B87,'26MY_ACCORD_DATA'!B:AS,12,FALSE)</f>
        <v>0</v>
      </c>
      <c r="J87" s="304">
        <f>VLOOKUP(B87,'26MY_ACCORD_DATA'!B:AS,13,FALSE)</f>
        <v>0</v>
      </c>
      <c r="K87" s="304" t="str">
        <f>VLOOKUP(B87,'26MY_ACCORD_DATA'!B:AS,14,FALSE)</f>
        <v>•</v>
      </c>
      <c r="L87" s="304">
        <f>VLOOKUP(B87,'26MY_ACCORD_DATA'!B:AS,15,FALSE)</f>
        <v>0</v>
      </c>
      <c r="M87" s="304" t="str">
        <f>VLOOKUP(B87,'26MY_ACCORD_DATA'!B:AS,16,FALSE)</f>
        <v>S</v>
      </c>
      <c r="N87" s="304" t="str">
        <f>VLOOKUP(B87,'26MY_ACCORD_DATA'!B:AS,17,FALSE)</f>
        <v>•</v>
      </c>
      <c r="O87" s="304">
        <f>VLOOKUP(B87,'26MY_ACCORD_DATA'!B:AS,18,FALSE)</f>
        <v>0</v>
      </c>
      <c r="P87" s="304">
        <f>VLOOKUP(B87,'26MY_ACCORD_DATA'!B:AS,19,FALSE)</f>
        <v>0</v>
      </c>
      <c r="Q87" s="368" t="str">
        <f>IF(VLOOKUP(B87,'26MY_ACCORD_DATA'!B:AS,21,FALSE)="","",VLOOKUP(B87,'26MY_ACCORD_DATA'!B:AS,21,FALSE))</f>
        <v/>
      </c>
    </row>
    <row r="88" spans="2:17" s="136" customFormat="1" ht="15" customHeight="1">
      <c r="B88" s="281" t="s">
        <v>279</v>
      </c>
      <c r="C88" s="190" t="str">
        <f>VLOOKUP(B88,'26MY_ACCORD_DATA'!B:AS,4,FALSE)</f>
        <v>Gris météore nacré (NH-904M)</v>
      </c>
      <c r="D88" s="79" t="str">
        <f t="shared" si="16"/>
        <v>08F10-30A-140</v>
      </c>
      <c r="E88" s="302">
        <f>VLOOKUP(B88,'26MY_ACCORD_DATA'!B:AS,9,FALSE)</f>
        <v>386</v>
      </c>
      <c r="F88" s="302">
        <f>VLOOKUP(B88,'26MY_ACCORD_DATA'!B:AS,10,FALSE)</f>
        <v>643</v>
      </c>
      <c r="G88" s="306">
        <f>VLOOKUP(B88,'26MY_ACCORD_DATA'!B:AS,7,FALSE)</f>
        <v>0.6</v>
      </c>
      <c r="H88" s="301">
        <f>VLOOKUP(B88,'26MY_ACCORD_DATA'!B:AS,11,FALSE)</f>
        <v>751.6</v>
      </c>
      <c r="I88" s="304">
        <f>VLOOKUP(B88,'26MY_ACCORD_DATA'!B:AS,12,FALSE)</f>
        <v>0</v>
      </c>
      <c r="J88" s="304">
        <f>VLOOKUP(B88,'26MY_ACCORD_DATA'!B:AS,13,FALSE)</f>
        <v>0</v>
      </c>
      <c r="K88" s="304" t="str">
        <f>VLOOKUP(B88,'26MY_ACCORD_DATA'!B:AS,14,FALSE)</f>
        <v>N/A</v>
      </c>
      <c r="L88" s="304">
        <f>VLOOKUP(B88,'26MY_ACCORD_DATA'!B:AS,15,FALSE)</f>
        <v>0</v>
      </c>
      <c r="M88" s="304" t="str">
        <f>VLOOKUP(B88,'26MY_ACCORD_DATA'!B:AS,16,FALSE)</f>
        <v>S</v>
      </c>
      <c r="N88" s="304" t="str">
        <f>VLOOKUP(B88,'26MY_ACCORD_DATA'!B:AS,17,FALSE)</f>
        <v>N/A</v>
      </c>
      <c r="O88" s="304">
        <f>VLOOKUP(B88,'26MY_ACCORD_DATA'!B:AS,18,FALSE)</f>
        <v>0</v>
      </c>
      <c r="P88" s="304">
        <f>VLOOKUP(B88,'26MY_ACCORD_DATA'!B:AS,19,FALSE)</f>
        <v>0</v>
      </c>
      <c r="Q88" s="369"/>
    </row>
    <row r="89" spans="2:17" s="136" customFormat="1" ht="15" customHeight="1">
      <c r="B89" s="281" t="s">
        <v>281</v>
      </c>
      <c r="C89" s="190" t="str">
        <f>VLOOKUP(B89,'26MY_ACCORD_DATA'!B:AS,4,FALSE)</f>
        <v>Gris urbain nacré  (NH-912P)</v>
      </c>
      <c r="D89" s="79" t="str">
        <f t="shared" si="16"/>
        <v>08F10-30A-150</v>
      </c>
      <c r="E89" s="302">
        <f>VLOOKUP(B89,'26MY_ACCORD_DATA'!B:AS,9,FALSE)</f>
        <v>386</v>
      </c>
      <c r="F89" s="302">
        <f>VLOOKUP(B89,'26MY_ACCORD_DATA'!B:AS,10,FALSE)</f>
        <v>643</v>
      </c>
      <c r="G89" s="306">
        <f>VLOOKUP(B89,'26MY_ACCORD_DATA'!B:AS,7,FALSE)</f>
        <v>0.6</v>
      </c>
      <c r="H89" s="301">
        <f>VLOOKUP(B89,'26MY_ACCORD_DATA'!B:AS,11,FALSE)</f>
        <v>751.6</v>
      </c>
      <c r="I89" s="304">
        <f>VLOOKUP(B89,'26MY_ACCORD_DATA'!B:AS,12,FALSE)</f>
        <v>0</v>
      </c>
      <c r="J89" s="304">
        <f>VLOOKUP(B89,'26MY_ACCORD_DATA'!B:AS,13,FALSE)</f>
        <v>0</v>
      </c>
      <c r="K89" s="304" t="str">
        <f>VLOOKUP(B89,'26MY_ACCORD_DATA'!B:AS,14,FALSE)</f>
        <v>N/A</v>
      </c>
      <c r="L89" s="304">
        <f>VLOOKUP(B89,'26MY_ACCORD_DATA'!B:AS,15,FALSE)</f>
        <v>0</v>
      </c>
      <c r="M89" s="304" t="str">
        <f>VLOOKUP(B89,'26MY_ACCORD_DATA'!B:AS,16,FALSE)</f>
        <v>S</v>
      </c>
      <c r="N89" s="304" t="str">
        <f>VLOOKUP(B89,'26MY_ACCORD_DATA'!B:AS,17,FALSE)</f>
        <v>•</v>
      </c>
      <c r="O89" s="304">
        <f>VLOOKUP(B89,'26MY_ACCORD_DATA'!B:AS,18,FALSE)</f>
        <v>0</v>
      </c>
      <c r="P89" s="304">
        <f>VLOOKUP(B89,'26MY_ACCORD_DATA'!B:AS,19,FALSE)</f>
        <v>0</v>
      </c>
      <c r="Q89" s="369"/>
    </row>
    <row r="90" spans="2:17" s="136" customFormat="1" ht="15" customHeight="1">
      <c r="B90" s="281" t="s">
        <v>282</v>
      </c>
      <c r="C90" s="190" t="str">
        <f>VLOOKUP(B90,'26MY_ACCORD_DATA'!B:AS,4,FALSE)</f>
        <v>Noir cristal nacré (NH-731P)</v>
      </c>
      <c r="D90" s="79" t="str">
        <f t="shared" si="16"/>
        <v>08F10-30A-170</v>
      </c>
      <c r="E90" s="302">
        <f>VLOOKUP(B90,'26MY_ACCORD_DATA'!B:AS,9,FALSE)</f>
        <v>386</v>
      </c>
      <c r="F90" s="302">
        <f>VLOOKUP(B90,'26MY_ACCORD_DATA'!B:AS,10,FALSE)</f>
        <v>643</v>
      </c>
      <c r="G90" s="306">
        <f>VLOOKUP(B90,'26MY_ACCORD_DATA'!B:AS,7,FALSE)</f>
        <v>0.6</v>
      </c>
      <c r="H90" s="301">
        <f>VLOOKUP(B90,'26MY_ACCORD_DATA'!B:AS,11,FALSE)</f>
        <v>751.6</v>
      </c>
      <c r="I90" s="304">
        <f>VLOOKUP(B90,'26MY_ACCORD_DATA'!B:AS,12,FALSE)</f>
        <v>0</v>
      </c>
      <c r="J90" s="304">
        <f>VLOOKUP(B90,'26MY_ACCORD_DATA'!B:AS,13,FALSE)</f>
        <v>0</v>
      </c>
      <c r="K90" s="304" t="str">
        <f>VLOOKUP(B90,'26MY_ACCORD_DATA'!B:AS,14,FALSE)</f>
        <v>•</v>
      </c>
      <c r="L90" s="304">
        <f>VLOOKUP(B90,'26MY_ACCORD_DATA'!B:AS,15,FALSE)</f>
        <v>0</v>
      </c>
      <c r="M90" s="304" t="str">
        <f>VLOOKUP(B90,'26MY_ACCORD_DATA'!B:AS,16,FALSE)</f>
        <v>S</v>
      </c>
      <c r="N90" s="304" t="str">
        <f>VLOOKUP(B90,'26MY_ACCORD_DATA'!B:AS,17,FALSE)</f>
        <v>•</v>
      </c>
      <c r="O90" s="304">
        <f>VLOOKUP(B90,'26MY_ACCORD_DATA'!B:AS,18,FALSE)</f>
        <v>0</v>
      </c>
      <c r="P90" s="304">
        <f>VLOOKUP(B90,'26MY_ACCORD_DATA'!B:AS,19,FALSE)</f>
        <v>0</v>
      </c>
      <c r="Q90" s="369"/>
    </row>
    <row r="91" spans="2:17" s="136" customFormat="1" ht="15" customHeight="1">
      <c r="B91" s="281" t="s">
        <v>283</v>
      </c>
      <c r="C91" s="190" t="str">
        <f>VLOOKUP(B91,'26MY_ACCORD_DATA'!B:AS,4,FALSE)</f>
        <v>Radiant rouge métallisé (R-569M)</v>
      </c>
      <c r="D91" s="79" t="str">
        <f t="shared" si="16"/>
        <v>08F10-30A-1A0</v>
      </c>
      <c r="E91" s="302">
        <f>VLOOKUP(B91,'26MY_ACCORD_DATA'!B:AS,9,FALSE)</f>
        <v>386</v>
      </c>
      <c r="F91" s="302">
        <f>VLOOKUP(B91,'26MY_ACCORD_DATA'!B:AS,10,FALSE)</f>
        <v>643</v>
      </c>
      <c r="G91" s="306">
        <f>VLOOKUP(B91,'26MY_ACCORD_DATA'!B:AS,7,FALSE)</f>
        <v>0.6</v>
      </c>
      <c r="H91" s="301">
        <f>VLOOKUP(B91,'26MY_ACCORD_DATA'!B:AS,11,FALSE)</f>
        <v>751.6</v>
      </c>
      <c r="I91" s="304">
        <f>VLOOKUP(B91,'26MY_ACCORD_DATA'!B:AS,12,FALSE)</f>
        <v>0</v>
      </c>
      <c r="J91" s="304">
        <f>VLOOKUP(B91,'26MY_ACCORD_DATA'!B:AS,13,FALSE)</f>
        <v>0</v>
      </c>
      <c r="K91" s="304" t="str">
        <f>VLOOKUP(B91,'26MY_ACCORD_DATA'!B:AS,14,FALSE)</f>
        <v>N/A</v>
      </c>
      <c r="L91" s="304">
        <f>VLOOKUP(B91,'26MY_ACCORD_DATA'!B:AS,15,FALSE)</f>
        <v>0</v>
      </c>
      <c r="M91" s="304" t="str">
        <f>VLOOKUP(B91,'26MY_ACCORD_DATA'!B:AS,16,FALSE)</f>
        <v>S</v>
      </c>
      <c r="N91" s="304" t="str">
        <f>VLOOKUP(B91,'26MY_ACCORD_DATA'!B:AS,17,FALSE)</f>
        <v>•</v>
      </c>
      <c r="O91" s="304">
        <f>VLOOKUP(B91,'26MY_ACCORD_DATA'!B:AS,18,FALSE)</f>
        <v>0</v>
      </c>
      <c r="P91" s="304">
        <f>VLOOKUP(B91,'26MY_ACCORD_DATA'!B:AS,19,FALSE)</f>
        <v>0</v>
      </c>
      <c r="Q91" s="369"/>
    </row>
    <row r="92" spans="2:17" s="136" customFormat="1" ht="14.4">
      <c r="B92" s="281" t="s">
        <v>280</v>
      </c>
      <c r="C92" s="190" t="str">
        <f>VLOOKUP(B92,'26MY_ACCORD_DATA'!B:AS,4,FALSE)</f>
        <v>Bleu rivière canyon métallisé (B-640M)</v>
      </c>
      <c r="D92" s="79" t="str">
        <f t="shared" ref="D92:D94" si="20">B92</f>
        <v>08F10-30A-1D0</v>
      </c>
      <c r="E92" s="302">
        <f>VLOOKUP(B92,'26MY_ACCORD_DATA'!B:AS,9,FALSE)</f>
        <v>386</v>
      </c>
      <c r="F92" s="302">
        <f>VLOOKUP(B92,'26MY_ACCORD_DATA'!B:AS,10,FALSE)</f>
        <v>643</v>
      </c>
      <c r="G92" s="306">
        <f>VLOOKUP(B92,'26MY_ACCORD_DATA'!B:AS,7,FALSE)</f>
        <v>0.6</v>
      </c>
      <c r="H92" s="301">
        <f>VLOOKUP(B92,'26MY_ACCORD_DATA'!B:AS,11,FALSE)</f>
        <v>751.6</v>
      </c>
      <c r="I92" s="304">
        <f>VLOOKUP(B92,'26MY_ACCORD_DATA'!B:AS,12,FALSE)</f>
        <v>0</v>
      </c>
      <c r="J92" s="304">
        <f>VLOOKUP(B92,'26MY_ACCORD_DATA'!B:AS,13,FALSE)</f>
        <v>0</v>
      </c>
      <c r="K92" s="304" t="str">
        <f>VLOOKUP(B92,'26MY_ACCORD_DATA'!B:AS,14,FALSE)</f>
        <v>N/A</v>
      </c>
      <c r="L92" s="304">
        <f>VLOOKUP(B92,'26MY_ACCORD_DATA'!B:AS,15,FALSE)</f>
        <v>0</v>
      </c>
      <c r="M92" s="304" t="str">
        <f>VLOOKUP(B92,'26MY_ACCORD_DATA'!B:AS,16,FALSE)</f>
        <v>S</v>
      </c>
      <c r="N92" s="304" t="str">
        <f>VLOOKUP(B92,'26MY_ACCORD_DATA'!B:AS,17,FALSE)</f>
        <v>•</v>
      </c>
      <c r="O92" s="304">
        <f>VLOOKUP(B92,'26MY_ACCORD_DATA'!B:AS,18,FALSE)</f>
        <v>0</v>
      </c>
      <c r="P92" s="304">
        <f>VLOOKUP(B92,'26MY_ACCORD_DATA'!B:AS,19,FALSE)</f>
        <v>0</v>
      </c>
      <c r="Q92" s="369"/>
    </row>
    <row r="93" spans="2:17" s="136" customFormat="1" ht="14.4">
      <c r="B93" s="279" t="s">
        <v>284</v>
      </c>
      <c r="C93" s="190" t="str">
        <f>VLOOKUP(B93,'26MY_ACCORD_DATA'!B:AS,4,FALSE)</f>
        <v>Nuit paisible fini nacré (B-575P)</v>
      </c>
      <c r="D93" s="79" t="str">
        <f t="shared" si="20"/>
        <v>08F10-30A-1C0</v>
      </c>
      <c r="E93" s="302">
        <f>VLOOKUP(B93,'26MY_ACCORD_DATA'!B:AS,9,FALSE)</f>
        <v>386</v>
      </c>
      <c r="F93" s="302">
        <f>VLOOKUP(B93,'26MY_ACCORD_DATA'!B:AS,10,FALSE)</f>
        <v>643</v>
      </c>
      <c r="G93" s="306">
        <f>VLOOKUP(B93,'26MY_ACCORD_DATA'!B:AS,7,FALSE)</f>
        <v>0.6</v>
      </c>
      <c r="H93" s="301">
        <f>VLOOKUP(B93,'26MY_ACCORD_DATA'!B:AS,11,FALSE)</f>
        <v>751.6</v>
      </c>
      <c r="I93" s="304">
        <f>VLOOKUP(B93,'26MY_ACCORD_DATA'!B:AS,12,FALSE)</f>
        <v>0</v>
      </c>
      <c r="J93" s="304">
        <f>VLOOKUP(B93,'26MY_ACCORD_DATA'!B:AS,13,FALSE)</f>
        <v>0</v>
      </c>
      <c r="K93" s="304" t="str">
        <f>VLOOKUP(B93,'26MY_ACCORD_DATA'!B:AS,14,FALSE)</f>
        <v>N/A</v>
      </c>
      <c r="L93" s="304">
        <f>VLOOKUP(B93,'26MY_ACCORD_DATA'!B:AS,15,FALSE)</f>
        <v>0</v>
      </c>
      <c r="M93" s="304" t="str">
        <f>VLOOKUP(B93,'26MY_ACCORD_DATA'!B:AS,16,FALSE)</f>
        <v>S</v>
      </c>
      <c r="N93" s="304" t="str">
        <f>VLOOKUP(B93,'26MY_ACCORD_DATA'!B:AS,17,FALSE)</f>
        <v>N/A</v>
      </c>
      <c r="O93" s="304">
        <f>VLOOKUP(B93,'26MY_ACCORD_DATA'!B:AS,18,FALSE)</f>
        <v>0</v>
      </c>
      <c r="P93" s="304">
        <f>VLOOKUP(B93,'26MY_ACCORD_DATA'!B:AS,19,FALSE)</f>
        <v>0</v>
      </c>
      <c r="Q93" s="369"/>
    </row>
    <row r="94" spans="2:17" s="136" customFormat="1" ht="15" customHeight="1">
      <c r="B94" s="279" t="s">
        <v>458</v>
      </c>
      <c r="C94" s="190" t="str">
        <f>VLOOKUP(B94,'26MY_ACCORD_DATA'!B:AS,4,FALSE)</f>
        <v>Refl et solaire argent métallisé (NH-932M)</v>
      </c>
      <c r="D94" s="79" t="str">
        <f t="shared" si="20"/>
        <v>08F10-30A-1H0</v>
      </c>
      <c r="E94" s="302">
        <f>VLOOKUP(B94,'26MY_ACCORD_DATA'!B:AS,9,FALSE)</f>
        <v>386</v>
      </c>
      <c r="F94" s="302">
        <f>VLOOKUP(B94,'26MY_ACCORD_DATA'!B:AS,10,FALSE)</f>
        <v>643</v>
      </c>
      <c r="G94" s="306">
        <f>VLOOKUP(B94,'26MY_ACCORD_DATA'!B:AS,7,FALSE)</f>
        <v>0.6</v>
      </c>
      <c r="H94" s="301">
        <f>VLOOKUP(B94,'26MY_ACCORD_DATA'!B:AS,11,FALSE)</f>
        <v>751.6</v>
      </c>
      <c r="I94" s="304">
        <f>VLOOKUP(B94,'26MY_ACCORD_DATA'!B:AS,12,FALSE)</f>
        <v>0</v>
      </c>
      <c r="J94" s="304">
        <f>VLOOKUP(B94,'26MY_ACCORD_DATA'!B:AS,13,FALSE)</f>
        <v>0</v>
      </c>
      <c r="K94" s="304" t="str">
        <f>VLOOKUP(B94,'26MY_ACCORD_DATA'!B:AS,14,FALSE)</f>
        <v>•</v>
      </c>
      <c r="L94" s="304">
        <f>VLOOKUP(B94,'26MY_ACCORD_DATA'!B:AS,15,FALSE)</f>
        <v>0</v>
      </c>
      <c r="M94" s="304" t="str">
        <f>VLOOKUP(B94,'26MY_ACCORD_DATA'!B:AS,16,FALSE)</f>
        <v>S</v>
      </c>
      <c r="N94" s="304" t="str">
        <f>VLOOKUP(B94,'26MY_ACCORD_DATA'!B:AS,17,FALSE)</f>
        <v>•</v>
      </c>
      <c r="O94" s="304">
        <f>VLOOKUP(B94,'26MY_ACCORD_DATA'!B:AS,18,FALSE)</f>
        <v>0</v>
      </c>
      <c r="P94" s="304">
        <f>VLOOKUP(B94,'26MY_ACCORD_DATA'!B:AS,19,FALSE)</f>
        <v>0</v>
      </c>
      <c r="Q94" s="370"/>
    </row>
    <row r="95" spans="2:17" s="136" customFormat="1" ht="15" customHeight="1">
      <c r="B95" s="281" t="s">
        <v>454</v>
      </c>
      <c r="C95" s="197" t="str">
        <f>VLOOKUP(B95,'26MY_ACCORD_DATA'!B:AS,4,FALSE)</f>
        <v>Moulure latérale</v>
      </c>
      <c r="D95" s="187"/>
      <c r="E95" s="187"/>
      <c r="F95" s="187"/>
      <c r="G95" s="187"/>
      <c r="H95" s="187"/>
      <c r="I95" s="187"/>
      <c r="J95" s="187"/>
      <c r="K95" s="187"/>
      <c r="L95" s="187"/>
      <c r="M95" s="187"/>
      <c r="N95" s="187"/>
      <c r="O95" s="187"/>
      <c r="P95" s="187"/>
      <c r="Q95" s="178"/>
    </row>
    <row r="96" spans="2:17" s="136" customFormat="1" ht="15" customHeight="1">
      <c r="B96" s="281" t="s">
        <v>286</v>
      </c>
      <c r="C96" s="190" t="str">
        <f>VLOOKUP(B96,'26MY_ACCORD_DATA'!B:AS,4,FALSE)</f>
        <v>Blanc platine nacré (NH-883P)</v>
      </c>
      <c r="D96" s="79" t="str">
        <f t="shared" ref="D96" si="21">B96</f>
        <v>08P05-30A-110</v>
      </c>
      <c r="E96" s="302">
        <f>VLOOKUP(B96,'26MY_ACCORD_DATA'!B:AS,9,FALSE)</f>
        <v>232</v>
      </c>
      <c r="F96" s="302">
        <f>VLOOKUP(B96,'26MY_ACCORD_DATA'!B:AS,10,FALSE)</f>
        <v>387</v>
      </c>
      <c r="G96" s="306">
        <f>VLOOKUP(B96,'26MY_ACCORD_DATA'!B:AS,7,FALSE)</f>
        <v>0.4</v>
      </c>
      <c r="H96" s="301">
        <f>VLOOKUP(B96,'26MY_ACCORD_DATA'!B:AS,11,FALSE)</f>
        <v>459.4</v>
      </c>
      <c r="I96" s="304">
        <f>VLOOKUP(B96,'26MY_ACCORD_DATA'!B:AS,12,FALSE)</f>
        <v>0</v>
      </c>
      <c r="J96" s="304">
        <f>VLOOKUP(B96,'26MY_ACCORD_DATA'!B:AS,13,FALSE)</f>
        <v>0</v>
      </c>
      <c r="K96" s="304" t="str">
        <f>VLOOKUP(B96,'26MY_ACCORD_DATA'!B:AS,14,FALSE)</f>
        <v>•</v>
      </c>
      <c r="L96" s="304">
        <f>VLOOKUP(B96,'26MY_ACCORD_DATA'!B:AS,15,FALSE)</f>
        <v>0</v>
      </c>
      <c r="M96" s="304" t="str">
        <f>VLOOKUP(B96,'26MY_ACCORD_DATA'!B:AS,16,FALSE)</f>
        <v>•</v>
      </c>
      <c r="N96" s="304" t="str">
        <f>VLOOKUP(B96,'26MY_ACCORD_DATA'!B:AS,17,FALSE)</f>
        <v>•</v>
      </c>
      <c r="O96" s="304">
        <f>VLOOKUP(B96,'26MY_ACCORD_DATA'!B:AS,18,FALSE)</f>
        <v>0</v>
      </c>
      <c r="P96" s="304">
        <f>VLOOKUP(B96,'26MY_ACCORD_DATA'!B:AS,19,FALSE)</f>
        <v>0</v>
      </c>
      <c r="Q96" s="368" t="str">
        <f>IF(VLOOKUP(B96,'26MY_ACCORD_DATA'!B:AS,21,FALSE)="","",VLOOKUP(B96,'26MY_ACCORD_DATA'!B:AS,21,FALSE))</f>
        <v/>
      </c>
    </row>
    <row r="97" spans="2:17" s="136" customFormat="1" ht="15" customHeight="1">
      <c r="B97" s="281" t="s">
        <v>273</v>
      </c>
      <c r="C97" s="190" t="str">
        <f>VLOOKUP(B97,'26MY_ACCORD_DATA'!B:AS,4,FALSE)</f>
        <v>Gris météore nacré (NH-904M)</v>
      </c>
      <c r="D97" s="79" t="str">
        <f t="shared" ref="D97:D103" si="22">B97</f>
        <v>08P05-30A-140</v>
      </c>
      <c r="E97" s="302">
        <f>VLOOKUP(B97,'26MY_ACCORD_DATA'!B:AS,9,FALSE)</f>
        <v>232</v>
      </c>
      <c r="F97" s="302">
        <f>VLOOKUP(B97,'26MY_ACCORD_DATA'!B:AS,10,FALSE)</f>
        <v>387</v>
      </c>
      <c r="G97" s="306">
        <f>VLOOKUP(B97,'26MY_ACCORD_DATA'!B:AS,7,FALSE)</f>
        <v>0.4</v>
      </c>
      <c r="H97" s="301">
        <f>VLOOKUP(B97,'26MY_ACCORD_DATA'!B:AS,11,FALSE)</f>
        <v>459.4</v>
      </c>
      <c r="I97" s="304">
        <f>VLOOKUP(B97,'26MY_ACCORD_DATA'!B:AS,12,FALSE)</f>
        <v>0</v>
      </c>
      <c r="J97" s="304">
        <f>VLOOKUP(B97,'26MY_ACCORD_DATA'!B:AS,13,FALSE)</f>
        <v>0</v>
      </c>
      <c r="K97" s="304" t="str">
        <f>VLOOKUP(B97,'26MY_ACCORD_DATA'!B:AS,14,FALSE)</f>
        <v>N/A</v>
      </c>
      <c r="L97" s="304">
        <f>VLOOKUP(B97,'26MY_ACCORD_DATA'!B:AS,15,FALSE)</f>
        <v>0</v>
      </c>
      <c r="M97" s="304" t="str">
        <f>VLOOKUP(B97,'26MY_ACCORD_DATA'!B:AS,16,FALSE)</f>
        <v>•</v>
      </c>
      <c r="N97" s="304" t="str">
        <f>VLOOKUP(B97,'26MY_ACCORD_DATA'!B:AS,17,FALSE)</f>
        <v>N/A</v>
      </c>
      <c r="O97" s="304">
        <f>VLOOKUP(B97,'26MY_ACCORD_DATA'!B:AS,18,FALSE)</f>
        <v>0</v>
      </c>
      <c r="P97" s="304">
        <f>VLOOKUP(B97,'26MY_ACCORD_DATA'!B:AS,19,FALSE)</f>
        <v>0</v>
      </c>
      <c r="Q97" s="369"/>
    </row>
    <row r="98" spans="2:17" s="136" customFormat="1" ht="15" customHeight="1">
      <c r="B98" s="281" t="s">
        <v>274</v>
      </c>
      <c r="C98" s="190" t="str">
        <f>VLOOKUP(B98,'26MY_ACCORD_DATA'!B:AS,4,FALSE)</f>
        <v>Gris urbain nacré  (NH-912P)</v>
      </c>
      <c r="D98" s="79" t="str">
        <f t="shared" si="22"/>
        <v>08P05-30A-150</v>
      </c>
      <c r="E98" s="302">
        <f>VLOOKUP(B98,'26MY_ACCORD_DATA'!B:AS,9,FALSE)</f>
        <v>232</v>
      </c>
      <c r="F98" s="302">
        <f>VLOOKUP(B98,'26MY_ACCORD_DATA'!B:AS,10,FALSE)</f>
        <v>387</v>
      </c>
      <c r="G98" s="306">
        <f>VLOOKUP(B98,'26MY_ACCORD_DATA'!B:AS,7,FALSE)</f>
        <v>0.4</v>
      </c>
      <c r="H98" s="301">
        <f>VLOOKUP(B98,'26MY_ACCORD_DATA'!B:AS,11,FALSE)</f>
        <v>459.4</v>
      </c>
      <c r="I98" s="304">
        <f>VLOOKUP(B98,'26MY_ACCORD_DATA'!B:AS,12,FALSE)</f>
        <v>0</v>
      </c>
      <c r="J98" s="304">
        <f>VLOOKUP(B98,'26MY_ACCORD_DATA'!B:AS,13,FALSE)</f>
        <v>0</v>
      </c>
      <c r="K98" s="304" t="str">
        <f>VLOOKUP(B98,'26MY_ACCORD_DATA'!B:AS,14,FALSE)</f>
        <v>N/A</v>
      </c>
      <c r="L98" s="304">
        <f>VLOOKUP(B98,'26MY_ACCORD_DATA'!B:AS,15,FALSE)</f>
        <v>0</v>
      </c>
      <c r="M98" s="304" t="str">
        <f>VLOOKUP(B98,'26MY_ACCORD_DATA'!B:AS,16,FALSE)</f>
        <v>N/A</v>
      </c>
      <c r="N98" s="304" t="str">
        <f>VLOOKUP(B98,'26MY_ACCORD_DATA'!B:AS,17,FALSE)</f>
        <v>•</v>
      </c>
      <c r="O98" s="304">
        <f>VLOOKUP(B98,'26MY_ACCORD_DATA'!B:AS,18,FALSE)</f>
        <v>0</v>
      </c>
      <c r="P98" s="304">
        <f>VLOOKUP(B98,'26MY_ACCORD_DATA'!B:AS,19,FALSE)</f>
        <v>0</v>
      </c>
      <c r="Q98" s="369"/>
    </row>
    <row r="99" spans="2:17" s="136" customFormat="1" ht="15" customHeight="1">
      <c r="B99" s="281" t="s">
        <v>275</v>
      </c>
      <c r="C99" s="190" t="str">
        <f>VLOOKUP(B99,'26MY_ACCORD_DATA'!B:AS,4,FALSE)</f>
        <v>Noir cristal nacré (NH-731P)</v>
      </c>
      <c r="D99" s="79" t="str">
        <f t="shared" ref="D99:D101" si="23">B99</f>
        <v>08P05-30A-170</v>
      </c>
      <c r="E99" s="302">
        <f>VLOOKUP(B99,'26MY_ACCORD_DATA'!B:AS,9,FALSE)</f>
        <v>232</v>
      </c>
      <c r="F99" s="302">
        <f>VLOOKUP(B99,'26MY_ACCORD_DATA'!B:AS,10,FALSE)</f>
        <v>387</v>
      </c>
      <c r="G99" s="306">
        <f>VLOOKUP(B99,'26MY_ACCORD_DATA'!B:AS,7,FALSE)</f>
        <v>0.4</v>
      </c>
      <c r="H99" s="301">
        <f>VLOOKUP(B99,'26MY_ACCORD_DATA'!B:AS,11,FALSE)</f>
        <v>459.4</v>
      </c>
      <c r="I99" s="304">
        <f>VLOOKUP(B99,'26MY_ACCORD_DATA'!B:AS,12,FALSE)</f>
        <v>0</v>
      </c>
      <c r="J99" s="304">
        <f>VLOOKUP(B99,'26MY_ACCORD_DATA'!B:AS,13,FALSE)</f>
        <v>0</v>
      </c>
      <c r="K99" s="304" t="str">
        <f>VLOOKUP(B99,'26MY_ACCORD_DATA'!B:AS,14,FALSE)</f>
        <v>•</v>
      </c>
      <c r="L99" s="304">
        <f>VLOOKUP(B99,'26MY_ACCORD_DATA'!B:AS,15,FALSE)</f>
        <v>0</v>
      </c>
      <c r="M99" s="304" t="str">
        <f>VLOOKUP(B99,'26MY_ACCORD_DATA'!B:AS,16,FALSE)</f>
        <v>•</v>
      </c>
      <c r="N99" s="304" t="str">
        <f>VLOOKUP(B99,'26MY_ACCORD_DATA'!B:AS,17,FALSE)</f>
        <v>•</v>
      </c>
      <c r="O99" s="304">
        <f>VLOOKUP(B99,'26MY_ACCORD_DATA'!B:AS,18,FALSE)</f>
        <v>0</v>
      </c>
      <c r="P99" s="304">
        <f>VLOOKUP(B99,'26MY_ACCORD_DATA'!B:AS,19,FALSE)</f>
        <v>0</v>
      </c>
      <c r="Q99" s="369"/>
    </row>
    <row r="100" spans="2:17" s="136" customFormat="1" ht="15" customHeight="1">
      <c r="B100" s="281" t="s">
        <v>276</v>
      </c>
      <c r="C100" s="190" t="str">
        <f>VLOOKUP(B100,'26MY_ACCORD_DATA'!B:AS,4,FALSE)</f>
        <v>Radiant rouge métallisé (R-569M)</v>
      </c>
      <c r="D100" s="79" t="str">
        <f t="shared" si="23"/>
        <v>08P05-30A-1A0</v>
      </c>
      <c r="E100" s="302">
        <f>VLOOKUP(B100,'26MY_ACCORD_DATA'!B:AS,9,FALSE)</f>
        <v>232</v>
      </c>
      <c r="F100" s="302">
        <f>VLOOKUP(B100,'26MY_ACCORD_DATA'!B:AS,10,FALSE)</f>
        <v>387</v>
      </c>
      <c r="G100" s="306">
        <f>VLOOKUP(B100,'26MY_ACCORD_DATA'!B:AS,7,FALSE)</f>
        <v>0.4</v>
      </c>
      <c r="H100" s="301">
        <f>VLOOKUP(B100,'26MY_ACCORD_DATA'!B:AS,11,FALSE)</f>
        <v>459.4</v>
      </c>
      <c r="I100" s="304">
        <f>VLOOKUP(B100,'26MY_ACCORD_DATA'!B:AS,12,FALSE)</f>
        <v>0</v>
      </c>
      <c r="J100" s="304">
        <f>VLOOKUP(B100,'26MY_ACCORD_DATA'!B:AS,13,FALSE)</f>
        <v>0</v>
      </c>
      <c r="K100" s="304" t="str">
        <f>VLOOKUP(B100,'26MY_ACCORD_DATA'!B:AS,14,FALSE)</f>
        <v>N/A</v>
      </c>
      <c r="L100" s="304">
        <f>VLOOKUP(B100,'26MY_ACCORD_DATA'!B:AS,15,FALSE)</f>
        <v>0</v>
      </c>
      <c r="M100" s="304" t="str">
        <f>VLOOKUP(B100,'26MY_ACCORD_DATA'!B:AS,16,FALSE)</f>
        <v>•</v>
      </c>
      <c r="N100" s="304" t="str">
        <f>VLOOKUP(B100,'26MY_ACCORD_DATA'!B:AS,17,FALSE)</f>
        <v>•</v>
      </c>
      <c r="O100" s="304">
        <f>VLOOKUP(B100,'26MY_ACCORD_DATA'!B:AS,18,FALSE)</f>
        <v>0</v>
      </c>
      <c r="P100" s="304">
        <f>VLOOKUP(B100,'26MY_ACCORD_DATA'!B:AS,19,FALSE)</f>
        <v>0</v>
      </c>
      <c r="Q100" s="369"/>
    </row>
    <row r="101" spans="2:17" s="136" customFormat="1" ht="15" customHeight="1">
      <c r="B101" s="281" t="s">
        <v>277</v>
      </c>
      <c r="C101" s="190" t="str">
        <f>VLOOKUP(B101,'26MY_ACCORD_DATA'!B:AS,4,FALSE)</f>
        <v>Bleu rivière canyon métallisé (B-640M)</v>
      </c>
      <c r="D101" s="79" t="str">
        <f t="shared" si="23"/>
        <v>08P05-30A-1D0</v>
      </c>
      <c r="E101" s="302">
        <f>VLOOKUP(B101,'26MY_ACCORD_DATA'!B:AS,9,FALSE)</f>
        <v>232</v>
      </c>
      <c r="F101" s="302">
        <f>VLOOKUP(B101,'26MY_ACCORD_DATA'!B:AS,10,FALSE)</f>
        <v>387</v>
      </c>
      <c r="G101" s="306">
        <f>VLOOKUP(B101,'26MY_ACCORD_DATA'!B:AS,7,FALSE)</f>
        <v>0.4</v>
      </c>
      <c r="H101" s="301">
        <f>VLOOKUP(B101,'26MY_ACCORD_DATA'!B:AS,11,FALSE)</f>
        <v>459.4</v>
      </c>
      <c r="I101" s="304">
        <f>VLOOKUP(B101,'26MY_ACCORD_DATA'!B:AS,12,FALSE)</f>
        <v>0</v>
      </c>
      <c r="J101" s="304">
        <f>VLOOKUP(B101,'26MY_ACCORD_DATA'!B:AS,13,FALSE)</f>
        <v>0</v>
      </c>
      <c r="K101" s="304" t="str">
        <f>VLOOKUP(B101,'26MY_ACCORD_DATA'!B:AS,14,FALSE)</f>
        <v>N/A</v>
      </c>
      <c r="L101" s="304">
        <f>VLOOKUP(B101,'26MY_ACCORD_DATA'!B:AS,15,FALSE)</f>
        <v>0</v>
      </c>
      <c r="M101" s="304" t="str">
        <f>VLOOKUP(B101,'26MY_ACCORD_DATA'!B:AS,16,FALSE)</f>
        <v>N/A</v>
      </c>
      <c r="N101" s="304" t="str">
        <f>VLOOKUP(B101,'26MY_ACCORD_DATA'!B:AS,17,FALSE)</f>
        <v>•</v>
      </c>
      <c r="O101" s="304">
        <f>VLOOKUP(B101,'26MY_ACCORD_DATA'!B:AS,18,FALSE)</f>
        <v>0</v>
      </c>
      <c r="P101" s="304">
        <f>VLOOKUP(B101,'26MY_ACCORD_DATA'!B:AS,19,FALSE)</f>
        <v>0</v>
      </c>
      <c r="Q101" s="369"/>
    </row>
    <row r="102" spans="2:17" s="136" customFormat="1" ht="15" customHeight="1">
      <c r="B102" s="279" t="s">
        <v>278</v>
      </c>
      <c r="C102" s="190" t="str">
        <f>VLOOKUP(B102,'26MY_ACCORD_DATA'!B:AS,4,FALSE)</f>
        <v>Nuit paisible fini nacré (B-575P)</v>
      </c>
      <c r="D102" s="79" t="str">
        <f t="shared" si="22"/>
        <v>08P05-30A-1C0</v>
      </c>
      <c r="E102" s="302">
        <f>VLOOKUP(B102,'26MY_ACCORD_DATA'!B:AS,9,FALSE)</f>
        <v>232</v>
      </c>
      <c r="F102" s="302">
        <f>VLOOKUP(B102,'26MY_ACCORD_DATA'!B:AS,10,FALSE)</f>
        <v>387</v>
      </c>
      <c r="G102" s="306">
        <f>VLOOKUP(B102,'26MY_ACCORD_DATA'!B:AS,7,FALSE)</f>
        <v>0.4</v>
      </c>
      <c r="H102" s="301">
        <f>VLOOKUP(B102,'26MY_ACCORD_DATA'!B:AS,11,FALSE)</f>
        <v>459.4</v>
      </c>
      <c r="I102" s="304">
        <f>VLOOKUP(B102,'26MY_ACCORD_DATA'!B:AS,12,FALSE)</f>
        <v>0</v>
      </c>
      <c r="J102" s="304">
        <f>VLOOKUP(B102,'26MY_ACCORD_DATA'!B:AS,13,FALSE)</f>
        <v>0</v>
      </c>
      <c r="K102" s="304" t="str">
        <f>VLOOKUP(B102,'26MY_ACCORD_DATA'!B:AS,14,FALSE)</f>
        <v>N/A</v>
      </c>
      <c r="L102" s="304">
        <f>VLOOKUP(B102,'26MY_ACCORD_DATA'!B:AS,15,FALSE)</f>
        <v>0</v>
      </c>
      <c r="M102" s="304" t="str">
        <f>VLOOKUP(B102,'26MY_ACCORD_DATA'!B:AS,16,FALSE)</f>
        <v>•</v>
      </c>
      <c r="N102" s="304" t="str">
        <f>VLOOKUP(B102,'26MY_ACCORD_DATA'!B:AS,17,FALSE)</f>
        <v>N/A</v>
      </c>
      <c r="O102" s="304">
        <f>VLOOKUP(B102,'26MY_ACCORD_DATA'!B:AS,18,FALSE)</f>
        <v>0</v>
      </c>
      <c r="P102" s="304">
        <f>VLOOKUP(B102,'26MY_ACCORD_DATA'!B:AS,19,FALSE)</f>
        <v>0</v>
      </c>
      <c r="Q102" s="369"/>
    </row>
    <row r="103" spans="2:17" s="136" customFormat="1" ht="15" customHeight="1">
      <c r="B103" s="279" t="s">
        <v>285</v>
      </c>
      <c r="C103" s="190" t="str">
        <f>VLOOKUP(B103,'26MY_ACCORD_DATA'!B:AS,4,FALSE)</f>
        <v>Refl et solaire argent métallisé (NH-932M)</v>
      </c>
      <c r="D103" s="79" t="str">
        <f t="shared" si="22"/>
        <v>08P05-30A-1H0</v>
      </c>
      <c r="E103" s="302">
        <f>VLOOKUP(B103,'26MY_ACCORD_DATA'!B:AS,9,FALSE)</f>
        <v>232</v>
      </c>
      <c r="F103" s="302">
        <f>VLOOKUP(B103,'26MY_ACCORD_DATA'!B:AS,10,FALSE)</f>
        <v>387</v>
      </c>
      <c r="G103" s="306">
        <f>VLOOKUP(B103,'26MY_ACCORD_DATA'!B:AS,7,FALSE)</f>
        <v>0.4</v>
      </c>
      <c r="H103" s="301">
        <f>VLOOKUP(B103,'26MY_ACCORD_DATA'!B:AS,11,FALSE)</f>
        <v>459.4</v>
      </c>
      <c r="I103" s="304">
        <f>VLOOKUP(B103,'26MY_ACCORD_DATA'!B:AS,12,FALSE)</f>
        <v>0</v>
      </c>
      <c r="J103" s="304">
        <f>VLOOKUP(B103,'26MY_ACCORD_DATA'!B:AS,13,FALSE)</f>
        <v>0</v>
      </c>
      <c r="K103" s="304" t="str">
        <f>VLOOKUP(B103,'26MY_ACCORD_DATA'!B:AS,14,FALSE)</f>
        <v>•</v>
      </c>
      <c r="L103" s="304">
        <f>VLOOKUP(B103,'26MY_ACCORD_DATA'!B:AS,15,FALSE)</f>
        <v>0</v>
      </c>
      <c r="M103" s="304" t="str">
        <f>VLOOKUP(B103,'26MY_ACCORD_DATA'!B:AS,16,FALSE)</f>
        <v>•</v>
      </c>
      <c r="N103" s="304" t="str">
        <f>VLOOKUP(B103,'26MY_ACCORD_DATA'!B:AS,17,FALSE)</f>
        <v>•</v>
      </c>
      <c r="O103" s="304">
        <f>VLOOKUP(B103,'26MY_ACCORD_DATA'!B:AS,18,FALSE)</f>
        <v>0</v>
      </c>
      <c r="P103" s="304">
        <f>VLOOKUP(B103,'26MY_ACCORD_DATA'!B:AS,19,FALSE)</f>
        <v>0</v>
      </c>
      <c r="Q103" s="370"/>
    </row>
    <row r="104" spans="2:17" s="136" customFormat="1" ht="15" customHeight="1">
      <c r="B104" s="279" t="s">
        <v>455</v>
      </c>
      <c r="C104" s="197" t="str">
        <f>VLOOKUP(B104,'26MY_ACCORD_DATA'!B:AS,4,FALSE)</f>
        <v>Déflecteur de bas de caisse avant</v>
      </c>
      <c r="D104" s="187"/>
      <c r="E104" s="187"/>
      <c r="F104" s="187"/>
      <c r="G104" s="187"/>
      <c r="H104" s="187"/>
      <c r="I104" s="187"/>
      <c r="J104" s="187"/>
      <c r="K104" s="187"/>
      <c r="L104" s="187"/>
      <c r="M104" s="187"/>
      <c r="N104" s="187"/>
      <c r="O104" s="187"/>
      <c r="P104" s="187"/>
      <c r="Q104" s="178"/>
    </row>
    <row r="105" spans="2:17" s="136" customFormat="1" ht="15" customHeight="1">
      <c r="B105" s="279" t="s">
        <v>294</v>
      </c>
      <c r="C105" s="190" t="str">
        <f>VLOOKUP(B105,'26MY_ACCORD_DATA'!B:AS,4,FALSE)</f>
        <v>Blanc platine nacré (NH-883P)</v>
      </c>
      <c r="D105" s="79" t="str">
        <f t="shared" ref="D105:D112" si="24">B105</f>
        <v>08P20-30A-110</v>
      </c>
      <c r="E105" s="302">
        <f>VLOOKUP(B105,'26MY_ACCORD_DATA'!B:AS,9,FALSE)</f>
        <v>176</v>
      </c>
      <c r="F105" s="302">
        <f>VLOOKUP(B105,'26MY_ACCORD_DATA'!B:AS,10,FALSE)</f>
        <v>293</v>
      </c>
      <c r="G105" s="306">
        <f>VLOOKUP(B105,'26MY_ACCORD_DATA'!B:AS,7,FALSE)</f>
        <v>0.4</v>
      </c>
      <c r="H105" s="301">
        <f>VLOOKUP(B105,'26MY_ACCORD_DATA'!B:AS,11,FALSE)</f>
        <v>365.4</v>
      </c>
      <c r="I105" s="304">
        <f>VLOOKUP(B105,'26MY_ACCORD_DATA'!B:AS,12,FALSE)</f>
        <v>0</v>
      </c>
      <c r="J105" s="304">
        <f>VLOOKUP(B105,'26MY_ACCORD_DATA'!B:AS,13,FALSE)</f>
        <v>0</v>
      </c>
      <c r="K105" s="304" t="str">
        <f>VLOOKUP(B105,'26MY_ACCORD_DATA'!B:AS,14,FALSE)</f>
        <v>•</v>
      </c>
      <c r="L105" s="304">
        <f>VLOOKUP(B105,'26MY_ACCORD_DATA'!B:AS,15,FALSE)</f>
        <v>0</v>
      </c>
      <c r="M105" s="304" t="str">
        <f>VLOOKUP(B105,'26MY_ACCORD_DATA'!B:AS,16,FALSE)</f>
        <v>•</v>
      </c>
      <c r="N105" s="304" t="str">
        <f>VLOOKUP(B105,'26MY_ACCORD_DATA'!B:AS,17,FALSE)</f>
        <v>•</v>
      </c>
      <c r="O105" s="304">
        <f>VLOOKUP(B105,'26MY_ACCORD_DATA'!B:AS,18,FALSE)</f>
        <v>0</v>
      </c>
      <c r="P105" s="304">
        <f>VLOOKUP(B105,'26MY_ACCORD_DATA'!B:AS,19,FALSE)</f>
        <v>0</v>
      </c>
      <c r="Q105" s="368" t="str">
        <f>IF(VLOOKUP(B105,'26MY_ACCORD_DATA'!B:AS,21,FALSE)="","",VLOOKUP(B105,'26MY_ACCORD_DATA'!B:AS,21,FALSE))</f>
        <v/>
      </c>
    </row>
    <row r="106" spans="2:17" s="136" customFormat="1" ht="15" customHeight="1">
      <c r="B106" s="279" t="s">
        <v>293</v>
      </c>
      <c r="C106" s="190" t="str">
        <f>VLOOKUP(B106,'26MY_ACCORD_DATA'!B:AS,4,FALSE)</f>
        <v>Gris météore nacré (NH-904M)</v>
      </c>
      <c r="D106" s="79" t="str">
        <f t="shared" si="24"/>
        <v>08P20-30A-140</v>
      </c>
      <c r="E106" s="302">
        <f>VLOOKUP(B106,'26MY_ACCORD_DATA'!B:AS,9,FALSE)</f>
        <v>176</v>
      </c>
      <c r="F106" s="302">
        <f>VLOOKUP(B106,'26MY_ACCORD_DATA'!B:AS,10,FALSE)</f>
        <v>293</v>
      </c>
      <c r="G106" s="306">
        <f>VLOOKUP(B106,'26MY_ACCORD_DATA'!B:AS,7,FALSE)</f>
        <v>0.4</v>
      </c>
      <c r="H106" s="301">
        <f>VLOOKUP(B106,'26MY_ACCORD_DATA'!B:AS,11,FALSE)</f>
        <v>365.4</v>
      </c>
      <c r="I106" s="304">
        <f>VLOOKUP(B106,'26MY_ACCORD_DATA'!B:AS,12,FALSE)</f>
        <v>0</v>
      </c>
      <c r="J106" s="304">
        <f>VLOOKUP(B106,'26MY_ACCORD_DATA'!B:AS,13,FALSE)</f>
        <v>0</v>
      </c>
      <c r="K106" s="304" t="str">
        <f>VLOOKUP(B106,'26MY_ACCORD_DATA'!B:AS,14,FALSE)</f>
        <v>N/A</v>
      </c>
      <c r="L106" s="304">
        <f>VLOOKUP(B106,'26MY_ACCORD_DATA'!B:AS,15,FALSE)</f>
        <v>0</v>
      </c>
      <c r="M106" s="304" t="str">
        <f>VLOOKUP(B106,'26MY_ACCORD_DATA'!B:AS,16,FALSE)</f>
        <v>•</v>
      </c>
      <c r="N106" s="304" t="str">
        <f>VLOOKUP(B106,'26MY_ACCORD_DATA'!B:AS,17,FALSE)</f>
        <v>N/A</v>
      </c>
      <c r="O106" s="304">
        <f>VLOOKUP(B106,'26MY_ACCORD_DATA'!B:AS,18,FALSE)</f>
        <v>0</v>
      </c>
      <c r="P106" s="304">
        <f>VLOOKUP(B106,'26MY_ACCORD_DATA'!B:AS,19,FALSE)</f>
        <v>0</v>
      </c>
      <c r="Q106" s="369"/>
    </row>
    <row r="107" spans="2:17" s="136" customFormat="1" ht="15" customHeight="1">
      <c r="B107" s="279" t="s">
        <v>292</v>
      </c>
      <c r="C107" s="190" t="str">
        <f>VLOOKUP(B107,'26MY_ACCORD_DATA'!B:AS,4,FALSE)</f>
        <v>Gris urbain nacré  (NH-912P)</v>
      </c>
      <c r="D107" s="79" t="str">
        <f t="shared" ref="D107:D110" si="25">B107</f>
        <v>08P20-30A-150</v>
      </c>
      <c r="E107" s="302">
        <f>VLOOKUP(B107,'26MY_ACCORD_DATA'!B:AS,9,FALSE)</f>
        <v>176</v>
      </c>
      <c r="F107" s="302">
        <f>VLOOKUP(B107,'26MY_ACCORD_DATA'!B:AS,10,FALSE)</f>
        <v>293</v>
      </c>
      <c r="G107" s="306">
        <f>VLOOKUP(B107,'26MY_ACCORD_DATA'!B:AS,7,FALSE)</f>
        <v>0.4</v>
      </c>
      <c r="H107" s="301">
        <f>VLOOKUP(B107,'26MY_ACCORD_DATA'!B:AS,11,FALSE)</f>
        <v>365.4</v>
      </c>
      <c r="I107" s="304">
        <f>VLOOKUP(B107,'26MY_ACCORD_DATA'!B:AS,12,FALSE)</f>
        <v>0</v>
      </c>
      <c r="J107" s="304">
        <f>VLOOKUP(B107,'26MY_ACCORD_DATA'!B:AS,13,FALSE)</f>
        <v>0</v>
      </c>
      <c r="K107" s="304" t="str">
        <f>VLOOKUP(B107,'26MY_ACCORD_DATA'!B:AS,14,FALSE)</f>
        <v>N/A</v>
      </c>
      <c r="L107" s="304">
        <f>VLOOKUP(B107,'26MY_ACCORD_DATA'!B:AS,15,FALSE)</f>
        <v>0</v>
      </c>
      <c r="M107" s="304" t="str">
        <f>VLOOKUP(B107,'26MY_ACCORD_DATA'!B:AS,16,FALSE)</f>
        <v>N/A</v>
      </c>
      <c r="N107" s="304" t="str">
        <f>VLOOKUP(B107,'26MY_ACCORD_DATA'!B:AS,17,FALSE)</f>
        <v>•</v>
      </c>
      <c r="O107" s="304">
        <f>VLOOKUP(B107,'26MY_ACCORD_DATA'!B:AS,18,FALSE)</f>
        <v>0</v>
      </c>
      <c r="P107" s="304">
        <f>VLOOKUP(B107,'26MY_ACCORD_DATA'!B:AS,19,FALSE)</f>
        <v>0</v>
      </c>
      <c r="Q107" s="369"/>
    </row>
    <row r="108" spans="2:17" s="136" customFormat="1" ht="15" customHeight="1">
      <c r="B108" s="279" t="s">
        <v>291</v>
      </c>
      <c r="C108" s="190" t="str">
        <f>VLOOKUP(B108,'26MY_ACCORD_DATA'!B:AS,4,FALSE)</f>
        <v>Noir cristal nacré (NH-731P)</v>
      </c>
      <c r="D108" s="79" t="str">
        <f t="shared" si="25"/>
        <v>08P20-30A-170</v>
      </c>
      <c r="E108" s="302">
        <f>VLOOKUP(B108,'26MY_ACCORD_DATA'!B:AS,9,FALSE)</f>
        <v>176</v>
      </c>
      <c r="F108" s="302">
        <f>VLOOKUP(B108,'26MY_ACCORD_DATA'!B:AS,10,FALSE)</f>
        <v>293</v>
      </c>
      <c r="G108" s="306">
        <f>VLOOKUP(B108,'26MY_ACCORD_DATA'!B:AS,7,FALSE)</f>
        <v>0.4</v>
      </c>
      <c r="H108" s="301">
        <f>VLOOKUP(B108,'26MY_ACCORD_DATA'!B:AS,11,FALSE)</f>
        <v>365.4</v>
      </c>
      <c r="I108" s="304">
        <f>VLOOKUP(B108,'26MY_ACCORD_DATA'!B:AS,12,FALSE)</f>
        <v>0</v>
      </c>
      <c r="J108" s="304">
        <f>VLOOKUP(B108,'26MY_ACCORD_DATA'!B:AS,13,FALSE)</f>
        <v>0</v>
      </c>
      <c r="K108" s="304" t="str">
        <f>VLOOKUP(B108,'26MY_ACCORD_DATA'!B:AS,14,FALSE)</f>
        <v>•</v>
      </c>
      <c r="L108" s="304">
        <f>VLOOKUP(B108,'26MY_ACCORD_DATA'!B:AS,15,FALSE)</f>
        <v>0</v>
      </c>
      <c r="M108" s="304" t="str">
        <f>VLOOKUP(B108,'26MY_ACCORD_DATA'!B:AS,16,FALSE)</f>
        <v>•</v>
      </c>
      <c r="N108" s="304" t="str">
        <f>VLOOKUP(B108,'26MY_ACCORD_DATA'!B:AS,17,FALSE)</f>
        <v>•</v>
      </c>
      <c r="O108" s="304">
        <f>VLOOKUP(B108,'26MY_ACCORD_DATA'!B:AS,18,FALSE)</f>
        <v>0</v>
      </c>
      <c r="P108" s="304">
        <f>VLOOKUP(B108,'26MY_ACCORD_DATA'!B:AS,19,FALSE)</f>
        <v>0</v>
      </c>
      <c r="Q108" s="369"/>
    </row>
    <row r="109" spans="2:17" s="136" customFormat="1" ht="15" customHeight="1">
      <c r="B109" s="279" t="s">
        <v>290</v>
      </c>
      <c r="C109" s="190" t="str">
        <f>VLOOKUP(B109,'26MY_ACCORD_DATA'!B:AS,4,FALSE)</f>
        <v>Radiant rouge métallisé (R-569M)</v>
      </c>
      <c r="D109" s="79" t="str">
        <f t="shared" si="25"/>
        <v>08P20-30A-1A0</v>
      </c>
      <c r="E109" s="302">
        <f>VLOOKUP(B109,'26MY_ACCORD_DATA'!B:AS,9,FALSE)</f>
        <v>176</v>
      </c>
      <c r="F109" s="302">
        <f>VLOOKUP(B109,'26MY_ACCORD_DATA'!B:AS,10,FALSE)</f>
        <v>293</v>
      </c>
      <c r="G109" s="306">
        <f>VLOOKUP(B109,'26MY_ACCORD_DATA'!B:AS,7,FALSE)</f>
        <v>0.4</v>
      </c>
      <c r="H109" s="301">
        <f>VLOOKUP(B109,'26MY_ACCORD_DATA'!B:AS,11,FALSE)</f>
        <v>365.4</v>
      </c>
      <c r="I109" s="304">
        <f>VLOOKUP(B109,'26MY_ACCORD_DATA'!B:AS,12,FALSE)</f>
        <v>0</v>
      </c>
      <c r="J109" s="304">
        <f>VLOOKUP(B109,'26MY_ACCORD_DATA'!B:AS,13,FALSE)</f>
        <v>0</v>
      </c>
      <c r="K109" s="304" t="str">
        <f>VLOOKUP(B109,'26MY_ACCORD_DATA'!B:AS,14,FALSE)</f>
        <v>N/A</v>
      </c>
      <c r="L109" s="304">
        <f>VLOOKUP(B109,'26MY_ACCORD_DATA'!B:AS,15,FALSE)</f>
        <v>0</v>
      </c>
      <c r="M109" s="304" t="str">
        <f>VLOOKUP(B109,'26MY_ACCORD_DATA'!B:AS,16,FALSE)</f>
        <v>•</v>
      </c>
      <c r="N109" s="304" t="str">
        <f>VLOOKUP(B109,'26MY_ACCORD_DATA'!B:AS,17,FALSE)</f>
        <v>•</v>
      </c>
      <c r="O109" s="304">
        <f>VLOOKUP(B109,'26MY_ACCORD_DATA'!B:AS,18,FALSE)</f>
        <v>0</v>
      </c>
      <c r="P109" s="304">
        <f>VLOOKUP(B109,'26MY_ACCORD_DATA'!B:AS,19,FALSE)</f>
        <v>0</v>
      </c>
      <c r="Q109" s="369"/>
    </row>
    <row r="110" spans="2:17" s="136" customFormat="1" ht="15" customHeight="1">
      <c r="B110" s="279" t="s">
        <v>287</v>
      </c>
      <c r="C110" s="190" t="str">
        <f>VLOOKUP(B110,'26MY_ACCORD_DATA'!B:AS,4,FALSE)</f>
        <v>Bleu rivière canyon métallisé (B-640M)</v>
      </c>
      <c r="D110" s="79" t="str">
        <f t="shared" si="25"/>
        <v>08P20-30A-1D0</v>
      </c>
      <c r="E110" s="302">
        <f>VLOOKUP(B110,'26MY_ACCORD_DATA'!B:AS,9,FALSE)</f>
        <v>176</v>
      </c>
      <c r="F110" s="302">
        <f>VLOOKUP(B110,'26MY_ACCORD_DATA'!B:AS,10,FALSE)</f>
        <v>293</v>
      </c>
      <c r="G110" s="306">
        <f>VLOOKUP(B110,'26MY_ACCORD_DATA'!B:AS,7,FALSE)</f>
        <v>0.4</v>
      </c>
      <c r="H110" s="301">
        <f>VLOOKUP(B110,'26MY_ACCORD_DATA'!B:AS,11,FALSE)</f>
        <v>365.4</v>
      </c>
      <c r="I110" s="304">
        <f>VLOOKUP(B110,'26MY_ACCORD_DATA'!B:AS,12,FALSE)</f>
        <v>0</v>
      </c>
      <c r="J110" s="304">
        <f>VLOOKUP(B110,'26MY_ACCORD_DATA'!B:AS,13,FALSE)</f>
        <v>0</v>
      </c>
      <c r="K110" s="304" t="str">
        <f>VLOOKUP(B110,'26MY_ACCORD_DATA'!B:AS,14,FALSE)</f>
        <v>N/A</v>
      </c>
      <c r="L110" s="304">
        <f>VLOOKUP(B110,'26MY_ACCORD_DATA'!B:AS,15,FALSE)</f>
        <v>0</v>
      </c>
      <c r="M110" s="304" t="str">
        <f>VLOOKUP(B110,'26MY_ACCORD_DATA'!B:AS,16,FALSE)</f>
        <v>N/A</v>
      </c>
      <c r="N110" s="304" t="str">
        <f>VLOOKUP(B110,'26MY_ACCORD_DATA'!B:AS,17,FALSE)</f>
        <v>•</v>
      </c>
      <c r="O110" s="304">
        <f>VLOOKUP(B110,'26MY_ACCORD_DATA'!B:AS,18,FALSE)</f>
        <v>0</v>
      </c>
      <c r="P110" s="304">
        <f>VLOOKUP(B110,'26MY_ACCORD_DATA'!B:AS,19,FALSE)</f>
        <v>0</v>
      </c>
      <c r="Q110" s="369"/>
    </row>
    <row r="111" spans="2:17" s="136" customFormat="1" ht="15" customHeight="1">
      <c r="B111" s="279" t="s">
        <v>288</v>
      </c>
      <c r="C111" s="190" t="str">
        <f>VLOOKUP(B111,'26MY_ACCORD_DATA'!B:AS,4,FALSE)</f>
        <v>Nuit paisible fini nacré (B-575P)</v>
      </c>
      <c r="D111" s="79" t="str">
        <f t="shared" si="24"/>
        <v>08P20-30A-1C0</v>
      </c>
      <c r="E111" s="302">
        <f>VLOOKUP(B111,'26MY_ACCORD_DATA'!B:AS,9,FALSE)</f>
        <v>176</v>
      </c>
      <c r="F111" s="302">
        <f>VLOOKUP(B111,'26MY_ACCORD_DATA'!B:AS,10,FALSE)</f>
        <v>293</v>
      </c>
      <c r="G111" s="306">
        <f>VLOOKUP(B111,'26MY_ACCORD_DATA'!B:AS,7,FALSE)</f>
        <v>0.4</v>
      </c>
      <c r="H111" s="301">
        <f>VLOOKUP(B111,'26MY_ACCORD_DATA'!B:AS,11,FALSE)</f>
        <v>365.4</v>
      </c>
      <c r="I111" s="304">
        <f>VLOOKUP(B111,'26MY_ACCORD_DATA'!B:AS,12,FALSE)</f>
        <v>0</v>
      </c>
      <c r="J111" s="304">
        <f>VLOOKUP(B111,'26MY_ACCORD_DATA'!B:AS,13,FALSE)</f>
        <v>0</v>
      </c>
      <c r="K111" s="304" t="str">
        <f>VLOOKUP(B111,'26MY_ACCORD_DATA'!B:AS,14,FALSE)</f>
        <v>N/A</v>
      </c>
      <c r="L111" s="304">
        <f>VLOOKUP(B111,'26MY_ACCORD_DATA'!B:AS,15,FALSE)</f>
        <v>0</v>
      </c>
      <c r="M111" s="304" t="str">
        <f>VLOOKUP(B111,'26MY_ACCORD_DATA'!B:AS,16,FALSE)</f>
        <v>•</v>
      </c>
      <c r="N111" s="304" t="str">
        <f>VLOOKUP(B111,'26MY_ACCORD_DATA'!B:AS,17,FALSE)</f>
        <v>N/A</v>
      </c>
      <c r="O111" s="304">
        <f>VLOOKUP(B111,'26MY_ACCORD_DATA'!B:AS,18,FALSE)</f>
        <v>0</v>
      </c>
      <c r="P111" s="304">
        <f>VLOOKUP(B111,'26MY_ACCORD_DATA'!B:AS,19,FALSE)</f>
        <v>0</v>
      </c>
      <c r="Q111" s="369"/>
    </row>
    <row r="112" spans="2:17" ht="14.4">
      <c r="B112" s="279" t="s">
        <v>289</v>
      </c>
      <c r="C112" s="190" t="str">
        <f>VLOOKUP(B112,'26MY_ACCORD_DATA'!B:AS,4,FALSE)</f>
        <v>Refl et solaire argent métallisé (NH-932M)</v>
      </c>
      <c r="D112" s="79" t="str">
        <f t="shared" si="24"/>
        <v>08P20-30A-1H0</v>
      </c>
      <c r="E112" s="302">
        <f>VLOOKUP(B112,'26MY_ACCORD_DATA'!B:AS,9,FALSE)</f>
        <v>176</v>
      </c>
      <c r="F112" s="302">
        <f>VLOOKUP(B112,'26MY_ACCORD_DATA'!B:AS,10,FALSE)</f>
        <v>293</v>
      </c>
      <c r="G112" s="306">
        <f>VLOOKUP(B112,'26MY_ACCORD_DATA'!B:AS,7,FALSE)</f>
        <v>0.4</v>
      </c>
      <c r="H112" s="301">
        <f>VLOOKUP(B112,'26MY_ACCORD_DATA'!B:AS,11,FALSE)</f>
        <v>365.4</v>
      </c>
      <c r="I112" s="304">
        <f>VLOOKUP(B112,'26MY_ACCORD_DATA'!B:AS,12,FALSE)</f>
        <v>0</v>
      </c>
      <c r="J112" s="304">
        <f>VLOOKUP(B112,'26MY_ACCORD_DATA'!B:AS,13,FALSE)</f>
        <v>0</v>
      </c>
      <c r="K112" s="304" t="str">
        <f>VLOOKUP(B112,'26MY_ACCORD_DATA'!B:AS,14,FALSE)</f>
        <v>•</v>
      </c>
      <c r="L112" s="304">
        <f>VLOOKUP(B112,'26MY_ACCORD_DATA'!B:AS,15,FALSE)</f>
        <v>0</v>
      </c>
      <c r="M112" s="304" t="str">
        <f>VLOOKUP(B112,'26MY_ACCORD_DATA'!B:AS,16,FALSE)</f>
        <v>•</v>
      </c>
      <c r="N112" s="304" t="str">
        <f>VLOOKUP(B112,'26MY_ACCORD_DATA'!B:AS,17,FALSE)</f>
        <v>•</v>
      </c>
      <c r="O112" s="304">
        <f>VLOOKUP(B112,'26MY_ACCORD_DATA'!B:AS,18,FALSE)</f>
        <v>0</v>
      </c>
      <c r="P112" s="304">
        <f>VLOOKUP(B112,'26MY_ACCORD_DATA'!B:AS,19,FALSE)</f>
        <v>0</v>
      </c>
      <c r="Q112" s="370"/>
    </row>
    <row r="113" spans="2:17" s="136" customFormat="1" ht="15" customHeight="1">
      <c r="B113" s="281"/>
      <c r="C113" s="131"/>
      <c r="D113" s="131"/>
      <c r="E113" s="141"/>
      <c r="F113" s="141"/>
      <c r="G113" s="191"/>
      <c r="H113" s="141"/>
      <c r="I113" s="141"/>
      <c r="J113" s="141"/>
      <c r="K113" s="141"/>
      <c r="L113" s="141"/>
      <c r="M113" s="141"/>
      <c r="N113" s="141"/>
      <c r="O113" s="141"/>
      <c r="P113" s="141"/>
      <c r="Q113" s="141"/>
    </row>
    <row r="114" spans="2:17" s="134" customFormat="1" ht="18">
      <c r="B114" s="283"/>
      <c r="C114" s="153" t="s">
        <v>94</v>
      </c>
      <c r="D114" s="153"/>
      <c r="E114" s="192"/>
      <c r="F114" s="192"/>
      <c r="G114" s="192"/>
      <c r="H114" s="192"/>
      <c r="I114" s="192"/>
      <c r="J114" s="192"/>
      <c r="K114" s="192"/>
      <c r="L114" s="192"/>
      <c r="M114" s="192"/>
      <c r="N114" s="192"/>
      <c r="O114" s="192"/>
      <c r="P114" s="192"/>
      <c r="Q114" s="192"/>
    </row>
    <row r="115" spans="2:17" s="135" customFormat="1" ht="15" customHeight="1">
      <c r="B115" s="282"/>
      <c r="C115" s="377" t="s">
        <v>80</v>
      </c>
      <c r="D115" s="377" t="s">
        <v>81</v>
      </c>
      <c r="E115" s="377" t="s">
        <v>82</v>
      </c>
      <c r="F115" s="377" t="s">
        <v>83</v>
      </c>
      <c r="G115" s="377" t="s">
        <v>84</v>
      </c>
      <c r="H115" s="378" t="s">
        <v>85</v>
      </c>
      <c r="I115" s="377" t="s">
        <v>25</v>
      </c>
      <c r="J115" s="377"/>
      <c r="K115" s="377"/>
      <c r="L115" s="377"/>
      <c r="M115" s="377"/>
      <c r="N115" s="377"/>
      <c r="O115" s="377"/>
      <c r="P115" s="377"/>
      <c r="Q115" s="377" t="s">
        <v>86</v>
      </c>
    </row>
    <row r="116" spans="2:17" s="135" customFormat="1" ht="28.8">
      <c r="B116" s="282"/>
      <c r="C116" s="377"/>
      <c r="D116" s="377"/>
      <c r="E116" s="377"/>
      <c r="F116" s="377"/>
      <c r="G116" s="377"/>
      <c r="H116" s="378"/>
      <c r="I116" s="176">
        <f>'26MY_ACCORD_DATA'!$M$6</f>
        <v>0</v>
      </c>
      <c r="J116" s="176">
        <f>'26MY_ACCORD_DATA'!$M$6</f>
        <v>0</v>
      </c>
      <c r="K116" s="176" t="str">
        <f>'26MY_ACCORD_DATA'!$O$6</f>
        <v>SE</v>
      </c>
      <c r="L116" s="176">
        <f>'26MY_ACCORD_DATA'!$P$6</f>
        <v>0</v>
      </c>
      <c r="M116" s="176" t="str">
        <f>'26MY_ACCORD_DATA'!$Q$6</f>
        <v>Sport -L Hybride</v>
      </c>
      <c r="N116" s="221" t="str">
        <f>'26MY_ACCORD_DATA'!$R$6</f>
        <v>Touring Hybride</v>
      </c>
      <c r="O116" s="176">
        <f>'26MY_ACCORD_DATA'!$T$6</f>
        <v>0</v>
      </c>
      <c r="P116" s="176">
        <f>'26MY_ACCORD_DATA'!$T$6</f>
        <v>0</v>
      </c>
      <c r="Q116" s="377"/>
    </row>
    <row r="117" spans="2:17" s="136" customFormat="1" ht="15" customHeight="1">
      <c r="B117" s="281" t="s">
        <v>302</v>
      </c>
      <c r="C117" s="224" t="str">
        <f>VLOOKUP(B117,'26MY_ACCORD_DATA'!B:AS,4,FALSE)</f>
        <v xml:space="preserve">Protège-tapis toutes saisons </v>
      </c>
      <c r="D117" s="79" t="str">
        <f t="shared" ref="D117:D123" si="26">B117</f>
        <v>08P17-30A-110</v>
      </c>
      <c r="E117" s="302">
        <f>VLOOKUP(B117,'26MY_ACCORD_DATA'!B:AS,9,FALSE)</f>
        <v>175</v>
      </c>
      <c r="F117" s="302">
        <f>VLOOKUP(B117,'26MY_ACCORD_DATA'!B:AS,10,FALSE)</f>
        <v>292</v>
      </c>
      <c r="G117" s="306">
        <f>VLOOKUP(B117,'26MY_ACCORD_DATA'!B:AS,7,FALSE)</f>
        <v>0.1</v>
      </c>
      <c r="H117" s="301">
        <f>VLOOKUP(B117,'26MY_ACCORD_DATA'!B:AS,11,FALSE)</f>
        <v>310.10000000000002</v>
      </c>
      <c r="I117" s="304">
        <f>VLOOKUP(B117,'26MY_ACCORD_DATA'!B:AS,12,FALSE)</f>
        <v>0</v>
      </c>
      <c r="J117" s="304">
        <f>VLOOKUP(B117,'26MY_ACCORD_DATA'!B:AS,13,FALSE)</f>
        <v>0</v>
      </c>
      <c r="K117" s="304" t="str">
        <f>VLOOKUP(B117,'26MY_ACCORD_DATA'!B:AS,14,FALSE)</f>
        <v>•</v>
      </c>
      <c r="L117" s="304">
        <f>VLOOKUP(B117,'26MY_ACCORD_DATA'!B:AS,15,FALSE)</f>
        <v>0</v>
      </c>
      <c r="M117" s="304" t="str">
        <f>VLOOKUP(B117,'26MY_ACCORD_DATA'!B:AS,16,FALSE)</f>
        <v>•</v>
      </c>
      <c r="N117" s="304" t="str">
        <f>VLOOKUP(B117,'26MY_ACCORD_DATA'!B:AS,17,FALSE)</f>
        <v>•</v>
      </c>
      <c r="O117" s="304">
        <f>VLOOKUP(B117,'26MY_ACCORD_DATA'!B:AS,18,FALSE)</f>
        <v>0</v>
      </c>
      <c r="P117" s="304">
        <f>VLOOKUP(B117,'26MY_ACCORD_DATA'!B:AS,19,FALSE)</f>
        <v>0</v>
      </c>
      <c r="Q117" s="332" t="str">
        <f>IF(VLOOKUP(B117,'26MY_ACCORD_DATA'!B:AS,21,FALSE)="","",VLOOKUP(B117,'26MY_ACCORD_DATA'!B:AS,21,FALSE))</f>
        <v/>
      </c>
    </row>
    <row r="118" spans="2:17" s="136" customFormat="1" ht="15" customHeight="1">
      <c r="B118" s="281" t="s">
        <v>303</v>
      </c>
      <c r="C118" s="224" t="str">
        <f>VLOOKUP(B118,'26MY_ACCORD_DATA'!B:AS,4,FALSE)</f>
        <v>Plateau de coffre</v>
      </c>
      <c r="D118" s="79" t="str">
        <f t="shared" si="26"/>
        <v>08U45-30A-100</v>
      </c>
      <c r="E118" s="302">
        <f>VLOOKUP(B118,'26MY_ACCORD_DATA'!B:AS,9,FALSE)</f>
        <v>129</v>
      </c>
      <c r="F118" s="302">
        <f>VLOOKUP(B118,'26MY_ACCORD_DATA'!B:AS,10,FALSE)</f>
        <v>215</v>
      </c>
      <c r="G118" s="306">
        <f>VLOOKUP(B118,'26MY_ACCORD_DATA'!B:AS,7,FALSE)</f>
        <v>0.1</v>
      </c>
      <c r="H118" s="301">
        <f>VLOOKUP(B118,'26MY_ACCORD_DATA'!B:AS,11,FALSE)</f>
        <v>233.1</v>
      </c>
      <c r="I118" s="304">
        <f>VLOOKUP(B118,'26MY_ACCORD_DATA'!B:AS,12,FALSE)</f>
        <v>0</v>
      </c>
      <c r="J118" s="304">
        <f>VLOOKUP(B118,'26MY_ACCORD_DATA'!B:AS,13,FALSE)</f>
        <v>0</v>
      </c>
      <c r="K118" s="304" t="str">
        <f>VLOOKUP(B118,'26MY_ACCORD_DATA'!B:AS,14,FALSE)</f>
        <v>•</v>
      </c>
      <c r="L118" s="304">
        <f>VLOOKUP(B118,'26MY_ACCORD_DATA'!B:AS,15,FALSE)</f>
        <v>0</v>
      </c>
      <c r="M118" s="304" t="str">
        <f>VLOOKUP(B118,'26MY_ACCORD_DATA'!B:AS,16,FALSE)</f>
        <v>•</v>
      </c>
      <c r="N118" s="304" t="str">
        <f>VLOOKUP(B118,'26MY_ACCORD_DATA'!B:AS,17,FALSE)</f>
        <v>•</v>
      </c>
      <c r="O118" s="304">
        <f>VLOOKUP(B118,'26MY_ACCORD_DATA'!B:AS,18,FALSE)</f>
        <v>0</v>
      </c>
      <c r="P118" s="304">
        <f>VLOOKUP(B118,'26MY_ACCORD_DATA'!B:AS,19,FALSE)</f>
        <v>0</v>
      </c>
      <c r="Q118" s="332" t="str">
        <f>IF(VLOOKUP(B118,'26MY_ACCORD_DATA'!B:AS,21,FALSE)="","",VLOOKUP(B118,'26MY_ACCORD_DATA'!B:AS,21,FALSE))</f>
        <v/>
      </c>
    </row>
    <row r="119" spans="2:17" s="136" customFormat="1" ht="15" customHeight="1">
      <c r="B119" s="281" t="s">
        <v>307</v>
      </c>
      <c r="C119" s="224" t="str">
        <f>VLOOKUP(B119,'26MY_ACCORD_DATA'!B:AS,4,FALSE)</f>
        <v>Crochets de cargaison</v>
      </c>
      <c r="D119" s="79" t="str">
        <f t="shared" si="26"/>
        <v>08L96-TA0-301A</v>
      </c>
      <c r="E119" s="302">
        <f>VLOOKUP(B119,'26MY_ACCORD_DATA'!B:AS,9,FALSE)</f>
        <v>17</v>
      </c>
      <c r="F119" s="302">
        <f>VLOOKUP(B119,'26MY_ACCORD_DATA'!B:AS,10,FALSE)</f>
        <v>28</v>
      </c>
      <c r="G119" s="306">
        <f>VLOOKUP(B119,'26MY_ACCORD_DATA'!B:AS,7,FALSE)</f>
        <v>0.2</v>
      </c>
      <c r="H119" s="301">
        <f>VLOOKUP(B119,'26MY_ACCORD_DATA'!B:AS,11,FALSE)</f>
        <v>64.2</v>
      </c>
      <c r="I119" s="304">
        <f>VLOOKUP(B119,'26MY_ACCORD_DATA'!B:AS,12,FALSE)</f>
        <v>0</v>
      </c>
      <c r="J119" s="304">
        <f>VLOOKUP(B119,'26MY_ACCORD_DATA'!B:AS,13,FALSE)</f>
        <v>0</v>
      </c>
      <c r="K119" s="304" t="str">
        <f>VLOOKUP(B119,'26MY_ACCORD_DATA'!B:AS,14,FALSE)</f>
        <v>•</v>
      </c>
      <c r="L119" s="304">
        <f>VLOOKUP(B119,'26MY_ACCORD_DATA'!B:AS,15,FALSE)</f>
        <v>0</v>
      </c>
      <c r="M119" s="304" t="str">
        <f>VLOOKUP(B119,'26MY_ACCORD_DATA'!B:AS,16,FALSE)</f>
        <v>•</v>
      </c>
      <c r="N119" s="304" t="str">
        <f>VLOOKUP(B119,'26MY_ACCORD_DATA'!B:AS,17,FALSE)</f>
        <v>•</v>
      </c>
      <c r="O119" s="304">
        <f>VLOOKUP(B119,'26MY_ACCORD_DATA'!B:AS,18,FALSE)</f>
        <v>0</v>
      </c>
      <c r="P119" s="304">
        <f>VLOOKUP(B119,'26MY_ACCORD_DATA'!B:AS,19,FALSE)</f>
        <v>0</v>
      </c>
      <c r="Q119" s="332" t="str">
        <f>IF(VLOOKUP(B119,'26MY_ACCORD_DATA'!B:AS,21,FALSE)="","",VLOOKUP(B119,'26MY_ACCORD_DATA'!B:AS,21,FALSE))</f>
        <v/>
      </c>
    </row>
    <row r="120" spans="2:17" s="136" customFormat="1" ht="15" customHeight="1">
      <c r="B120" s="281" t="s">
        <v>308</v>
      </c>
      <c r="C120" s="224" t="str">
        <f>VLOOKUP(B120,'26MY_ACCORD_DATA'!B:AS,4,FALSE)</f>
        <v>Filet de cargaison</v>
      </c>
      <c r="D120" s="79" t="str">
        <f t="shared" si="26"/>
        <v>08L96-TVA-300</v>
      </c>
      <c r="E120" s="302">
        <f>VLOOKUP(B120,'26MY_ACCORD_DATA'!B:AS,9,FALSE)</f>
        <v>26.99</v>
      </c>
      <c r="F120" s="302">
        <f>VLOOKUP(B120,'26MY_ACCORD_DATA'!B:AS,10,FALSE)</f>
        <v>58</v>
      </c>
      <c r="G120" s="306">
        <f>VLOOKUP(B120,'26MY_ACCORD_DATA'!B:AS,7,FALSE)</f>
        <v>0.4</v>
      </c>
      <c r="H120" s="301">
        <f>VLOOKUP(B120,'26MY_ACCORD_DATA'!B:AS,11,FALSE)</f>
        <v>130.4</v>
      </c>
      <c r="I120" s="304">
        <f>VLOOKUP(B120,'26MY_ACCORD_DATA'!B:AS,12,FALSE)</f>
        <v>0</v>
      </c>
      <c r="J120" s="304">
        <f>VLOOKUP(B120,'26MY_ACCORD_DATA'!B:AS,13,FALSE)</f>
        <v>0</v>
      </c>
      <c r="K120" s="304" t="str">
        <f>VLOOKUP(B120,'26MY_ACCORD_DATA'!B:AS,14,FALSE)</f>
        <v>•</v>
      </c>
      <c r="L120" s="304">
        <f>VLOOKUP(B120,'26MY_ACCORD_DATA'!B:AS,15,FALSE)</f>
        <v>0</v>
      </c>
      <c r="M120" s="304" t="str">
        <f>VLOOKUP(B120,'26MY_ACCORD_DATA'!B:AS,16,FALSE)</f>
        <v>•</v>
      </c>
      <c r="N120" s="304" t="str">
        <f>VLOOKUP(B120,'26MY_ACCORD_DATA'!B:AS,17,FALSE)</f>
        <v>•</v>
      </c>
      <c r="O120" s="304">
        <f>VLOOKUP(B120,'26MY_ACCORD_DATA'!B:AS,18,FALSE)</f>
        <v>0</v>
      </c>
      <c r="P120" s="304">
        <f>VLOOKUP(B120,'26MY_ACCORD_DATA'!B:AS,19,FALSE)</f>
        <v>0</v>
      </c>
      <c r="Q120" s="332" t="str">
        <f>IF(VLOOKUP(B120,'26MY_ACCORD_DATA'!B:AS,21,FALSE)="","",VLOOKUP(B120,'26MY_ACCORD_DATA'!B:AS,21,FALSE))</f>
        <v/>
      </c>
    </row>
    <row r="121" spans="2:17" s="136" customFormat="1" ht="15" customHeight="1">
      <c r="B121" s="281" t="s">
        <v>309</v>
      </c>
      <c r="C121" s="224" t="str">
        <f>VLOOKUP(B121,'26MY_ACCORD_DATA'!B:AS,4,FALSE)</f>
        <v>Protecteur de panneau de portière</v>
      </c>
      <c r="D121" s="79" t="str">
        <f t="shared" si="26"/>
        <v>08P04-30A-100</v>
      </c>
      <c r="E121" s="302">
        <f>VLOOKUP(B121,'26MY_ACCORD_DATA'!B:AS,9,FALSE)</f>
        <v>106</v>
      </c>
      <c r="F121" s="302">
        <f>VLOOKUP(B121,'26MY_ACCORD_DATA'!B:AS,10,FALSE)</f>
        <v>177</v>
      </c>
      <c r="G121" s="306">
        <f>VLOOKUP(B121,'26MY_ACCORD_DATA'!B:AS,7,FALSE)</f>
        <v>0.4</v>
      </c>
      <c r="H121" s="301">
        <f>VLOOKUP(B121,'26MY_ACCORD_DATA'!B:AS,11,FALSE)</f>
        <v>249.4</v>
      </c>
      <c r="I121" s="304">
        <f>VLOOKUP(B121,'26MY_ACCORD_DATA'!B:AS,12,FALSE)</f>
        <v>0</v>
      </c>
      <c r="J121" s="304">
        <f>VLOOKUP(B121,'26MY_ACCORD_DATA'!B:AS,13,FALSE)</f>
        <v>0</v>
      </c>
      <c r="K121" s="304" t="str">
        <f>VLOOKUP(B121,'26MY_ACCORD_DATA'!B:AS,14,FALSE)</f>
        <v>•</v>
      </c>
      <c r="L121" s="304">
        <f>VLOOKUP(B121,'26MY_ACCORD_DATA'!B:AS,15,FALSE)</f>
        <v>0</v>
      </c>
      <c r="M121" s="304" t="str">
        <f>VLOOKUP(B121,'26MY_ACCORD_DATA'!B:AS,16,FALSE)</f>
        <v>•</v>
      </c>
      <c r="N121" s="304" t="str">
        <f>VLOOKUP(B121,'26MY_ACCORD_DATA'!B:AS,17,FALSE)</f>
        <v>•</v>
      </c>
      <c r="O121" s="304">
        <f>VLOOKUP(B121,'26MY_ACCORD_DATA'!B:AS,18,FALSE)</f>
        <v>0</v>
      </c>
      <c r="P121" s="304">
        <f>VLOOKUP(B121,'26MY_ACCORD_DATA'!B:AS,19,FALSE)</f>
        <v>0</v>
      </c>
      <c r="Q121" s="332" t="str">
        <f>IF(VLOOKUP(B121,'26MY_ACCORD_DATA'!B:AS,21,FALSE)="","",VLOOKUP(B121,'26MY_ACCORD_DATA'!B:AS,21,FALSE))</f>
        <v/>
      </c>
    </row>
    <row r="122" spans="2:17" s="136" customFormat="1" ht="15" customHeight="1">
      <c r="B122" s="281" t="s">
        <v>310</v>
      </c>
      <c r="C122" s="224" t="str">
        <f>VLOOKUP(B122,'26MY_ACCORD_DATA'!B:AS,4,FALSE)</f>
        <v>Pare-soleil pour glaces latérales arrière</v>
      </c>
      <c r="D122" s="79" t="str">
        <f t="shared" si="26"/>
        <v>08R13-30A-100</v>
      </c>
      <c r="E122" s="302">
        <f>VLOOKUP(B122,'26MY_ACCORD_DATA'!B:AS,9,FALSE)</f>
        <v>180</v>
      </c>
      <c r="F122" s="302">
        <f>VLOOKUP(B122,'26MY_ACCORD_DATA'!B:AS,10,FALSE)</f>
        <v>300</v>
      </c>
      <c r="G122" s="306">
        <f>VLOOKUP(B122,'26MY_ACCORD_DATA'!B:AS,7,FALSE)</f>
        <v>0.5</v>
      </c>
      <c r="H122" s="301">
        <f>VLOOKUP(B122,'26MY_ACCORD_DATA'!B:AS,11,FALSE)</f>
        <v>390.5</v>
      </c>
      <c r="I122" s="304">
        <f>VLOOKUP(B122,'26MY_ACCORD_DATA'!B:AS,12,FALSE)</f>
        <v>0</v>
      </c>
      <c r="J122" s="304">
        <f>VLOOKUP(B122,'26MY_ACCORD_DATA'!B:AS,13,FALSE)</f>
        <v>0</v>
      </c>
      <c r="K122" s="304" t="str">
        <f>VLOOKUP(B122,'26MY_ACCORD_DATA'!B:AS,14,FALSE)</f>
        <v>•</v>
      </c>
      <c r="L122" s="304">
        <f>VLOOKUP(B122,'26MY_ACCORD_DATA'!B:AS,15,FALSE)</f>
        <v>0</v>
      </c>
      <c r="M122" s="304" t="str">
        <f>VLOOKUP(B122,'26MY_ACCORD_DATA'!B:AS,16,FALSE)</f>
        <v>•</v>
      </c>
      <c r="N122" s="304" t="str">
        <f>VLOOKUP(B122,'26MY_ACCORD_DATA'!B:AS,17,FALSE)</f>
        <v>•</v>
      </c>
      <c r="O122" s="304">
        <f>VLOOKUP(B122,'26MY_ACCORD_DATA'!B:AS,18,FALSE)</f>
        <v>0</v>
      </c>
      <c r="P122" s="304">
        <f>VLOOKUP(B122,'26MY_ACCORD_DATA'!B:AS,19,FALSE)</f>
        <v>0</v>
      </c>
      <c r="Q122" s="332" t="str">
        <f>IF(VLOOKUP(B122,'26MY_ACCORD_DATA'!B:AS,21,FALSE)="","",VLOOKUP(B122,'26MY_ACCORD_DATA'!B:AS,21,FALSE))</f>
        <v/>
      </c>
    </row>
    <row r="123" spans="2:17" s="136" customFormat="1" ht="15" customHeight="1">
      <c r="B123" s="281" t="s">
        <v>301</v>
      </c>
      <c r="C123" s="224" t="str">
        <f>VLOOKUP(B123,'26MY_ACCORD_DATA'!B:AS,4,FALSE)</f>
        <v>Cendrier de type porte-gobelet</v>
      </c>
      <c r="D123" s="79" t="str">
        <f t="shared" si="26"/>
        <v>08U25-STK-413</v>
      </c>
      <c r="E123" s="302">
        <f>VLOOKUP(B123,'26MY_ACCORD_DATA'!B:AS,9,FALSE)</f>
        <v>41</v>
      </c>
      <c r="F123" s="302">
        <f>VLOOKUP(B123,'26MY_ACCORD_DATA'!B:AS,10,FALSE)</f>
        <v>68</v>
      </c>
      <c r="G123" s="306">
        <f>VLOOKUP(B123,'26MY_ACCORD_DATA'!B:AS,7,FALSE)</f>
        <v>0</v>
      </c>
      <c r="H123" s="301">
        <f>VLOOKUP(B123,'26MY_ACCORD_DATA'!B:AS,11,FALSE)</f>
        <v>68</v>
      </c>
      <c r="I123" s="304">
        <f>VLOOKUP(B123,'26MY_ACCORD_DATA'!B:AS,12,FALSE)</f>
        <v>0</v>
      </c>
      <c r="J123" s="304">
        <f>VLOOKUP(B123,'26MY_ACCORD_DATA'!B:AS,13,FALSE)</f>
        <v>0</v>
      </c>
      <c r="K123" s="304" t="str">
        <f>VLOOKUP(B123,'26MY_ACCORD_DATA'!B:AS,14,FALSE)</f>
        <v>•</v>
      </c>
      <c r="L123" s="304">
        <f>VLOOKUP(B123,'26MY_ACCORD_DATA'!B:AS,15,FALSE)</f>
        <v>0</v>
      </c>
      <c r="M123" s="304" t="str">
        <f>VLOOKUP(B123,'26MY_ACCORD_DATA'!B:AS,16,FALSE)</f>
        <v>•</v>
      </c>
      <c r="N123" s="304" t="str">
        <f>VLOOKUP(B123,'26MY_ACCORD_DATA'!B:AS,17,FALSE)</f>
        <v>•</v>
      </c>
      <c r="O123" s="304">
        <f>VLOOKUP(B123,'26MY_ACCORD_DATA'!B:AS,18,FALSE)</f>
        <v>0</v>
      </c>
      <c r="P123" s="304">
        <f>VLOOKUP(B123,'26MY_ACCORD_DATA'!B:AS,19,FALSE)</f>
        <v>0</v>
      </c>
      <c r="Q123" s="332" t="str">
        <f>IF(VLOOKUP(B123,'26MY_ACCORD_DATA'!B:AS,21,FALSE)="","",VLOOKUP(B123,'26MY_ACCORD_DATA'!B:AS,21,FALSE))</f>
        <v/>
      </c>
    </row>
    <row r="124" spans="2:17" s="136" customFormat="1" ht="12" customHeight="1">
      <c r="B124" s="281"/>
      <c r="C124" s="19"/>
      <c r="D124" s="27"/>
      <c r="E124" s="21"/>
      <c r="F124" s="21"/>
      <c r="G124" s="22"/>
      <c r="H124" s="23"/>
      <c r="I124" s="24"/>
      <c r="J124" s="24"/>
      <c r="K124" s="24"/>
      <c r="L124" s="24"/>
      <c r="M124" s="24"/>
      <c r="N124" s="24"/>
      <c r="O124" s="24"/>
      <c r="P124" s="24"/>
      <c r="Q124" s="25"/>
    </row>
    <row r="125" spans="2:17" s="134" customFormat="1" ht="18">
      <c r="B125" s="283"/>
      <c r="C125" s="153" t="s">
        <v>95</v>
      </c>
      <c r="D125" s="153"/>
      <c r="E125" s="48"/>
      <c r="F125" s="49"/>
      <c r="G125" s="49"/>
      <c r="H125" s="49"/>
      <c r="I125" s="49"/>
      <c r="J125" s="49"/>
      <c r="K125" s="49"/>
      <c r="L125" s="49"/>
      <c r="M125" s="49"/>
      <c r="N125" s="49"/>
      <c r="O125" s="49"/>
      <c r="P125" s="49"/>
      <c r="Q125" s="49"/>
    </row>
    <row r="126" spans="2:17" s="135" customFormat="1" ht="15" customHeight="1">
      <c r="B126" s="282"/>
      <c r="C126" s="377" t="s">
        <v>80</v>
      </c>
      <c r="D126" s="377" t="s">
        <v>81</v>
      </c>
      <c r="E126" s="377" t="s">
        <v>82</v>
      </c>
      <c r="F126" s="377" t="s">
        <v>83</v>
      </c>
      <c r="G126" s="377" t="s">
        <v>84</v>
      </c>
      <c r="H126" s="378" t="s">
        <v>85</v>
      </c>
      <c r="I126" s="377" t="s">
        <v>25</v>
      </c>
      <c r="J126" s="377"/>
      <c r="K126" s="377"/>
      <c r="L126" s="377"/>
      <c r="M126" s="377"/>
      <c r="N126" s="377"/>
      <c r="O126" s="377"/>
      <c r="P126" s="377"/>
      <c r="Q126" s="377" t="s">
        <v>86</v>
      </c>
    </row>
    <row r="127" spans="2:17" s="135" customFormat="1" ht="28.8">
      <c r="B127" s="282"/>
      <c r="C127" s="377"/>
      <c r="D127" s="377"/>
      <c r="E127" s="377"/>
      <c r="F127" s="377"/>
      <c r="G127" s="377"/>
      <c r="H127" s="378"/>
      <c r="I127" s="176">
        <f>'26MY_ACCORD_DATA'!$M$6</f>
        <v>0</v>
      </c>
      <c r="J127" s="176">
        <f>'26MY_ACCORD_DATA'!$M$6</f>
        <v>0</v>
      </c>
      <c r="K127" s="176" t="str">
        <f>'26MY_ACCORD_DATA'!$O$6</f>
        <v>SE</v>
      </c>
      <c r="L127" s="176">
        <f>'26MY_ACCORD_DATA'!$P$6</f>
        <v>0</v>
      </c>
      <c r="M127" s="176" t="str">
        <f>'26MY_ACCORD_DATA'!$Q$6</f>
        <v>Sport -L Hybride</v>
      </c>
      <c r="N127" s="221" t="str">
        <f>'26MY_ACCORD_DATA'!$R$6</f>
        <v>Touring Hybride</v>
      </c>
      <c r="O127" s="176">
        <f>'26MY_ACCORD_DATA'!$T$6</f>
        <v>0</v>
      </c>
      <c r="P127" s="176">
        <f>'26MY_ACCORD_DATA'!$T$6</f>
        <v>0</v>
      </c>
      <c r="Q127" s="377"/>
    </row>
    <row r="128" spans="2:17" s="136" customFormat="1" ht="27" customHeight="1">
      <c r="B128" s="281" t="s">
        <v>316</v>
      </c>
      <c r="C128" s="224" t="str">
        <f>VLOOKUP(B128,'26MY_ACCORD_DATA'!B:AS,4,FALSE)</f>
        <v>Garniture de seuil de portière illuminée</v>
      </c>
      <c r="D128" s="79" t="str">
        <f t="shared" ref="D128:D129" si="27">B128</f>
        <v>08E12-30A-110</v>
      </c>
      <c r="E128" s="302">
        <f>VLOOKUP(B128,'26MY_ACCORD_DATA'!B:AS,9,FALSE)</f>
        <v>302</v>
      </c>
      <c r="F128" s="302">
        <f>VLOOKUP(B128,'26MY_ACCORD_DATA'!B:AS,10,FALSE)</f>
        <v>465</v>
      </c>
      <c r="G128" s="306">
        <f>VLOOKUP(B128,'26MY_ACCORD_DATA'!B:AS,7,FALSE)</f>
        <v>1.4</v>
      </c>
      <c r="H128" s="301">
        <f>VLOOKUP(B128,'26MY_ACCORD_DATA'!B:AS,11,FALSE)</f>
        <v>718.4</v>
      </c>
      <c r="I128" s="304">
        <f>VLOOKUP(B128,'26MY_ACCORD_DATA'!B:AS,12,FALSE)</f>
        <v>0</v>
      </c>
      <c r="J128" s="304">
        <f>VLOOKUP(B128,'26MY_ACCORD_DATA'!B:AS,13,FALSE)</f>
        <v>0</v>
      </c>
      <c r="K128" s="304" t="str">
        <f>VLOOKUP(B128,'26MY_ACCORD_DATA'!B:AS,14,FALSE)</f>
        <v>•</v>
      </c>
      <c r="L128" s="304">
        <f>VLOOKUP(B128,'26MY_ACCORD_DATA'!B:AS,15,FALSE)</f>
        <v>0</v>
      </c>
      <c r="M128" s="304" t="str">
        <f>VLOOKUP(B128,'26MY_ACCORD_DATA'!B:AS,16,FALSE)</f>
        <v>•</v>
      </c>
      <c r="N128" s="304" t="str">
        <f>VLOOKUP(B128,'26MY_ACCORD_DATA'!B:AS,17,FALSE)</f>
        <v>•</v>
      </c>
      <c r="O128" s="304">
        <f>VLOOKUP(B128,'26MY_ACCORD_DATA'!B:AS,18,FALSE)</f>
        <v>0</v>
      </c>
      <c r="P128" s="304">
        <f>VLOOKUP(B128,'26MY_ACCORD_DATA'!B:AS,19,FALSE)</f>
        <v>0</v>
      </c>
      <c r="Q128" s="332" t="str">
        <f>IF(VLOOKUP(B128,'26MY_ACCORD_DATA'!B:AS,21,FALSE)="","",VLOOKUP(B128,'26MY_ACCORD_DATA'!B:AS,21,FALSE))</f>
        <v>Nécessite une fixation degarniture de seuil de portière illuminée. 08E12-30A-100A</v>
      </c>
    </row>
    <row r="129" spans="2:17" s="136" customFormat="1" ht="15" customHeight="1">
      <c r="B129" s="281" t="s">
        <v>317</v>
      </c>
      <c r="C129" s="224" t="str">
        <f>VLOOKUP(B129,'26MY_ACCORD_DATA'!B:AS,4,FALSE)</f>
        <v>Fixation de garniture de seuil de portière illuminée</v>
      </c>
      <c r="D129" s="79" t="str">
        <f t="shared" si="27"/>
        <v>08E12-30A-100A</v>
      </c>
      <c r="E129" s="302">
        <f>VLOOKUP(B129,'26MY_ACCORD_DATA'!B:AS,9,FALSE)</f>
        <v>66</v>
      </c>
      <c r="F129" s="302">
        <f>VLOOKUP(B129,'26MY_ACCORD_DATA'!B:AS,10,FALSE)</f>
        <v>94</v>
      </c>
      <c r="G129" s="306">
        <f>VLOOKUP(B129,'26MY_ACCORD_DATA'!B:AS,7,FALSE)</f>
        <v>0</v>
      </c>
      <c r="H129" s="301">
        <f>VLOOKUP(B129,'26MY_ACCORD_DATA'!B:AS,11,FALSE)</f>
        <v>94</v>
      </c>
      <c r="I129" s="304">
        <f>VLOOKUP(B129,'26MY_ACCORD_DATA'!B:AS,12,FALSE)</f>
        <v>0</v>
      </c>
      <c r="J129" s="304">
        <f>VLOOKUP(B129,'26MY_ACCORD_DATA'!B:AS,13,FALSE)</f>
        <v>0</v>
      </c>
      <c r="K129" s="304" t="str">
        <f>VLOOKUP(B129,'26MY_ACCORD_DATA'!B:AS,14,FALSE)</f>
        <v>•</v>
      </c>
      <c r="L129" s="304">
        <f>VLOOKUP(B129,'26MY_ACCORD_DATA'!B:AS,15,FALSE)</f>
        <v>0</v>
      </c>
      <c r="M129" s="304" t="str">
        <f>VLOOKUP(B129,'26MY_ACCORD_DATA'!B:AS,16,FALSE)</f>
        <v>•</v>
      </c>
      <c r="N129" s="304" t="str">
        <f>VLOOKUP(B129,'26MY_ACCORD_DATA'!B:AS,17,FALSE)</f>
        <v>•</v>
      </c>
      <c r="O129" s="304">
        <f>VLOOKUP(B129,'26MY_ACCORD_DATA'!B:AS,18,FALSE)</f>
        <v>0</v>
      </c>
      <c r="P129" s="304">
        <f>VLOOKUP(B129,'26MY_ACCORD_DATA'!B:AS,19,FALSE)</f>
        <v>0</v>
      </c>
      <c r="Q129" s="332" t="str">
        <f>IF(VLOOKUP(B129,'26MY_ACCORD_DATA'!B:AS,21,FALSE)="","",VLOOKUP(B129,'26MY_ACCORD_DATA'!B:AS,21,FALSE))</f>
        <v/>
      </c>
    </row>
    <row r="130" spans="2:17" s="136" customFormat="1" ht="28.8">
      <c r="B130" s="281" t="s">
        <v>318</v>
      </c>
      <c r="C130" s="224" t="str">
        <f>VLOOKUP(B130,'26MY_ACCORD_DATA'!B:AS,4,FALSE)</f>
        <v>Rétroviseur automatique jour/nuit avec HomeLink</v>
      </c>
      <c r="D130" s="79" t="str">
        <f t="shared" ref="D130" si="28">B130</f>
        <v>08V03-3A0-100</v>
      </c>
      <c r="E130" s="302">
        <f>VLOOKUP(B130,'26MY_ACCORD_DATA'!B:AS,9,FALSE)</f>
        <v>324</v>
      </c>
      <c r="F130" s="302">
        <f>VLOOKUP(B130,'26MY_ACCORD_DATA'!B:AS,10,FALSE)</f>
        <v>463</v>
      </c>
      <c r="G130" s="306">
        <f>VLOOKUP(B130,'26MY_ACCORD_DATA'!B:AS,7,FALSE)</f>
        <v>0.2</v>
      </c>
      <c r="H130" s="301">
        <f>VLOOKUP(B130,'26MY_ACCORD_DATA'!B:AS,11,FALSE)</f>
        <v>499.2</v>
      </c>
      <c r="I130" s="304">
        <f>VLOOKUP(B130,'26MY_ACCORD_DATA'!B:AS,12,FALSE)</f>
        <v>0</v>
      </c>
      <c r="J130" s="304">
        <f>VLOOKUP(B130,'26MY_ACCORD_DATA'!B:AS,13,FALSE)</f>
        <v>0</v>
      </c>
      <c r="K130" s="304" t="str">
        <f>VLOOKUP(B130,'26MY_ACCORD_DATA'!B:AS,14,FALSE)</f>
        <v>•</v>
      </c>
      <c r="L130" s="304">
        <f>VLOOKUP(B130,'26MY_ACCORD_DATA'!B:AS,15,FALSE)</f>
        <v>0</v>
      </c>
      <c r="M130" s="304" t="str">
        <f>VLOOKUP(B130,'26MY_ACCORD_DATA'!B:AS,16,FALSE)</f>
        <v>•</v>
      </c>
      <c r="N130" s="304" t="str">
        <f>VLOOKUP(B130,'26MY_ACCORD_DATA'!B:AS,17,FALSE)</f>
        <v>•</v>
      </c>
      <c r="O130" s="304">
        <f>VLOOKUP(B130,'26MY_ACCORD_DATA'!B:AS,18,FALSE)</f>
        <v>0</v>
      </c>
      <c r="P130" s="304">
        <f>VLOOKUP(B130,'26MY_ACCORD_DATA'!B:AS,19,FALSE)</f>
        <v>0</v>
      </c>
      <c r="Q130" s="332" t="str">
        <f>IF(VLOOKUP(B130,'26MY_ACCORD_DATA'!B:AS,21,FALSE)="","",VLOOKUP(B130,'26MY_ACCORD_DATA'!B:AS,21,FALSE))</f>
        <v>Nécessite une fixation pour rétroviseur jour/nuit automatique.  08V03-30A-100</v>
      </c>
    </row>
    <row r="131" spans="2:17" s="136" customFormat="1" ht="15" customHeight="1">
      <c r="B131" s="281" t="s">
        <v>319</v>
      </c>
      <c r="C131" s="224" t="str">
        <f>VLOOKUP(B131,'26MY_ACCORD_DATA'!B:AS,4,FALSE)</f>
        <v>Fixation pour rétroviseur jour/nuit automatique</v>
      </c>
      <c r="D131" s="79" t="str">
        <f t="shared" ref="D131:D135" si="29">B131</f>
        <v>08V03-30A-100</v>
      </c>
      <c r="E131" s="302">
        <f>VLOOKUP(B131,'26MY_ACCORD_DATA'!B:AS,9,FALSE)</f>
        <v>70</v>
      </c>
      <c r="F131" s="302">
        <f>VLOOKUP(B131,'26MY_ACCORD_DATA'!B:AS,10,FALSE)</f>
        <v>117</v>
      </c>
      <c r="G131" s="306">
        <f>VLOOKUP(B131,'26MY_ACCORD_DATA'!B:AS,7,FALSE)</f>
        <v>0.6</v>
      </c>
      <c r="H131" s="301">
        <f>VLOOKUP(B131,'26MY_ACCORD_DATA'!B:AS,11,FALSE)</f>
        <v>225.6</v>
      </c>
      <c r="I131" s="304">
        <f>VLOOKUP(B131,'26MY_ACCORD_DATA'!B:AS,12,FALSE)</f>
        <v>0</v>
      </c>
      <c r="J131" s="304">
        <f>VLOOKUP(B131,'26MY_ACCORD_DATA'!B:AS,13,FALSE)</f>
        <v>0</v>
      </c>
      <c r="K131" s="304" t="str">
        <f>VLOOKUP(B131,'26MY_ACCORD_DATA'!B:AS,14,FALSE)</f>
        <v>•</v>
      </c>
      <c r="L131" s="304">
        <f>VLOOKUP(B131,'26MY_ACCORD_DATA'!B:AS,15,FALSE)</f>
        <v>0</v>
      </c>
      <c r="M131" s="304" t="str">
        <f>VLOOKUP(B131,'26MY_ACCORD_DATA'!B:AS,16,FALSE)</f>
        <v>•</v>
      </c>
      <c r="N131" s="304" t="str">
        <f>VLOOKUP(B131,'26MY_ACCORD_DATA'!B:AS,17,FALSE)</f>
        <v>•</v>
      </c>
      <c r="O131" s="304">
        <f>VLOOKUP(B131,'26MY_ACCORD_DATA'!B:AS,18,FALSE)</f>
        <v>0</v>
      </c>
      <c r="P131" s="304">
        <f>VLOOKUP(B131,'26MY_ACCORD_DATA'!B:AS,19,FALSE)</f>
        <v>0</v>
      </c>
      <c r="Q131" s="332" t="str">
        <f>IF(VLOOKUP(B131,'26MY_ACCORD_DATA'!B:AS,21,FALSE)="","",VLOOKUP(B131,'26MY_ACCORD_DATA'!B:AS,21,FALSE))</f>
        <v/>
      </c>
    </row>
    <row r="132" spans="2:17" s="136" customFormat="1" ht="15" customHeight="1">
      <c r="B132" s="281" t="s">
        <v>333</v>
      </c>
      <c r="C132" s="224" t="str">
        <f>VLOOKUP(B132,'26MY_ACCORD_DATA'!B:AS,4,FALSE)</f>
        <v>Chauffe-moteur</v>
      </c>
      <c r="D132" s="79" t="str">
        <f t="shared" si="29"/>
        <v>08T44-30A-300A</v>
      </c>
      <c r="E132" s="302">
        <f>VLOOKUP(B132,'26MY_ACCORD_DATA'!B:AS,9,FALSE)</f>
        <v>144</v>
      </c>
      <c r="F132" s="302">
        <f>VLOOKUP(B132,'26MY_ACCORD_DATA'!B:AS,10,FALSE)</f>
        <v>240</v>
      </c>
      <c r="G132" s="306">
        <f>VLOOKUP(B132,'26MY_ACCORD_DATA'!B:AS,7,FALSE)</f>
        <v>1.2</v>
      </c>
      <c r="H132" s="301">
        <f>VLOOKUP(B132,'26MY_ACCORD_DATA'!B:AS,11,FALSE)</f>
        <v>457.2</v>
      </c>
      <c r="I132" s="304">
        <f>VLOOKUP(B132,'26MY_ACCORD_DATA'!B:AS,12,FALSE)</f>
        <v>0</v>
      </c>
      <c r="J132" s="304">
        <f>VLOOKUP(B132,'26MY_ACCORD_DATA'!B:AS,13,FALSE)</f>
        <v>0</v>
      </c>
      <c r="K132" s="304" t="str">
        <f>VLOOKUP(B132,'26MY_ACCORD_DATA'!B:AS,14,FALSE)</f>
        <v>•</v>
      </c>
      <c r="L132" s="304">
        <f>VLOOKUP(B132,'26MY_ACCORD_DATA'!B:AS,15,FALSE)</f>
        <v>0</v>
      </c>
      <c r="M132" s="304" t="str">
        <f>VLOOKUP(B132,'26MY_ACCORD_DATA'!B:AS,16,FALSE)</f>
        <v>N/A</v>
      </c>
      <c r="N132" s="304" t="str">
        <f>VLOOKUP(B132,'26MY_ACCORD_DATA'!B:AS,17,FALSE)</f>
        <v>N/A</v>
      </c>
      <c r="O132" s="304">
        <f>VLOOKUP(B132,'26MY_ACCORD_DATA'!B:AS,18,FALSE)</f>
        <v>0</v>
      </c>
      <c r="P132" s="304">
        <f>VLOOKUP(B132,'26MY_ACCORD_DATA'!B:AS,19,FALSE)</f>
        <v>0</v>
      </c>
      <c r="Q132" s="332" t="str">
        <f>IF(VLOOKUP(B132,'26MY_ACCORD_DATA'!B:AS,21,FALSE)="","",VLOOKUP(B132,'26MY_ACCORD_DATA'!B:AS,21,FALSE))</f>
        <v/>
      </c>
    </row>
    <row r="133" spans="2:17" s="136" customFormat="1" ht="15" customHeight="1">
      <c r="B133" s="281" t="s">
        <v>334</v>
      </c>
      <c r="C133" s="224" t="str">
        <f>VLOOKUP(B133,'26MY_ACCORD_DATA'!B:AS,4,FALSE)</f>
        <v>Chauffe-moteur</v>
      </c>
      <c r="D133" s="79" t="str">
        <f t="shared" si="29"/>
        <v>08T44-30B-300A</v>
      </c>
      <c r="E133" s="302">
        <f>VLOOKUP(B133,'26MY_ACCORD_DATA'!B:AS,9,FALSE)</f>
        <v>171</v>
      </c>
      <c r="F133" s="302">
        <f>VLOOKUP(B133,'26MY_ACCORD_DATA'!B:AS,10,FALSE)</f>
        <v>285</v>
      </c>
      <c r="G133" s="306">
        <f>VLOOKUP(B133,'26MY_ACCORD_DATA'!B:AS,7,FALSE)</f>
        <v>1.2</v>
      </c>
      <c r="H133" s="301">
        <f>VLOOKUP(B133,'26MY_ACCORD_DATA'!B:AS,11,FALSE)</f>
        <v>502.2</v>
      </c>
      <c r="I133" s="304">
        <f>VLOOKUP(B133,'26MY_ACCORD_DATA'!B:AS,12,FALSE)</f>
        <v>0</v>
      </c>
      <c r="J133" s="304">
        <f>VLOOKUP(B133,'26MY_ACCORD_DATA'!B:AS,13,FALSE)</f>
        <v>0</v>
      </c>
      <c r="K133" s="304" t="str">
        <f>VLOOKUP(B133,'26MY_ACCORD_DATA'!B:AS,14,FALSE)</f>
        <v>N/A</v>
      </c>
      <c r="L133" s="304">
        <f>VLOOKUP(B133,'26MY_ACCORD_DATA'!B:AS,15,FALSE)</f>
        <v>0</v>
      </c>
      <c r="M133" s="304" t="str">
        <f>VLOOKUP(B133,'26MY_ACCORD_DATA'!B:AS,16,FALSE)</f>
        <v>•</v>
      </c>
      <c r="N133" s="304" t="str">
        <f>VLOOKUP(B133,'26MY_ACCORD_DATA'!B:AS,17,FALSE)</f>
        <v>•</v>
      </c>
      <c r="O133" s="304">
        <f>VLOOKUP(B133,'26MY_ACCORD_DATA'!B:AS,18,FALSE)</f>
        <v>0</v>
      </c>
      <c r="P133" s="304">
        <f>VLOOKUP(B133,'26MY_ACCORD_DATA'!B:AS,19,FALSE)</f>
        <v>0</v>
      </c>
      <c r="Q133" s="332" t="str">
        <f>IF(VLOOKUP(B133,'26MY_ACCORD_DATA'!B:AS,21,FALSE)="","",VLOOKUP(B133,'26MY_ACCORD_DATA'!B:AS,21,FALSE))</f>
        <v/>
      </c>
    </row>
    <row r="134" spans="2:17" s="136" customFormat="1" ht="15" customHeight="1">
      <c r="B134" s="281" t="s">
        <v>26</v>
      </c>
      <c r="C134" s="224" t="str">
        <f>VLOOKUP(B134,'26MY_ACCORD_DATA'!B:AS,4,FALSE)</f>
        <v>Chargeur/mainteneur de batterie automobile 12 V Optimate</v>
      </c>
      <c r="D134" s="79" t="str">
        <f t="shared" si="29"/>
        <v>31670-BMS-004H</v>
      </c>
      <c r="E134" s="302">
        <f>VLOOKUP(B134,'26MY_ACCORD_DATA'!B:AS,9,FALSE)</f>
        <v>94</v>
      </c>
      <c r="F134" s="302">
        <f>VLOOKUP(B134,'26MY_ACCORD_DATA'!B:AS,10,FALSE)</f>
        <v>157</v>
      </c>
      <c r="G134" s="306">
        <f>VLOOKUP(B134,'26MY_ACCORD_DATA'!B:AS,7,FALSE)</f>
        <v>0</v>
      </c>
      <c r="H134" s="301">
        <f>VLOOKUP(B134,'26MY_ACCORD_DATA'!B:AS,11,FALSE)</f>
        <v>157</v>
      </c>
      <c r="I134" s="304">
        <f>VLOOKUP(B134,'26MY_ACCORD_DATA'!B:AS,12,FALSE)</f>
        <v>0</v>
      </c>
      <c r="J134" s="304">
        <f>VLOOKUP(B134,'26MY_ACCORD_DATA'!B:AS,13,FALSE)</f>
        <v>0</v>
      </c>
      <c r="K134" s="304" t="str">
        <f>VLOOKUP(B134,'26MY_ACCORD_DATA'!B:AS,14,FALSE)</f>
        <v>•</v>
      </c>
      <c r="L134" s="304">
        <f>VLOOKUP(B134,'26MY_ACCORD_DATA'!B:AS,15,FALSE)</f>
        <v>0</v>
      </c>
      <c r="M134" s="304" t="str">
        <f>VLOOKUP(B134,'26MY_ACCORD_DATA'!B:AS,16,FALSE)</f>
        <v>•</v>
      </c>
      <c r="N134" s="304" t="str">
        <f>VLOOKUP(B134,'26MY_ACCORD_DATA'!B:AS,17,FALSE)</f>
        <v>•</v>
      </c>
      <c r="O134" s="304">
        <f>VLOOKUP(B134,'26MY_ACCORD_DATA'!B:AS,18,FALSE)</f>
        <v>0</v>
      </c>
      <c r="P134" s="304">
        <f>VLOOKUP(B134,'26MY_ACCORD_DATA'!B:AS,19,FALSE)</f>
        <v>0</v>
      </c>
      <c r="Q134" s="332" t="str">
        <f>IF(VLOOKUP(B134,'26MY_ACCORD_DATA'!B:AS,21,FALSE)="","",VLOOKUP(B134,'26MY_ACCORD_DATA'!B:AS,21,FALSE))</f>
        <v/>
      </c>
    </row>
    <row r="135" spans="2:17" s="136" customFormat="1" ht="14.4">
      <c r="B135" s="281" t="s">
        <v>322</v>
      </c>
      <c r="C135" s="224" t="str">
        <f>VLOOKUP(B135,'26MY_ACCORD_DATA'!B:AS,4,FALSE)</f>
        <v>Câble de batterie</v>
      </c>
      <c r="D135" s="79" t="str">
        <f t="shared" si="29"/>
        <v>31670-BMS-LEAD</v>
      </c>
      <c r="E135" s="302">
        <f>VLOOKUP(B135,'26MY_ACCORD_DATA'!B:AS,9,FALSE)</f>
        <v>20</v>
      </c>
      <c r="F135" s="302">
        <f>VLOOKUP(B135,'26MY_ACCORD_DATA'!B:AS,10,FALSE)</f>
        <v>28</v>
      </c>
      <c r="G135" s="306">
        <f>VLOOKUP(B135,'26MY_ACCORD_DATA'!B:AS,7,FALSE)</f>
        <v>0</v>
      </c>
      <c r="H135" s="301">
        <f>VLOOKUP(B135,'26MY_ACCORD_DATA'!B:AS,11,FALSE)</f>
        <v>28</v>
      </c>
      <c r="I135" s="304">
        <f>VLOOKUP(B135,'26MY_ACCORD_DATA'!B:AS,12,FALSE)</f>
        <v>0</v>
      </c>
      <c r="J135" s="304">
        <f>VLOOKUP(B135,'26MY_ACCORD_DATA'!B:AS,13,FALSE)</f>
        <v>0</v>
      </c>
      <c r="K135" s="304" t="str">
        <f>VLOOKUP(B135,'26MY_ACCORD_DATA'!B:AS,14,FALSE)</f>
        <v>•</v>
      </c>
      <c r="L135" s="304">
        <f>VLOOKUP(B135,'26MY_ACCORD_DATA'!B:AS,15,FALSE)</f>
        <v>0</v>
      </c>
      <c r="M135" s="304" t="str">
        <f>VLOOKUP(B135,'26MY_ACCORD_DATA'!B:AS,16,FALSE)</f>
        <v>•</v>
      </c>
      <c r="N135" s="304" t="str">
        <f>VLOOKUP(B135,'26MY_ACCORD_DATA'!B:AS,17,FALSE)</f>
        <v>•</v>
      </c>
      <c r="O135" s="304">
        <f>VLOOKUP(B135,'26MY_ACCORD_DATA'!B:AS,18,FALSE)</f>
        <v>0</v>
      </c>
      <c r="P135" s="304">
        <f>VLOOKUP(B135,'26MY_ACCORD_DATA'!B:AS,19,FALSE)</f>
        <v>0</v>
      </c>
      <c r="Q135" s="332" t="str">
        <f>IF(VLOOKUP(B135,'26MY_ACCORD_DATA'!B:AS,21,FALSE)="","",VLOOKUP(B135,'26MY_ACCORD_DATA'!B:AS,21,FALSE))</f>
        <v/>
      </c>
    </row>
    <row r="136" spans="2:17" s="136" customFormat="1" ht="15" customHeight="1">
      <c r="B136" s="281"/>
      <c r="C136" s="137"/>
      <c r="D136" s="198"/>
      <c r="E136" s="133"/>
      <c r="F136" s="133"/>
      <c r="G136" s="199"/>
      <c r="H136" s="133"/>
      <c r="I136" s="133"/>
      <c r="J136" s="133"/>
      <c r="K136" s="133"/>
      <c r="L136" s="133"/>
      <c r="M136" s="133"/>
      <c r="N136" s="133"/>
      <c r="O136" s="133"/>
      <c r="P136" s="133"/>
      <c r="Q136" s="133"/>
    </row>
    <row r="137" spans="2:17" s="134" customFormat="1" ht="18">
      <c r="B137" s="281"/>
      <c r="C137" s="153" t="s">
        <v>96</v>
      </c>
      <c r="D137" s="153"/>
      <c r="E137" s="144"/>
      <c r="F137" s="144"/>
      <c r="G137" s="144"/>
      <c r="H137" s="144"/>
      <c r="I137" s="144"/>
      <c r="J137" s="144"/>
      <c r="K137" s="144"/>
      <c r="L137" s="144"/>
      <c r="M137" s="144"/>
      <c r="N137" s="144"/>
      <c r="O137" s="144"/>
      <c r="P137" s="144"/>
      <c r="Q137" s="144"/>
    </row>
    <row r="138" spans="2:17" s="135" customFormat="1" ht="15" customHeight="1">
      <c r="B138" s="282"/>
      <c r="C138" s="377" t="s">
        <v>80</v>
      </c>
      <c r="D138" s="377" t="s">
        <v>81</v>
      </c>
      <c r="E138" s="377" t="s">
        <v>82</v>
      </c>
      <c r="F138" s="377" t="s">
        <v>83</v>
      </c>
      <c r="G138" s="377" t="s">
        <v>84</v>
      </c>
      <c r="H138" s="378" t="s">
        <v>85</v>
      </c>
      <c r="I138" s="377" t="s">
        <v>25</v>
      </c>
      <c r="J138" s="377"/>
      <c r="K138" s="377"/>
      <c r="L138" s="377"/>
      <c r="M138" s="377"/>
      <c r="N138" s="377"/>
      <c r="O138" s="377"/>
      <c r="P138" s="377"/>
      <c r="Q138" s="377" t="s">
        <v>86</v>
      </c>
    </row>
    <row r="139" spans="2:17" s="135" customFormat="1" ht="28.8">
      <c r="B139" s="282"/>
      <c r="C139" s="377"/>
      <c r="D139" s="377"/>
      <c r="E139" s="377"/>
      <c r="F139" s="377"/>
      <c r="G139" s="377"/>
      <c r="H139" s="378"/>
      <c r="I139" s="176">
        <f>'26MY_ACCORD_DATA'!$M$6</f>
        <v>0</v>
      </c>
      <c r="J139" s="176">
        <f>'26MY_ACCORD_DATA'!$M$6</f>
        <v>0</v>
      </c>
      <c r="K139" s="176" t="str">
        <f>'26MY_ACCORD_DATA'!$O$6</f>
        <v>SE</v>
      </c>
      <c r="L139" s="176">
        <f>'26MY_ACCORD_DATA'!$P$6</f>
        <v>0</v>
      </c>
      <c r="M139" s="176" t="str">
        <f>'26MY_ACCORD_DATA'!$Q$6</f>
        <v>Sport -L Hybride</v>
      </c>
      <c r="N139" s="221" t="str">
        <f>'26MY_ACCORD_DATA'!$R$6</f>
        <v>Touring Hybride</v>
      </c>
      <c r="O139" s="176">
        <f>'26MY_ACCORD_DATA'!$T$6</f>
        <v>0</v>
      </c>
      <c r="P139" s="176">
        <f>'26MY_ACCORD_DATA'!$T$6</f>
        <v>0</v>
      </c>
      <c r="Q139" s="377"/>
    </row>
    <row r="140" spans="2:17" s="136" customFormat="1" ht="15" customHeight="1">
      <c r="B140" s="281" t="s">
        <v>220</v>
      </c>
      <c r="C140" s="224" t="str">
        <f>VLOOKUP(B140,'26MY_ACCORD_DATA'!B:AS,4,FALSE)</f>
        <v>Blanc platine nacré (NH-883P)</v>
      </c>
      <c r="D140" s="79" t="str">
        <f t="shared" ref="D140:D147" si="30">B140</f>
        <v>TUCH-NH883P-A1</v>
      </c>
      <c r="E140" s="350">
        <f>VLOOKUP(B140,'26MY_ACCORD_DATA'!B:AS,9,FALSE)</f>
        <v>13.25</v>
      </c>
      <c r="F140" s="350">
        <f>VLOOKUP(B140,'26MY_ACCORD_DATA'!B:AS,10,FALSE)</f>
        <v>22</v>
      </c>
      <c r="G140" s="371">
        <f>VLOOKUP(B140,'26MY_ACCORD_DATA'!B:AS,7,FALSE)</f>
        <v>0</v>
      </c>
      <c r="H140" s="374">
        <f>VLOOKUP(B140,'26MY_ACCORD_DATA'!B:AS,11,FALSE)</f>
        <v>22</v>
      </c>
      <c r="I140" s="304">
        <f>VLOOKUP(B140,'26MY_ACCORD_DATA'!B:AS,12,FALSE)</f>
        <v>0</v>
      </c>
      <c r="J140" s="304">
        <f>VLOOKUP(B140,'26MY_ACCORD_DATA'!B:AS,13,FALSE)</f>
        <v>0</v>
      </c>
      <c r="K140" s="304" t="str">
        <f>VLOOKUP(B140,'26MY_ACCORD_DATA'!B:AS,14,FALSE)</f>
        <v>•</v>
      </c>
      <c r="L140" s="304">
        <f>VLOOKUP(B140,'26MY_ACCORD_DATA'!B:AS,15,FALSE)</f>
        <v>0</v>
      </c>
      <c r="M140" s="304" t="str">
        <f>VLOOKUP(B140,'26MY_ACCORD_DATA'!B:AS,16,FALSE)</f>
        <v>•</v>
      </c>
      <c r="N140" s="304" t="str">
        <f>VLOOKUP(B140,'26MY_ACCORD_DATA'!B:AS,17,FALSE)</f>
        <v>•</v>
      </c>
      <c r="O140" s="304">
        <f>VLOOKUP(B140,'26MY_ACCORD_DATA'!B:AS,18,FALSE)</f>
        <v>0</v>
      </c>
      <c r="P140" s="304">
        <f>VLOOKUP(B140,'26MY_ACCORD_DATA'!B:AS,19,FALSE)</f>
        <v>0</v>
      </c>
      <c r="Q140" s="368" t="str">
        <f>IF(VLOOKUP(B140,'26MY_ACCORD_DATA'!B:AS,21,FALSE)="","",VLOOKUP(B140,'26MY_ACCORD_DATA'!B:AS,21,FALSE))</f>
        <v/>
      </c>
    </row>
    <row r="141" spans="2:17" s="136" customFormat="1" ht="15" customHeight="1">
      <c r="B141" s="283" t="s">
        <v>131</v>
      </c>
      <c r="C141" s="224" t="str">
        <f>VLOOKUP(B141,'26MY_ACCORD_DATA'!B:AS,4,FALSE)</f>
        <v>Gris météore nacré (NH-904M)</v>
      </c>
      <c r="D141" s="79" t="str">
        <f t="shared" si="30"/>
        <v>TUCHNH904MA1</v>
      </c>
      <c r="E141" s="351"/>
      <c r="F141" s="351"/>
      <c r="G141" s="372"/>
      <c r="H141" s="375"/>
      <c r="I141" s="304">
        <f>VLOOKUP(B141,'26MY_ACCORD_DATA'!B:AS,12,FALSE)</f>
        <v>0</v>
      </c>
      <c r="J141" s="304">
        <f>VLOOKUP(B141,'26MY_ACCORD_DATA'!B:AS,13,FALSE)</f>
        <v>0</v>
      </c>
      <c r="K141" s="304" t="str">
        <f>VLOOKUP(B141,'26MY_ACCORD_DATA'!B:AS,14,FALSE)</f>
        <v>N/A</v>
      </c>
      <c r="L141" s="304">
        <f>VLOOKUP(B141,'26MY_ACCORD_DATA'!B:AS,15,FALSE)</f>
        <v>0</v>
      </c>
      <c r="M141" s="304" t="str">
        <f>VLOOKUP(B141,'26MY_ACCORD_DATA'!B:AS,16,FALSE)</f>
        <v>•</v>
      </c>
      <c r="N141" s="304" t="str">
        <f>VLOOKUP(B141,'26MY_ACCORD_DATA'!B:AS,17,FALSE)</f>
        <v>N/A</v>
      </c>
      <c r="O141" s="304">
        <f>VLOOKUP(B141,'26MY_ACCORD_DATA'!B:AS,18,FALSE)</f>
        <v>0</v>
      </c>
      <c r="P141" s="304">
        <f>VLOOKUP(B141,'26MY_ACCORD_DATA'!B:AS,19,FALSE)</f>
        <v>0</v>
      </c>
      <c r="Q141" s="369"/>
    </row>
    <row r="142" spans="2:17" s="136" customFormat="1" ht="15" customHeight="1">
      <c r="B142" s="282" t="s">
        <v>216</v>
      </c>
      <c r="C142" s="224" t="str">
        <f>VLOOKUP(B142,'26MY_ACCORD_DATA'!B:AS,4,FALSE)</f>
        <v>Gris urbain nacré  (NH-912P)</v>
      </c>
      <c r="D142" s="79" t="str">
        <f t="shared" si="30"/>
        <v>TUCHNH912PA1</v>
      </c>
      <c r="E142" s="351"/>
      <c r="F142" s="351"/>
      <c r="G142" s="372"/>
      <c r="H142" s="375"/>
      <c r="I142" s="304">
        <f>VLOOKUP(B142,'26MY_ACCORD_DATA'!B:AS,12,FALSE)</f>
        <v>0</v>
      </c>
      <c r="J142" s="304">
        <f>VLOOKUP(B142,'26MY_ACCORD_DATA'!B:AS,13,FALSE)</f>
        <v>0</v>
      </c>
      <c r="K142" s="304" t="str">
        <f>VLOOKUP(B142,'26MY_ACCORD_DATA'!B:AS,14,FALSE)</f>
        <v>N/A</v>
      </c>
      <c r="L142" s="304">
        <f>VLOOKUP(B142,'26MY_ACCORD_DATA'!B:AS,15,FALSE)</f>
        <v>0</v>
      </c>
      <c r="M142" s="304" t="str">
        <f>VLOOKUP(B142,'26MY_ACCORD_DATA'!B:AS,16,FALSE)</f>
        <v>N/A</v>
      </c>
      <c r="N142" s="304" t="str">
        <f>VLOOKUP(B142,'26MY_ACCORD_DATA'!B:AS,17,FALSE)</f>
        <v>•</v>
      </c>
      <c r="O142" s="304">
        <f>VLOOKUP(B142,'26MY_ACCORD_DATA'!B:AS,18,FALSE)</f>
        <v>0</v>
      </c>
      <c r="P142" s="304">
        <f>VLOOKUP(B142,'26MY_ACCORD_DATA'!B:AS,19,FALSE)</f>
        <v>0</v>
      </c>
      <c r="Q142" s="369"/>
    </row>
    <row r="143" spans="2:17" s="136" customFormat="1" ht="15" customHeight="1">
      <c r="B143" s="282" t="s">
        <v>219</v>
      </c>
      <c r="C143" s="224" t="str">
        <f>VLOOKUP(B143,'26MY_ACCORD_DATA'!B:AS,4,FALSE)</f>
        <v>Noir cristal nacré (NH-731P)</v>
      </c>
      <c r="D143" s="79" t="str">
        <f t="shared" si="30"/>
        <v>TUCH-NH731P-A1</v>
      </c>
      <c r="E143" s="351"/>
      <c r="F143" s="351"/>
      <c r="G143" s="372"/>
      <c r="H143" s="375"/>
      <c r="I143" s="304">
        <f>VLOOKUP(B143,'26MY_ACCORD_DATA'!B:AS,12,FALSE)</f>
        <v>0</v>
      </c>
      <c r="J143" s="304">
        <f>VLOOKUP(B143,'26MY_ACCORD_DATA'!B:AS,13,FALSE)</f>
        <v>0</v>
      </c>
      <c r="K143" s="304" t="str">
        <f>VLOOKUP(B143,'26MY_ACCORD_DATA'!B:AS,14,FALSE)</f>
        <v>•</v>
      </c>
      <c r="L143" s="304">
        <f>VLOOKUP(B143,'26MY_ACCORD_DATA'!B:AS,15,FALSE)</f>
        <v>0</v>
      </c>
      <c r="M143" s="304" t="str">
        <f>VLOOKUP(B143,'26MY_ACCORD_DATA'!B:AS,16,FALSE)</f>
        <v>•</v>
      </c>
      <c r="N143" s="304" t="str">
        <f>VLOOKUP(B143,'26MY_ACCORD_DATA'!B:AS,17,FALSE)</f>
        <v>•</v>
      </c>
      <c r="O143" s="304">
        <f>VLOOKUP(B143,'26MY_ACCORD_DATA'!B:AS,18,FALSE)</f>
        <v>0</v>
      </c>
      <c r="P143" s="304">
        <f>VLOOKUP(B143,'26MY_ACCORD_DATA'!B:AS,19,FALSE)</f>
        <v>0</v>
      </c>
      <c r="Q143" s="369"/>
    </row>
    <row r="144" spans="2:17" s="136" customFormat="1" ht="15" customHeight="1">
      <c r="B144" s="281" t="s">
        <v>244</v>
      </c>
      <c r="C144" s="224" t="str">
        <f>VLOOKUP(B144,'26MY_ACCORD_DATA'!B:AS,4,FALSE)</f>
        <v>Radiant rouge métallisé (R-569M)</v>
      </c>
      <c r="D144" s="79" t="str">
        <f t="shared" si="30"/>
        <v>TUCH-R569M-A1</v>
      </c>
      <c r="E144" s="351"/>
      <c r="F144" s="351"/>
      <c r="G144" s="372"/>
      <c r="H144" s="375"/>
      <c r="I144" s="304">
        <f>VLOOKUP(B144,'26MY_ACCORD_DATA'!B:AS,12,FALSE)</f>
        <v>0</v>
      </c>
      <c r="J144" s="304">
        <f>VLOOKUP(B144,'26MY_ACCORD_DATA'!B:AS,13,FALSE)</f>
        <v>0</v>
      </c>
      <c r="K144" s="304" t="str">
        <f>VLOOKUP(B144,'26MY_ACCORD_DATA'!B:AS,14,FALSE)</f>
        <v>N/A</v>
      </c>
      <c r="L144" s="304">
        <f>VLOOKUP(B144,'26MY_ACCORD_DATA'!B:AS,15,FALSE)</f>
        <v>0</v>
      </c>
      <c r="M144" s="304" t="str">
        <f>VLOOKUP(B144,'26MY_ACCORD_DATA'!B:AS,16,FALSE)</f>
        <v>•</v>
      </c>
      <c r="N144" s="304" t="str">
        <f>VLOOKUP(B144,'26MY_ACCORD_DATA'!B:AS,17,FALSE)</f>
        <v>•</v>
      </c>
      <c r="O144" s="304">
        <f>VLOOKUP(B144,'26MY_ACCORD_DATA'!B:AS,18,FALSE)</f>
        <v>0</v>
      </c>
      <c r="P144" s="304">
        <f>VLOOKUP(B144,'26MY_ACCORD_DATA'!B:AS,19,FALSE)</f>
        <v>0</v>
      </c>
      <c r="Q144" s="369"/>
    </row>
    <row r="145" spans="2:17" s="136" customFormat="1" ht="15" customHeight="1">
      <c r="B145" s="281" t="s">
        <v>247</v>
      </c>
      <c r="C145" s="224" t="str">
        <f>VLOOKUP(B145,'26MY_ACCORD_DATA'!B:AS,4,FALSE)</f>
        <v>Bleu rivière canyon métallisé (B-640M)</v>
      </c>
      <c r="D145" s="79" t="str">
        <f t="shared" si="30"/>
        <v>TUCH-B640M-A1</v>
      </c>
      <c r="E145" s="351"/>
      <c r="F145" s="351"/>
      <c r="G145" s="372"/>
      <c r="H145" s="375"/>
      <c r="I145" s="304">
        <f>VLOOKUP(B145,'26MY_ACCORD_DATA'!B:AS,12,FALSE)</f>
        <v>0</v>
      </c>
      <c r="J145" s="304">
        <f>VLOOKUP(B145,'26MY_ACCORD_DATA'!B:AS,13,FALSE)</f>
        <v>0</v>
      </c>
      <c r="K145" s="304" t="str">
        <f>VLOOKUP(B145,'26MY_ACCORD_DATA'!B:AS,14,FALSE)</f>
        <v>N/A</v>
      </c>
      <c r="L145" s="304">
        <f>VLOOKUP(B145,'26MY_ACCORD_DATA'!B:AS,15,FALSE)</f>
        <v>0</v>
      </c>
      <c r="M145" s="304" t="str">
        <f>VLOOKUP(B145,'26MY_ACCORD_DATA'!B:AS,16,FALSE)</f>
        <v>N/A</v>
      </c>
      <c r="N145" s="304" t="str">
        <f>VLOOKUP(B145,'26MY_ACCORD_DATA'!B:AS,17,FALSE)</f>
        <v>•</v>
      </c>
      <c r="O145" s="304">
        <f>VLOOKUP(B145,'26MY_ACCORD_DATA'!B:AS,18,FALSE)</f>
        <v>0</v>
      </c>
      <c r="P145" s="304">
        <f>VLOOKUP(B145,'26MY_ACCORD_DATA'!B:AS,19,FALSE)</f>
        <v>0</v>
      </c>
      <c r="Q145" s="369"/>
    </row>
    <row r="146" spans="2:17" s="136" customFormat="1" ht="15" customHeight="1">
      <c r="B146" s="281" t="s">
        <v>250</v>
      </c>
      <c r="C146" s="224" t="str">
        <f>VLOOKUP(B146,'26MY_ACCORD_DATA'!B:AS,4,FALSE)</f>
        <v>Nuit paisible fini nacré (B-575P)</v>
      </c>
      <c r="D146" s="79" t="str">
        <f t="shared" ref="D146" si="31">B146</f>
        <v xml:space="preserve">TUCH-B575P-A1 </v>
      </c>
      <c r="E146" s="351"/>
      <c r="F146" s="351"/>
      <c r="G146" s="372"/>
      <c r="H146" s="375"/>
      <c r="I146" s="304">
        <f>VLOOKUP(B146,'26MY_ACCORD_DATA'!B:AS,12,FALSE)</f>
        <v>0</v>
      </c>
      <c r="J146" s="304">
        <f>VLOOKUP(B146,'26MY_ACCORD_DATA'!B:AS,13,FALSE)</f>
        <v>0</v>
      </c>
      <c r="K146" s="304" t="str">
        <f>VLOOKUP(B146,'26MY_ACCORD_DATA'!B:AS,14,FALSE)</f>
        <v>N/A</v>
      </c>
      <c r="L146" s="304">
        <f>VLOOKUP(B146,'26MY_ACCORD_DATA'!B:AS,15,FALSE)</f>
        <v>0</v>
      </c>
      <c r="M146" s="304" t="str">
        <f>VLOOKUP(B146,'26MY_ACCORD_DATA'!B:AS,16,FALSE)</f>
        <v>•</v>
      </c>
      <c r="N146" s="304" t="str">
        <f>VLOOKUP(B146,'26MY_ACCORD_DATA'!B:AS,17,FALSE)</f>
        <v>N/A</v>
      </c>
      <c r="O146" s="304">
        <f>VLOOKUP(B146,'26MY_ACCORD_DATA'!B:AS,18,FALSE)</f>
        <v>0</v>
      </c>
      <c r="P146" s="304">
        <f>VLOOKUP(B146,'26MY_ACCORD_DATA'!B:AS,19,FALSE)</f>
        <v>0</v>
      </c>
      <c r="Q146" s="369"/>
    </row>
    <row r="147" spans="2:17" s="136" customFormat="1" ht="15" customHeight="1">
      <c r="B147" s="281" t="s">
        <v>453</v>
      </c>
      <c r="C147" s="224" t="str">
        <f>VLOOKUP(B147,'26MY_ACCORD_DATA'!B:AS,4,FALSE)</f>
        <v>Refl et solaire argent métallisé (NH-932M)</v>
      </c>
      <c r="D147" s="79" t="str">
        <f t="shared" si="30"/>
        <v>TUCH-NH932M-A1</v>
      </c>
      <c r="E147" s="352"/>
      <c r="F147" s="352"/>
      <c r="G147" s="373"/>
      <c r="H147" s="376"/>
      <c r="I147" s="304">
        <f>VLOOKUP(B147,'26MY_ACCORD_DATA'!B:AS,12,FALSE)</f>
        <v>0</v>
      </c>
      <c r="J147" s="304">
        <f>VLOOKUP(B147,'26MY_ACCORD_DATA'!B:AS,13,FALSE)</f>
        <v>0</v>
      </c>
      <c r="K147" s="304" t="str">
        <f>VLOOKUP(B147,'26MY_ACCORD_DATA'!B:AS,14,FALSE)</f>
        <v>•</v>
      </c>
      <c r="L147" s="304">
        <f>VLOOKUP(B147,'26MY_ACCORD_DATA'!B:AS,15,FALSE)</f>
        <v>0</v>
      </c>
      <c r="M147" s="304" t="str">
        <f>VLOOKUP(B147,'26MY_ACCORD_DATA'!B:AS,16,FALSE)</f>
        <v>•</v>
      </c>
      <c r="N147" s="304" t="str">
        <f>VLOOKUP(B147,'26MY_ACCORD_DATA'!B:AS,17,FALSE)</f>
        <v>•</v>
      </c>
      <c r="O147" s="304">
        <f>VLOOKUP(B147,'26MY_ACCORD_DATA'!B:AS,18,FALSE)</f>
        <v>0</v>
      </c>
      <c r="P147" s="304">
        <f>VLOOKUP(B147,'26MY_ACCORD_DATA'!B:AS,19,FALSE)</f>
        <v>0</v>
      </c>
      <c r="Q147" s="370"/>
    </row>
    <row r="148" spans="2:17" s="135" customFormat="1" ht="6.9" customHeight="1">
      <c r="B148" s="282"/>
      <c r="C148" s="197"/>
      <c r="D148" s="187"/>
      <c r="E148" s="187"/>
      <c r="F148" s="187"/>
      <c r="G148" s="187"/>
      <c r="H148" s="187"/>
      <c r="I148" s="187"/>
      <c r="J148" s="187"/>
      <c r="K148" s="187"/>
      <c r="L148" s="187"/>
      <c r="M148" s="187"/>
      <c r="N148" s="187"/>
      <c r="O148" s="187"/>
      <c r="P148" s="187"/>
      <c r="Q148" s="193"/>
    </row>
    <row r="149" spans="2:17" s="136" customFormat="1" ht="15" customHeight="1">
      <c r="B149" s="281" t="s">
        <v>64</v>
      </c>
      <c r="C149" s="224" t="str">
        <f>VLOOKUP(B149,'26MY_ACCORD_DATA'!B:AS,4,FALSE)</f>
        <v>Aiguilles abrasives fines</v>
      </c>
      <c r="D149" s="79" t="str">
        <f t="shared" ref="D149:D151" si="32">B149</f>
        <v>TUCH-NEEDLES</v>
      </c>
      <c r="E149" s="302">
        <f>VLOOKUP(B149,'26MY_ACCORD_DATA'!B:AS,9,FALSE)</f>
        <v>9.5</v>
      </c>
      <c r="F149" s="302">
        <f>VLOOKUP(B149,'26MY_ACCORD_DATA'!B:AS,10,FALSE)</f>
        <v>15.75</v>
      </c>
      <c r="G149" s="306">
        <f>VLOOKUP(B149,'26MY_ACCORD_DATA'!B:AS,7,FALSE)</f>
        <v>0</v>
      </c>
      <c r="H149" s="301">
        <f>VLOOKUP(B149,'26MY_ACCORD_DATA'!B:AS,11,FALSE)</f>
        <v>15.75</v>
      </c>
      <c r="I149" s="304">
        <f>VLOOKUP(B149,'26MY_ACCORD_DATA'!B:AS,12,FALSE)</f>
        <v>0</v>
      </c>
      <c r="J149" s="304">
        <f>VLOOKUP(B149,'26MY_ACCORD_DATA'!B:AS,13,FALSE)</f>
        <v>0</v>
      </c>
      <c r="K149" s="304">
        <f>VLOOKUP(B149,'26MY_ACCORD_DATA'!B:AS,14,FALSE)</f>
        <v>0</v>
      </c>
      <c r="L149" s="304">
        <f>VLOOKUP(B149,'26MY_ACCORD_DATA'!B:AS,15,FALSE)</f>
        <v>0</v>
      </c>
      <c r="M149" s="304">
        <f>VLOOKUP(B149,'26MY_ACCORD_DATA'!B:AS,16,FALSE)</f>
        <v>0</v>
      </c>
      <c r="N149" s="304">
        <f>VLOOKUP(B149,'26MY_ACCORD_DATA'!B:AS,17,FALSE)</f>
        <v>0</v>
      </c>
      <c r="O149" s="304">
        <f>VLOOKUP(B149,'26MY_ACCORD_DATA'!B:AS,18,FALSE)</f>
        <v>0</v>
      </c>
      <c r="P149" s="304">
        <f>VLOOKUP(B149,'26MY_ACCORD_DATA'!B:AS,19,FALSE)</f>
        <v>0</v>
      </c>
      <c r="Q149" s="332" t="str">
        <f>IF(VLOOKUP(B149,'26MY_ACCORD_DATA'!B:AS,21,FALSE)="","",VLOOKUP(B149,'26MY_ACCORD_DATA'!B:AS,21,FALSE))</f>
        <v>Quantité de 5</v>
      </c>
    </row>
    <row r="150" spans="2:17" s="136" customFormat="1" ht="15" customHeight="1">
      <c r="B150" s="281" t="s">
        <v>63</v>
      </c>
      <c r="C150" s="224" t="str">
        <f>VLOOKUP(B150,'26MY_ACCORD_DATA'!B:AS,4,FALSE)</f>
        <v>Bâtons abrasifs fins</v>
      </c>
      <c r="D150" s="79" t="str">
        <f t="shared" si="32"/>
        <v>TUCH-STICKS</v>
      </c>
      <c r="E150" s="302">
        <f>VLOOKUP(B150,'26MY_ACCORD_DATA'!B:AS,9,FALSE)</f>
        <v>2.4500000000000002</v>
      </c>
      <c r="F150" s="302">
        <f>VLOOKUP(B150,'26MY_ACCORD_DATA'!B:AS,10,FALSE)</f>
        <v>4</v>
      </c>
      <c r="G150" s="306">
        <f>VLOOKUP(B150,'26MY_ACCORD_DATA'!B:AS,7,FALSE)</f>
        <v>0</v>
      </c>
      <c r="H150" s="301">
        <f>VLOOKUP(B150,'26MY_ACCORD_DATA'!B:AS,11,FALSE)</f>
        <v>4</v>
      </c>
      <c r="I150" s="304">
        <f>VLOOKUP(B150,'26MY_ACCORD_DATA'!B:AS,12,FALSE)</f>
        <v>0</v>
      </c>
      <c r="J150" s="304">
        <f>VLOOKUP(B150,'26MY_ACCORD_DATA'!B:AS,13,FALSE)</f>
        <v>0</v>
      </c>
      <c r="K150" s="304">
        <f>VLOOKUP(B150,'26MY_ACCORD_DATA'!B:AS,14,FALSE)</f>
        <v>0</v>
      </c>
      <c r="L150" s="304">
        <f>VLOOKUP(B150,'26MY_ACCORD_DATA'!B:AS,15,FALSE)</f>
        <v>0</v>
      </c>
      <c r="M150" s="304">
        <f>VLOOKUP(B150,'26MY_ACCORD_DATA'!B:AS,16,FALSE)</f>
        <v>0</v>
      </c>
      <c r="N150" s="304">
        <f>VLOOKUP(B150,'26MY_ACCORD_DATA'!B:AS,17,FALSE)</f>
        <v>0</v>
      </c>
      <c r="O150" s="304">
        <f>VLOOKUP(B150,'26MY_ACCORD_DATA'!B:AS,18,FALSE)</f>
        <v>0</v>
      </c>
      <c r="P150" s="304">
        <f>VLOOKUP(B150,'26MY_ACCORD_DATA'!B:AS,19,FALSE)</f>
        <v>0</v>
      </c>
      <c r="Q150" s="332" t="str">
        <f>IF(VLOOKUP(B150,'26MY_ACCORD_DATA'!B:AS,21,FALSE)="","",VLOOKUP(B150,'26MY_ACCORD_DATA'!B:AS,21,FALSE))</f>
        <v>Quantité de 5</v>
      </c>
    </row>
    <row r="151" spans="2:17" s="136" customFormat="1" ht="15" customHeight="1">
      <c r="B151" s="281" t="s">
        <v>62</v>
      </c>
      <c r="C151" s="224" t="str">
        <f>VLOOKUP(B151,'26MY_ACCORD_DATA'!B:AS,4,FALSE)</f>
        <v>Pointes de remplacement pour stylos de peinture</v>
      </c>
      <c r="D151" s="79" t="str">
        <f t="shared" si="32"/>
        <v>TUCH-TIPS</v>
      </c>
      <c r="E151" s="302">
        <f>VLOOKUP(B151,'26MY_ACCORD_DATA'!B:AS,9,FALSE)</f>
        <v>6.25</v>
      </c>
      <c r="F151" s="302">
        <f>VLOOKUP(B151,'26MY_ACCORD_DATA'!B:AS,10,FALSE)</f>
        <v>13.75</v>
      </c>
      <c r="G151" s="306">
        <f>VLOOKUP(B151,'26MY_ACCORD_DATA'!B:AS,7,FALSE)</f>
        <v>0</v>
      </c>
      <c r="H151" s="301">
        <f>VLOOKUP(B151,'26MY_ACCORD_DATA'!B:AS,11,FALSE)</f>
        <v>13.75</v>
      </c>
      <c r="I151" s="304">
        <f>VLOOKUP(B151,'26MY_ACCORD_DATA'!B:AS,12,FALSE)</f>
        <v>0</v>
      </c>
      <c r="J151" s="304">
        <f>VLOOKUP(B151,'26MY_ACCORD_DATA'!B:AS,13,FALSE)</f>
        <v>0</v>
      </c>
      <c r="K151" s="304">
        <f>VLOOKUP(B151,'26MY_ACCORD_DATA'!B:AS,14,FALSE)</f>
        <v>0</v>
      </c>
      <c r="L151" s="304">
        <f>VLOOKUP(B151,'26MY_ACCORD_DATA'!B:AS,15,FALSE)</f>
        <v>0</v>
      </c>
      <c r="M151" s="304">
        <f>VLOOKUP(B151,'26MY_ACCORD_DATA'!B:AS,16,FALSE)</f>
        <v>0</v>
      </c>
      <c r="N151" s="304">
        <f>VLOOKUP(B151,'26MY_ACCORD_DATA'!B:AS,17,FALSE)</f>
        <v>0</v>
      </c>
      <c r="O151" s="304">
        <f>VLOOKUP(B151,'26MY_ACCORD_DATA'!B:AS,18,FALSE)</f>
        <v>0</v>
      </c>
      <c r="P151" s="304">
        <f>VLOOKUP(B151,'26MY_ACCORD_DATA'!B:AS,19,FALSE)</f>
        <v>0</v>
      </c>
      <c r="Q151" s="332" t="str">
        <f>IF(VLOOKUP(B151,'26MY_ACCORD_DATA'!B:AS,21,FALSE)="","",VLOOKUP(B151,'26MY_ACCORD_DATA'!B:AS,21,FALSE))</f>
        <v>Quantité de 25</v>
      </c>
    </row>
    <row r="152" spans="2:17" s="136" customFormat="1" ht="15" customHeight="1">
      <c r="B152" s="284"/>
      <c r="C152" s="20"/>
      <c r="D152" s="26"/>
      <c r="E152" s="18"/>
      <c r="F152" s="18"/>
      <c r="G152" s="16"/>
      <c r="H152" s="17"/>
      <c r="I152" s="16"/>
      <c r="J152" s="16"/>
      <c r="K152" s="16"/>
      <c r="L152" s="16"/>
      <c r="M152" s="16"/>
      <c r="N152" s="16"/>
      <c r="O152" s="16"/>
      <c r="P152" s="16"/>
      <c r="Q152" s="16"/>
    </row>
    <row r="153" spans="2:17" s="136" customFormat="1" ht="15" customHeight="1">
      <c r="B153" s="284"/>
      <c r="C153" s="44" t="s">
        <v>135</v>
      </c>
      <c r="D153" s="43" t="s">
        <v>99</v>
      </c>
      <c r="E153" s="130"/>
      <c r="F153" s="130"/>
      <c r="G153" s="130"/>
      <c r="H153" s="130"/>
      <c r="I153" s="130"/>
      <c r="J153" s="130"/>
      <c r="K153" s="130"/>
      <c r="L153" s="130"/>
      <c r="M153" s="130"/>
      <c r="N153" s="130"/>
      <c r="O153" s="130"/>
      <c r="P153" s="130"/>
      <c r="Q153" s="130"/>
    </row>
    <row r="154" spans="2:17" ht="14.25" customHeight="1">
      <c r="C154" s="138">
        <f>'26MY_ACCORD_DATA'!$C$4</f>
        <v>46127</v>
      </c>
      <c r="D154" s="43" t="s">
        <v>212</v>
      </c>
      <c r="E154" s="51"/>
      <c r="F154" s="51"/>
      <c r="G154" s="51"/>
      <c r="H154" s="51"/>
      <c r="I154" s="51"/>
      <c r="J154" s="51"/>
      <c r="K154" s="51"/>
      <c r="L154" s="51"/>
      <c r="M154" s="51"/>
      <c r="N154" s="51"/>
      <c r="O154" s="51"/>
      <c r="P154" s="51"/>
      <c r="Q154" s="51"/>
    </row>
    <row r="155" spans="2:17" ht="14.25" customHeight="1"/>
    <row r="156" spans="2:17" ht="14.25" customHeight="1"/>
    <row r="157" spans="2:17" ht="14.25" customHeight="1"/>
    <row r="158" spans="2:17" ht="14.25" customHeight="1"/>
    <row r="159" spans="2:17" ht="14.25" customHeight="1"/>
    <row r="160" spans="2:17"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sheetData>
  <mergeCells count="163">
    <mergeCell ref="J37:J40"/>
    <mergeCell ref="J42:J47"/>
    <mergeCell ref="J49:J51"/>
    <mergeCell ref="J53:J55"/>
    <mergeCell ref="O14:O16"/>
    <mergeCell ref="O24:O26"/>
    <mergeCell ref="O30:O35"/>
    <mergeCell ref="O37:O40"/>
    <mergeCell ref="O42:O47"/>
    <mergeCell ref="O49:O51"/>
    <mergeCell ref="O53:O55"/>
    <mergeCell ref="K24:K28"/>
    <mergeCell ref="M24:M28"/>
    <mergeCell ref="N24:N28"/>
    <mergeCell ref="L37:L40"/>
    <mergeCell ref="M37:M40"/>
    <mergeCell ref="N37:N40"/>
    <mergeCell ref="C5:N5"/>
    <mergeCell ref="C6:N6"/>
    <mergeCell ref="C7:N7"/>
    <mergeCell ref="C8:N8"/>
    <mergeCell ref="I138:P138"/>
    <mergeCell ref="Q138:Q139"/>
    <mergeCell ref="Q115:Q116"/>
    <mergeCell ref="C126:C127"/>
    <mergeCell ref="D126:D127"/>
    <mergeCell ref="E126:E127"/>
    <mergeCell ref="F126:F127"/>
    <mergeCell ref="G126:G127"/>
    <mergeCell ref="H126:H127"/>
    <mergeCell ref="I126:P126"/>
    <mergeCell ref="Q126:Q127"/>
    <mergeCell ref="C115:C116"/>
    <mergeCell ref="D115:D116"/>
    <mergeCell ref="E115:E116"/>
    <mergeCell ref="F115:F116"/>
    <mergeCell ref="G115:G116"/>
    <mergeCell ref="H115:H116"/>
    <mergeCell ref="I115:P115"/>
    <mergeCell ref="I58:P58"/>
    <mergeCell ref="C68:C69"/>
    <mergeCell ref="D68:D69"/>
    <mergeCell ref="E68:E69"/>
    <mergeCell ref="F68:F69"/>
    <mergeCell ref="G68:G69"/>
    <mergeCell ref="H68:H69"/>
    <mergeCell ref="I68:P68"/>
    <mergeCell ref="Q68:Q69"/>
    <mergeCell ref="C58:C59"/>
    <mergeCell ref="D58:D59"/>
    <mergeCell ref="E58:E59"/>
    <mergeCell ref="F58:F59"/>
    <mergeCell ref="G58:G59"/>
    <mergeCell ref="H58:H59"/>
    <mergeCell ref="E140:E147"/>
    <mergeCell ref="F140:F147"/>
    <mergeCell ref="G140:G147"/>
    <mergeCell ref="H140:H147"/>
    <mergeCell ref="Q140:Q147"/>
    <mergeCell ref="C138:C139"/>
    <mergeCell ref="D138:D139"/>
    <mergeCell ref="E138:E139"/>
    <mergeCell ref="F138:F139"/>
    <mergeCell ref="G138:G139"/>
    <mergeCell ref="H138:H139"/>
    <mergeCell ref="Q96:Q103"/>
    <mergeCell ref="Q105:Q112"/>
    <mergeCell ref="Q58:Q59"/>
    <mergeCell ref="E53:E55"/>
    <mergeCell ref="F53:F55"/>
    <mergeCell ref="G53:G55"/>
    <mergeCell ref="H53:H55"/>
    <mergeCell ref="I53:I55"/>
    <mergeCell ref="L53:L55"/>
    <mergeCell ref="M53:M55"/>
    <mergeCell ref="N53:N55"/>
    <mergeCell ref="P53:P55"/>
    <mergeCell ref="Q53:Q55"/>
    <mergeCell ref="K53:K55"/>
    <mergeCell ref="Q87:Q94"/>
    <mergeCell ref="P49:P51"/>
    <mergeCell ref="Q49:Q51"/>
    <mergeCell ref="K37:K40"/>
    <mergeCell ref="E37:E40"/>
    <mergeCell ref="F37:F40"/>
    <mergeCell ref="G37:G40"/>
    <mergeCell ref="H37:H40"/>
    <mergeCell ref="I37:I40"/>
    <mergeCell ref="E30:E35"/>
    <mergeCell ref="F30:F35"/>
    <mergeCell ref="G30:G35"/>
    <mergeCell ref="E49:E51"/>
    <mergeCell ref="F49:F51"/>
    <mergeCell ref="G49:G51"/>
    <mergeCell ref="H49:H51"/>
    <mergeCell ref="I49:I51"/>
    <mergeCell ref="K49:K51"/>
    <mergeCell ref="L49:L51"/>
    <mergeCell ref="M49:M51"/>
    <mergeCell ref="N49:N51"/>
    <mergeCell ref="H30:H35"/>
    <mergeCell ref="I30:I35"/>
    <mergeCell ref="P42:P47"/>
    <mergeCell ref="Q42:Q47"/>
    <mergeCell ref="P37:P40"/>
    <mergeCell ref="Q37:Q40"/>
    <mergeCell ref="L30:L35"/>
    <mergeCell ref="M30:M35"/>
    <mergeCell ref="P24:P26"/>
    <mergeCell ref="N30:N35"/>
    <mergeCell ref="P30:P35"/>
    <mergeCell ref="Q30:Q35"/>
    <mergeCell ref="Q24:Q28"/>
    <mergeCell ref="Q18:Q22"/>
    <mergeCell ref="L18:L22"/>
    <mergeCell ref="E18:E22"/>
    <mergeCell ref="F18:F22"/>
    <mergeCell ref="G18:G22"/>
    <mergeCell ref="H18:H22"/>
    <mergeCell ref="I18:I22"/>
    <mergeCell ref="K18:K22"/>
    <mergeCell ref="J18:J22"/>
    <mergeCell ref="E24:E26"/>
    <mergeCell ref="I24:I26"/>
    <mergeCell ref="L24:L26"/>
    <mergeCell ref="K30:K35"/>
    <mergeCell ref="C12:C13"/>
    <mergeCell ref="D12:D13"/>
    <mergeCell ref="E12:E13"/>
    <mergeCell ref="F12:F13"/>
    <mergeCell ref="G12:G13"/>
    <mergeCell ref="H12:H13"/>
    <mergeCell ref="I12:P12"/>
    <mergeCell ref="M18:M22"/>
    <mergeCell ref="N18:N22"/>
    <mergeCell ref="P18:P22"/>
    <mergeCell ref="J14:J16"/>
    <mergeCell ref="J24:J26"/>
    <mergeCell ref="J30:J35"/>
    <mergeCell ref="F24:F28"/>
    <mergeCell ref="G24:G28"/>
    <mergeCell ref="H24:H28"/>
    <mergeCell ref="Q12:Q13"/>
    <mergeCell ref="E14:E16"/>
    <mergeCell ref="F14:F16"/>
    <mergeCell ref="G14:G16"/>
    <mergeCell ref="H14:H16"/>
    <mergeCell ref="I14:I16"/>
    <mergeCell ref="K14:K16"/>
    <mergeCell ref="L14:L16"/>
    <mergeCell ref="M14:M16"/>
    <mergeCell ref="N14:N16"/>
    <mergeCell ref="P14:P16"/>
    <mergeCell ref="Q14:Q16"/>
    <mergeCell ref="E42:E47"/>
    <mergeCell ref="F42:F47"/>
    <mergeCell ref="G42:G47"/>
    <mergeCell ref="H42:H47"/>
    <mergeCell ref="I42:I47"/>
    <mergeCell ref="K42:K47"/>
    <mergeCell ref="L42:L47"/>
    <mergeCell ref="M42:M47"/>
    <mergeCell ref="N42:N47"/>
  </mergeCells>
  <conditionalFormatting sqref="E1:F13 E152:F1048576 E136:F139 E124:F127 E113:F116 E66:F69 E56:F59 E24:F24">
    <cfRule type="containsText" dxfId="3" priority="4" operator="containsText" text=".99">
      <formula>NOT(ISERROR(SEARCH(".99",E1)))</formula>
    </cfRule>
  </conditionalFormatting>
  <conditionalFormatting sqref="E148:F148">
    <cfRule type="containsText" dxfId="2" priority="3" operator="containsText" text=".99">
      <formula>NOT(ISERROR(SEARCH(".99",E148)))</formula>
    </cfRule>
  </conditionalFormatting>
  <conditionalFormatting sqref="E86:F86 E95:F95 E104:F104">
    <cfRule type="containsText" dxfId="1" priority="2" operator="containsText" text=".99">
      <formula>NOT(ISERROR(SEARCH(".99",E86)))</formula>
    </cfRule>
  </conditionalFormatting>
  <conditionalFormatting sqref="E14:F14 E17:F17 E23:F23 E29:F29 E52:F53 E36:F36 E41:F41 E48:F49">
    <cfRule type="containsText" dxfId="0" priority="1" operator="containsText" text=".99">
      <formula>NOT(ISERROR(SEARCH(".99",E14)))</formula>
    </cfRule>
  </conditionalFormatting>
  <printOptions horizontalCentered="1"/>
  <pageMargins left="0.23622047244094499" right="0.23622047244094499" top="0.39370078740157499" bottom="0.39370078740157499" header="0.31496062992126" footer="0.31496062992126"/>
  <pageSetup scale="50" fitToHeight="0" orientation="portrait" horizontalDpi="1200" verticalDpi="1200" r:id="rId1"/>
  <headerFooter>
    <oddFooter>&amp;CPage &amp;P of &amp;N</oddFooter>
  </headerFooter>
  <rowBreaks count="1" manualBreakCount="1">
    <brk id="85" min="2" max="14"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topLeftCell="A4" zoomScale="80" zoomScaleNormal="100" zoomScaleSheetLayoutView="80" workbookViewId="0">
      <selection activeCell="W73" sqref="W73"/>
    </sheetView>
  </sheetViews>
  <sheetFormatPr defaultColWidth="8.88671875" defaultRowHeight="13.8"/>
  <cols>
    <col min="1" max="1" width="8.88671875" style="46"/>
    <col min="2" max="2" width="9.109375" style="70" customWidth="1"/>
    <col min="3" max="3" width="12.5546875" style="46" customWidth="1"/>
    <col min="4" max="5" width="8.5546875" style="46" customWidth="1"/>
    <col min="6" max="6" width="9.88671875" style="46" customWidth="1"/>
    <col min="7" max="7" width="6.33203125" style="46" customWidth="1"/>
    <col min="8" max="8" width="12.5546875" style="46" customWidth="1"/>
    <col min="9" max="10" width="8.5546875" style="46" customWidth="1"/>
    <col min="11" max="11" width="10.5546875" style="46" customWidth="1"/>
    <col min="12" max="12" width="7.332031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18" customHeight="1">
      <c r="B2" s="50"/>
      <c r="C2" s="51"/>
      <c r="D2" s="51"/>
      <c r="E2" s="51"/>
      <c r="F2" s="51"/>
      <c r="G2" s="51"/>
      <c r="H2" s="51"/>
      <c r="I2" s="51"/>
      <c r="J2" s="51"/>
      <c r="K2" s="51"/>
      <c r="L2" s="51"/>
      <c r="M2" s="51"/>
      <c r="N2" s="51"/>
      <c r="O2" s="51"/>
      <c r="R2" s="47"/>
    </row>
    <row r="3" spans="2:22" ht="24.9" customHeight="1">
      <c r="B3" s="404" t="s">
        <v>500</v>
      </c>
      <c r="C3" s="404"/>
      <c r="D3" s="404"/>
      <c r="E3" s="404"/>
      <c r="F3" s="404"/>
      <c r="G3" s="404"/>
      <c r="H3" s="404"/>
      <c r="I3" s="404"/>
      <c r="J3" s="404"/>
      <c r="K3" s="404"/>
      <c r="L3" s="404"/>
      <c r="M3" s="404"/>
      <c r="N3" s="404"/>
      <c r="O3" s="404"/>
      <c r="P3" s="404"/>
      <c r="Q3" s="404"/>
      <c r="R3" s="47"/>
    </row>
    <row r="4" spans="2:22" ht="157.94999999999999" customHeight="1">
      <c r="B4" s="52">
        <v>200</v>
      </c>
      <c r="C4" s="51"/>
      <c r="D4" s="51"/>
      <c r="E4" s="51"/>
      <c r="F4" s="51"/>
      <c r="G4" s="51"/>
      <c r="H4" s="51"/>
      <c r="I4" s="51"/>
      <c r="J4" s="51"/>
      <c r="K4" s="51"/>
      <c r="L4" s="51"/>
      <c r="M4" s="51"/>
      <c r="N4" s="51"/>
      <c r="O4" s="51"/>
      <c r="P4" s="51"/>
      <c r="Q4" s="51"/>
      <c r="R4" s="47"/>
    </row>
    <row r="5" spans="2:22" ht="15.6" customHeight="1">
      <c r="B5" s="52"/>
      <c r="C5" s="51"/>
      <c r="D5" s="51"/>
      <c r="E5" s="51"/>
      <c r="F5" s="51"/>
      <c r="G5" s="51"/>
      <c r="H5" s="51"/>
      <c r="I5" s="51"/>
      <c r="J5" s="51"/>
      <c r="K5" s="51"/>
      <c r="L5" s="51"/>
      <c r="M5" s="51"/>
      <c r="N5" s="51"/>
      <c r="O5" s="51"/>
      <c r="P5" s="51"/>
      <c r="Q5" s="51"/>
      <c r="R5" s="47"/>
    </row>
    <row r="6" spans="2:22" ht="30" customHeight="1">
      <c r="B6" s="405" t="s">
        <v>30</v>
      </c>
      <c r="C6" s="405"/>
      <c r="D6" s="405"/>
      <c r="E6" s="405"/>
      <c r="F6" s="405"/>
      <c r="G6" s="405"/>
      <c r="H6" s="405"/>
      <c r="I6" s="405"/>
      <c r="J6" s="405"/>
      <c r="K6" s="405"/>
      <c r="L6" s="405"/>
      <c r="M6" s="405"/>
      <c r="N6" s="405"/>
      <c r="O6" s="405"/>
      <c r="P6" s="405"/>
      <c r="Q6" s="405"/>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406"/>
      <c r="D8" s="406"/>
      <c r="E8" s="406"/>
      <c r="F8" s="406"/>
      <c r="G8" s="51"/>
      <c r="H8" s="406"/>
      <c r="I8" s="406"/>
      <c r="J8" s="406"/>
      <c r="K8" s="406"/>
      <c r="L8" s="51"/>
      <c r="M8" s="406"/>
      <c r="N8" s="406"/>
      <c r="O8" s="406"/>
      <c r="P8" s="406"/>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00" t="str">
        <f>'26MY_ACCORD_APP_EN'!$C$117</f>
        <v>All Season Floor Mats</v>
      </c>
      <c r="D10" s="401"/>
      <c r="E10" s="401"/>
      <c r="F10" s="402"/>
      <c r="G10" s="55"/>
      <c r="H10" s="400" t="str">
        <f>'26MY_ACCORD_APP_EN'!$C$118</f>
        <v>Trunk Tray</v>
      </c>
      <c r="I10" s="401"/>
      <c r="J10" s="401"/>
      <c r="K10" s="402"/>
      <c r="L10" s="55"/>
      <c r="M10" s="403" t="str">
        <f>'26MY_ACCORD_APP_EN'!$C$130</f>
        <v>Auto Day/Night Mirror with Home Link</v>
      </c>
      <c r="N10" s="401"/>
      <c r="O10" s="401"/>
      <c r="P10" s="402"/>
      <c r="Q10" s="51"/>
      <c r="R10" s="47"/>
    </row>
    <row r="11" spans="2:22" ht="15" customHeight="1">
      <c r="B11" s="53">
        <v>20</v>
      </c>
      <c r="C11" s="73">
        <f>'26MY_ACCORD_APP_EN'!$H$117</f>
        <v>310.10000000000002</v>
      </c>
      <c r="D11" s="57">
        <f>-PMT($D$29/52,5*52,C11)</f>
        <v>1.4140246266770355</v>
      </c>
      <c r="E11" s="58" t="s">
        <v>31</v>
      </c>
      <c r="F11" s="75" t="str">
        <f>$C$29</f>
        <v>(6.99%)</v>
      </c>
      <c r="G11" s="51"/>
      <c r="H11" s="73">
        <f>'26MY_ACCORD_APP_EN'!$H$118</f>
        <v>233.1</v>
      </c>
      <c r="I11" s="57">
        <f>-PMT($D$29/52,5*52,H11)</f>
        <v>1.06291241689267</v>
      </c>
      <c r="J11" s="58" t="s">
        <v>31</v>
      </c>
      <c r="K11" s="75" t="str">
        <f>$C$29</f>
        <v>(6.99%)</v>
      </c>
      <c r="L11" s="51"/>
      <c r="M11" s="73">
        <f>'26MY_ACCORD_APP_EN'!$H$130+'26MY_ACCORD_APP_EN'!$H$131</f>
        <v>724.8</v>
      </c>
      <c r="N11" s="57">
        <f>-PMT($D$29/52,5*52,M11)</f>
        <v>3.3050146708014041</v>
      </c>
      <c r="O11" s="58" t="s">
        <v>31</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406"/>
      <c r="D13" s="406"/>
      <c r="E13" s="406"/>
      <c r="F13" s="406"/>
      <c r="G13" s="51"/>
      <c r="H13" s="406"/>
      <c r="I13" s="406"/>
      <c r="J13" s="406"/>
      <c r="K13" s="406"/>
      <c r="L13" s="51"/>
      <c r="M13" s="406"/>
      <c r="N13" s="406"/>
      <c r="O13" s="406"/>
      <c r="P13" s="406"/>
      <c r="Q13" s="51"/>
      <c r="R13" s="47"/>
    </row>
    <row r="14" spans="2:22" ht="9" customHeight="1">
      <c r="B14" s="52"/>
      <c r="C14" s="80"/>
      <c r="D14" s="80"/>
      <c r="E14" s="80"/>
      <c r="F14" s="80"/>
      <c r="G14" s="51"/>
      <c r="H14" s="80"/>
      <c r="I14" s="80"/>
      <c r="J14" s="80"/>
      <c r="K14" s="80"/>
      <c r="L14" s="51"/>
      <c r="M14" s="80"/>
      <c r="N14" s="80"/>
      <c r="O14" s="80"/>
      <c r="P14" s="80"/>
      <c r="Q14" s="51"/>
      <c r="R14" s="47"/>
    </row>
    <row r="15" spans="2:22" ht="21.9" customHeight="1">
      <c r="B15" s="52">
        <v>20</v>
      </c>
      <c r="C15" s="407" t="str">
        <f>'26MY_ACCORD_APP_EN'!$C$82</f>
        <v>Door Visors</v>
      </c>
      <c r="D15" s="408"/>
      <c r="E15" s="408"/>
      <c r="F15" s="409"/>
      <c r="G15" s="64"/>
      <c r="H15" s="400" t="str">
        <f>'26MY_ACCORD_APP_EN'!$C$61</f>
        <v>19" HPD Alloy Wheels, Black</v>
      </c>
      <c r="I15" s="401"/>
      <c r="J15" s="401"/>
      <c r="K15" s="402"/>
      <c r="L15" s="64"/>
      <c r="M15" s="400" t="str">
        <f>'26MY_ACCORD_APP_EN'!$C$75</f>
        <v>Black Emblem Rear "H" mark</v>
      </c>
      <c r="N15" s="401" t="s">
        <v>127</v>
      </c>
      <c r="O15" s="401" t="s">
        <v>127</v>
      </c>
      <c r="P15" s="402" t="s">
        <v>127</v>
      </c>
      <c r="Q15" s="51"/>
      <c r="R15" s="47"/>
    </row>
    <row r="16" spans="2:22" s="63" customFormat="1" ht="15.6">
      <c r="B16" s="56">
        <v>50</v>
      </c>
      <c r="C16" s="73">
        <f>'26MY_ACCORD_APP_EN'!$H$82</f>
        <v>423.5</v>
      </c>
      <c r="D16" s="57">
        <f>-PMT($D$29/52,5*52,C16)</f>
        <v>1.9311171538140102</v>
      </c>
      <c r="E16" s="58" t="s">
        <v>31</v>
      </c>
      <c r="F16" s="75" t="str">
        <f>$C$29</f>
        <v>(6.99%)</v>
      </c>
      <c r="G16" s="60"/>
      <c r="H16" s="73">
        <f>'26MY_ACCORD_APP_EN'!$H$61</f>
        <v>4045.6</v>
      </c>
      <c r="I16" s="57">
        <f>-PMT($D$29/52,5*52,H16)</f>
        <v>18.447526700047128</v>
      </c>
      <c r="J16" s="58" t="s">
        <v>31</v>
      </c>
      <c r="K16" s="75" t="str">
        <f>$C$29</f>
        <v>(6.99%)</v>
      </c>
      <c r="L16" s="60"/>
      <c r="M16" s="73">
        <f>'26MY_ACCORD_APP_EN'!$H$75</f>
        <v>98.2</v>
      </c>
      <c r="N16" s="57">
        <f>-PMT($D$29/52,5*52,M16)</f>
        <v>0.44778206494577522</v>
      </c>
      <c r="O16" s="58" t="s">
        <v>31</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406"/>
      <c r="D18" s="406"/>
      <c r="E18" s="406"/>
      <c r="F18" s="406"/>
      <c r="G18" s="51"/>
      <c r="H18" s="406"/>
      <c r="I18" s="406"/>
      <c r="J18" s="406"/>
      <c r="K18" s="406"/>
      <c r="L18" s="51"/>
      <c r="M18" s="406"/>
      <c r="N18" s="406"/>
      <c r="O18" s="406"/>
      <c r="P18" s="406"/>
      <c r="Q18" s="51"/>
    </row>
    <row r="19" spans="1:20" ht="9.75" customHeight="1">
      <c r="B19" s="52"/>
      <c r="C19" s="80"/>
      <c r="D19" s="80"/>
      <c r="E19" s="80"/>
      <c r="F19" s="80"/>
      <c r="G19" s="51"/>
      <c r="H19" s="80"/>
      <c r="I19" s="80"/>
      <c r="J19" s="80"/>
      <c r="K19" s="80"/>
      <c r="L19" s="51"/>
      <c r="M19" s="80"/>
      <c r="N19" s="80"/>
      <c r="O19" s="80"/>
      <c r="P19" s="80"/>
      <c r="Q19" s="51"/>
    </row>
    <row r="20" spans="1:20" ht="21.9" customHeight="1">
      <c r="B20" s="52">
        <v>20</v>
      </c>
      <c r="C20" s="400" t="str">
        <f>'26MY_ACCORD_APP_EN'!$C$95</f>
        <v>Body Side Moulding</v>
      </c>
      <c r="D20" s="401"/>
      <c r="E20" s="401"/>
      <c r="F20" s="402"/>
      <c r="G20" s="64"/>
      <c r="H20" s="412" t="str">
        <f>'26MY_ACCORD_APP_EN'!$C$132</f>
        <v>Engine Block Heater</v>
      </c>
      <c r="I20" s="401"/>
      <c r="J20" s="401"/>
      <c r="K20" s="402"/>
      <c r="L20" s="64"/>
      <c r="M20" s="413" t="str">
        <f>'26MY_ACCORD_APP_EN'!$C$42</f>
        <v>Aero Kit - Touring Trim</v>
      </c>
      <c r="N20" s="414"/>
      <c r="O20" s="414"/>
      <c r="P20" s="415"/>
      <c r="Q20" s="51"/>
    </row>
    <row r="21" spans="1:20" ht="15.6">
      <c r="B21" s="52">
        <v>50</v>
      </c>
      <c r="C21" s="73">
        <f>'26MY_ACCORD_APP_EN'!$H$96</f>
        <v>459.4</v>
      </c>
      <c r="D21" s="57">
        <f>-PMT($D$29/52,5*52,C21)</f>
        <v>2.094817521752435</v>
      </c>
      <c r="E21" s="58" t="s">
        <v>31</v>
      </c>
      <c r="F21" s="76" t="str">
        <f>$C$29</f>
        <v>(6.99%)</v>
      </c>
      <c r="G21" s="60"/>
      <c r="H21" s="73">
        <f>'26MY_ACCORD_APP_EN'!$H$132</f>
        <v>457.2</v>
      </c>
      <c r="I21" s="57">
        <f>-PMT($D$29/52,5*52,H21)</f>
        <v>2.0847857443300244</v>
      </c>
      <c r="J21" s="58" t="s">
        <v>31</v>
      </c>
      <c r="K21" s="76" t="str">
        <f>$C$29</f>
        <v>(6.99%)</v>
      </c>
      <c r="L21" s="60"/>
      <c r="M21" s="73">
        <f>SUM('26MY_ACCORD_APP_EN'!$H$42:$H$47)</f>
        <v>3224.6</v>
      </c>
      <c r="N21" s="57">
        <f>-PMT($D$29/52,5*52,M21)</f>
        <v>14.703849761956688</v>
      </c>
      <c r="O21" s="58" t="s">
        <v>31</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33</v>
      </c>
      <c r="D23" s="51"/>
      <c r="E23" s="51"/>
      <c r="F23" s="51"/>
      <c r="G23" s="51"/>
      <c r="H23" s="51"/>
      <c r="I23" s="51"/>
      <c r="J23" s="51"/>
      <c r="K23" s="51"/>
      <c r="L23" s="51"/>
      <c r="M23" s="51"/>
      <c r="N23" s="51"/>
      <c r="O23" s="51"/>
      <c r="P23" s="51"/>
      <c r="Q23" s="51"/>
    </row>
    <row r="24" spans="1:20" ht="15" customHeight="1">
      <c r="B24" s="65"/>
      <c r="C24" s="66" t="s">
        <v>34</v>
      </c>
      <c r="D24" s="51"/>
      <c r="E24" s="51"/>
      <c r="F24" s="51"/>
      <c r="G24" s="67"/>
      <c r="H24" s="67"/>
      <c r="I24" s="67"/>
      <c r="J24" s="67"/>
      <c r="K24" s="67"/>
      <c r="L24" s="67"/>
      <c r="M24" s="67"/>
      <c r="N24" s="67"/>
      <c r="O24" s="67"/>
      <c r="P24" s="67"/>
      <c r="Q24" s="51"/>
    </row>
    <row r="25" spans="1:20" ht="15" customHeight="1">
      <c r="B25" s="65">
        <v>20</v>
      </c>
      <c r="C25" s="66" t="s">
        <v>47</v>
      </c>
      <c r="D25" s="51"/>
      <c r="E25" s="51"/>
      <c r="F25" s="51"/>
      <c r="G25" s="67"/>
      <c r="H25" s="67"/>
      <c r="I25" s="67"/>
      <c r="J25" s="67"/>
      <c r="K25" s="67"/>
      <c r="L25" s="67"/>
      <c r="M25" s="67"/>
      <c r="N25" s="67"/>
      <c r="O25" s="67"/>
      <c r="P25" s="67"/>
      <c r="Q25" s="51"/>
    </row>
    <row r="26" spans="1:20" ht="69" customHeight="1">
      <c r="B26" s="52">
        <v>60</v>
      </c>
      <c r="C26" s="410" t="s">
        <v>134</v>
      </c>
      <c r="D26" s="410"/>
      <c r="E26" s="410"/>
      <c r="F26" s="410"/>
      <c r="G26" s="410"/>
      <c r="H26" s="410"/>
      <c r="I26" s="410"/>
      <c r="J26" s="410"/>
      <c r="K26" s="410"/>
      <c r="L26" s="410"/>
      <c r="M26" s="410"/>
      <c r="N26" s="410"/>
      <c r="O26" s="410"/>
      <c r="P26" s="410"/>
      <c r="Q26" s="51"/>
    </row>
    <row r="27" spans="1:20" ht="20.25" customHeight="1" thickBot="1">
      <c r="B27" s="236"/>
      <c r="C27" s="237" t="s">
        <v>32</v>
      </c>
      <c r="D27" s="238"/>
      <c r="E27" s="239"/>
      <c r="F27" s="238"/>
      <c r="G27" s="240"/>
      <c r="H27" s="240"/>
      <c r="I27" s="240"/>
      <c r="J27" s="240"/>
      <c r="K27" s="241"/>
      <c r="L27" s="241"/>
      <c r="M27" s="241"/>
      <c r="N27" s="242"/>
      <c r="O27" s="411"/>
      <c r="P27" s="411"/>
      <c r="Q27" s="243"/>
    </row>
    <row r="28" spans="1:20" ht="20.25" customHeight="1">
      <c r="A28" s="68"/>
      <c r="B28" s="231">
        <v>20</v>
      </c>
      <c r="C28" s="233"/>
      <c r="D28" s="231"/>
      <c r="E28" s="230"/>
      <c r="F28" s="231"/>
      <c r="G28" s="232"/>
      <c r="H28" s="232"/>
      <c r="I28" s="232"/>
      <c r="J28" s="232"/>
      <c r="K28" s="233"/>
      <c r="L28" s="233"/>
      <c r="M28" s="233"/>
      <c r="N28" s="233"/>
      <c r="O28" s="233"/>
      <c r="P28" s="77"/>
      <c r="Q28" s="51"/>
    </row>
    <row r="29" spans="1:20" ht="18" customHeight="1">
      <c r="A29" s="68"/>
      <c r="B29" s="231">
        <v>18</v>
      </c>
      <c r="C29" s="229" t="s">
        <v>137</v>
      </c>
      <c r="D29" s="230">
        <v>6.9900000000000004E-2</v>
      </c>
      <c r="E29" s="230"/>
      <c r="F29" s="231"/>
      <c r="G29" s="232"/>
      <c r="H29" s="232"/>
      <c r="I29" s="232"/>
      <c r="J29" s="232"/>
      <c r="K29" s="233"/>
      <c r="L29" s="233"/>
      <c r="M29" s="233"/>
      <c r="N29" s="233"/>
      <c r="O29" s="233"/>
      <c r="P29" s="77"/>
      <c r="Q29" s="51"/>
    </row>
    <row r="30" spans="1:20" s="51" customFormat="1" ht="15" customHeight="1">
      <c r="A30" s="69"/>
      <c r="B30" s="234">
        <v>7.5</v>
      </c>
      <c r="C30" s="234">
        <v>12</v>
      </c>
      <c r="D30" s="234">
        <v>8</v>
      </c>
      <c r="E30" s="234">
        <v>8</v>
      </c>
      <c r="F30" s="234">
        <v>10</v>
      </c>
      <c r="G30" s="234">
        <v>8.5</v>
      </c>
      <c r="H30" s="234">
        <v>12</v>
      </c>
      <c r="I30" s="234">
        <v>8</v>
      </c>
      <c r="J30" s="234">
        <v>8</v>
      </c>
      <c r="K30" s="234">
        <v>10</v>
      </c>
      <c r="L30" s="234">
        <v>8.5</v>
      </c>
      <c r="M30" s="234">
        <v>12</v>
      </c>
      <c r="N30" s="234">
        <v>8</v>
      </c>
      <c r="O30" s="234">
        <v>8</v>
      </c>
      <c r="P30" s="52">
        <v>10</v>
      </c>
      <c r="Q30" s="52">
        <v>7.5</v>
      </c>
    </row>
    <row r="31" spans="1:20" s="51" customFormat="1" ht="21.9" customHeight="1">
      <c r="A31" s="69"/>
      <c r="B31" s="235" t="s">
        <v>213</v>
      </c>
      <c r="C31" s="228">
        <f>'26MY_ACCORD_DATA'!$C$4</f>
        <v>46127</v>
      </c>
      <c r="D31" s="67" t="str">
        <f>'SELECT PROVINCE'!$A$23</f>
        <v>All published prices, trim specifications, and availability are subject to change without prior notice.</v>
      </c>
      <c r="E31" s="225"/>
      <c r="F31" s="225"/>
      <c r="G31" s="225"/>
      <c r="H31" s="225"/>
      <c r="I31" s="225"/>
      <c r="J31" s="225"/>
      <c r="K31" s="225"/>
      <c r="L31" s="225"/>
      <c r="M31" s="225"/>
      <c r="N31" s="225"/>
      <c r="O31" s="65"/>
      <c r="P31" s="227" t="s">
        <v>60</v>
      </c>
      <c r="Q31" s="226" t="str">
        <f>'26MY_ACCORD_DATA'!L6</f>
        <v>YT</v>
      </c>
    </row>
    <row r="32" spans="1:20" ht="15.6">
      <c r="D32" s="81"/>
      <c r="P32" s="82"/>
      <c r="Q32" s="83"/>
      <c r="T32" s="71"/>
    </row>
    <row r="33" spans="2:2">
      <c r="B33" s="86"/>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7" fitToHeight="0" orientation="portrait" r:id="rId1"/>
  <headerFooter scaleWithDoc="0"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topLeftCell="A18" zoomScale="85" zoomScaleNormal="100" zoomScaleSheetLayoutView="85" workbookViewId="0">
      <selection activeCell="W73" sqref="W73"/>
    </sheetView>
  </sheetViews>
  <sheetFormatPr defaultColWidth="8.88671875" defaultRowHeight="13.8"/>
  <cols>
    <col min="1" max="1" width="8.88671875" style="46"/>
    <col min="2" max="2" width="9.109375" style="70" customWidth="1"/>
    <col min="3" max="3" width="12.5546875" style="46" customWidth="1"/>
    <col min="4" max="5" width="8.5546875" style="46" customWidth="1"/>
    <col min="6" max="6" width="10.5546875" style="46" customWidth="1"/>
    <col min="7" max="7" width="6.44140625" style="46" customWidth="1"/>
    <col min="8" max="8" width="12.5546875" style="46" customWidth="1"/>
    <col min="9" max="10" width="8.5546875" style="46" customWidth="1"/>
    <col min="11" max="11" width="10.5546875" style="46" customWidth="1"/>
    <col min="12" max="12" width="5.332031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8.1" customHeight="1">
      <c r="B2" s="50"/>
      <c r="C2" s="51"/>
      <c r="D2" s="51"/>
      <c r="E2" s="51"/>
      <c r="F2" s="51"/>
      <c r="G2" s="51"/>
      <c r="H2" s="51"/>
      <c r="I2" s="51"/>
      <c r="J2" s="51"/>
      <c r="K2" s="51"/>
      <c r="L2" s="51"/>
      <c r="M2" s="51"/>
      <c r="N2" s="51"/>
      <c r="O2" s="51"/>
      <c r="R2" s="47"/>
    </row>
    <row r="3" spans="2:22" ht="24.9" customHeight="1">
      <c r="B3" s="404" t="s">
        <v>501</v>
      </c>
      <c r="C3" s="404"/>
      <c r="D3" s="404"/>
      <c r="E3" s="404"/>
      <c r="F3" s="404"/>
      <c r="G3" s="404"/>
      <c r="H3" s="404"/>
      <c r="I3" s="404"/>
      <c r="J3" s="404"/>
      <c r="K3" s="404"/>
      <c r="L3" s="404"/>
      <c r="M3" s="404"/>
      <c r="N3" s="404"/>
      <c r="O3" s="404"/>
      <c r="P3" s="404"/>
      <c r="Q3" s="404"/>
      <c r="R3" s="47"/>
    </row>
    <row r="4" spans="2:22" ht="134.4" customHeight="1">
      <c r="B4" s="52">
        <v>200</v>
      </c>
      <c r="C4" s="51"/>
      <c r="D4" s="51"/>
      <c r="E4" s="51"/>
      <c r="F4" s="51"/>
      <c r="G4" s="51"/>
      <c r="H4" s="51"/>
      <c r="I4" s="51"/>
      <c r="J4" s="51"/>
      <c r="K4" s="51"/>
      <c r="L4" s="51"/>
      <c r="M4" s="51"/>
      <c r="N4" s="51"/>
      <c r="O4" s="51"/>
      <c r="P4" s="51"/>
      <c r="Q4" s="51"/>
      <c r="R4" s="47"/>
    </row>
    <row r="5" spans="2:22" ht="25.95" customHeight="1">
      <c r="B5" s="52"/>
      <c r="C5" s="51"/>
      <c r="D5" s="51"/>
      <c r="E5" s="51"/>
      <c r="F5" s="51"/>
      <c r="G5" s="51"/>
      <c r="H5" s="51"/>
      <c r="I5" s="51"/>
      <c r="J5" s="51"/>
      <c r="K5" s="51"/>
      <c r="L5" s="51"/>
      <c r="M5" s="51"/>
      <c r="N5" s="51"/>
      <c r="O5" s="51"/>
      <c r="P5" s="51"/>
      <c r="Q5" s="51"/>
      <c r="R5" s="47"/>
    </row>
    <row r="6" spans="2:22" ht="30" customHeight="1">
      <c r="B6" s="405" t="s">
        <v>102</v>
      </c>
      <c r="C6" s="405"/>
      <c r="D6" s="405"/>
      <c r="E6" s="405"/>
      <c r="F6" s="405"/>
      <c r="G6" s="405"/>
      <c r="H6" s="405"/>
      <c r="I6" s="405"/>
      <c r="J6" s="405"/>
      <c r="K6" s="405"/>
      <c r="L6" s="405"/>
      <c r="M6" s="405"/>
      <c r="N6" s="405"/>
      <c r="O6" s="405"/>
      <c r="P6" s="405"/>
      <c r="Q6" s="405"/>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406"/>
      <c r="D8" s="406"/>
      <c r="E8" s="406"/>
      <c r="F8" s="406"/>
      <c r="G8" s="51"/>
      <c r="H8" s="406"/>
      <c r="I8" s="406"/>
      <c r="J8" s="406"/>
      <c r="K8" s="406"/>
      <c r="L8" s="51"/>
      <c r="M8" s="406"/>
      <c r="N8" s="406"/>
      <c r="O8" s="406"/>
      <c r="P8" s="406"/>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00" t="str">
        <f>'26MY_ACCORD_APP_FR'!$C$117</f>
        <v xml:space="preserve">Protège-tapis toutes saisons </v>
      </c>
      <c r="D10" s="401"/>
      <c r="E10" s="401"/>
      <c r="F10" s="402"/>
      <c r="G10" s="55"/>
      <c r="H10" s="400" t="str">
        <f>'26MY_ACCORD_APP_FR'!$C$120</f>
        <v>Filet de cargaison</v>
      </c>
      <c r="I10" s="401"/>
      <c r="J10" s="401"/>
      <c r="K10" s="402"/>
      <c r="L10" s="55"/>
      <c r="M10" s="416" t="str">
        <f>'26MY_ACCORD_APP_FR'!$C$130</f>
        <v>Rétroviseur automatique jour/nuit avec HomeLink</v>
      </c>
      <c r="N10" s="417"/>
      <c r="O10" s="417"/>
      <c r="P10" s="418"/>
      <c r="Q10" s="51"/>
      <c r="R10" s="47"/>
    </row>
    <row r="11" spans="2:22" ht="15" customHeight="1">
      <c r="B11" s="53">
        <v>20</v>
      </c>
      <c r="C11" s="74">
        <f>'26MY_ACCORD_APP_FR'!$H$117</f>
        <v>310.10000000000002</v>
      </c>
      <c r="D11" s="72">
        <f>-PMT($D$29/52,5*52,C11)</f>
        <v>1.4140246266770355</v>
      </c>
      <c r="E11" s="58" t="s">
        <v>31</v>
      </c>
      <c r="F11" s="75" t="str">
        <f>$C$29</f>
        <v>(6.99%)</v>
      </c>
      <c r="G11" s="51"/>
      <c r="H11" s="74">
        <f>'26MY_ACCORD_APP_FR'!$H$120</f>
        <v>130.4</v>
      </c>
      <c r="I11" s="72">
        <f>-PMT($D$29/52,5*52,H11)</f>
        <v>0.5946108072192372</v>
      </c>
      <c r="J11" s="58" t="s">
        <v>31</v>
      </c>
      <c r="K11" s="75" t="str">
        <f>$C$29</f>
        <v>(6.99%)</v>
      </c>
      <c r="L11" s="51"/>
      <c r="M11" s="74">
        <f>('26MY_ACCORD_APP_FR'!H130+'26MY_ACCORD_APP_FR'!H131)</f>
        <v>724.8</v>
      </c>
      <c r="N11" s="72">
        <f>-PMT($D$29/52,5*52,M11)</f>
        <v>3.3050146708014041</v>
      </c>
      <c r="O11" s="58" t="s">
        <v>31</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406"/>
      <c r="D13" s="406"/>
      <c r="E13" s="406"/>
      <c r="F13" s="406"/>
      <c r="G13" s="51"/>
      <c r="H13" s="406"/>
      <c r="I13" s="406"/>
      <c r="J13" s="406"/>
      <c r="K13" s="406"/>
      <c r="L13" s="51"/>
      <c r="M13" s="406"/>
      <c r="N13" s="406"/>
      <c r="O13" s="406"/>
      <c r="P13" s="406"/>
      <c r="Q13" s="51"/>
      <c r="R13" s="47"/>
    </row>
    <row r="14" spans="2:22" ht="9" customHeight="1">
      <c r="B14" s="52"/>
      <c r="C14" s="80"/>
      <c r="D14" s="80"/>
      <c r="E14" s="80"/>
      <c r="F14" s="80"/>
      <c r="G14" s="51"/>
      <c r="H14" s="80"/>
      <c r="I14" s="80"/>
      <c r="J14" s="80"/>
      <c r="K14" s="80"/>
      <c r="L14" s="51"/>
      <c r="M14" s="80"/>
      <c r="N14" s="80"/>
      <c r="O14" s="80"/>
      <c r="P14" s="80"/>
      <c r="Q14" s="51"/>
      <c r="R14" s="47"/>
    </row>
    <row r="15" spans="2:22" ht="21.9" customHeight="1">
      <c r="B15" s="52">
        <v>20</v>
      </c>
      <c r="C15" s="407" t="str">
        <f>'26MY_ACCORD_APP_FR'!$C$82</f>
        <v>Déflecteurs de portières</v>
      </c>
      <c r="D15" s="408"/>
      <c r="E15" s="408"/>
      <c r="F15" s="409"/>
      <c r="G15" s="64"/>
      <c r="H15" s="400" t="str">
        <f>'26MY_ACCORD_APP_FR'!$C$61</f>
        <v>Jantes de 19 pouces HPD en alliage noir</v>
      </c>
      <c r="I15" s="401"/>
      <c r="J15" s="401"/>
      <c r="K15" s="402"/>
      <c r="L15" s="64"/>
      <c r="M15" s="419" t="str">
        <f>'26MY_ACCORD_APP_FR'!$C$75</f>
        <v>Emblème, noirs lustré arrière  « H »  mark</v>
      </c>
      <c r="N15" s="420" t="s">
        <v>127</v>
      </c>
      <c r="O15" s="420" t="s">
        <v>127</v>
      </c>
      <c r="P15" s="421" t="s">
        <v>127</v>
      </c>
      <c r="Q15" s="51"/>
      <c r="R15" s="47"/>
    </row>
    <row r="16" spans="2:22" s="63" customFormat="1" ht="15.6">
      <c r="B16" s="56">
        <v>50</v>
      </c>
      <c r="C16" s="74">
        <f>'26MY_ACCORD_APP_FR'!$H$82</f>
        <v>423.5</v>
      </c>
      <c r="D16" s="72">
        <f>-PMT($D$29/52,5*52,C16)</f>
        <v>1.9311171538140102</v>
      </c>
      <c r="E16" s="58" t="s">
        <v>31</v>
      </c>
      <c r="F16" s="75" t="str">
        <f>$C$29</f>
        <v>(6.99%)</v>
      </c>
      <c r="G16" s="60"/>
      <c r="H16" s="74">
        <f>'26MY_ACCORD_APP_FR'!$H$61</f>
        <v>4045.6</v>
      </c>
      <c r="I16" s="290">
        <f>-PMT($D$29/52,5*52,H16)</f>
        <v>18.447526700047128</v>
      </c>
      <c r="J16" s="58" t="s">
        <v>31</v>
      </c>
      <c r="K16" s="75" t="str">
        <f>$C$29</f>
        <v>(6.99%)</v>
      </c>
      <c r="L16" s="60"/>
      <c r="M16" s="74">
        <f>'26MY_ACCORD_APP_FR'!$H$75</f>
        <v>98.2</v>
      </c>
      <c r="N16" s="72">
        <f>-PMT($D$29/52,5*52,M16)</f>
        <v>0.44778206494577522</v>
      </c>
      <c r="O16" s="58" t="s">
        <v>31</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406"/>
      <c r="D18" s="406"/>
      <c r="E18" s="406"/>
      <c r="F18" s="406"/>
      <c r="G18" s="51"/>
      <c r="H18" s="406"/>
      <c r="I18" s="406"/>
      <c r="J18" s="406"/>
      <c r="K18" s="406"/>
      <c r="L18" s="51"/>
      <c r="M18" s="406"/>
      <c r="N18" s="406"/>
      <c r="O18" s="406"/>
      <c r="P18" s="406"/>
      <c r="Q18" s="51"/>
    </row>
    <row r="19" spans="1:20" ht="9.75" customHeight="1">
      <c r="B19" s="52"/>
      <c r="C19" s="80"/>
      <c r="D19" s="80"/>
      <c r="E19" s="80"/>
      <c r="F19" s="80"/>
      <c r="G19" s="51"/>
      <c r="H19" s="80"/>
      <c r="I19" s="80"/>
      <c r="J19" s="80"/>
      <c r="K19" s="80"/>
      <c r="L19" s="51"/>
      <c r="M19" s="80"/>
      <c r="N19" s="80"/>
      <c r="O19" s="80"/>
      <c r="P19" s="80"/>
      <c r="Q19" s="51"/>
    </row>
    <row r="20" spans="1:20" ht="21.9" customHeight="1">
      <c r="B20" s="52">
        <v>20</v>
      </c>
      <c r="C20" s="400" t="str">
        <f>'26MY_ACCORD_APP_FR'!$C$95</f>
        <v>Moulure latérale</v>
      </c>
      <c r="D20" s="401"/>
      <c r="E20" s="401"/>
      <c r="F20" s="402"/>
      <c r="G20" s="64"/>
      <c r="H20" s="412" t="str">
        <f>'26MY_ACCORD_APP_FR'!$C$132</f>
        <v>Chauffe-moteur</v>
      </c>
      <c r="I20" s="401"/>
      <c r="J20" s="401"/>
      <c r="K20" s="402"/>
      <c r="L20" s="64"/>
      <c r="M20" s="422" t="str">
        <f>'26MY_ACCORD_APP_FR'!$C$42</f>
        <v>Ensemble Aero – Version Touring</v>
      </c>
      <c r="N20" s="423"/>
      <c r="O20" s="423"/>
      <c r="P20" s="424"/>
      <c r="Q20" s="51"/>
    </row>
    <row r="21" spans="1:20" ht="15.6">
      <c r="B21" s="52">
        <v>50</v>
      </c>
      <c r="C21" s="74">
        <f>'26MY_ACCORD_APP_FR'!H96+'26MY_ACCORD_APP_FR'!$H$96</f>
        <v>918.8</v>
      </c>
      <c r="D21" s="72">
        <f>-PMT($D$29/52,5*52,C21)</f>
        <v>4.1896350435048699</v>
      </c>
      <c r="E21" s="58" t="s">
        <v>31</v>
      </c>
      <c r="F21" s="76" t="str">
        <f>$C$29</f>
        <v>(6.99%)</v>
      </c>
      <c r="G21" s="60"/>
      <c r="H21" s="74">
        <f>'26MY_ACCORD_APP_FR'!$H$132</f>
        <v>457.2</v>
      </c>
      <c r="I21" s="72">
        <f>-PMT($D$29/52,5*52,H21)</f>
        <v>2.0847857443300244</v>
      </c>
      <c r="J21" s="58" t="s">
        <v>31</v>
      </c>
      <c r="K21" s="76" t="str">
        <f>$C$29</f>
        <v>(6.99%)</v>
      </c>
      <c r="L21" s="60"/>
      <c r="M21" s="74">
        <f>SUM('26MY_ACCORD_APP_FR'!$H$42:$H$47)</f>
        <v>3224.6</v>
      </c>
      <c r="N21" s="290">
        <f>-PMT($D$29/52,5*52,M21)</f>
        <v>14.703849761956688</v>
      </c>
      <c r="O21" s="58" t="s">
        <v>31</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50</v>
      </c>
      <c r="D23" s="51"/>
      <c r="E23" s="51"/>
      <c r="F23" s="51"/>
      <c r="G23" s="51"/>
      <c r="H23" s="51"/>
      <c r="I23" s="51"/>
      <c r="J23" s="51"/>
      <c r="K23" s="51"/>
      <c r="L23" s="51"/>
      <c r="M23" s="51"/>
      <c r="N23" s="51"/>
      <c r="O23" s="51"/>
      <c r="P23" s="51"/>
      <c r="Q23" s="51"/>
    </row>
    <row r="24" spans="1:20" ht="15" customHeight="1">
      <c r="B24" s="65"/>
      <c r="C24" s="66" t="s">
        <v>51</v>
      </c>
      <c r="D24" s="51"/>
      <c r="E24" s="51"/>
      <c r="F24" s="51"/>
      <c r="G24" s="67"/>
      <c r="H24" s="67"/>
      <c r="I24" s="67"/>
      <c r="J24" s="67"/>
      <c r="K24" s="67"/>
      <c r="L24" s="67"/>
      <c r="M24" s="67"/>
      <c r="N24" s="67"/>
      <c r="O24" s="67"/>
      <c r="P24" s="67"/>
      <c r="Q24" s="51"/>
    </row>
    <row r="25" spans="1:20" ht="15" customHeight="1">
      <c r="B25" s="65">
        <v>20</v>
      </c>
      <c r="C25" s="66" t="s">
        <v>101</v>
      </c>
      <c r="D25" s="51"/>
      <c r="E25" s="51"/>
      <c r="F25" s="51"/>
      <c r="G25" s="67"/>
      <c r="H25" s="67"/>
      <c r="I25" s="67"/>
      <c r="J25" s="67"/>
      <c r="K25" s="67"/>
      <c r="L25" s="67"/>
      <c r="M25" s="67"/>
      <c r="N25" s="67"/>
      <c r="O25" s="67"/>
      <c r="P25" s="67"/>
      <c r="Q25" s="51"/>
    </row>
    <row r="26" spans="1:20" ht="85.5" customHeight="1">
      <c r="B26" s="52">
        <v>60</v>
      </c>
      <c r="C26" s="410" t="s">
        <v>136</v>
      </c>
      <c r="D26" s="410"/>
      <c r="E26" s="410"/>
      <c r="F26" s="410"/>
      <c r="G26" s="410"/>
      <c r="H26" s="410"/>
      <c r="I26" s="410"/>
      <c r="J26" s="410"/>
      <c r="K26" s="410"/>
      <c r="L26" s="410"/>
      <c r="M26" s="410"/>
      <c r="N26" s="410"/>
      <c r="O26" s="410"/>
      <c r="P26" s="410"/>
      <c r="Q26" s="51"/>
    </row>
    <row r="27" spans="1:20" ht="20.25" customHeight="1" thickBot="1">
      <c r="B27" s="236"/>
      <c r="C27" s="237" t="s">
        <v>100</v>
      </c>
      <c r="D27" s="238"/>
      <c r="E27" s="239"/>
      <c r="F27" s="238"/>
      <c r="G27" s="240"/>
      <c r="H27" s="240"/>
      <c r="I27" s="240"/>
      <c r="J27" s="240"/>
      <c r="K27" s="241"/>
      <c r="L27" s="241"/>
      <c r="M27" s="241"/>
      <c r="N27" s="242"/>
      <c r="O27" s="411"/>
      <c r="P27" s="411"/>
      <c r="Q27" s="243"/>
    </row>
    <row r="28" spans="1:20" ht="20.25" customHeight="1">
      <c r="A28" s="68"/>
      <c r="B28" s="231">
        <v>20</v>
      </c>
      <c r="C28" s="233"/>
      <c r="D28" s="231"/>
      <c r="E28" s="230"/>
      <c r="F28" s="231"/>
      <c r="G28" s="232"/>
      <c r="H28" s="232"/>
      <c r="I28" s="232"/>
      <c r="J28" s="232"/>
      <c r="K28" s="233"/>
      <c r="L28" s="233"/>
      <c r="M28" s="233"/>
      <c r="N28" s="233"/>
      <c r="O28" s="233"/>
      <c r="P28" s="77"/>
      <c r="Q28" s="51"/>
    </row>
    <row r="29" spans="1:20" ht="18" customHeight="1">
      <c r="A29" s="68"/>
      <c r="B29" s="231">
        <v>18</v>
      </c>
      <c r="C29" s="229" t="s">
        <v>137</v>
      </c>
      <c r="D29" s="230">
        <v>6.9900000000000004E-2</v>
      </c>
      <c r="E29" s="230"/>
      <c r="F29" s="231"/>
      <c r="G29" s="232"/>
      <c r="H29" s="232"/>
      <c r="I29" s="232"/>
      <c r="J29" s="232"/>
      <c r="K29" s="233"/>
      <c r="L29" s="233"/>
      <c r="M29" s="233"/>
      <c r="N29" s="233"/>
      <c r="O29" s="233"/>
      <c r="P29" s="77"/>
      <c r="Q29" s="51"/>
    </row>
    <row r="30" spans="1:20" s="51" customFormat="1" ht="15" customHeight="1">
      <c r="A30" s="69"/>
      <c r="B30" s="234">
        <v>7.5</v>
      </c>
      <c r="C30" s="234">
        <v>12</v>
      </c>
      <c r="D30" s="234">
        <v>8</v>
      </c>
      <c r="E30" s="234">
        <v>8</v>
      </c>
      <c r="F30" s="234">
        <v>10</v>
      </c>
      <c r="G30" s="234">
        <v>8.5</v>
      </c>
      <c r="H30" s="234">
        <v>12</v>
      </c>
      <c r="I30" s="234">
        <v>8</v>
      </c>
      <c r="J30" s="234">
        <v>8</v>
      </c>
      <c r="K30" s="234">
        <v>10</v>
      </c>
      <c r="L30" s="234">
        <v>8.5</v>
      </c>
      <c r="M30" s="234">
        <v>12</v>
      </c>
      <c r="N30" s="234">
        <v>8</v>
      </c>
      <c r="O30" s="234">
        <v>8</v>
      </c>
      <c r="P30" s="52">
        <v>10</v>
      </c>
      <c r="Q30" s="52">
        <v>7.5</v>
      </c>
    </row>
    <row r="31" spans="1:20" s="51" customFormat="1" ht="21.9" customHeight="1">
      <c r="A31" s="69"/>
      <c r="B31" s="235" t="s">
        <v>135</v>
      </c>
      <c r="C31" s="228">
        <f>'26MY_ACCORD_DATA'!$C$4</f>
        <v>46127</v>
      </c>
      <c r="D31" s="67" t="s">
        <v>99</v>
      </c>
      <c r="E31" s="225"/>
      <c r="F31" s="225"/>
      <c r="G31" s="225"/>
      <c r="H31" s="225"/>
      <c r="I31" s="225"/>
      <c r="J31" s="225"/>
      <c r="K31" s="225"/>
      <c r="L31" s="225"/>
      <c r="M31" s="225"/>
      <c r="N31" s="225"/>
      <c r="O31" s="65"/>
      <c r="P31" s="227" t="s">
        <v>60</v>
      </c>
      <c r="Q31" s="226" t="str">
        <f>'26MY_ACCORD_DATA'!L6</f>
        <v>YT</v>
      </c>
    </row>
    <row r="32" spans="1:20" ht="15.6">
      <c r="D32" s="81"/>
      <c r="P32" s="82"/>
      <c r="Q32" s="83"/>
      <c r="T32" s="71"/>
    </row>
    <row r="33" spans="2:2">
      <c r="B33" s="86"/>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70"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26MY_ACCORD_DATA</vt:lpstr>
      <vt:lpstr>SELECT PROVINCE</vt:lpstr>
      <vt:lpstr>26MY_ACCORD_APP_EN</vt:lpstr>
      <vt:lpstr>26MY_ACCORD_APP_FR</vt:lpstr>
      <vt:lpstr>26MY_ACCORD_SELL_EN</vt:lpstr>
      <vt:lpstr>26MY_ACCORD_SELL_FR</vt:lpstr>
      <vt:lpstr>'26MY_ACCORD_APP_EN'!Print_Area</vt:lpstr>
      <vt:lpstr>'26MY_ACCORD_APP_FR'!Print_Area</vt:lpstr>
      <vt:lpstr>'26MY_ACCORD_SELL_EN'!Print_Area</vt:lpstr>
      <vt:lpstr>'26MY_ACCORD_SELL_FR'!Print_Area</vt:lpstr>
      <vt:lpstr>'SELECT PROVINCE'!Print_Area</vt:lpstr>
      <vt:lpstr>'26MY_ACCORD_APP_EN'!Print_Titles</vt:lpstr>
      <vt:lpstr>'26MY_ACCORD_APP_FR'!Print_Titles</vt:lpstr>
      <vt:lpstr>'26MY_ACCORD_DATA'!Print_Titles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2026-04-15T13:38:17Z</cp:lastPrinted>
  <dcterms:created xsi:type="dcterms:W3CDTF">2013-01-30T20:30:05Z</dcterms:created>
  <dcterms:modified xsi:type="dcterms:W3CDTF">2026-04-15T13:39:45Z</dcterms:modified>
</cp:coreProperties>
</file>