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Civic 4D\"/>
    </mc:Choice>
  </mc:AlternateContent>
  <xr:revisionPtr revIDLastSave="0" documentId="13_ncr:1_{8CBA34E8-A1B1-4E7D-844F-345CC3DFED66}" xr6:coauthVersionLast="47" xr6:coauthVersionMax="47" xr10:uidLastSave="{00000000-0000-0000-0000-000000000000}"/>
  <workbookProtection workbookAlgorithmName="SHA-512" workbookHashValue="6ZjkLgbkQV6rCG1aSISStryjEuQpZvpV2q+O35GERidUNWmudE0uUR9TMAJ+ZVjNCyFBy0WC33PIufqg0wOL7Q==" workbookSaltValue="M5W3CbNgr6QpLtlkvoojFQ==" workbookSpinCount="100000" lockStructure="1"/>
  <bookViews>
    <workbookView xWindow="-108" yWindow="-108" windowWidth="30936" windowHeight="16776" tabRatio="847" firstSheet="3" activeTab="3" xr2:uid="{00000000-000D-0000-FFFF-FFFF00000000}"/>
  </bookViews>
  <sheets>
    <sheet name="Sell Sheet Formula" sheetId="128" state="hidden" r:id="rId1"/>
    <sheet name="Hierarchy" sheetId="201" state="hidden" r:id="rId2"/>
    <sheet name="26MY_CIV4D_DATA" sheetId="174" state="hidden" r:id="rId3"/>
    <sheet name="SELECT PROVINCE" sheetId="1" r:id="rId4"/>
    <sheet name="26MY_CIV4D_APP_EN" sheetId="197" r:id="rId5"/>
    <sheet name="26MY_CIV4D_SELL-EN" sheetId="195" r:id="rId6"/>
    <sheet name="26MY_CIV4D_APP_FR" sheetId="202" r:id="rId7"/>
    <sheet name="26MY_CIV4D_SELL-FR" sheetId="204" r:id="rId8"/>
  </sheets>
  <externalReferences>
    <externalReference r:id="rId9"/>
    <externalReference r:id="rId10"/>
  </externalReferences>
  <definedNames>
    <definedName name="_xlnm._FilterDatabase" localSheetId="2" hidden="1">'26MY_CIV4D_DATA'!$A$9:$BF$105</definedName>
    <definedName name="_xlnm._FilterDatabase" localSheetId="1" hidden="1">Hierarchy!$D$1:$M$63</definedName>
    <definedName name="BC" localSheetId="0">#REF!</definedName>
    <definedName name="_xlnm.Print_Area" localSheetId="4">'26MY_CIV4D_APP_EN'!$C$2:$Q$169</definedName>
    <definedName name="_xlnm.Print_Area" localSheetId="6">'26MY_CIV4D_APP_FR'!$C$2:$Q$151</definedName>
    <definedName name="_xlnm.Print_Area" localSheetId="5">'26MY_CIV4D_SELL-EN'!$B$2:$Q$31</definedName>
    <definedName name="_xlnm.Print_Area" localSheetId="7">'26MY_CIV4D_SELL-FR'!$B$2:$Q$31</definedName>
    <definedName name="_xlnm.Print_Area" localSheetId="3">'SELECT PROVINCE'!$A$1:$M$34</definedName>
    <definedName name="_xlnm.Print_Titles" localSheetId="4">'26MY_CIV4D_APP_EN'!$12:$13</definedName>
    <definedName name="_xlnm.Print_Titles" localSheetId="6">'26MY_CIV4D_APP_FR'!$12:$13</definedName>
    <definedName name="_xlnm.Print_Titles" localSheetId="2">'26MY_CIV4D_DATA'!$3:$4</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 l="1"/>
  <c r="Q63" i="202"/>
  <c r="P63" i="202"/>
  <c r="O63" i="202"/>
  <c r="N63" i="202"/>
  <c r="M63" i="202"/>
  <c r="L63" i="202"/>
  <c r="K63" i="202"/>
  <c r="J63" i="202"/>
  <c r="I63" i="202"/>
  <c r="G63" i="202"/>
  <c r="F63" i="202"/>
  <c r="E63" i="202"/>
  <c r="D63" i="202"/>
  <c r="C63" i="202"/>
  <c r="Q62" i="197"/>
  <c r="P62" i="197"/>
  <c r="O62" i="197"/>
  <c r="N62" i="197"/>
  <c r="M62" i="197"/>
  <c r="L62" i="197"/>
  <c r="K62" i="197"/>
  <c r="J62" i="197"/>
  <c r="I62" i="197"/>
  <c r="G62" i="197"/>
  <c r="F62" i="197"/>
  <c r="E62" i="197"/>
  <c r="D62" i="197"/>
  <c r="C62" i="197"/>
  <c r="K48" i="174"/>
  <c r="L48" i="174" s="1"/>
  <c r="J48" i="174"/>
  <c r="H23" i="174"/>
  <c r="H24" i="174"/>
  <c r="D4" i="202"/>
  <c r="D4" i="197"/>
  <c r="I139" i="202"/>
  <c r="J139" i="202"/>
  <c r="K139" i="202"/>
  <c r="L139" i="202"/>
  <c r="M139" i="202"/>
  <c r="N139" i="202"/>
  <c r="O139" i="202"/>
  <c r="P139" i="202"/>
  <c r="I140" i="202"/>
  <c r="J140" i="202"/>
  <c r="K140" i="202"/>
  <c r="L140" i="202"/>
  <c r="M140" i="202"/>
  <c r="N140" i="202"/>
  <c r="O140" i="202"/>
  <c r="P140" i="202"/>
  <c r="I141" i="202"/>
  <c r="J141" i="202"/>
  <c r="K141" i="202"/>
  <c r="L141" i="202"/>
  <c r="M141" i="202"/>
  <c r="N141" i="202"/>
  <c r="O141" i="202"/>
  <c r="P141" i="202"/>
  <c r="I142" i="202"/>
  <c r="J142" i="202"/>
  <c r="K142" i="202"/>
  <c r="L142" i="202"/>
  <c r="M142" i="202"/>
  <c r="N142" i="202"/>
  <c r="O142" i="202"/>
  <c r="P142" i="202"/>
  <c r="I143" i="202"/>
  <c r="J143" i="202"/>
  <c r="K143" i="202"/>
  <c r="L143" i="202"/>
  <c r="M143" i="202"/>
  <c r="N143" i="202"/>
  <c r="O143" i="202"/>
  <c r="P143" i="202"/>
  <c r="I144" i="202"/>
  <c r="J144" i="202"/>
  <c r="K144" i="202"/>
  <c r="L144" i="202"/>
  <c r="M144" i="202"/>
  <c r="N144" i="202"/>
  <c r="O144" i="202"/>
  <c r="P144" i="202"/>
  <c r="G147" i="202"/>
  <c r="I147" i="202"/>
  <c r="J147" i="202"/>
  <c r="K147" i="202"/>
  <c r="L147" i="202"/>
  <c r="M147" i="202"/>
  <c r="N147" i="202"/>
  <c r="O147" i="202"/>
  <c r="P147" i="202"/>
  <c r="Q147" i="202"/>
  <c r="G148" i="202"/>
  <c r="I148" i="202"/>
  <c r="J148" i="202"/>
  <c r="K148" i="202"/>
  <c r="L148" i="202"/>
  <c r="M148" i="202"/>
  <c r="N148" i="202"/>
  <c r="O148" i="202"/>
  <c r="P148" i="202"/>
  <c r="Q148" i="202"/>
  <c r="Q146" i="202"/>
  <c r="P146" i="202"/>
  <c r="O146" i="202"/>
  <c r="N146" i="202"/>
  <c r="M146" i="202"/>
  <c r="L146" i="202"/>
  <c r="K146" i="202"/>
  <c r="J146" i="202"/>
  <c r="I146" i="202"/>
  <c r="G146" i="202"/>
  <c r="Q138" i="202"/>
  <c r="P138" i="202"/>
  <c r="O138" i="202"/>
  <c r="N138" i="202"/>
  <c r="M138" i="202"/>
  <c r="L138" i="202"/>
  <c r="K138" i="202"/>
  <c r="J138" i="202"/>
  <c r="I138" i="202"/>
  <c r="G138" i="202"/>
  <c r="G130" i="202"/>
  <c r="I130" i="202"/>
  <c r="J130" i="202"/>
  <c r="K130" i="202"/>
  <c r="L130" i="202"/>
  <c r="M130" i="202"/>
  <c r="N130" i="202"/>
  <c r="O130" i="202"/>
  <c r="P130" i="202"/>
  <c r="Q130" i="202"/>
  <c r="G131" i="202"/>
  <c r="I131" i="202"/>
  <c r="J131" i="202"/>
  <c r="K131" i="202"/>
  <c r="L131" i="202"/>
  <c r="M131" i="202"/>
  <c r="N131" i="202"/>
  <c r="O131" i="202"/>
  <c r="P131" i="202"/>
  <c r="Q131" i="202"/>
  <c r="G132" i="202"/>
  <c r="I132" i="202"/>
  <c r="J132" i="202"/>
  <c r="K132" i="202"/>
  <c r="L132" i="202"/>
  <c r="M132" i="202"/>
  <c r="N132" i="202"/>
  <c r="O132" i="202"/>
  <c r="P132" i="202"/>
  <c r="Q132" i="202"/>
  <c r="G133" i="202"/>
  <c r="I133" i="202"/>
  <c r="J133" i="202"/>
  <c r="K133" i="202"/>
  <c r="L133" i="202"/>
  <c r="M133" i="202"/>
  <c r="N133" i="202"/>
  <c r="O133" i="202"/>
  <c r="P133" i="202"/>
  <c r="Q133" i="202"/>
  <c r="Q129" i="202"/>
  <c r="P129" i="202"/>
  <c r="O129" i="202"/>
  <c r="N129" i="202"/>
  <c r="M129" i="202"/>
  <c r="L129" i="202"/>
  <c r="K129" i="202"/>
  <c r="J129" i="202"/>
  <c r="I129" i="202"/>
  <c r="G129" i="202"/>
  <c r="G116" i="202"/>
  <c r="I116" i="202"/>
  <c r="J116" i="202"/>
  <c r="K116" i="202"/>
  <c r="L116" i="202"/>
  <c r="M116" i="202"/>
  <c r="N116" i="202"/>
  <c r="O116" i="202"/>
  <c r="P116" i="202"/>
  <c r="Q116" i="202"/>
  <c r="G117" i="202"/>
  <c r="I117" i="202"/>
  <c r="J117" i="202"/>
  <c r="K117" i="202"/>
  <c r="L117" i="202"/>
  <c r="M117" i="202"/>
  <c r="N117" i="202"/>
  <c r="O117" i="202"/>
  <c r="P117" i="202"/>
  <c r="Q117" i="202"/>
  <c r="G118" i="202"/>
  <c r="I118" i="202"/>
  <c r="J118" i="202"/>
  <c r="K118" i="202"/>
  <c r="L118" i="202"/>
  <c r="M118" i="202"/>
  <c r="N118" i="202"/>
  <c r="O118" i="202"/>
  <c r="P118" i="202"/>
  <c r="Q118" i="202"/>
  <c r="G119" i="202"/>
  <c r="I119" i="202"/>
  <c r="J119" i="202"/>
  <c r="K119" i="202"/>
  <c r="L119" i="202"/>
  <c r="M119" i="202"/>
  <c r="N119" i="202"/>
  <c r="O119" i="202"/>
  <c r="P119" i="202"/>
  <c r="Q119" i="202"/>
  <c r="G120" i="202"/>
  <c r="I120" i="202"/>
  <c r="J120" i="202"/>
  <c r="K120" i="202"/>
  <c r="L120" i="202"/>
  <c r="M120" i="202"/>
  <c r="N120" i="202"/>
  <c r="O120" i="202"/>
  <c r="P120" i="202"/>
  <c r="Q120" i="202"/>
  <c r="G121" i="202"/>
  <c r="I121" i="202"/>
  <c r="J121" i="202"/>
  <c r="K121" i="202"/>
  <c r="L121" i="202"/>
  <c r="M121" i="202"/>
  <c r="N121" i="202"/>
  <c r="O121" i="202"/>
  <c r="P121" i="202"/>
  <c r="Q121" i="202"/>
  <c r="G122" i="202"/>
  <c r="I122" i="202"/>
  <c r="J122" i="202"/>
  <c r="K122" i="202"/>
  <c r="L122" i="202"/>
  <c r="M122" i="202"/>
  <c r="N122" i="202"/>
  <c r="O122" i="202"/>
  <c r="P122" i="202"/>
  <c r="Q122" i="202"/>
  <c r="G123" i="202"/>
  <c r="I123" i="202"/>
  <c r="J123" i="202"/>
  <c r="K123" i="202"/>
  <c r="L123" i="202"/>
  <c r="M123" i="202"/>
  <c r="N123" i="202"/>
  <c r="O123" i="202"/>
  <c r="P123" i="202"/>
  <c r="Q123" i="202"/>
  <c r="G124" i="202"/>
  <c r="I124" i="202"/>
  <c r="J124" i="202"/>
  <c r="K124" i="202"/>
  <c r="L124" i="202"/>
  <c r="M124" i="202"/>
  <c r="N124" i="202"/>
  <c r="O124" i="202"/>
  <c r="P124" i="202"/>
  <c r="Q124" i="202"/>
  <c r="Q115" i="202"/>
  <c r="P115" i="202"/>
  <c r="O115" i="202"/>
  <c r="N115" i="202"/>
  <c r="M115" i="202"/>
  <c r="L115" i="202"/>
  <c r="K115" i="202"/>
  <c r="J115" i="202"/>
  <c r="I115" i="202"/>
  <c r="G115" i="202"/>
  <c r="G105" i="202"/>
  <c r="I105" i="202"/>
  <c r="J105" i="202"/>
  <c r="K105" i="202"/>
  <c r="L105" i="202"/>
  <c r="M105" i="202"/>
  <c r="N105" i="202"/>
  <c r="O105" i="202"/>
  <c r="P105" i="202"/>
  <c r="G106" i="202"/>
  <c r="I106" i="202"/>
  <c r="J106" i="202"/>
  <c r="K106" i="202"/>
  <c r="L106" i="202"/>
  <c r="M106" i="202"/>
  <c r="N106" i="202"/>
  <c r="O106" i="202"/>
  <c r="P106" i="202"/>
  <c r="G107" i="202"/>
  <c r="I107" i="202"/>
  <c r="J107" i="202"/>
  <c r="K107" i="202"/>
  <c r="L107" i="202"/>
  <c r="M107" i="202"/>
  <c r="N107" i="202"/>
  <c r="O107" i="202"/>
  <c r="P107" i="202"/>
  <c r="G108" i="202"/>
  <c r="I108" i="202"/>
  <c r="J108" i="202"/>
  <c r="K108" i="202"/>
  <c r="L108" i="202"/>
  <c r="M108" i="202"/>
  <c r="N108" i="202"/>
  <c r="O108" i="202"/>
  <c r="P108" i="202"/>
  <c r="G109" i="202"/>
  <c r="I109" i="202"/>
  <c r="J109" i="202"/>
  <c r="K109" i="202"/>
  <c r="L109" i="202"/>
  <c r="M109" i="202"/>
  <c r="N109" i="202"/>
  <c r="O109" i="202"/>
  <c r="P109" i="202"/>
  <c r="G110" i="202"/>
  <c r="I110" i="202"/>
  <c r="J110" i="202"/>
  <c r="K110" i="202"/>
  <c r="L110" i="202"/>
  <c r="M110" i="202"/>
  <c r="N110" i="202"/>
  <c r="O110" i="202"/>
  <c r="P110" i="202"/>
  <c r="G97" i="202"/>
  <c r="I97" i="202"/>
  <c r="J97" i="202"/>
  <c r="K97" i="202"/>
  <c r="L97" i="202"/>
  <c r="M97" i="202"/>
  <c r="N97" i="202"/>
  <c r="O97" i="202"/>
  <c r="P97" i="202"/>
  <c r="G98" i="202"/>
  <c r="I98" i="202"/>
  <c r="J98" i="202"/>
  <c r="K98" i="202"/>
  <c r="L98" i="202"/>
  <c r="M98" i="202"/>
  <c r="N98" i="202"/>
  <c r="O98" i="202"/>
  <c r="P98" i="202"/>
  <c r="G99" i="202"/>
  <c r="I99" i="202"/>
  <c r="J99" i="202"/>
  <c r="K99" i="202"/>
  <c r="L99" i="202"/>
  <c r="M99" i="202"/>
  <c r="N99" i="202"/>
  <c r="O99" i="202"/>
  <c r="P99" i="202"/>
  <c r="G100" i="202"/>
  <c r="I100" i="202"/>
  <c r="J100" i="202"/>
  <c r="K100" i="202"/>
  <c r="L100" i="202"/>
  <c r="M100" i="202"/>
  <c r="N100" i="202"/>
  <c r="O100" i="202"/>
  <c r="P100" i="202"/>
  <c r="G101" i="202"/>
  <c r="I101" i="202"/>
  <c r="J101" i="202"/>
  <c r="K101" i="202"/>
  <c r="L101" i="202"/>
  <c r="M101" i="202"/>
  <c r="N101" i="202"/>
  <c r="O101" i="202"/>
  <c r="P101" i="202"/>
  <c r="G102" i="202"/>
  <c r="I102" i="202"/>
  <c r="J102" i="202"/>
  <c r="K102" i="202"/>
  <c r="L102" i="202"/>
  <c r="M102" i="202"/>
  <c r="N102" i="202"/>
  <c r="O102" i="202"/>
  <c r="P102" i="202"/>
  <c r="G89" i="202"/>
  <c r="I89" i="202"/>
  <c r="J89" i="202"/>
  <c r="K89" i="202"/>
  <c r="L89" i="202"/>
  <c r="M89" i="202"/>
  <c r="N89" i="202"/>
  <c r="O89" i="202"/>
  <c r="P89" i="202"/>
  <c r="G90" i="202"/>
  <c r="I90" i="202"/>
  <c r="J90" i="202"/>
  <c r="K90" i="202"/>
  <c r="L90" i="202"/>
  <c r="M90" i="202"/>
  <c r="N90" i="202"/>
  <c r="O90" i="202"/>
  <c r="P90" i="202"/>
  <c r="G91" i="202"/>
  <c r="I91" i="202"/>
  <c r="J91" i="202"/>
  <c r="K91" i="202"/>
  <c r="L91" i="202"/>
  <c r="M91" i="202"/>
  <c r="N91" i="202"/>
  <c r="O91" i="202"/>
  <c r="P91" i="202"/>
  <c r="G92" i="202"/>
  <c r="I92" i="202"/>
  <c r="J92" i="202"/>
  <c r="K92" i="202"/>
  <c r="L92" i="202"/>
  <c r="M92" i="202"/>
  <c r="N92" i="202"/>
  <c r="O92" i="202"/>
  <c r="P92" i="202"/>
  <c r="G93" i="202"/>
  <c r="I93" i="202"/>
  <c r="J93" i="202"/>
  <c r="K93" i="202"/>
  <c r="L93" i="202"/>
  <c r="M93" i="202"/>
  <c r="N93" i="202"/>
  <c r="O93" i="202"/>
  <c r="P93" i="202"/>
  <c r="G94" i="202"/>
  <c r="I94" i="202"/>
  <c r="J94" i="202"/>
  <c r="K94" i="202"/>
  <c r="L94" i="202"/>
  <c r="M94" i="202"/>
  <c r="N94" i="202"/>
  <c r="O94" i="202"/>
  <c r="P94" i="202"/>
  <c r="Q104" i="202"/>
  <c r="P104" i="202"/>
  <c r="O104" i="202"/>
  <c r="N104" i="202"/>
  <c r="M104" i="202"/>
  <c r="L104" i="202"/>
  <c r="K104" i="202"/>
  <c r="J104" i="202"/>
  <c r="I104" i="202"/>
  <c r="G104" i="202"/>
  <c r="Q96" i="202"/>
  <c r="P96" i="202"/>
  <c r="O96" i="202"/>
  <c r="N96" i="202"/>
  <c r="M96" i="202"/>
  <c r="L96" i="202"/>
  <c r="K96" i="202"/>
  <c r="J96" i="202"/>
  <c r="I96" i="202"/>
  <c r="G96" i="202"/>
  <c r="Q88" i="202"/>
  <c r="P88" i="202"/>
  <c r="O88" i="202"/>
  <c r="N88" i="202"/>
  <c r="M88" i="202"/>
  <c r="L88" i="202"/>
  <c r="K88" i="202"/>
  <c r="J88" i="202"/>
  <c r="I88" i="202"/>
  <c r="G88" i="202"/>
  <c r="G72" i="202"/>
  <c r="I72" i="202"/>
  <c r="J72" i="202"/>
  <c r="K72" i="202"/>
  <c r="L72" i="202"/>
  <c r="M72" i="202"/>
  <c r="N72" i="202"/>
  <c r="O72" i="202"/>
  <c r="P72" i="202"/>
  <c r="Q72" i="202"/>
  <c r="G73" i="202"/>
  <c r="I73" i="202"/>
  <c r="J73" i="202"/>
  <c r="K73" i="202"/>
  <c r="L73" i="202"/>
  <c r="M73" i="202"/>
  <c r="N73" i="202"/>
  <c r="O73" i="202"/>
  <c r="P73" i="202"/>
  <c r="Q73" i="202"/>
  <c r="G74" i="202"/>
  <c r="I74" i="202"/>
  <c r="J74" i="202"/>
  <c r="K74" i="202"/>
  <c r="L74" i="202"/>
  <c r="M74" i="202"/>
  <c r="N74" i="202"/>
  <c r="O74" i="202"/>
  <c r="P74" i="202"/>
  <c r="Q74" i="202"/>
  <c r="G75" i="202"/>
  <c r="I75" i="202"/>
  <c r="J75" i="202"/>
  <c r="K75" i="202"/>
  <c r="L75" i="202"/>
  <c r="M75" i="202"/>
  <c r="N75" i="202"/>
  <c r="O75" i="202"/>
  <c r="P75" i="202"/>
  <c r="Q75" i="202"/>
  <c r="G76" i="202"/>
  <c r="I76" i="202"/>
  <c r="J76" i="202"/>
  <c r="K76" i="202"/>
  <c r="L76" i="202"/>
  <c r="M76" i="202"/>
  <c r="N76" i="202"/>
  <c r="O76" i="202"/>
  <c r="P76" i="202"/>
  <c r="Q76" i="202"/>
  <c r="G77" i="202"/>
  <c r="I77" i="202"/>
  <c r="J77" i="202"/>
  <c r="K77" i="202"/>
  <c r="L77" i="202"/>
  <c r="M77" i="202"/>
  <c r="N77" i="202"/>
  <c r="O77" i="202"/>
  <c r="P77" i="202"/>
  <c r="Q77" i="202"/>
  <c r="G78" i="202"/>
  <c r="I78" i="202"/>
  <c r="J78" i="202"/>
  <c r="K78" i="202"/>
  <c r="L78" i="202"/>
  <c r="M78" i="202"/>
  <c r="N78" i="202"/>
  <c r="O78" i="202"/>
  <c r="P78" i="202"/>
  <c r="Q78" i="202"/>
  <c r="G79" i="202"/>
  <c r="I79" i="202"/>
  <c r="J79" i="202"/>
  <c r="K79" i="202"/>
  <c r="L79" i="202"/>
  <c r="M79" i="202"/>
  <c r="N79" i="202"/>
  <c r="O79" i="202"/>
  <c r="P79" i="202"/>
  <c r="Q79" i="202"/>
  <c r="G80" i="202"/>
  <c r="I80" i="202"/>
  <c r="J80" i="202"/>
  <c r="K80" i="202"/>
  <c r="L80" i="202"/>
  <c r="M80" i="202"/>
  <c r="N80" i="202"/>
  <c r="O80" i="202"/>
  <c r="P80" i="202"/>
  <c r="Q80" i="202"/>
  <c r="G81" i="202"/>
  <c r="I81" i="202"/>
  <c r="J81" i="202"/>
  <c r="K81" i="202"/>
  <c r="L81" i="202"/>
  <c r="M81" i="202"/>
  <c r="N81" i="202"/>
  <c r="O81" i="202"/>
  <c r="P81" i="202"/>
  <c r="Q81" i="202"/>
  <c r="G82" i="202"/>
  <c r="I82" i="202"/>
  <c r="J82" i="202"/>
  <c r="K82" i="202"/>
  <c r="L82" i="202"/>
  <c r="M82" i="202"/>
  <c r="N82" i="202"/>
  <c r="O82" i="202"/>
  <c r="P82" i="202"/>
  <c r="Q82" i="202"/>
  <c r="G83" i="202"/>
  <c r="I83" i="202"/>
  <c r="J83" i="202"/>
  <c r="K83" i="202"/>
  <c r="L83" i="202"/>
  <c r="M83" i="202"/>
  <c r="N83" i="202"/>
  <c r="O83" i="202"/>
  <c r="P83" i="202"/>
  <c r="Q83" i="202"/>
  <c r="G84" i="202"/>
  <c r="I84" i="202"/>
  <c r="J84" i="202"/>
  <c r="K84" i="202"/>
  <c r="L84" i="202"/>
  <c r="M84" i="202"/>
  <c r="N84" i="202"/>
  <c r="O84" i="202"/>
  <c r="P84" i="202"/>
  <c r="Q84" i="202"/>
  <c r="G85" i="202"/>
  <c r="I85" i="202"/>
  <c r="J85" i="202"/>
  <c r="K85" i="202"/>
  <c r="L85" i="202"/>
  <c r="M85" i="202"/>
  <c r="N85" i="202"/>
  <c r="O85" i="202"/>
  <c r="P85" i="202"/>
  <c r="Q85" i="202"/>
  <c r="G86" i="202"/>
  <c r="I86" i="202"/>
  <c r="J86" i="202"/>
  <c r="K86" i="202"/>
  <c r="L86" i="202"/>
  <c r="M86" i="202"/>
  <c r="N86" i="202"/>
  <c r="O86" i="202"/>
  <c r="P86" i="202"/>
  <c r="Q86" i="202"/>
  <c r="Q71" i="202"/>
  <c r="P71" i="202"/>
  <c r="O71" i="202"/>
  <c r="N71" i="202"/>
  <c r="M71" i="202"/>
  <c r="L71" i="202"/>
  <c r="K71" i="202"/>
  <c r="J71" i="202"/>
  <c r="I71" i="202"/>
  <c r="G71" i="202"/>
  <c r="G58" i="202"/>
  <c r="I58" i="202"/>
  <c r="J58" i="202"/>
  <c r="K58" i="202"/>
  <c r="L58" i="202"/>
  <c r="M58" i="202"/>
  <c r="N58" i="202"/>
  <c r="O58" i="202"/>
  <c r="P58" i="202"/>
  <c r="Q58" i="202"/>
  <c r="G59" i="202"/>
  <c r="I59" i="202"/>
  <c r="J59" i="202"/>
  <c r="K59" i="202"/>
  <c r="L59" i="202"/>
  <c r="M59" i="202"/>
  <c r="N59" i="202"/>
  <c r="O59" i="202"/>
  <c r="P59" i="202"/>
  <c r="Q59" i="202"/>
  <c r="G60" i="202"/>
  <c r="I60" i="202"/>
  <c r="J60" i="202"/>
  <c r="K60" i="202"/>
  <c r="L60" i="202"/>
  <c r="M60" i="202"/>
  <c r="N60" i="202"/>
  <c r="O60" i="202"/>
  <c r="P60" i="202"/>
  <c r="Q60" i="202"/>
  <c r="G61" i="202"/>
  <c r="I61" i="202"/>
  <c r="J61" i="202"/>
  <c r="K61" i="202"/>
  <c r="L61" i="202"/>
  <c r="M61" i="202"/>
  <c r="N61" i="202"/>
  <c r="O61" i="202"/>
  <c r="P61" i="202"/>
  <c r="Q61" i="202"/>
  <c r="G62" i="202"/>
  <c r="I62" i="202"/>
  <c r="J62" i="202"/>
  <c r="K62" i="202"/>
  <c r="L62" i="202"/>
  <c r="M62" i="202"/>
  <c r="N62" i="202"/>
  <c r="O62" i="202"/>
  <c r="P62" i="202"/>
  <c r="Q62" i="202"/>
  <c r="G64" i="202"/>
  <c r="I64" i="202"/>
  <c r="J64" i="202"/>
  <c r="K64" i="202"/>
  <c r="L64" i="202"/>
  <c r="M64" i="202"/>
  <c r="N64" i="202"/>
  <c r="O64" i="202"/>
  <c r="P64" i="202"/>
  <c r="Q64" i="202"/>
  <c r="G65" i="202"/>
  <c r="I65" i="202"/>
  <c r="J65" i="202"/>
  <c r="K65" i="202"/>
  <c r="L65" i="202"/>
  <c r="M65" i="202"/>
  <c r="N65" i="202"/>
  <c r="O65" i="202"/>
  <c r="P65" i="202"/>
  <c r="Q65" i="202"/>
  <c r="G66" i="202"/>
  <c r="I66" i="202"/>
  <c r="J66" i="202"/>
  <c r="K66" i="202"/>
  <c r="L66" i="202"/>
  <c r="M66" i="202"/>
  <c r="N66" i="202"/>
  <c r="O66" i="202"/>
  <c r="P66" i="202"/>
  <c r="Q66" i="202"/>
  <c r="Q57" i="202"/>
  <c r="P57" i="202"/>
  <c r="O57" i="202"/>
  <c r="N57" i="202"/>
  <c r="M57" i="202"/>
  <c r="L57" i="202"/>
  <c r="K57" i="202"/>
  <c r="J57" i="202"/>
  <c r="I57" i="202"/>
  <c r="G57" i="202"/>
  <c r="Q49" i="202"/>
  <c r="P49" i="202"/>
  <c r="O49" i="202"/>
  <c r="N49" i="202"/>
  <c r="M49" i="202"/>
  <c r="L49" i="202"/>
  <c r="K49" i="202"/>
  <c r="J49" i="202"/>
  <c r="I49" i="202"/>
  <c r="Q44" i="202"/>
  <c r="P44" i="202"/>
  <c r="O44" i="202"/>
  <c r="N44" i="202"/>
  <c r="M44" i="202"/>
  <c r="L44" i="202"/>
  <c r="K44" i="202"/>
  <c r="J44" i="202"/>
  <c r="I44" i="202"/>
  <c r="Q39" i="202"/>
  <c r="P39" i="202"/>
  <c r="O39" i="202"/>
  <c r="N39" i="202"/>
  <c r="M39" i="202"/>
  <c r="L39" i="202"/>
  <c r="K39" i="202"/>
  <c r="J39" i="202"/>
  <c r="I39" i="202"/>
  <c r="Q22" i="202"/>
  <c r="P22" i="202"/>
  <c r="O22" i="202"/>
  <c r="N22" i="202"/>
  <c r="M22" i="202"/>
  <c r="L22" i="202"/>
  <c r="K22" i="202"/>
  <c r="J22" i="202"/>
  <c r="I22" i="202"/>
  <c r="Q35" i="202"/>
  <c r="P35" i="202"/>
  <c r="O35" i="202"/>
  <c r="N35" i="202"/>
  <c r="M35" i="202"/>
  <c r="L35" i="202"/>
  <c r="K35" i="202"/>
  <c r="J35" i="202"/>
  <c r="I35" i="202"/>
  <c r="Q31" i="202"/>
  <c r="P31" i="202"/>
  <c r="O31" i="202"/>
  <c r="N31" i="202"/>
  <c r="M31" i="202"/>
  <c r="L31" i="202"/>
  <c r="K31" i="202"/>
  <c r="J31" i="202"/>
  <c r="I31" i="202"/>
  <c r="Q18" i="202"/>
  <c r="P18" i="202"/>
  <c r="O18" i="202"/>
  <c r="N18" i="202"/>
  <c r="M18" i="202"/>
  <c r="L18" i="202"/>
  <c r="K18" i="202"/>
  <c r="J18" i="202"/>
  <c r="I18" i="202"/>
  <c r="G18" i="202"/>
  <c r="Q14" i="202"/>
  <c r="P14" i="202"/>
  <c r="O14" i="202"/>
  <c r="N14" i="202"/>
  <c r="M14" i="202"/>
  <c r="L14" i="202"/>
  <c r="K14" i="202"/>
  <c r="J14" i="202"/>
  <c r="I14" i="202"/>
  <c r="G14" i="202"/>
  <c r="L8" i="174"/>
  <c r="P137" i="202"/>
  <c r="O137" i="202"/>
  <c r="N137" i="202"/>
  <c r="M137" i="202"/>
  <c r="L137" i="202"/>
  <c r="K137" i="202"/>
  <c r="J137" i="202"/>
  <c r="I137" i="202"/>
  <c r="P128" i="202"/>
  <c r="O128" i="202"/>
  <c r="N128" i="202"/>
  <c r="M128" i="202"/>
  <c r="L128" i="202"/>
  <c r="K128" i="202"/>
  <c r="J128" i="202"/>
  <c r="I128" i="202"/>
  <c r="P114" i="202"/>
  <c r="O114" i="202"/>
  <c r="N114" i="202"/>
  <c r="M114" i="202"/>
  <c r="L114" i="202"/>
  <c r="K114" i="202"/>
  <c r="J114" i="202"/>
  <c r="I114" i="202"/>
  <c r="P70" i="202"/>
  <c r="O70" i="202"/>
  <c r="N70" i="202"/>
  <c r="M70" i="202"/>
  <c r="L70" i="202"/>
  <c r="K70" i="202"/>
  <c r="J70" i="202"/>
  <c r="I70" i="202"/>
  <c r="P56" i="202"/>
  <c r="O56" i="202"/>
  <c r="N56" i="202"/>
  <c r="M56" i="202"/>
  <c r="L56" i="202"/>
  <c r="K56" i="202"/>
  <c r="J56" i="202"/>
  <c r="I56" i="202"/>
  <c r="J13" i="202"/>
  <c r="K13" i="202"/>
  <c r="L13" i="202"/>
  <c r="M13" i="202"/>
  <c r="N13" i="202"/>
  <c r="O13" i="202"/>
  <c r="P13" i="202"/>
  <c r="I13" i="202"/>
  <c r="I137" i="197"/>
  <c r="J137" i="197"/>
  <c r="K137" i="197"/>
  <c r="L137" i="197"/>
  <c r="M137" i="197"/>
  <c r="N137" i="197"/>
  <c r="O137" i="197"/>
  <c r="P137" i="197"/>
  <c r="I138" i="197"/>
  <c r="J138" i="197"/>
  <c r="K138" i="197"/>
  <c r="L138" i="197"/>
  <c r="M138" i="197"/>
  <c r="N138" i="197"/>
  <c r="O138" i="197"/>
  <c r="P138" i="197"/>
  <c r="I139" i="197"/>
  <c r="J139" i="197"/>
  <c r="K139" i="197"/>
  <c r="L139" i="197"/>
  <c r="M139" i="197"/>
  <c r="N139" i="197"/>
  <c r="O139" i="197"/>
  <c r="P139" i="197"/>
  <c r="I140" i="197"/>
  <c r="J140" i="197"/>
  <c r="K140" i="197"/>
  <c r="L140" i="197"/>
  <c r="M140" i="197"/>
  <c r="N140" i="197"/>
  <c r="O140" i="197"/>
  <c r="P140" i="197"/>
  <c r="I141" i="197"/>
  <c r="J141" i="197"/>
  <c r="K141" i="197"/>
  <c r="L141" i="197"/>
  <c r="M141" i="197"/>
  <c r="N141" i="197"/>
  <c r="O141" i="197"/>
  <c r="P141" i="197"/>
  <c r="I142" i="197"/>
  <c r="J142" i="197"/>
  <c r="K142" i="197"/>
  <c r="L142" i="197"/>
  <c r="M142" i="197"/>
  <c r="N142" i="197"/>
  <c r="O142" i="197"/>
  <c r="P142" i="197"/>
  <c r="G145" i="197"/>
  <c r="I145" i="197"/>
  <c r="J145" i="197"/>
  <c r="K145" i="197"/>
  <c r="L145" i="197"/>
  <c r="M145" i="197"/>
  <c r="N145" i="197"/>
  <c r="O145" i="197"/>
  <c r="P145" i="197"/>
  <c r="Q145" i="197"/>
  <c r="G146" i="197"/>
  <c r="I146" i="197"/>
  <c r="J146" i="197"/>
  <c r="K146" i="197"/>
  <c r="L146" i="197"/>
  <c r="M146" i="197"/>
  <c r="N146" i="197"/>
  <c r="O146" i="197"/>
  <c r="P146" i="197"/>
  <c r="Q146" i="197"/>
  <c r="Q144" i="197"/>
  <c r="P144" i="197"/>
  <c r="O144" i="197"/>
  <c r="N144" i="197"/>
  <c r="M144" i="197"/>
  <c r="L144" i="197"/>
  <c r="K144" i="197"/>
  <c r="J144" i="197"/>
  <c r="I144" i="197"/>
  <c r="G144" i="197"/>
  <c r="Q136" i="197"/>
  <c r="P136" i="197"/>
  <c r="O136" i="197"/>
  <c r="N136" i="197"/>
  <c r="M136" i="197"/>
  <c r="L136" i="197"/>
  <c r="K136" i="197"/>
  <c r="J136" i="197"/>
  <c r="I136" i="197"/>
  <c r="G136" i="197"/>
  <c r="G128" i="197"/>
  <c r="I128" i="197"/>
  <c r="J128" i="197"/>
  <c r="K128" i="197"/>
  <c r="L128" i="197"/>
  <c r="M128" i="197"/>
  <c r="N128" i="197"/>
  <c r="O128" i="197"/>
  <c r="P128" i="197"/>
  <c r="Q128" i="197"/>
  <c r="G129" i="197"/>
  <c r="I129" i="197"/>
  <c r="J129" i="197"/>
  <c r="K129" i="197"/>
  <c r="L129" i="197"/>
  <c r="M129" i="197"/>
  <c r="N129" i="197"/>
  <c r="O129" i="197"/>
  <c r="P129" i="197"/>
  <c r="Q129" i="197"/>
  <c r="G130" i="197"/>
  <c r="I130" i="197"/>
  <c r="J130" i="197"/>
  <c r="K130" i="197"/>
  <c r="L130" i="197"/>
  <c r="M130" i="197"/>
  <c r="N130" i="197"/>
  <c r="O130" i="197"/>
  <c r="P130" i="197"/>
  <c r="Q130" i="197"/>
  <c r="G131" i="197"/>
  <c r="I131" i="197"/>
  <c r="J131" i="197"/>
  <c r="K131" i="197"/>
  <c r="L131" i="197"/>
  <c r="M131" i="197"/>
  <c r="N131" i="197"/>
  <c r="O131" i="197"/>
  <c r="P131" i="197"/>
  <c r="Q131" i="197"/>
  <c r="Q127" i="197"/>
  <c r="P127" i="197"/>
  <c r="O127" i="197"/>
  <c r="N127" i="197"/>
  <c r="M127" i="197"/>
  <c r="L127" i="197"/>
  <c r="K127" i="197"/>
  <c r="J127" i="197"/>
  <c r="I127" i="197"/>
  <c r="G127" i="197"/>
  <c r="G114" i="197"/>
  <c r="I114" i="197"/>
  <c r="J114" i="197"/>
  <c r="K114" i="197"/>
  <c r="L114" i="197"/>
  <c r="M114" i="197"/>
  <c r="N114" i="197"/>
  <c r="O114" i="197"/>
  <c r="P114" i="197"/>
  <c r="Q114" i="197"/>
  <c r="G115" i="197"/>
  <c r="I115" i="197"/>
  <c r="J115" i="197"/>
  <c r="K115" i="197"/>
  <c r="L115" i="197"/>
  <c r="M115" i="197"/>
  <c r="N115" i="197"/>
  <c r="O115" i="197"/>
  <c r="P115" i="197"/>
  <c r="Q115" i="197"/>
  <c r="G116" i="197"/>
  <c r="I116" i="197"/>
  <c r="J116" i="197"/>
  <c r="K116" i="197"/>
  <c r="L116" i="197"/>
  <c r="M116" i="197"/>
  <c r="N116" i="197"/>
  <c r="O116" i="197"/>
  <c r="P116" i="197"/>
  <c r="Q116" i="197"/>
  <c r="G117" i="197"/>
  <c r="I117" i="197"/>
  <c r="J117" i="197"/>
  <c r="K117" i="197"/>
  <c r="L117" i="197"/>
  <c r="M117" i="197"/>
  <c r="N117" i="197"/>
  <c r="O117" i="197"/>
  <c r="P117" i="197"/>
  <c r="Q117" i="197"/>
  <c r="G118" i="197"/>
  <c r="I118" i="197"/>
  <c r="J118" i="197"/>
  <c r="K118" i="197"/>
  <c r="L118" i="197"/>
  <c r="M118" i="197"/>
  <c r="N118" i="197"/>
  <c r="O118" i="197"/>
  <c r="P118" i="197"/>
  <c r="Q118" i="197"/>
  <c r="G119" i="197"/>
  <c r="I119" i="197"/>
  <c r="J119" i="197"/>
  <c r="K119" i="197"/>
  <c r="L119" i="197"/>
  <c r="M119" i="197"/>
  <c r="N119" i="197"/>
  <c r="O119" i="197"/>
  <c r="P119" i="197"/>
  <c r="Q119" i="197"/>
  <c r="G120" i="197"/>
  <c r="I120" i="197"/>
  <c r="J120" i="197"/>
  <c r="K120" i="197"/>
  <c r="L120" i="197"/>
  <c r="M120" i="197"/>
  <c r="N120" i="197"/>
  <c r="O120" i="197"/>
  <c r="P120" i="197"/>
  <c r="Q120" i="197"/>
  <c r="G121" i="197"/>
  <c r="I121" i="197"/>
  <c r="J121" i="197"/>
  <c r="K121" i="197"/>
  <c r="L121" i="197"/>
  <c r="M121" i="197"/>
  <c r="N121" i="197"/>
  <c r="O121" i="197"/>
  <c r="P121" i="197"/>
  <c r="Q121" i="197"/>
  <c r="G122" i="197"/>
  <c r="I122" i="197"/>
  <c r="J122" i="197"/>
  <c r="K122" i="197"/>
  <c r="L122" i="197"/>
  <c r="M122" i="197"/>
  <c r="N122" i="197"/>
  <c r="O122" i="197"/>
  <c r="P122" i="197"/>
  <c r="Q122" i="197"/>
  <c r="Q113" i="197"/>
  <c r="P113" i="197"/>
  <c r="O113" i="197"/>
  <c r="N113" i="197"/>
  <c r="M113" i="197"/>
  <c r="L113" i="197"/>
  <c r="K113" i="197"/>
  <c r="J113" i="197"/>
  <c r="I113" i="197"/>
  <c r="G113" i="197"/>
  <c r="Q49" i="197"/>
  <c r="P49" i="197"/>
  <c r="O49" i="197"/>
  <c r="N49" i="197"/>
  <c r="M49" i="197"/>
  <c r="L49" i="197"/>
  <c r="K49" i="197"/>
  <c r="J49" i="197"/>
  <c r="I49" i="197"/>
  <c r="Q44" i="197"/>
  <c r="P44" i="197"/>
  <c r="O44" i="197"/>
  <c r="N44" i="197"/>
  <c r="M44" i="197"/>
  <c r="L44" i="197"/>
  <c r="K44" i="197"/>
  <c r="J44" i="197"/>
  <c r="I44" i="197"/>
  <c r="Q39" i="197"/>
  <c r="P39" i="197"/>
  <c r="O39" i="197"/>
  <c r="N39" i="197"/>
  <c r="M39" i="197"/>
  <c r="L39" i="197"/>
  <c r="K39" i="197"/>
  <c r="J39" i="197"/>
  <c r="I39" i="197"/>
  <c r="G103" i="197"/>
  <c r="I103" i="197"/>
  <c r="J103" i="197"/>
  <c r="K103" i="197"/>
  <c r="L103" i="197"/>
  <c r="M103" i="197"/>
  <c r="N103" i="197"/>
  <c r="O103" i="197"/>
  <c r="P103" i="197"/>
  <c r="G104" i="197"/>
  <c r="I104" i="197"/>
  <c r="J104" i="197"/>
  <c r="K104" i="197"/>
  <c r="L104" i="197"/>
  <c r="M104" i="197"/>
  <c r="N104" i="197"/>
  <c r="O104" i="197"/>
  <c r="P104" i="197"/>
  <c r="G105" i="197"/>
  <c r="I105" i="197"/>
  <c r="J105" i="197"/>
  <c r="K105" i="197"/>
  <c r="L105" i="197"/>
  <c r="M105" i="197"/>
  <c r="N105" i="197"/>
  <c r="O105" i="197"/>
  <c r="P105" i="197"/>
  <c r="G106" i="197"/>
  <c r="I106" i="197"/>
  <c r="J106" i="197"/>
  <c r="K106" i="197"/>
  <c r="L106" i="197"/>
  <c r="M106" i="197"/>
  <c r="N106" i="197"/>
  <c r="O106" i="197"/>
  <c r="P106" i="197"/>
  <c r="G107" i="197"/>
  <c r="I107" i="197"/>
  <c r="J107" i="197"/>
  <c r="K107" i="197"/>
  <c r="L107" i="197"/>
  <c r="M107" i="197"/>
  <c r="N107" i="197"/>
  <c r="O107" i="197"/>
  <c r="P107" i="197"/>
  <c r="G108" i="197"/>
  <c r="I108" i="197"/>
  <c r="J108" i="197"/>
  <c r="K108" i="197"/>
  <c r="L108" i="197"/>
  <c r="M108" i="197"/>
  <c r="N108" i="197"/>
  <c r="O108" i="197"/>
  <c r="P108" i="197"/>
  <c r="G95" i="197"/>
  <c r="I95" i="197"/>
  <c r="J95" i="197"/>
  <c r="K95" i="197"/>
  <c r="L95" i="197"/>
  <c r="M95" i="197"/>
  <c r="N95" i="197"/>
  <c r="O95" i="197"/>
  <c r="P95" i="197"/>
  <c r="G96" i="197"/>
  <c r="I96" i="197"/>
  <c r="J96" i="197"/>
  <c r="K96" i="197"/>
  <c r="L96" i="197"/>
  <c r="M96" i="197"/>
  <c r="N96" i="197"/>
  <c r="O96" i="197"/>
  <c r="P96" i="197"/>
  <c r="G97" i="197"/>
  <c r="I97" i="197"/>
  <c r="J97" i="197"/>
  <c r="K97" i="197"/>
  <c r="L97" i="197"/>
  <c r="M97" i="197"/>
  <c r="N97" i="197"/>
  <c r="O97" i="197"/>
  <c r="P97" i="197"/>
  <c r="G98" i="197"/>
  <c r="I98" i="197"/>
  <c r="J98" i="197"/>
  <c r="K98" i="197"/>
  <c r="L98" i="197"/>
  <c r="M98" i="197"/>
  <c r="N98" i="197"/>
  <c r="O98" i="197"/>
  <c r="P98" i="197"/>
  <c r="G99" i="197"/>
  <c r="I99" i="197"/>
  <c r="J99" i="197"/>
  <c r="K99" i="197"/>
  <c r="L99" i="197"/>
  <c r="M99" i="197"/>
  <c r="N99" i="197"/>
  <c r="O99" i="197"/>
  <c r="P99" i="197"/>
  <c r="G100" i="197"/>
  <c r="I100" i="197"/>
  <c r="J100" i="197"/>
  <c r="K100" i="197"/>
  <c r="L100" i="197"/>
  <c r="M100" i="197"/>
  <c r="N100" i="197"/>
  <c r="O100" i="197"/>
  <c r="P100" i="197"/>
  <c r="G87" i="197"/>
  <c r="I87" i="197"/>
  <c r="J87" i="197"/>
  <c r="K87" i="197"/>
  <c r="L87" i="197"/>
  <c r="M87" i="197"/>
  <c r="N87" i="197"/>
  <c r="O87" i="197"/>
  <c r="P87" i="197"/>
  <c r="G88" i="197"/>
  <c r="I88" i="197"/>
  <c r="J88" i="197"/>
  <c r="K88" i="197"/>
  <c r="L88" i="197"/>
  <c r="M88" i="197"/>
  <c r="N88" i="197"/>
  <c r="O88" i="197"/>
  <c r="P88" i="197"/>
  <c r="G89" i="197"/>
  <c r="I89" i="197"/>
  <c r="J89" i="197"/>
  <c r="K89" i="197"/>
  <c r="L89" i="197"/>
  <c r="M89" i="197"/>
  <c r="N89" i="197"/>
  <c r="O89" i="197"/>
  <c r="P89" i="197"/>
  <c r="G90" i="197"/>
  <c r="I90" i="197"/>
  <c r="J90" i="197"/>
  <c r="K90" i="197"/>
  <c r="L90" i="197"/>
  <c r="M90" i="197"/>
  <c r="N90" i="197"/>
  <c r="O90" i="197"/>
  <c r="P90" i="197"/>
  <c r="G91" i="197"/>
  <c r="I91" i="197"/>
  <c r="J91" i="197"/>
  <c r="K91" i="197"/>
  <c r="L91" i="197"/>
  <c r="M91" i="197"/>
  <c r="N91" i="197"/>
  <c r="O91" i="197"/>
  <c r="P91" i="197"/>
  <c r="G92" i="197"/>
  <c r="I92" i="197"/>
  <c r="J92" i="197"/>
  <c r="K92" i="197"/>
  <c r="L92" i="197"/>
  <c r="M92" i="197"/>
  <c r="N92" i="197"/>
  <c r="O92" i="197"/>
  <c r="P92" i="197"/>
  <c r="Q102" i="197"/>
  <c r="P102" i="197"/>
  <c r="O102" i="197"/>
  <c r="N102" i="197"/>
  <c r="M102" i="197"/>
  <c r="L102" i="197"/>
  <c r="K102" i="197"/>
  <c r="J102" i="197"/>
  <c r="I102" i="197"/>
  <c r="G102" i="197"/>
  <c r="Q94" i="197"/>
  <c r="P94" i="197"/>
  <c r="O94" i="197"/>
  <c r="N94" i="197"/>
  <c r="M94" i="197"/>
  <c r="L94" i="197"/>
  <c r="K94" i="197"/>
  <c r="J94" i="197"/>
  <c r="I94" i="197"/>
  <c r="G94" i="197"/>
  <c r="Q86" i="197"/>
  <c r="P86" i="197"/>
  <c r="O86" i="197"/>
  <c r="N86" i="197"/>
  <c r="M86" i="197"/>
  <c r="L86" i="197"/>
  <c r="K86" i="197"/>
  <c r="J86" i="197"/>
  <c r="I86" i="197"/>
  <c r="G86"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Q74" i="197"/>
  <c r="G75" i="197"/>
  <c r="I75" i="197"/>
  <c r="J75" i="197"/>
  <c r="K75" i="197"/>
  <c r="L75" i="197"/>
  <c r="M75" i="197"/>
  <c r="N75" i="197"/>
  <c r="O75" i="197"/>
  <c r="P75" i="197"/>
  <c r="Q75" i="197"/>
  <c r="G76" i="197"/>
  <c r="I76" i="197"/>
  <c r="J76" i="197"/>
  <c r="K76" i="197"/>
  <c r="L76" i="197"/>
  <c r="M76" i="197"/>
  <c r="N76" i="197"/>
  <c r="O76" i="197"/>
  <c r="P76" i="197"/>
  <c r="Q76" i="197"/>
  <c r="G77" i="197"/>
  <c r="I77" i="197"/>
  <c r="J77" i="197"/>
  <c r="K77" i="197"/>
  <c r="L77" i="197"/>
  <c r="M77" i="197"/>
  <c r="N77" i="197"/>
  <c r="O77" i="197"/>
  <c r="P77" i="197"/>
  <c r="Q77" i="197"/>
  <c r="G78" i="197"/>
  <c r="I78" i="197"/>
  <c r="J78" i="197"/>
  <c r="K78" i="197"/>
  <c r="L78" i="197"/>
  <c r="M78" i="197"/>
  <c r="N78" i="197"/>
  <c r="O78" i="197"/>
  <c r="P78" i="197"/>
  <c r="Q78" i="197"/>
  <c r="G79" i="197"/>
  <c r="I79" i="197"/>
  <c r="J79" i="197"/>
  <c r="K79" i="197"/>
  <c r="L79" i="197"/>
  <c r="M79" i="197"/>
  <c r="N79" i="197"/>
  <c r="O79" i="197"/>
  <c r="P79" i="197"/>
  <c r="Q79" i="197"/>
  <c r="G80" i="197"/>
  <c r="I80" i="197"/>
  <c r="J80" i="197"/>
  <c r="K80" i="197"/>
  <c r="L80" i="197"/>
  <c r="M80" i="197"/>
  <c r="N80" i="197"/>
  <c r="O80" i="197"/>
  <c r="P80" i="197"/>
  <c r="Q80" i="197"/>
  <c r="G81" i="197"/>
  <c r="I81" i="197"/>
  <c r="J81" i="197"/>
  <c r="K81" i="197"/>
  <c r="L81" i="197"/>
  <c r="M81" i="197"/>
  <c r="N81" i="197"/>
  <c r="O81" i="197"/>
  <c r="P81" i="197"/>
  <c r="Q81" i="197"/>
  <c r="G82" i="197"/>
  <c r="I82" i="197"/>
  <c r="J82" i="197"/>
  <c r="K82" i="197"/>
  <c r="L82" i="197"/>
  <c r="M82" i="197"/>
  <c r="N82" i="197"/>
  <c r="O82" i="197"/>
  <c r="P82" i="197"/>
  <c r="Q82" i="197"/>
  <c r="G83" i="197"/>
  <c r="I83" i="197"/>
  <c r="J83" i="197"/>
  <c r="K83" i="197"/>
  <c r="L83" i="197"/>
  <c r="M83" i="197"/>
  <c r="N83" i="197"/>
  <c r="O83" i="197"/>
  <c r="P83" i="197"/>
  <c r="Q83" i="197"/>
  <c r="G84" i="197"/>
  <c r="I84" i="197"/>
  <c r="J84" i="197"/>
  <c r="K84" i="197"/>
  <c r="L84" i="197"/>
  <c r="M84" i="197"/>
  <c r="N84" i="197"/>
  <c r="O84" i="197"/>
  <c r="P84" i="197"/>
  <c r="Q84" i="197"/>
  <c r="Q70" i="197"/>
  <c r="P70" i="197"/>
  <c r="O70" i="197"/>
  <c r="N70" i="197"/>
  <c r="M70" i="197"/>
  <c r="L70" i="197"/>
  <c r="K70" i="197"/>
  <c r="J70" i="197"/>
  <c r="I70" i="197"/>
  <c r="G70" i="197"/>
  <c r="G58" i="197"/>
  <c r="I58" i="197"/>
  <c r="J58" i="197"/>
  <c r="K58" i="197"/>
  <c r="L58" i="197"/>
  <c r="M58" i="197"/>
  <c r="N58" i="197"/>
  <c r="O58" i="197"/>
  <c r="P58" i="197"/>
  <c r="Q58" i="197"/>
  <c r="G59" i="197"/>
  <c r="I59" i="197"/>
  <c r="J59" i="197"/>
  <c r="K59" i="197"/>
  <c r="L59" i="197"/>
  <c r="M59" i="197"/>
  <c r="N59" i="197"/>
  <c r="O59" i="197"/>
  <c r="P59" i="197"/>
  <c r="Q59" i="197"/>
  <c r="G60" i="197"/>
  <c r="I60" i="197"/>
  <c r="J60" i="197"/>
  <c r="K60" i="197"/>
  <c r="L60" i="197"/>
  <c r="M60" i="197"/>
  <c r="N60" i="197"/>
  <c r="O60" i="197"/>
  <c r="P60" i="197"/>
  <c r="Q60" i="197"/>
  <c r="G61" i="197"/>
  <c r="I61" i="197"/>
  <c r="J61" i="197"/>
  <c r="K61" i="197"/>
  <c r="L61" i="197"/>
  <c r="M61" i="197"/>
  <c r="N61" i="197"/>
  <c r="O61" i="197"/>
  <c r="P61" i="197"/>
  <c r="Q61" i="197"/>
  <c r="G63" i="197"/>
  <c r="I63" i="197"/>
  <c r="J63" i="197"/>
  <c r="K63" i="197"/>
  <c r="L63" i="197"/>
  <c r="M63" i="197"/>
  <c r="N63" i="197"/>
  <c r="O63" i="197"/>
  <c r="P63" i="197"/>
  <c r="Q63" i="197"/>
  <c r="G64" i="197"/>
  <c r="I64" i="197"/>
  <c r="J64" i="197"/>
  <c r="K64" i="197"/>
  <c r="L64" i="197"/>
  <c r="M64" i="197"/>
  <c r="N64" i="197"/>
  <c r="O64" i="197"/>
  <c r="P64" i="197"/>
  <c r="Q64" i="197"/>
  <c r="G65" i="197"/>
  <c r="I65" i="197"/>
  <c r="J65" i="197"/>
  <c r="K65" i="197"/>
  <c r="L65" i="197"/>
  <c r="M65" i="197"/>
  <c r="N65" i="197"/>
  <c r="O65" i="197"/>
  <c r="P65" i="197"/>
  <c r="Q65" i="197"/>
  <c r="Q57" i="197"/>
  <c r="P57" i="197"/>
  <c r="O57" i="197"/>
  <c r="N57" i="197"/>
  <c r="M57" i="197"/>
  <c r="L57" i="197"/>
  <c r="K57" i="197"/>
  <c r="J57" i="197"/>
  <c r="I57" i="197"/>
  <c r="G57" i="197"/>
  <c r="Q22" i="197"/>
  <c r="P22" i="197"/>
  <c r="O22" i="197"/>
  <c r="N22" i="197"/>
  <c r="M22" i="197"/>
  <c r="L22" i="197"/>
  <c r="K22" i="197"/>
  <c r="J22" i="197"/>
  <c r="I22" i="197"/>
  <c r="Q35" i="197"/>
  <c r="P35" i="197"/>
  <c r="O35" i="197"/>
  <c r="N35" i="197"/>
  <c r="M35" i="197"/>
  <c r="L35" i="197"/>
  <c r="K35" i="197"/>
  <c r="J35" i="197"/>
  <c r="I35" i="197"/>
  <c r="Q31" i="197"/>
  <c r="P31" i="197"/>
  <c r="O31" i="197"/>
  <c r="N31" i="197"/>
  <c r="M31" i="197"/>
  <c r="L31" i="197"/>
  <c r="K31" i="197"/>
  <c r="J31" i="197"/>
  <c r="I31" i="197"/>
  <c r="Q18" i="197"/>
  <c r="P18" i="197"/>
  <c r="O18" i="197"/>
  <c r="N18" i="197"/>
  <c r="M18" i="197"/>
  <c r="L18" i="197"/>
  <c r="K18" i="197"/>
  <c r="J18" i="197"/>
  <c r="I18" i="197"/>
  <c r="G18" i="197"/>
  <c r="P135" i="197"/>
  <c r="O135" i="197"/>
  <c r="N135" i="197"/>
  <c r="M135" i="197"/>
  <c r="L135" i="197"/>
  <c r="K135" i="197"/>
  <c r="J135" i="197"/>
  <c r="I135" i="197"/>
  <c r="P126" i="197"/>
  <c r="O126" i="197"/>
  <c r="N126" i="197"/>
  <c r="M126" i="197"/>
  <c r="L126" i="197"/>
  <c r="K126" i="197"/>
  <c r="J126" i="197"/>
  <c r="I126" i="197"/>
  <c r="P112" i="197"/>
  <c r="O112" i="197"/>
  <c r="N112" i="197"/>
  <c r="M112" i="197"/>
  <c r="L112" i="197"/>
  <c r="K112" i="197"/>
  <c r="J112" i="197"/>
  <c r="I112" i="197"/>
  <c r="P69" i="197"/>
  <c r="O69" i="197"/>
  <c r="N69" i="197"/>
  <c r="M69" i="197"/>
  <c r="L69" i="197"/>
  <c r="K69" i="197"/>
  <c r="J69" i="197"/>
  <c r="I69" i="197"/>
  <c r="P56" i="197"/>
  <c r="O56" i="197"/>
  <c r="N56" i="197"/>
  <c r="M56" i="197"/>
  <c r="L56" i="197"/>
  <c r="K56" i="197"/>
  <c r="J56" i="197"/>
  <c r="I56" i="197"/>
  <c r="J13" i="197"/>
  <c r="K13" i="197"/>
  <c r="L13" i="197"/>
  <c r="M13" i="197"/>
  <c r="N13" i="197"/>
  <c r="O13" i="197"/>
  <c r="P13" i="197"/>
  <c r="I13" i="197"/>
  <c r="Q14" i="197"/>
  <c r="P14" i="197"/>
  <c r="O14" i="197"/>
  <c r="N14" i="197"/>
  <c r="M14" i="197"/>
  <c r="L14" i="197"/>
  <c r="K14" i="197"/>
  <c r="J14" i="197"/>
  <c r="I14" i="197"/>
  <c r="G14" i="197"/>
  <c r="D78" i="197" l="1"/>
  <c r="D74" i="202" l="1"/>
  <c r="C74" i="202"/>
  <c r="D73" i="197"/>
  <c r="C73" i="197"/>
  <c r="D62" i="202" l="1"/>
  <c r="C62" i="202"/>
  <c r="D61" i="197"/>
  <c r="C61" i="197"/>
  <c r="J32" i="174" l="1"/>
  <c r="K32" i="174"/>
  <c r="C32" i="174"/>
  <c r="J90" i="174"/>
  <c r="K90" i="174"/>
  <c r="J91" i="174"/>
  <c r="K91" i="174"/>
  <c r="F128" i="197" l="1"/>
  <c r="F130" i="202"/>
  <c r="E128" i="197"/>
  <c r="E130" i="202"/>
  <c r="F127" i="197"/>
  <c r="F129" i="202"/>
  <c r="E127" i="197"/>
  <c r="E129" i="202"/>
  <c r="F61" i="197"/>
  <c r="F62" i="202"/>
  <c r="E61" i="197"/>
  <c r="E62" i="202"/>
  <c r="L32" i="174"/>
  <c r="D133" i="202"/>
  <c r="C133" i="202"/>
  <c r="D131" i="197"/>
  <c r="C131" i="197"/>
  <c r="K94" i="174"/>
  <c r="F133" i="202" s="1"/>
  <c r="J94" i="174"/>
  <c r="E133" i="202" s="1"/>
  <c r="H61" i="197" l="1"/>
  <c r="H62" i="202"/>
  <c r="E131" i="197"/>
  <c r="L94" i="174"/>
  <c r="H133" i="202" s="1"/>
  <c r="F131" i="197"/>
  <c r="H131" i="197" l="1"/>
  <c r="H16" i="174"/>
  <c r="H17" i="174"/>
  <c r="H18" i="174"/>
  <c r="H20" i="174"/>
  <c r="H21" i="174"/>
  <c r="H22" i="174"/>
  <c r="H19" i="174"/>
  <c r="D120" i="202" l="1"/>
  <c r="C120" i="202"/>
  <c r="D118" i="197"/>
  <c r="C118" i="197"/>
  <c r="C149" i="197"/>
  <c r="C129" i="202"/>
  <c r="C39" i="202"/>
  <c r="H11" i="197"/>
  <c r="C23" i="202"/>
  <c r="D24" i="202"/>
  <c r="D25" i="202"/>
  <c r="D26" i="202"/>
  <c r="D27" i="202"/>
  <c r="D28" i="202"/>
  <c r="D29" i="202"/>
  <c r="C24" i="202"/>
  <c r="C25" i="202"/>
  <c r="C26" i="202"/>
  <c r="C27" i="202"/>
  <c r="C28" i="202"/>
  <c r="C29" i="202"/>
  <c r="C44" i="202"/>
  <c r="J51" i="174"/>
  <c r="J50" i="174"/>
  <c r="K44" i="174"/>
  <c r="J44" i="174"/>
  <c r="F61" i="202"/>
  <c r="E61" i="202"/>
  <c r="K105" i="174"/>
  <c r="J105" i="174"/>
  <c r="K104" i="174"/>
  <c r="J104" i="174"/>
  <c r="K103" i="174"/>
  <c r="J103" i="174"/>
  <c r="J100" i="174"/>
  <c r="J97" i="174"/>
  <c r="K97" i="174"/>
  <c r="J98" i="174"/>
  <c r="K98" i="174"/>
  <c r="J99" i="174"/>
  <c r="K99" i="174"/>
  <c r="K100" i="174"/>
  <c r="J101" i="174"/>
  <c r="K101" i="174"/>
  <c r="J102" i="174"/>
  <c r="K102" i="174"/>
  <c r="K96" i="174"/>
  <c r="J96" i="174"/>
  <c r="J80" i="174"/>
  <c r="K80" i="174"/>
  <c r="J81" i="174"/>
  <c r="K81" i="174"/>
  <c r="J82" i="174"/>
  <c r="K82" i="174"/>
  <c r="J83" i="174"/>
  <c r="K83" i="174"/>
  <c r="J84" i="174"/>
  <c r="K84" i="174"/>
  <c r="J85" i="174"/>
  <c r="E120" i="202" s="1"/>
  <c r="K85" i="174"/>
  <c r="F120" i="202" s="1"/>
  <c r="J86" i="174"/>
  <c r="K86" i="174"/>
  <c r="J87" i="174"/>
  <c r="K87" i="174"/>
  <c r="J88" i="174"/>
  <c r="K88" i="174"/>
  <c r="J89" i="174"/>
  <c r="K89" i="174"/>
  <c r="J92" i="174"/>
  <c r="K92" i="174"/>
  <c r="J93" i="174"/>
  <c r="K93" i="174"/>
  <c r="J74" i="174"/>
  <c r="K74" i="174"/>
  <c r="J75" i="174"/>
  <c r="K75" i="174"/>
  <c r="J76" i="174"/>
  <c r="K76" i="174"/>
  <c r="J77" i="174"/>
  <c r="K77" i="174"/>
  <c r="F108" i="202" s="1"/>
  <c r="J78" i="174"/>
  <c r="K78" i="174"/>
  <c r="F109" i="202" s="1"/>
  <c r="J79" i="174"/>
  <c r="K79" i="174"/>
  <c r="F110" i="202" s="1"/>
  <c r="K73" i="174"/>
  <c r="J73" i="174"/>
  <c r="J66" i="174"/>
  <c r="K66" i="174"/>
  <c r="J67" i="174"/>
  <c r="K67" i="174"/>
  <c r="J68" i="174"/>
  <c r="K68" i="174"/>
  <c r="J69" i="174"/>
  <c r="K69" i="174"/>
  <c r="J70" i="174"/>
  <c r="K70" i="174"/>
  <c r="J71" i="174"/>
  <c r="K71" i="174"/>
  <c r="K65" i="174"/>
  <c r="J65" i="174"/>
  <c r="J56" i="174"/>
  <c r="K56" i="174"/>
  <c r="J57" i="174"/>
  <c r="K57" i="174"/>
  <c r="J58" i="174"/>
  <c r="K58" i="174"/>
  <c r="J59" i="174"/>
  <c r="K59" i="174"/>
  <c r="J60" i="174"/>
  <c r="K60" i="174"/>
  <c r="J61" i="174"/>
  <c r="K61" i="174"/>
  <c r="J62" i="174"/>
  <c r="K62" i="174"/>
  <c r="J63" i="174"/>
  <c r="K63" i="174"/>
  <c r="K55" i="174"/>
  <c r="J55" i="174"/>
  <c r="J39" i="174"/>
  <c r="K39" i="174"/>
  <c r="J40" i="174"/>
  <c r="K40" i="174"/>
  <c r="J41" i="174"/>
  <c r="K41" i="174"/>
  <c r="J42" i="174"/>
  <c r="K42" i="174"/>
  <c r="J43" i="174"/>
  <c r="K43" i="174"/>
  <c r="J45" i="174"/>
  <c r="K45" i="174"/>
  <c r="J46" i="174"/>
  <c r="K46" i="174"/>
  <c r="J47" i="174"/>
  <c r="K47" i="174"/>
  <c r="J49" i="174"/>
  <c r="K49" i="174"/>
  <c r="K50" i="174"/>
  <c r="K51" i="174"/>
  <c r="J52" i="174"/>
  <c r="K52" i="174"/>
  <c r="J53" i="174"/>
  <c r="K53" i="174"/>
  <c r="K38" i="174"/>
  <c r="J38" i="174"/>
  <c r="J33" i="174"/>
  <c r="K33" i="174"/>
  <c r="F57" i="202" s="1"/>
  <c r="J34" i="174"/>
  <c r="K34" i="174"/>
  <c r="J35" i="174"/>
  <c r="K35" i="174"/>
  <c r="J36" i="174"/>
  <c r="K36" i="174"/>
  <c r="J37" i="174"/>
  <c r="K37" i="174"/>
  <c r="K31" i="174"/>
  <c r="J24" i="174" l="1"/>
  <c r="J23" i="174"/>
  <c r="K24" i="174"/>
  <c r="L24" i="174" s="1"/>
  <c r="K23" i="174"/>
  <c r="L23" i="174" s="1"/>
  <c r="F76" i="197"/>
  <c r="F78" i="202"/>
  <c r="F91" i="197"/>
  <c r="F93" i="202"/>
  <c r="E102" i="197"/>
  <c r="E104" i="202"/>
  <c r="F82" i="197"/>
  <c r="F84" i="202"/>
  <c r="F59" i="197"/>
  <c r="F59" i="202"/>
  <c r="F80" i="197"/>
  <c r="F82" i="202"/>
  <c r="F72" i="197"/>
  <c r="F73" i="202"/>
  <c r="F84" i="197"/>
  <c r="F86" i="202"/>
  <c r="F88" i="197"/>
  <c r="F90" i="202"/>
  <c r="F97" i="197"/>
  <c r="F99" i="202"/>
  <c r="F122" i="197"/>
  <c r="F124" i="202"/>
  <c r="F116" i="197"/>
  <c r="F118" i="202"/>
  <c r="E145" i="197"/>
  <c r="E147" i="202"/>
  <c r="E79" i="197"/>
  <c r="E81" i="202"/>
  <c r="E59" i="197"/>
  <c r="E59" i="202"/>
  <c r="E72" i="197"/>
  <c r="E73" i="202"/>
  <c r="E97" i="197"/>
  <c r="E99" i="202"/>
  <c r="E71" i="197"/>
  <c r="E72" i="202"/>
  <c r="E83" i="197"/>
  <c r="E85" i="202"/>
  <c r="E96" i="197"/>
  <c r="E98" i="202"/>
  <c r="E121" i="197"/>
  <c r="E123" i="202"/>
  <c r="F77" i="197"/>
  <c r="F79" i="202"/>
  <c r="F70" i="197"/>
  <c r="F71" i="202"/>
  <c r="F92" i="197"/>
  <c r="F94" i="202"/>
  <c r="E94" i="197"/>
  <c r="E96" i="202"/>
  <c r="F95" i="197"/>
  <c r="F97" i="202"/>
  <c r="F104" i="197"/>
  <c r="F106" i="202"/>
  <c r="F120" i="197"/>
  <c r="F122" i="202"/>
  <c r="F114" i="197"/>
  <c r="F116" i="202"/>
  <c r="E87" i="197"/>
  <c r="E89" i="202"/>
  <c r="E105" i="197"/>
  <c r="E107" i="202"/>
  <c r="E115" i="197"/>
  <c r="E117" i="202"/>
  <c r="F146" i="197"/>
  <c r="F148" i="202"/>
  <c r="E57" i="197"/>
  <c r="E57" i="202"/>
  <c r="E77" i="197"/>
  <c r="E79" i="202"/>
  <c r="E70" i="197"/>
  <c r="E71" i="202"/>
  <c r="E92" i="197"/>
  <c r="E94" i="202"/>
  <c r="F94" i="197"/>
  <c r="F96" i="202"/>
  <c r="E95" i="197"/>
  <c r="E97" i="202"/>
  <c r="E104" i="197"/>
  <c r="E106" i="202"/>
  <c r="E120" i="197"/>
  <c r="E122" i="202"/>
  <c r="E114" i="197"/>
  <c r="E116" i="202"/>
  <c r="F79" i="197"/>
  <c r="F81" i="202"/>
  <c r="E84" i="197"/>
  <c r="E86" i="202"/>
  <c r="E88" i="197"/>
  <c r="E90" i="202"/>
  <c r="E106" i="197"/>
  <c r="E108" i="202"/>
  <c r="E116" i="197"/>
  <c r="E118" i="202"/>
  <c r="F145" i="197"/>
  <c r="F147" i="202"/>
  <c r="F58" i="197"/>
  <c r="F58" i="202"/>
  <c r="F78" i="197"/>
  <c r="F80" i="202"/>
  <c r="F83" i="197"/>
  <c r="F85" i="202"/>
  <c r="F87" i="197"/>
  <c r="F89" i="202"/>
  <c r="F105" i="197"/>
  <c r="F107" i="202"/>
  <c r="E146" i="197"/>
  <c r="E148" i="202"/>
  <c r="F113" i="197"/>
  <c r="F115" i="202"/>
  <c r="E73" i="197"/>
  <c r="E74" i="202"/>
  <c r="E75" i="202"/>
  <c r="E58" i="197"/>
  <c r="E58" i="202"/>
  <c r="E78" i="197"/>
  <c r="E80" i="202"/>
  <c r="F63" i="197"/>
  <c r="F64" i="202"/>
  <c r="E76" i="197"/>
  <c r="E78" i="202"/>
  <c r="E65" i="197"/>
  <c r="E66" i="202"/>
  <c r="E91" i="197"/>
  <c r="E93" i="202"/>
  <c r="E100" i="197"/>
  <c r="E102" i="202"/>
  <c r="F102" i="197"/>
  <c r="F104" i="202"/>
  <c r="E103" i="197"/>
  <c r="E105" i="202"/>
  <c r="E119" i="197"/>
  <c r="E121" i="202"/>
  <c r="E113" i="197"/>
  <c r="E115" i="202"/>
  <c r="F73" i="197"/>
  <c r="F74" i="202"/>
  <c r="F75" i="202"/>
  <c r="E122" i="197"/>
  <c r="E124" i="202"/>
  <c r="E80" i="197"/>
  <c r="E82" i="202"/>
  <c r="F71" i="197"/>
  <c r="F72" i="202"/>
  <c r="F65" i="197"/>
  <c r="F66" i="202"/>
  <c r="F64" i="197"/>
  <c r="F65" i="202"/>
  <c r="F90" i="197"/>
  <c r="F92" i="202"/>
  <c r="F99" i="197"/>
  <c r="F101" i="202"/>
  <c r="F130" i="197"/>
  <c r="F132" i="202"/>
  <c r="E136" i="197"/>
  <c r="E138" i="202"/>
  <c r="F96" i="197"/>
  <c r="F98" i="202"/>
  <c r="F121" i="197"/>
  <c r="F123" i="202"/>
  <c r="F115" i="197"/>
  <c r="F117" i="202"/>
  <c r="E63" i="197"/>
  <c r="E64" i="202"/>
  <c r="F100" i="197"/>
  <c r="F102" i="202"/>
  <c r="F103" i="197"/>
  <c r="F105" i="202"/>
  <c r="E75" i="197"/>
  <c r="E77" i="202"/>
  <c r="E90" i="197"/>
  <c r="E92" i="202"/>
  <c r="E130" i="197"/>
  <c r="E132" i="202"/>
  <c r="F136" i="197"/>
  <c r="F138" i="202"/>
  <c r="F119" i="197"/>
  <c r="F121" i="202"/>
  <c r="F75" i="197"/>
  <c r="F77" i="202"/>
  <c r="E82" i="197"/>
  <c r="E84" i="202"/>
  <c r="E99" i="197"/>
  <c r="E101" i="202"/>
  <c r="F60" i="197"/>
  <c r="F60" i="202"/>
  <c r="F74" i="197"/>
  <c r="F76" i="202"/>
  <c r="E86" i="197"/>
  <c r="E88" i="202"/>
  <c r="F89" i="197"/>
  <c r="F91" i="202"/>
  <c r="F98" i="197"/>
  <c r="F100" i="202"/>
  <c r="F129" i="197"/>
  <c r="F131" i="202"/>
  <c r="F117" i="197"/>
  <c r="F119" i="202"/>
  <c r="E144" i="197"/>
  <c r="E146" i="202"/>
  <c r="E64" i="197"/>
  <c r="E65" i="202"/>
  <c r="E108" i="197"/>
  <c r="E110" i="202"/>
  <c r="F81" i="197"/>
  <c r="F83" i="202"/>
  <c r="E60" i="197"/>
  <c r="E60" i="202"/>
  <c r="E81" i="197"/>
  <c r="E83" i="202"/>
  <c r="E74" i="197"/>
  <c r="E76" i="202"/>
  <c r="F86" i="197"/>
  <c r="F88" i="202"/>
  <c r="E89" i="197"/>
  <c r="E91" i="202"/>
  <c r="E98" i="197"/>
  <c r="E100" i="202"/>
  <c r="E107" i="197"/>
  <c r="E109" i="202"/>
  <c r="E129" i="197"/>
  <c r="E131" i="202"/>
  <c r="E117" i="197"/>
  <c r="E119" i="202"/>
  <c r="F144" i="197"/>
  <c r="F146" i="202"/>
  <c r="L33" i="174"/>
  <c r="F57" i="197"/>
  <c r="L79" i="174"/>
  <c r="F108" i="197"/>
  <c r="F118" i="197"/>
  <c r="E118" i="197"/>
  <c r="L78" i="174"/>
  <c r="F107" i="197"/>
  <c r="L77" i="174"/>
  <c r="F106" i="197"/>
  <c r="K19" i="174"/>
  <c r="J19" i="174"/>
  <c r="J20" i="174"/>
  <c r="J54" i="174"/>
  <c r="J16" i="174"/>
  <c r="J15" i="174" s="1"/>
  <c r="K54" i="174"/>
  <c r="K16" i="174"/>
  <c r="K15" i="174" s="1"/>
  <c r="K18" i="174"/>
  <c r="J18" i="174"/>
  <c r="K17" i="174"/>
  <c r="J17" i="174"/>
  <c r="J22" i="174"/>
  <c r="K22" i="174"/>
  <c r="K21" i="174"/>
  <c r="J21" i="174"/>
  <c r="K20" i="174"/>
  <c r="L37" i="174"/>
  <c r="H29" i="174"/>
  <c r="H28" i="174"/>
  <c r="H27" i="174"/>
  <c r="M20" i="204"/>
  <c r="H20" i="204"/>
  <c r="C20" i="204"/>
  <c r="M15" i="204"/>
  <c r="H15" i="204"/>
  <c r="C15" i="204"/>
  <c r="M10" i="204"/>
  <c r="H10" i="204"/>
  <c r="C10" i="204"/>
  <c r="C31" i="204"/>
  <c r="P21" i="204"/>
  <c r="K21" i="204"/>
  <c r="F21" i="204"/>
  <c r="P16" i="204"/>
  <c r="K16" i="204"/>
  <c r="F16" i="204"/>
  <c r="P11" i="204"/>
  <c r="K11" i="204"/>
  <c r="F11" i="204"/>
  <c r="C10" i="195"/>
  <c r="C15" i="195"/>
  <c r="M10" i="195"/>
  <c r="H15" i="195"/>
  <c r="C137" i="197"/>
  <c r="H62" i="197" l="1"/>
  <c r="H63" i="202"/>
  <c r="G39" i="197"/>
  <c r="G39" i="202"/>
  <c r="G44" i="197"/>
  <c r="G44" i="202"/>
  <c r="G49" i="197"/>
  <c r="G49" i="202"/>
  <c r="H107" i="197"/>
  <c r="H109" i="202"/>
  <c r="F22" i="197"/>
  <c r="F22" i="202"/>
  <c r="H106" i="197"/>
  <c r="H108" i="202"/>
  <c r="E22" i="197"/>
  <c r="E22" i="202"/>
  <c r="H108" i="197"/>
  <c r="H110" i="202"/>
  <c r="H57" i="197"/>
  <c r="H57" i="202"/>
  <c r="H20" i="195"/>
  <c r="D86" i="197"/>
  <c r="C15" i="174"/>
  <c r="C28" i="197" l="1"/>
  <c r="D28" i="197"/>
  <c r="C23" i="197"/>
  <c r="D23" i="197"/>
  <c r="C24" i="197"/>
  <c r="D24" i="197"/>
  <c r="C25" i="197"/>
  <c r="D25" i="197"/>
  <c r="C26" i="197"/>
  <c r="D26" i="197"/>
  <c r="C27" i="197"/>
  <c r="D27" i="197"/>
  <c r="C22" i="197"/>
  <c r="H95" i="174" l="1"/>
  <c r="H54" i="174"/>
  <c r="H64" i="174"/>
  <c r="H72" i="174"/>
  <c r="L71" i="174"/>
  <c r="L69" i="174"/>
  <c r="L66" i="174"/>
  <c r="L65" i="174"/>
  <c r="L102" i="174"/>
  <c r="L100" i="174"/>
  <c r="L97" i="174"/>
  <c r="L96" i="174"/>
  <c r="L99" i="174"/>
  <c r="L101" i="174"/>
  <c r="L103" i="174"/>
  <c r="L104" i="174"/>
  <c r="J95" i="174"/>
  <c r="H94" i="197" l="1"/>
  <c r="H96" i="202"/>
  <c r="H145" i="197"/>
  <c r="H147" i="202"/>
  <c r="H95" i="197"/>
  <c r="H97" i="202"/>
  <c r="H136" i="197"/>
  <c r="H138" i="202"/>
  <c r="H98" i="197"/>
  <c r="H100" i="202"/>
  <c r="H100" i="197"/>
  <c r="H102" i="202"/>
  <c r="H144" i="197"/>
  <c r="H146" i="202"/>
  <c r="K95" i="174"/>
  <c r="C20" i="195"/>
  <c r="M15" i="195"/>
  <c r="M20" i="195"/>
  <c r="H10" i="195"/>
  <c r="C31" i="195"/>
  <c r="D31" i="195"/>
  <c r="C147" i="202" l="1"/>
  <c r="C148" i="202"/>
  <c r="C146" i="202"/>
  <c r="C139" i="202"/>
  <c r="C140" i="202"/>
  <c r="C141" i="202"/>
  <c r="C142" i="202"/>
  <c r="C143" i="202"/>
  <c r="C144" i="202"/>
  <c r="C138" i="202"/>
  <c r="C130" i="202"/>
  <c r="C131" i="202"/>
  <c r="C132" i="202"/>
  <c r="C116" i="202"/>
  <c r="C117" i="202"/>
  <c r="C118" i="202"/>
  <c r="C119" i="202"/>
  <c r="C121" i="202"/>
  <c r="C122" i="202"/>
  <c r="C123" i="202"/>
  <c r="C124" i="202"/>
  <c r="C115" i="202"/>
  <c r="C105" i="202"/>
  <c r="C106" i="202"/>
  <c r="C107" i="202"/>
  <c r="C108" i="202"/>
  <c r="C109" i="202"/>
  <c r="C110" i="202"/>
  <c r="C104" i="202"/>
  <c r="C97" i="202"/>
  <c r="C98" i="202"/>
  <c r="C99" i="202"/>
  <c r="C100" i="202"/>
  <c r="C101" i="202"/>
  <c r="C102" i="202"/>
  <c r="C96" i="202"/>
  <c r="C103" i="202"/>
  <c r="C95" i="202"/>
  <c r="C89" i="202"/>
  <c r="C90" i="202"/>
  <c r="C91" i="202"/>
  <c r="C92" i="202"/>
  <c r="C93" i="202"/>
  <c r="C94" i="202"/>
  <c r="D88" i="202"/>
  <c r="C88" i="202"/>
  <c r="C87" i="202"/>
  <c r="C72" i="202"/>
  <c r="C73" i="202"/>
  <c r="C75" i="202"/>
  <c r="C76" i="202"/>
  <c r="C77" i="202"/>
  <c r="C78" i="202"/>
  <c r="C79" i="202"/>
  <c r="C80" i="202"/>
  <c r="C81" i="202"/>
  <c r="C82" i="202"/>
  <c r="C83" i="202"/>
  <c r="C84" i="202"/>
  <c r="C85" i="202"/>
  <c r="C86" i="202"/>
  <c r="C71" i="202"/>
  <c r="C58" i="202"/>
  <c r="D58" i="202"/>
  <c r="C59" i="202"/>
  <c r="D59" i="202"/>
  <c r="C60" i="202"/>
  <c r="D60" i="202"/>
  <c r="C61" i="202"/>
  <c r="D61" i="202"/>
  <c r="C64" i="202"/>
  <c r="D64" i="202"/>
  <c r="C65" i="202"/>
  <c r="D65" i="202"/>
  <c r="C66" i="202"/>
  <c r="D66" i="202"/>
  <c r="C57" i="202"/>
  <c r="D52" i="202"/>
  <c r="C52" i="202"/>
  <c r="D51" i="202"/>
  <c r="C51" i="202"/>
  <c r="D50" i="202"/>
  <c r="C50" i="202"/>
  <c r="D47" i="202"/>
  <c r="C47" i="202"/>
  <c r="D46" i="202"/>
  <c r="C46" i="202"/>
  <c r="D45" i="202"/>
  <c r="C45" i="202"/>
  <c r="D41" i="202"/>
  <c r="C41" i="202"/>
  <c r="D40" i="202"/>
  <c r="C40" i="202"/>
  <c r="D37" i="202"/>
  <c r="C37" i="202"/>
  <c r="D36" i="202"/>
  <c r="C36" i="202"/>
  <c r="D33" i="202"/>
  <c r="C33" i="202"/>
  <c r="D32" i="202"/>
  <c r="C32" i="202"/>
  <c r="D42" i="202"/>
  <c r="C42" i="202"/>
  <c r="D49" i="202"/>
  <c r="C49" i="202"/>
  <c r="D44" i="202"/>
  <c r="D39" i="202"/>
  <c r="D35" i="202"/>
  <c r="C35" i="202"/>
  <c r="D31" i="202"/>
  <c r="C31" i="202"/>
  <c r="D23" i="202"/>
  <c r="C22" i="202"/>
  <c r="C18" i="202"/>
  <c r="C14" i="202"/>
  <c r="D20" i="202"/>
  <c r="C20" i="202"/>
  <c r="D19" i="202"/>
  <c r="C19" i="202"/>
  <c r="C15" i="202"/>
  <c r="C16" i="202"/>
  <c r="D15" i="202"/>
  <c r="D15" i="197"/>
  <c r="C15" i="197"/>
  <c r="D19" i="197"/>
  <c r="C19" i="197"/>
  <c r="C151" i="202"/>
  <c r="D148" i="202"/>
  <c r="D147" i="202"/>
  <c r="D146" i="202"/>
  <c r="D144" i="202"/>
  <c r="D143" i="202"/>
  <c r="D142" i="202"/>
  <c r="D141" i="202"/>
  <c r="D140" i="202"/>
  <c r="D139" i="202"/>
  <c r="D138" i="202"/>
  <c r="D132" i="202"/>
  <c r="D131" i="202"/>
  <c r="D130" i="202"/>
  <c r="D129" i="202"/>
  <c r="D124" i="202"/>
  <c r="D123" i="202"/>
  <c r="D122" i="202"/>
  <c r="D121" i="202"/>
  <c r="D119" i="202"/>
  <c r="D118" i="202"/>
  <c r="D117" i="202"/>
  <c r="D116" i="202"/>
  <c r="D115" i="202"/>
  <c r="D110" i="202"/>
  <c r="D109" i="202"/>
  <c r="D108" i="202"/>
  <c r="D107" i="202"/>
  <c r="D106" i="202"/>
  <c r="D105" i="202"/>
  <c r="D104" i="202"/>
  <c r="D102" i="202"/>
  <c r="D101" i="202"/>
  <c r="D100" i="202"/>
  <c r="D99" i="202"/>
  <c r="D98" i="202"/>
  <c r="D97" i="202"/>
  <c r="D96" i="202"/>
  <c r="D94" i="202"/>
  <c r="D93" i="202"/>
  <c r="D92" i="202"/>
  <c r="D91" i="202"/>
  <c r="D90" i="202"/>
  <c r="D89" i="202"/>
  <c r="D86" i="202"/>
  <c r="D85" i="202"/>
  <c r="D84" i="202"/>
  <c r="D83" i="202"/>
  <c r="D82" i="202"/>
  <c r="D81" i="202"/>
  <c r="D80" i="202"/>
  <c r="D79" i="202"/>
  <c r="D78" i="202"/>
  <c r="D77" i="202"/>
  <c r="D76" i="202"/>
  <c r="D75" i="202"/>
  <c r="D73" i="202"/>
  <c r="D72" i="202"/>
  <c r="D71" i="202"/>
  <c r="D57" i="202"/>
  <c r="D16" i="202"/>
  <c r="H11" i="202"/>
  <c r="D51" i="197"/>
  <c r="D50" i="197"/>
  <c r="D52" i="197"/>
  <c r="C52" i="197"/>
  <c r="D49" i="197"/>
  <c r="C49" i="197"/>
  <c r="D44" i="197"/>
  <c r="D39" i="197"/>
  <c r="D35" i="197"/>
  <c r="D31" i="197"/>
  <c r="D47" i="197"/>
  <c r="C47" i="197"/>
  <c r="D46" i="197"/>
  <c r="C46" i="197"/>
  <c r="D45" i="197"/>
  <c r="C45" i="197"/>
  <c r="C44" i="197"/>
  <c r="D42" i="197"/>
  <c r="C42" i="197"/>
  <c r="D41" i="197"/>
  <c r="C41" i="197"/>
  <c r="D40" i="197"/>
  <c r="C40" i="197"/>
  <c r="C39" i="197"/>
  <c r="D37" i="197"/>
  <c r="C37" i="197"/>
  <c r="D36" i="197"/>
  <c r="C36" i="197"/>
  <c r="C35" i="197"/>
  <c r="H26" i="174"/>
  <c r="G35" i="202" s="1"/>
  <c r="H25" i="174"/>
  <c r="G31" i="202" s="1"/>
  <c r="D33" i="197"/>
  <c r="C33" i="197"/>
  <c r="D32" i="197"/>
  <c r="C32" i="197"/>
  <c r="C31" i="197"/>
  <c r="G31" i="197" l="1"/>
  <c r="G35" i="197"/>
  <c r="C50" i="197"/>
  <c r="C51" i="197"/>
  <c r="C78" i="197"/>
  <c r="H15" i="174"/>
  <c r="G22" i="202" s="1"/>
  <c r="D29" i="197"/>
  <c r="C29" i="197"/>
  <c r="D20" i="197"/>
  <c r="C20" i="197"/>
  <c r="C18" i="197"/>
  <c r="D16" i="197"/>
  <c r="C16" i="197"/>
  <c r="C14" i="197"/>
  <c r="K14" i="174"/>
  <c r="J14" i="174"/>
  <c r="C58" i="197"/>
  <c r="D58" i="197"/>
  <c r="C59" i="197"/>
  <c r="D59" i="197"/>
  <c r="C60" i="197"/>
  <c r="D60" i="197"/>
  <c r="C63" i="197"/>
  <c r="D63" i="197"/>
  <c r="C64" i="197"/>
  <c r="D64" i="197"/>
  <c r="C65" i="197"/>
  <c r="D65" i="197"/>
  <c r="D57" i="197"/>
  <c r="C57" i="197"/>
  <c r="C145" i="197"/>
  <c r="D145" i="197"/>
  <c r="C146" i="197"/>
  <c r="D146" i="197"/>
  <c r="D144" i="197"/>
  <c r="C144" i="197"/>
  <c r="D137" i="197"/>
  <c r="C138" i="197"/>
  <c r="D138" i="197"/>
  <c r="C139" i="197"/>
  <c r="D139" i="197"/>
  <c r="C140" i="197"/>
  <c r="D140" i="197"/>
  <c r="C141" i="197"/>
  <c r="D141" i="197"/>
  <c r="C142" i="197"/>
  <c r="D142" i="197"/>
  <c r="D136" i="197"/>
  <c r="C136" i="197"/>
  <c r="C128" i="197"/>
  <c r="D128" i="197"/>
  <c r="C129" i="197"/>
  <c r="D129" i="197"/>
  <c r="C130" i="197"/>
  <c r="D130" i="197"/>
  <c r="D127" i="197"/>
  <c r="C127" i="197"/>
  <c r="C114" i="197"/>
  <c r="D114" i="197"/>
  <c r="C115" i="197"/>
  <c r="D115" i="197"/>
  <c r="C116" i="197"/>
  <c r="D116" i="197"/>
  <c r="C117" i="197"/>
  <c r="D117" i="197"/>
  <c r="C119" i="197"/>
  <c r="D119" i="197"/>
  <c r="C120" i="197"/>
  <c r="D120" i="197"/>
  <c r="C121" i="197"/>
  <c r="D121" i="197"/>
  <c r="C122" i="197"/>
  <c r="D122" i="197"/>
  <c r="D113" i="197"/>
  <c r="C113" i="197"/>
  <c r="C103" i="197"/>
  <c r="D103" i="197"/>
  <c r="C104" i="197"/>
  <c r="D104" i="197"/>
  <c r="C105" i="197"/>
  <c r="D105" i="197"/>
  <c r="C106" i="197"/>
  <c r="D106" i="197"/>
  <c r="C107" i="197"/>
  <c r="D107" i="197"/>
  <c r="C108" i="197"/>
  <c r="D108" i="197"/>
  <c r="D102" i="197"/>
  <c r="C102" i="197"/>
  <c r="C101" i="197"/>
  <c r="C93" i="197"/>
  <c r="C85" i="197"/>
  <c r="C95" i="197"/>
  <c r="D95" i="197"/>
  <c r="C96" i="197"/>
  <c r="D96" i="197"/>
  <c r="C97" i="197"/>
  <c r="D97" i="197"/>
  <c r="C98" i="197"/>
  <c r="D98" i="197"/>
  <c r="C99" i="197"/>
  <c r="D99" i="197"/>
  <c r="C100" i="197"/>
  <c r="D100" i="197"/>
  <c r="D94" i="197"/>
  <c r="C94" i="197"/>
  <c r="C87" i="197"/>
  <c r="D87" i="197"/>
  <c r="C88" i="197"/>
  <c r="D88" i="197"/>
  <c r="C89" i="197"/>
  <c r="D89" i="197"/>
  <c r="C90" i="197"/>
  <c r="D90" i="197"/>
  <c r="C91" i="197"/>
  <c r="D91" i="197"/>
  <c r="C92" i="197"/>
  <c r="D92" i="197"/>
  <c r="C86" i="197"/>
  <c r="C75" i="197"/>
  <c r="D75" i="197"/>
  <c r="C76" i="197"/>
  <c r="D76" i="197"/>
  <c r="C77" i="197"/>
  <c r="D77" i="197"/>
  <c r="C79" i="197"/>
  <c r="D79" i="197"/>
  <c r="C80" i="197"/>
  <c r="D80" i="197"/>
  <c r="C81" i="197"/>
  <c r="D81" i="197"/>
  <c r="C82" i="197"/>
  <c r="D82" i="197"/>
  <c r="C83" i="197"/>
  <c r="D83" i="197"/>
  <c r="C84" i="197"/>
  <c r="D84" i="197"/>
  <c r="C71" i="197"/>
  <c r="D71" i="197"/>
  <c r="C72" i="197"/>
  <c r="D72" i="197"/>
  <c r="C74" i="197"/>
  <c r="D74" i="197"/>
  <c r="D70" i="197"/>
  <c r="C70" i="197"/>
  <c r="J31" i="174"/>
  <c r="L31" i="174"/>
  <c r="L98" i="174"/>
  <c r="Q31" i="204"/>
  <c r="G22" i="197" l="1"/>
  <c r="K27" i="174"/>
  <c r="K29" i="174"/>
  <c r="J25" i="174"/>
  <c r="E31" i="202" s="1"/>
  <c r="J29" i="174"/>
  <c r="J28" i="174"/>
  <c r="K28" i="174"/>
  <c r="J27" i="174"/>
  <c r="Q31" i="195"/>
  <c r="J72" i="174"/>
  <c r="K72" i="174"/>
  <c r="L72" i="174" s="1"/>
  <c r="J64" i="174"/>
  <c r="K64" i="174"/>
  <c r="L16" i="174"/>
  <c r="L22" i="174"/>
  <c r="L19" i="174"/>
  <c r="L18" i="174"/>
  <c r="L17" i="174"/>
  <c r="L20" i="174"/>
  <c r="L83" i="174"/>
  <c r="L68" i="174"/>
  <c r="L59" i="174"/>
  <c r="L36" i="174"/>
  <c r="L82" i="174"/>
  <c r="L58" i="174"/>
  <c r="L46" i="174"/>
  <c r="L35" i="174"/>
  <c r="L57" i="174"/>
  <c r="L45" i="174"/>
  <c r="L34" i="174"/>
  <c r="L93" i="174"/>
  <c r="L80" i="174"/>
  <c r="L56" i="174"/>
  <c r="L44" i="174"/>
  <c r="L49" i="174"/>
  <c r="L81" i="174"/>
  <c r="L55" i="174"/>
  <c r="L43" i="174"/>
  <c r="L105" i="174"/>
  <c r="K26" i="174"/>
  <c r="F35" i="202" s="1"/>
  <c r="L76" i="174"/>
  <c r="L42" i="174"/>
  <c r="H72" i="202" s="1"/>
  <c r="L85" i="174"/>
  <c r="K11" i="174"/>
  <c r="K25" i="174"/>
  <c r="L73" i="174"/>
  <c r="L63" i="174"/>
  <c r="L53" i="174"/>
  <c r="L41" i="174"/>
  <c r="J26" i="174"/>
  <c r="L89" i="174"/>
  <c r="L74" i="174"/>
  <c r="L62" i="174"/>
  <c r="L52" i="174"/>
  <c r="L40" i="174"/>
  <c r="L92" i="174"/>
  <c r="H131" i="202" s="1"/>
  <c r="L67" i="174"/>
  <c r="L88" i="174"/>
  <c r="L61" i="174"/>
  <c r="L51" i="174"/>
  <c r="L39" i="174"/>
  <c r="L87" i="174"/>
  <c r="L75" i="174"/>
  <c r="L50" i="174"/>
  <c r="L38" i="174"/>
  <c r="L86" i="174"/>
  <c r="L60" i="174"/>
  <c r="L84" i="174"/>
  <c r="H119" i="202" s="1"/>
  <c r="L70" i="174"/>
  <c r="H61" i="202"/>
  <c r="L91" i="174"/>
  <c r="L90" i="174"/>
  <c r="L47" i="174"/>
  <c r="J10" i="174"/>
  <c r="J11" i="174"/>
  <c r="L54" i="174"/>
  <c r="L95" i="174"/>
  <c r="H118" i="197" l="1"/>
  <c r="H120" i="202"/>
  <c r="H119" i="197"/>
  <c r="H121" i="202"/>
  <c r="H83" i="197"/>
  <c r="H85" i="202"/>
  <c r="H122" i="197"/>
  <c r="H124" i="202"/>
  <c r="H88" i="197"/>
  <c r="H90" i="202"/>
  <c r="H120" i="197"/>
  <c r="H122" i="202"/>
  <c r="E35" i="197"/>
  <c r="E35" i="202"/>
  <c r="H127" i="197"/>
  <c r="H129" i="202"/>
  <c r="H70" i="197"/>
  <c r="H71" i="202"/>
  <c r="F44" i="197"/>
  <c r="F44" i="202"/>
  <c r="H128" i="197"/>
  <c r="H130" i="202"/>
  <c r="H80" i="197"/>
  <c r="H82" i="202"/>
  <c r="H82" i="197"/>
  <c r="H84" i="202"/>
  <c r="H86" i="197"/>
  <c r="H88" i="202"/>
  <c r="H89" i="197"/>
  <c r="H91" i="202"/>
  <c r="E44" i="197"/>
  <c r="E44" i="202"/>
  <c r="H113" i="197"/>
  <c r="H115" i="202"/>
  <c r="H130" i="197"/>
  <c r="H132" i="202"/>
  <c r="H63" i="197"/>
  <c r="H64" i="202"/>
  <c r="E18" i="197"/>
  <c r="E18" i="202"/>
  <c r="H74" i="197"/>
  <c r="H76" i="202"/>
  <c r="E14" i="197"/>
  <c r="E14" i="202"/>
  <c r="H84" i="197"/>
  <c r="H86" i="202"/>
  <c r="H114" i="197"/>
  <c r="H116" i="202"/>
  <c r="H115" i="197"/>
  <c r="H117" i="202"/>
  <c r="E49" i="197"/>
  <c r="E49" i="202"/>
  <c r="H65" i="197"/>
  <c r="H66" i="202"/>
  <c r="H81" i="197"/>
  <c r="H83" i="202"/>
  <c r="H58" i="197"/>
  <c r="H58" i="202"/>
  <c r="H79" i="197"/>
  <c r="H81" i="202"/>
  <c r="H59" i="197"/>
  <c r="H59" i="202"/>
  <c r="H64" i="197"/>
  <c r="H65" i="202"/>
  <c r="H121" i="197"/>
  <c r="H123" i="202"/>
  <c r="H60" i="197"/>
  <c r="H60" i="202"/>
  <c r="H91" i="197"/>
  <c r="H93" i="202"/>
  <c r="H116" i="197"/>
  <c r="H118" i="202"/>
  <c r="H105" i="197"/>
  <c r="H107" i="202"/>
  <c r="H104" i="197"/>
  <c r="H106" i="202"/>
  <c r="H146" i="197"/>
  <c r="H148" i="202"/>
  <c r="E39" i="197"/>
  <c r="E39" i="202"/>
  <c r="H72" i="197"/>
  <c r="H73" i="202"/>
  <c r="H99" i="197"/>
  <c r="H101" i="202"/>
  <c r="H102" i="197"/>
  <c r="H104" i="202"/>
  <c r="H78" i="197"/>
  <c r="H80" i="202"/>
  <c r="H96" i="197"/>
  <c r="H98" i="202"/>
  <c r="F31" i="197"/>
  <c r="F31" i="202"/>
  <c r="H73" i="197"/>
  <c r="H74" i="202"/>
  <c r="H75" i="202"/>
  <c r="F49" i="197"/>
  <c r="F49" i="202"/>
  <c r="H103" i="197"/>
  <c r="H105" i="202"/>
  <c r="H76" i="197"/>
  <c r="H78" i="202"/>
  <c r="H75" i="197"/>
  <c r="H77" i="202"/>
  <c r="H92" i="197"/>
  <c r="H94" i="202"/>
  <c r="H77" i="197"/>
  <c r="H79" i="202"/>
  <c r="F18" i="197"/>
  <c r="F18" i="202"/>
  <c r="H87" i="197"/>
  <c r="H89" i="202"/>
  <c r="H90" i="197"/>
  <c r="H92" i="202"/>
  <c r="F39" i="197"/>
  <c r="F39" i="202"/>
  <c r="H97" i="197"/>
  <c r="H99" i="202"/>
  <c r="C21" i="204"/>
  <c r="D21" i="204" s="1"/>
  <c r="H71" i="197"/>
  <c r="M16" i="204"/>
  <c r="N16" i="204" s="1"/>
  <c r="H129" i="197"/>
  <c r="L26" i="174"/>
  <c r="F35" i="197"/>
  <c r="C11" i="204"/>
  <c r="D11" i="204" s="1"/>
  <c r="H117" i="197"/>
  <c r="E31" i="197"/>
  <c r="C11" i="195"/>
  <c r="H11" i="204"/>
  <c r="I11" i="204" s="1"/>
  <c r="C16" i="195"/>
  <c r="C16" i="204"/>
  <c r="D16" i="204" s="1"/>
  <c r="M11" i="204"/>
  <c r="N11" i="204" s="1"/>
  <c r="M11" i="195"/>
  <c r="C21" i="195"/>
  <c r="L21" i="174"/>
  <c r="K10" i="174"/>
  <c r="L64" i="174"/>
  <c r="L15" i="174"/>
  <c r="H22" i="202" s="1"/>
  <c r="H11" i="195"/>
  <c r="M16" i="195"/>
  <c r="L27" i="174"/>
  <c r="L29" i="174"/>
  <c r="L28" i="174"/>
  <c r="L25" i="174"/>
  <c r="L11" i="174"/>
  <c r="H18" i="197" l="1"/>
  <c r="H18" i="202"/>
  <c r="H31" i="197"/>
  <c r="H31" i="202"/>
  <c r="H35" i="197"/>
  <c r="H35" i="202"/>
  <c r="H49" i="197"/>
  <c r="H49" i="202"/>
  <c r="H44" i="197"/>
  <c r="H44" i="202"/>
  <c r="H39" i="197"/>
  <c r="H39" i="202"/>
  <c r="F14" i="197"/>
  <c r="F14" i="202"/>
  <c r="H21" i="204"/>
  <c r="I21" i="204" s="1"/>
  <c r="H22" i="197"/>
  <c r="L10" i="174"/>
  <c r="H14" i="202" s="1"/>
  <c r="H16" i="204"/>
  <c r="I16" i="204" s="1"/>
  <c r="H16" i="195"/>
  <c r="I16" i="195" s="1"/>
  <c r="H21" i="195"/>
  <c r="M21" i="204" l="1"/>
  <c r="N21" i="204" s="1"/>
  <c r="H14" i="197"/>
  <c r="M21" i="195"/>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tc={7FC2E49F-9D7D-43C4-B186-74A70218ABA5}</author>
    <author>tc={73F0A338-616E-4C5E-9C69-B9A43716A8FB}</author>
    <author>tc={9677AF9B-0F86-4F02-A2DA-C9A2A2238423}</author>
    <author>tc={F5FBA57C-7B39-424F-8EDE-7F3EEC30B10C}</author>
    <author>tc={D8CEAB9F-A688-4DBF-A820-C4DA1725D5BE}</author>
    <author>tc={CDCF671E-EE98-4D64-B32A-8F44ECA6837B}</author>
    <author>tc={748E530B-7846-4AA4-AE9E-217C1695E26C}</author>
    <author>tc={D8172F91-3DDD-4544-840E-FA20BD4BDBE9}</author>
    <author>tc={ED79DAE0-56D5-455F-AC70-5492922D4CC7}</author>
    <author>tc={69D5C999-53A0-4268-A780-1DA7EEDBBBDC}</author>
    <author>tc={4CB68F3E-4DC7-40CE-B4BE-F187F1A48E7C}</author>
    <author>tc={2362A95D-402F-4B09-8623-68D4241AA9C6}</author>
    <author>tc={F8669D8D-3378-497E-9D94-1F5E41E9103D}</author>
    <author>tc={48EBA6A1-465F-4E2B-AB18-CF26AA44DC94}</author>
    <author>tc={409F6210-B0C0-4C1C-9870-96A64F72F4FF}</author>
    <author>tc={7B5174BF-AD7E-4434-AD26-5D98C84322C4}</author>
    <author>tc={A121B626-34BC-4CEE-93F5-4DB7F59AB2FB}</author>
    <author>tc={1A1E28AB-1A75-4397-B00B-710DD78FE177}</author>
    <author>tc={40A9467E-406F-4731-9113-DDFADD4DA5D3}</author>
    <author>tc={AD59CC43-AC1B-41CF-8AB3-2E51E1813E3B}</author>
    <author>tc={0FFCDEFE-EF5C-4EED-94C5-6726810CECC1}</author>
    <author>tc={CDFA2E63-E2AE-4008-8C36-AFDB61A0CE9A}</author>
  </authors>
  <commentList>
    <comment ref="W9" authorId="0" shapeId="0" xr:uid="{93B9CE55-AA83-4829-BF41-DD9FF013E27D}">
      <text>
        <r>
          <rPr>
            <b/>
            <sz val="9"/>
            <color indexed="81"/>
            <rFont val="Tahoma"/>
            <family val="2"/>
          </rPr>
          <t xml:space="preserve">Display order 1-100 for packages
</t>
        </r>
      </text>
    </comment>
    <comment ref="AP9" authorId="0" shapeId="0" xr:uid="{E170194C-DC25-48A9-AB35-68DB46774764}">
      <text>
        <r>
          <rPr>
            <b/>
            <sz val="9"/>
            <color indexed="81"/>
            <rFont val="Tahoma"/>
            <family val="2"/>
          </rPr>
          <t>Dependencies, go one-way (unless applied backwards)</t>
        </r>
      </text>
    </comment>
    <comment ref="AQ9" authorId="0" shapeId="0" xr:uid="{9C70A6C5-D76E-44EB-906F-3D4A1587A97E}">
      <text>
        <r>
          <rPr>
            <b/>
            <sz val="9"/>
            <color indexed="81"/>
            <rFont val="Tahoma"/>
            <family val="2"/>
          </rPr>
          <t>Exclusions, auto-generate on the other part.</t>
        </r>
      </text>
    </comment>
    <comment ref="T10" authorId="1" shapeId="0" xr:uid="{7FC2E49F-9D7D-43C4-B186-74A70218ABA5}">
      <text>
        <t xml:space="preserve">[Threaded comment]
Your version of Excel allows you to read this threaded comment; however, any edits to it will get removed if the file is opened in a newer version of Excel. Learn more: https://go.microsoft.com/fwlink/?linkid=870924
Comment:
    The 16inch doesn’t work for SI. Lets remove this application.
</t>
      </text>
    </comment>
    <comment ref="T11" authorId="2" shapeId="0" xr:uid="{73F0A338-616E-4C5E-9C69-B9A43716A8FB}">
      <text>
        <t xml:space="preserve">[Threaded comment]
Your version of Excel allows you to read this threaded comment; however, any edits to it will get removed if the file is opened in a newer version of Excel. Learn more: https://go.microsoft.com/fwlink/?linkid=870924
Comment:
    The 16inch doesn’t work for SI. Lets remove this application.
</t>
      </text>
    </comment>
    <comment ref="Q15" authorId="3" shapeId="0" xr:uid="{9677AF9B-0F86-4F02-A2DA-C9A2A2238423}">
      <text>
        <t>[Threaded comment]
Your version of Excel allows you to read this threaded comment; however, any edits to it will get removed if the file is opened in a newer version of Excel. Learn more: https://go.microsoft.com/fwlink/?linkid=870924
Comment:
    Missing image model page</t>
      </text>
    </comment>
    <comment ref="S15" authorId="4" shapeId="0" xr:uid="{F5FBA57C-7B39-424F-8EDE-7F3EEC30B10C}">
      <text>
        <t>[Threaded comment]
Your version of Excel allows you to read this threaded comment; however, any edits to it will get removed if the file is opened in a newer version of Excel. Learn more: https://go.microsoft.com/fwlink/?linkid=870924
Comment:
    Missing image model page</t>
      </text>
    </comment>
    <comment ref="T15" authorId="5" shapeId="0" xr:uid="{D8CEAB9F-A688-4DBF-A820-C4DA1725D5BE}">
      <text>
        <t>[Threaded comment]
Your version of Excel allows you to read this threaded comment; however, any edits to it will get removed if the file is opened in a newer version of Excel. Learn more: https://go.microsoft.com/fwlink/?linkid=870924
Comment:
    Missing image model page</t>
      </text>
    </comment>
    <comment ref="T31" authorId="6" shapeId="0" xr:uid="{CDCF671E-EE98-4D64-B32A-8F44ECA6837B}">
      <text>
        <t xml:space="preserve">[Threaded comment]
Your version of Excel allows you to read this threaded comment; however, any edits to it will get removed if the file is opened in a newer version of Excel. Learn more: https://go.microsoft.com/fwlink/?linkid=870924
Comment:
    The 16inch doesn’t work for SI. Lets remove this application.
</t>
      </text>
    </comment>
    <comment ref="AK31" authorId="7" shapeId="0" xr:uid="{748E530B-7846-4AA4-AE9E-217C1695E26C}">
      <text>
        <t>[Threaded comment]
Your version of Excel allows you to read this threaded comment; however, any edits to it will get removed if the file is opened in a newer version of Excel. Learn more: https://go.microsoft.com/fwlink/?linkid=870924
Comment:
    Add to category</t>
      </text>
    </comment>
    <comment ref="T32" authorId="8" shapeId="0" xr:uid="{D8172F91-3DDD-4544-840E-FA20BD4BDBE9}">
      <text>
        <t xml:space="preserve">[Threaded comment]
Your version of Excel allows you to read this threaded comment; however, any edits to it will get removed if the file is opened in a newer version of Excel. Learn more: https://go.microsoft.com/fwlink/?linkid=870924
Comment:
    Add in??? </t>
      </text>
    </comment>
    <comment ref="M37" authorId="9" shapeId="0" xr:uid="{ED79DAE0-56D5-455F-AC70-5492922D4CC7}">
      <text>
        <t>[Threaded comment]
Your version of Excel allows you to read this threaded comment; however, any edits to it will get removed if the file is opened in a newer version of Excel. Learn more: https://go.microsoft.com/fwlink/?linkid=870924
Comment:
    Remove from web</t>
      </text>
    </comment>
    <comment ref="P37" authorId="10" shapeId="0" xr:uid="{69D5C999-53A0-4268-A780-1DA7EEDBBBDC}">
      <text>
        <t xml:space="preserve">[Threaded comment]
Your version of Excel allows you to read this threaded comment; however, any edits to it will get removed if the file is opened in a newer version of Excel. Learn more: https://go.microsoft.com/fwlink/?linkid=870924
Comment:
    Delete out 18” alloy 5 spoke wheel 
</t>
      </text>
    </comment>
    <comment ref="Q37" authorId="11" shapeId="0" xr:uid="{4CB68F3E-4DC7-40CE-B4BE-F187F1A48E7C}">
      <text>
        <t xml:space="preserve">[Threaded comment]
Your version of Excel allows you to read this threaded comment; however, any edits to it will get removed if the file is opened in a newer version of Excel. Learn more: https://go.microsoft.com/fwlink/?linkid=870924
Comment:
    Delete out 18” alloy 5 spoke wheel </t>
      </text>
    </comment>
    <comment ref="S37" authorId="12" shapeId="0" xr:uid="{2362A95D-402F-4B09-8623-68D4241AA9C6}">
      <text>
        <t xml:space="preserve">[Threaded comment]
Your version of Excel allows you to read this threaded comment; however, any edits to it will get removed if the file is opened in a newer version of Excel. Learn more: https://go.microsoft.com/fwlink/?linkid=870924
Comment:
    Delete out 18” alloy 5 spoke wheel </t>
      </text>
    </comment>
    <comment ref="T37" authorId="13" shapeId="0" xr:uid="{F8669D8D-3378-497E-9D94-1F5E41E9103D}">
      <text>
        <t xml:space="preserve">[Threaded comment]
Your version of Excel allows you to read this threaded comment; however, any edits to it will get removed if the file is opened in a newer version of Excel. Learn more: https://go.microsoft.com/fwlink/?linkid=870924
Comment:
    Delete out 18” alloy 5 spoke wheel 
</t>
      </text>
    </comment>
    <comment ref="D39" authorId="14" shapeId="0" xr:uid="{48EBA6A1-465F-4E2B-AB18-CF26AA44DC94}">
      <text>
        <t xml:space="preserve">[Threaded comment]
Your version of Excel allows you to read this threaded comment; however, any edits to it will get removed if the file is opened in a newer version of Excel. Learn more: https://go.microsoft.com/fwlink/?linkid=870924
Comment:
    Update name - Sport trim </t>
      </text>
    </comment>
    <comment ref="X40" authorId="15" shapeId="0" xr:uid="{409F6210-B0C0-4C1C-9870-96A64F72F4FF}">
      <text>
        <t>[Threaded comment]
Your version of Excel allows you to read this threaded comment; however, any edits to it will get removed if the file is opened in a newer version of Excel. Learn more: https://go.microsoft.com/fwlink/?linkid=870924
Comment:
    Fix image - cropped off</t>
      </text>
    </comment>
    <comment ref="D41" authorId="16" shapeId="0" xr:uid="{7B5174BF-AD7E-4434-AD26-5D98C84322C4}">
      <text>
        <t>[Threaded comment]
Your version of Excel allows you to read this threaded comment; however, any edits to it will get removed if the file is opened in a newer version of Excel. Learn more: https://go.microsoft.com/fwlink/?linkid=870924
Comment:
    Update item name</t>
      </text>
    </comment>
    <comment ref="AJ44" authorId="17" shapeId="0" xr:uid="{A121B626-34BC-4CEE-93F5-4DB7F59AB2FB}">
      <text>
        <t xml:space="preserve">[Threaded comment]
Your version of Excel allows you to read this threaded comment; however, any edits to it will get removed if the file is opened in a newer version of Excel. Learn more: https://go.microsoft.com/fwlink/?linkid=870924
Comment:
    Change to safety from Utility
</t>
      </text>
    </comment>
    <comment ref="S45" authorId="18" shapeId="0" xr:uid="{1A1E28AB-1A75-4397-B00B-710DD78FE177}">
      <text>
        <t xml:space="preserve">[Threaded comment]
Your version of Excel allows you to read this threaded comment; however, any edits to it will get removed if the file is opened in a newer version of Excel. Learn more: https://go.microsoft.com/fwlink/?linkid=870924
Comment:
    Showing the other door visor - switch application
</t>
      </text>
    </comment>
    <comment ref="Q49" authorId="19" shapeId="0" xr:uid="{40A9467E-406F-4731-9113-DDFADD4DA5D3}">
      <text>
        <t xml:space="preserve">[Threaded comment]
Your version of Excel allows you to read this threaded comment; however, any edits to it will get removed if the file is opened in a newer version of Excel. Learn more: https://go.microsoft.com/fwlink/?linkid=870924
Comment:
    Remove from 26MY
</t>
      </text>
    </comment>
    <comment ref="S49" authorId="20" shapeId="0" xr:uid="{AD59CC43-AC1B-41CF-8AB3-2E51E1813E3B}">
      <text>
        <t xml:space="preserve">[Threaded comment]
Your version of Excel allows you to read this threaded comment; however, any edits to it will get removed if the file is opened in a newer version of Excel. Learn more: https://go.microsoft.com/fwlink/?linkid=870924
Comment:
    Remove from 26MY
</t>
      </text>
    </comment>
    <comment ref="B54" authorId="0" shapeId="0" xr:uid="{83E9EC62-1984-4C93-966F-09F0DE148BB4}">
      <text>
        <r>
          <rPr>
            <sz val="9"/>
            <color indexed="81"/>
            <rFont val="Tahoma"/>
            <family val="2"/>
          </rPr>
          <t>not a real PN, just for app chart reference</t>
        </r>
      </text>
    </comment>
    <comment ref="B64" authorId="0" shapeId="0" xr:uid="{465D5D70-24E9-4EE7-BA32-752324BF9024}">
      <text>
        <r>
          <rPr>
            <sz val="9"/>
            <color indexed="81"/>
            <rFont val="Tahoma"/>
            <family val="2"/>
          </rPr>
          <t>not a real PN, just for app chart reference</t>
        </r>
      </text>
    </comment>
    <comment ref="B72" authorId="0" shapeId="0" xr:uid="{59465F66-E4C0-45FE-ABFF-A34FAFBC488A}">
      <text>
        <r>
          <rPr>
            <sz val="9"/>
            <color indexed="81"/>
            <rFont val="Tahoma"/>
            <family val="2"/>
          </rPr>
          <t>not a real PN, just for app chart reference</t>
        </r>
      </text>
    </comment>
    <comment ref="W80" authorId="21" shapeId="0" xr:uid="{0FFCDEFE-EF5C-4EED-94C5-6726810CECC1}">
      <text>
        <t>[Threaded comment]
Your version of Excel allows you to read this threaded comment; however, any edits to it will get removed if the file is opened in a newer version of Excel. Learn more: https://go.microsoft.com/fwlink/?linkid=870924
Comment:
    Check what order number in hAC</t>
      </text>
    </comment>
    <comment ref="B95" authorId="0" shapeId="0" xr:uid="{11BEF457-1A46-4A53-94BB-B281102F7183}">
      <text>
        <r>
          <rPr>
            <sz val="9"/>
            <color indexed="81"/>
            <rFont val="Tahoma"/>
            <family val="2"/>
          </rPr>
          <t>not a real PN, just for app chart reference</t>
        </r>
      </text>
    </comment>
    <comment ref="AO95" authorId="22" shapeId="0" xr:uid="{CDFA2E63-E2AE-4008-8C36-AFDB61A0CE9A}">
      <text>
        <t xml:space="preserve">[Threaded comment]
Your version of Excel allows you to read this threaded comment; however, any edits to it will get removed if the file is opened in a newer version of Excel. Learn more: https://go.microsoft.com/fwlink/?linkid=870924
Comment:
    Showing up under legacy exterior cat </t>
      </text>
    </comment>
  </commentList>
</comments>
</file>

<file path=xl/sharedStrings.xml><?xml version="1.0" encoding="utf-8"?>
<sst xmlns="http://schemas.openxmlformats.org/spreadsheetml/2006/main" count="1984" uniqueCount="561">
  <si>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</si>
  <si>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</si>
  <si>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</si>
  <si>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</si>
  <si>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</si>
  <si>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</si>
  <si>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</si>
  <si>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</si>
  <si>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</si>
  <si>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</si>
  <si>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</si>
  <si>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</si>
  <si>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</si>
  <si>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</si>
  <si>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</si>
  <si>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</si>
  <si>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</si>
  <si>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</si>
  <si>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</si>
  <si>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</si>
  <si>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</si>
  <si>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</si>
  <si>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Needles</t>
  </si>
  <si>
    <t>Fine Sanding Sticks</t>
  </si>
  <si>
    <t>Paint Pen Replacement Tips</t>
  </si>
  <si>
    <t>Application</t>
  </si>
  <si>
    <t>Body Side Molding</t>
  </si>
  <si>
    <t>31670-BMS-004H</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</si>
  <si>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</si>
  <si>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</si>
  <si>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</si>
  <si>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</si>
  <si>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</si>
  <si>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</si>
  <si>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</si>
  <si>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</si>
  <si>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</si>
  <si>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</si>
  <si>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</si>
  <si>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</si>
  <si>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</si>
  <si>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</si>
  <si>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</si>
  <si>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</si>
  <si>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</si>
  <si>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</si>
  <si>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</si>
  <si>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</si>
  <si>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</si>
  <si>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</si>
  <si>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</si>
  <si>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</si>
  <si>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</si>
  <si>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</si>
  <si>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</si>
  <si>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</si>
  <si>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</si>
  <si>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</si>
  <si>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Platinum White Pearl (NH-883P)</t>
  </si>
  <si>
    <t>PEI</t>
  </si>
  <si>
    <t>5% Discount Applied.</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</si>
  <si>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</si>
  <si>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</si>
  <si>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</si>
  <si>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</si>
  <si>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</si>
  <si>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</si>
  <si>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</si>
  <si>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</si>
  <si>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</si>
  <si>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</si>
  <si>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</si>
  <si>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</si>
  <si>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</si>
  <si>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</si>
  <si>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</si>
  <si>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</si>
  <si>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</si>
  <si>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</si>
  <si>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</si>
  <si>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</si>
  <si>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</si>
  <si>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</si>
  <si>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</si>
  <si>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</si>
  <si>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</si>
  <si>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</si>
  <si>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</si>
  <si>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</si>
  <si>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Écrous de roue antivols - Noirs</t>
  </si>
  <si>
    <t>Écrous de roue antivols - Chromés</t>
  </si>
  <si>
    <t>3.0 Extérieur</t>
  </si>
  <si>
    <t>Pellicule pour rebord de portière</t>
  </si>
  <si>
    <t>Protecteur de capot</t>
  </si>
  <si>
    <t>Déflecteur de toit ouvrant</t>
  </si>
  <si>
    <t>Moulure latérale</t>
  </si>
  <si>
    <t>4.0 Intérieur</t>
  </si>
  <si>
    <t>5.0 Électrique</t>
  </si>
  <si>
    <t>Chargeur/mainteneur de batterie automobile 12 V Optimate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</si>
  <si>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</si>
  <si>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</si>
  <si>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</si>
  <si>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</si>
  <si>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</si>
  <si>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</si>
  <si>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</si>
  <si>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Hook</t>
  </si>
  <si>
    <t>Cargo Net</t>
  </si>
  <si>
    <t>Rear Passenger Window Shade</t>
  </si>
  <si>
    <t>Trunk Tray</t>
  </si>
  <si>
    <t>08L96-T20-300</t>
  </si>
  <si>
    <t>08P04-T20-100</t>
  </si>
  <si>
    <t>08E12-T20-100B</t>
  </si>
  <si>
    <t>08R13-T20-300</t>
  </si>
  <si>
    <t>08U45-T20-100</t>
  </si>
  <si>
    <t>08U45-T20-300A</t>
  </si>
  <si>
    <t>LX</t>
  </si>
  <si>
    <t>SPORT</t>
  </si>
  <si>
    <t>Meteriod Gray Pearl (NH-904M)</t>
  </si>
  <si>
    <t>Rallye Red (R-513)</t>
  </si>
  <si>
    <t>Engine Block Heater - 2.0L</t>
  </si>
  <si>
    <t>Engine Block Heater - 1.5L</t>
  </si>
  <si>
    <t>08P05-T20-180</t>
  </si>
  <si>
    <t>08P05-T20-170</t>
  </si>
  <si>
    <t>08P05-T20-130</t>
  </si>
  <si>
    <t>08P05-T20-190</t>
  </si>
  <si>
    <t>Door Edge Film</t>
  </si>
  <si>
    <t>Door Handle Film</t>
  </si>
  <si>
    <t>Rear Bumper Applique</t>
  </si>
  <si>
    <t>08F10-T20-110</t>
  </si>
  <si>
    <t>08F10-T20-110A</t>
  </si>
  <si>
    <t>08P20-T20-100A</t>
  </si>
  <si>
    <t>08P48-T20-100</t>
  </si>
  <si>
    <t>08R04-T20-100A</t>
  </si>
  <si>
    <t>08R04-T20-100</t>
  </si>
  <si>
    <t>08F20-T20-100</t>
  </si>
  <si>
    <t>08R01-T20-300</t>
  </si>
  <si>
    <t>08P48-T20-100A</t>
  </si>
  <si>
    <t>08F24-T20-100</t>
  </si>
  <si>
    <t>08F04-T20-100</t>
  </si>
  <si>
    <t>08P09-T20-300</t>
  </si>
  <si>
    <t>Splash Guards - Rear</t>
  </si>
  <si>
    <t>Emblem - HPD</t>
  </si>
  <si>
    <t>Door Visors - Black</t>
  </si>
  <si>
    <t>HPD Logo.</t>
  </si>
  <si>
    <t>Door Edge Guards</t>
  </si>
  <si>
    <t>08P20-T20-180</t>
  </si>
  <si>
    <t>08P20-T20-170</t>
  </si>
  <si>
    <t>08P20-T20-130</t>
  </si>
  <si>
    <t>08P20-T20-190</t>
  </si>
  <si>
    <t>08P47-T20-300</t>
  </si>
  <si>
    <t>Cold Weather Package - 1.5L</t>
  </si>
  <si>
    <t>Trunk Tray Dividers</t>
  </si>
  <si>
    <t>Dividers Only.</t>
  </si>
  <si>
    <t>Optimate 12V Auto Battery Charger/Maintainer</t>
  </si>
  <si>
    <t>Cold Weather Package - 2.0L</t>
  </si>
  <si>
    <t>Wheel Lug Nuts - Black</t>
  </si>
  <si>
    <t>18" Alloy Wheel - 5-Spoke</t>
  </si>
  <si>
    <t>08W18-TBA-100B</t>
  </si>
  <si>
    <t>Protection Package - All-Season</t>
  </si>
  <si>
    <t>Decklid Spoiler, HPD - LX, SPORT, and EX</t>
  </si>
  <si>
    <t>Decklid Spoiler, HPD - TOURING</t>
  </si>
  <si>
    <t>Hood Protector</t>
  </si>
  <si>
    <t>Illuminated Door Sill Trim</t>
  </si>
  <si>
    <t>Floor Mats - Carpet</t>
  </si>
  <si>
    <t>Ensemble de temps froid - 1,5 L</t>
  </si>
  <si>
    <t>Ensemble de temps froid - 2,0 L</t>
  </si>
  <si>
    <t>Wheel Locks - Black</t>
  </si>
  <si>
    <t>Wheel Locks - Chrome</t>
  </si>
  <si>
    <t>Protecteurs de bordure de porte</t>
  </si>
  <si>
    <t>Écrous de roue - Noir</t>
  </si>
  <si>
    <t>Chauffe-moteur - 1,5 L</t>
  </si>
  <si>
    <t>Chauffe-moteur - 2,0 L</t>
  </si>
  <si>
    <t>Tapis toutes saisons</t>
  </si>
  <si>
    <t>Cendrier de type porte-gobelet</t>
  </si>
  <si>
    <t>Crochet d’arrimage</t>
  </si>
  <si>
    <t>Filet de retenue</t>
  </si>
  <si>
    <t>Pellicule de protection de seuil de portière</t>
  </si>
  <si>
    <t>Plateau de coffre</t>
  </si>
  <si>
    <t>Garde-boue arrière</t>
  </si>
  <si>
    <t>Déflecteur de coffre - LX, EX, SPORT</t>
  </si>
  <si>
    <t>Déflecteur de coffre - TOURING</t>
  </si>
  <si>
    <t>Déflecteurs de portières - noir</t>
  </si>
  <si>
    <t>Pellicule pour pare-chocs arrière</t>
  </si>
  <si>
    <t>Logo HPD.</t>
  </si>
  <si>
    <t>Includes Front and Rear.</t>
  </si>
  <si>
    <t>Includes Left and Right Side.</t>
  </si>
  <si>
    <t>Front and Rear H-Mark Logo.</t>
  </si>
  <si>
    <t>Door Visors - Black w/ Stainless Steel Moulding</t>
  </si>
  <si>
    <t>Stainless Steel Moulding.</t>
  </si>
  <si>
    <t>Pointes de remplacement pour stylos de peinture</t>
  </si>
  <si>
    <t>Rouge rallye (R-513)</t>
  </si>
  <si>
    <t>Blanc platine nacré (NH-883P)</t>
  </si>
  <si>
    <t>Gris météore nacré (NH-904M)</t>
  </si>
  <si>
    <t>Noir cristal nacré (NH-731P)</t>
  </si>
  <si>
    <t>Garniture de seuil de portière illuminée</t>
  </si>
  <si>
    <t>Séparateurs seulement.</t>
  </si>
  <si>
    <t>Séparateurs de plateau de coffre</t>
  </si>
  <si>
    <t>Inclut le côté gauche et droit.</t>
  </si>
  <si>
    <t>Pare-soleil pour glaces latérales arrière</t>
  </si>
  <si>
    <t>Inclut avant et arrière.</t>
  </si>
  <si>
    <t>Tapis de moquette</t>
  </si>
  <si>
    <t>Logo H-Mark à l'avant et à l'arrière.</t>
  </si>
  <si>
    <t>Moulure en acier inoxydable.</t>
  </si>
  <si>
    <t>Déflecteurs de portières - noirs avec moulure en acier inoxydable</t>
  </si>
  <si>
    <t>Pellicule pour poignée de portière</t>
  </si>
  <si>
    <t>Rabais de 5 % appliqué.</t>
  </si>
  <si>
    <t>Protection Package - Film</t>
  </si>
  <si>
    <t>Ensemble de protection - Film</t>
  </si>
  <si>
    <t>Déflecteur de bas de caisse arrière, HPD</t>
  </si>
  <si>
    <t>Déflecteurs de bas de caisse latéraux, HPD</t>
  </si>
  <si>
    <t>08L96-TA0-301A</t>
  </si>
  <si>
    <t>Ashtray</t>
  </si>
  <si>
    <t>08U25-S3Y-305</t>
  </si>
  <si>
    <t>16" Enkei M52 Wheel - Gloss Black</t>
  </si>
  <si>
    <t>480-670-6545GB</t>
  </si>
  <si>
    <t>16" Enkei M52 Wheel - Silver</t>
  </si>
  <si>
    <t>480-670-6545SP</t>
  </si>
  <si>
    <t>T</t>
  </si>
  <si>
    <t>Priced as a set of 4 wheels.  Tires sold separately.</t>
  </si>
  <si>
    <t>16” Enkei M52 Wheels &amp; Michelin X-ICE Snow Tire Package</t>
  </si>
  <si>
    <t>16” Winter Steel Wheels &amp; Michelin X-ICE Snow Tire Package</t>
  </si>
  <si>
    <t>Michelin X-ICE Snow Tires - 215/55/16</t>
  </si>
  <si>
    <t>42700-TBA-A12</t>
  </si>
  <si>
    <t xml:space="preserve">Priced as a set of 4 wheels. </t>
  </si>
  <si>
    <t>08T44-TLA-300A</t>
  </si>
  <si>
    <t>08T44-SNA-302</t>
  </si>
  <si>
    <t>22CIV-COLD-PK15</t>
  </si>
  <si>
    <t>22CIV-COLD-PK20</t>
  </si>
  <si>
    <t>22CIV-PRO-ALL</t>
  </si>
  <si>
    <t>Ensemble de roues Enkei M52 de 16 po et de pneus Michelin X-ICE Snow</t>
  </si>
  <si>
    <t>Pneus Michelin X-ICE Snow - 215/55/16</t>
  </si>
  <si>
    <t>Prix établi pour ensemble de 4 pneus.</t>
  </si>
  <si>
    <t>Ensemble de roues d’hiver de 16 po en acier et de pneus Michelin X-ICE Snow</t>
  </si>
  <si>
    <t>Roues d’hiver de 16 po en acier</t>
  </si>
  <si>
    <t xml:space="preserve">Jantes Enkei M52 de 16 po noir lustré </t>
  </si>
  <si>
    <t xml:space="preserve">Jantes Enkei M52 de 16 po argent </t>
  </si>
  <si>
    <t>Prix pour un ensemble de 4 roues.  Pneus vendus séparément.</t>
  </si>
  <si>
    <t>Ambient Lighting, Blue</t>
  </si>
  <si>
    <t>Emblem, Gloss Black - Sport</t>
  </si>
  <si>
    <t>Emblem, Gloss Black - H-Mark &amp; Civic</t>
  </si>
  <si>
    <t>Emblème, noirs lustrés - Logo « H » et CIVIC</t>
  </si>
  <si>
    <t>08P17-T20-110</t>
  </si>
  <si>
    <t>08P15-T20-110</t>
  </si>
  <si>
    <t>Floor Mats - All-Season</t>
  </si>
  <si>
    <t>10% Discount Applied.</t>
  </si>
  <si>
    <t>Rabais de 10 % appliqué.</t>
  </si>
  <si>
    <t>Underbody Spoiler, HPD - Rear</t>
  </si>
  <si>
    <t>Underbody Spoiler, HPD - Side</t>
  </si>
  <si>
    <t>08W42-TGG-100</t>
  </si>
  <si>
    <t>Meteoroid Gray Pearl (NH-904M)</t>
  </si>
  <si>
    <t>Si</t>
  </si>
  <si>
    <t>17" Enkei Draco Wheel, Gloss Black</t>
  </si>
  <si>
    <t>17" Enkei Draco Wheel, Silver</t>
  </si>
  <si>
    <t>509-775-6545BH</t>
  </si>
  <si>
    <t>509-775-6545SH</t>
  </si>
  <si>
    <t>Jantes Enkei de 17 po argent</t>
  </si>
  <si>
    <t>Jantes Enkei de 17 po noir lustré</t>
  </si>
  <si>
    <t>Ensemble d’emblèmes noirs - SPORT</t>
  </si>
  <si>
    <t>Black Emblem Set - SPORT</t>
  </si>
  <si>
    <t>Includes: 1 set (i.e. 4 lug nuts).
A complete install requires 5 sets (i.e. 20 lug nuts) for 4 wheels.</t>
  </si>
  <si>
    <t>Inclut 4 écrous de roue en 1 jeu.
L'installation complète nécessite 5 jeux pour 4 roues (20 écrous de roue).</t>
  </si>
  <si>
    <t>TUCHNH904MA1</t>
  </si>
  <si>
    <t>TUCHR513A1</t>
  </si>
  <si>
    <t>08W42-TGG-301</t>
  </si>
  <si>
    <t>08W42-SNA-301</t>
  </si>
  <si>
    <t>Civic Sedan</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</si>
  <si>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</si>
  <si>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</si>
  <si>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</si>
  <si>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</si>
  <si>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</si>
  <si>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</si>
  <si>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Sport Touring Hybrid</t>
  </si>
  <si>
    <t>SPORT 
Hybrid</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</si>
  <si>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</si>
  <si>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</si>
  <si>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</si>
  <si>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</si>
  <si>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</si>
  <si>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</si>
  <si>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</si>
  <si>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</si>
  <si>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</si>
  <si>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</si>
  <si>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</si>
  <si>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</si>
  <si>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</si>
  <si>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</si>
  <si>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</si>
  <si>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</si>
  <si>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</si>
  <si>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</si>
  <si>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</si>
  <si>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</si>
  <si>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</si>
  <si>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</si>
  <si>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25CIV-ENK-WTPK</t>
  </si>
  <si>
    <t>25CIV-STL-WTPK</t>
  </si>
  <si>
    <t>25CIV-MBM-SPHY</t>
  </si>
  <si>
    <t>Package includes: Gloss Black H-Mark, CIVIC, and SPORT emblems.</t>
  </si>
  <si>
    <t>L’ensemble inclut : Emblèmes noirs lustrés - Logo « H », CIVIC, et SPORT</t>
  </si>
  <si>
    <t>L’ensemble inclut : Chauffe-moteur et chargeur/mainteneur automatique de batterie de 12 V Optimate. Offerts en ensemble avec une remise de 5 %.</t>
  </si>
  <si>
    <t>L’ensemble inclut : Tapis toutes saisons, garde-boue arrière, et plateau de coffre.</t>
  </si>
  <si>
    <t>25CIV-PRO-FLM</t>
  </si>
  <si>
    <t>08W42-TGG-101</t>
  </si>
  <si>
    <t>* if it's "N/A" or "S" do not show on trim</t>
  </si>
  <si>
    <t>Trim Application*</t>
  </si>
  <si>
    <t>08P20-T20-XXXX</t>
  </si>
  <si>
    <t>08P05-T20-XXXX</t>
  </si>
  <si>
    <t>Paint Pens</t>
  </si>
  <si>
    <t>TUPP-HONDA</t>
  </si>
  <si>
    <t>Crayon de retouche de peinture</t>
  </si>
  <si>
    <t>Package includes: Engine Block Heater and Auto Battery Charger/Maintainer. Packaged together with a 5% discount.</t>
  </si>
  <si>
    <t>Package includes: All-Season Floor Mats, Rear Splash Guards, and Trunk Tray.</t>
  </si>
  <si>
    <t>Des roues en acier offrent un excellent rapport qualité-prix et vous permettent de préserver les roues d’origine de votre véhicule de nos rigoureux hivers canadiens. Le prix indiqué exclut les pneus d'hiver et l'installation. Ensemble de quatre.</t>
  </si>
  <si>
    <t>16” Winter Steel Wheels</t>
  </si>
  <si>
    <t>Steel wheels offer great value and allow you to save your factory wheels from our harsh Canadian winters. Price listed excludes winter tires and installation. Set of 4.</t>
  </si>
  <si>
    <t>Look great all year round with a custom set of attractive winter alloy wheels. Designed &amp; Approved for your Honda, these attractive and strong Enkei alloy wheels are compatible with your factory lug nuts &amp; feature a unique hub centric design. Priced as a set of 4 wheels. Tires sold separately.</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</si>
  <si>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 Prix pour un jeu de 4 jantes. Pneus vendus séparément.</t>
  </si>
  <si>
    <t>A great way to help ensure that your wheels stay on your vehicle where they belong.</t>
  </si>
  <si>
    <t>Un excellent moyen de vous assurer que les roues demeurent sur votre véhicule là où elles devraient se trouver.</t>
  </si>
  <si>
    <t>A great way to help ensure that your wheels stay on your vehicle where they belong. Chrome-plated triple-nickel finish for a brilliant shine and corrosion prevention</t>
  </si>
  <si>
    <t>Create a different look with a set of black lug nuts. Each package has a quantity of 4 lugs.</t>
  </si>
  <si>
    <t>Créez un aspect différent grâce à cet ensemble d’écrous de roue noirs qui complète les roues en alliage du véhicule. Chaque paquet contient 4 écrous de roue.</t>
  </si>
  <si>
    <t>The Decklid Spoiler adds a subtle, tasteful enhancement that makes a big contribution to the sleek aerodynamics of your Civic.</t>
  </si>
  <si>
    <t>Le déflecteur de coffre ajoute une touche subtile et raffinée qui contribue grandement à l’aérodynamisme de votre Civic.</t>
  </si>
  <si>
    <t>Help protect against unsightly nicks and scrapes around your door edges.</t>
  </si>
  <si>
    <t>La pellicule aide à protéger les surfaces des rebords de portières contre des égratignures et éraflures inesthétiques.</t>
  </si>
  <si>
    <t>A great way to enjoy some fresh air even when the weather may not be ideal.</t>
  </si>
  <si>
    <t>Une excellente façon de profiter de l’air frais même lorsque la météo n’est pas au rendez-vous.</t>
  </si>
  <si>
    <t>If attention to detail is important to you then you’re sure to love the look of the Gloss Black H-Mark and Civic Emblems. Includes Front and Rear H-Marks.</t>
  </si>
  <si>
    <t>Le déflecteur de toit contribue à réduire le bruit du vent et l'éblouissement pour une expérience de conduite plus confortable et plus agréable.</t>
  </si>
  <si>
    <t>The Moonroof Visor helps reduce wind noise and glare for a more comfortable and enjoyable driving experience.</t>
  </si>
  <si>
    <t>The Rear Bumper Applique provides extra protection when loading and unloading the trunk.</t>
  </si>
  <si>
    <t>La pellicule pour pare-chocs arrière offre une protection accrue lors du chargement et du déchargement du coffre.</t>
  </si>
  <si>
    <t>Rear Splash Guards are a nice finishing touch. They give your Civic a great look and help protect your paint from chips and stains.</t>
  </si>
  <si>
    <t>Les garde-boue arrière ajoutent une touche finale soignée. Les garde-boue procurent une belle apparence à votre Civic et contribuent à protéger la peinture contre les éclats et les taches.</t>
  </si>
  <si>
    <t>Body Side Moulding accentuates the styling of the Civic and is ideally positioned where the side panel extends out the most, in order to help protect against door dings and scratches.</t>
  </si>
  <si>
    <t>Non seulement la moulure latérale accentue le style du Civic, son positionnement est idéal à l’endroit où les panneaux latéraux sont le plus en saillie, contribuant à protéger les portières des bosselures et des égratignures.</t>
  </si>
  <si>
    <t>Door Edge Guards help protect your doors from nicks and scrapes that can be expensive to repair.</t>
  </si>
  <si>
    <t>Les protecteurs de rebords de portières aident à protéger les portières de votre véhicule contre les égratignures et éraflures dont la réparation serait coûteuse.</t>
  </si>
  <si>
    <t>Front seat passengers can enjoy the added convenience of an ashtray.</t>
  </si>
  <si>
    <t>Les passagers avant apprécieront la commodité d'un cendrier.</t>
  </si>
  <si>
    <t>Avoid having to pick up groceries and other items that have spilled out of their bags and scattered all around the trunk.</t>
  </si>
  <si>
    <t>Évitez d’avoir à ramasser les articles d’épicerie et autres objets sortis des sacs et éparpillés partout dans le coffre.</t>
  </si>
  <si>
    <t>The Cargo Net helps keep your grocery bags upright and holds most loose items securely in place.</t>
  </si>
  <si>
    <t>Le filet d'arrimage contribue à garder vos sacs d’épicerie à la verticale et garde en place la plupart des articles en toute sécurité.</t>
  </si>
  <si>
    <t>The Door Sill Protection Film helps provide the lower door lining with protection from scuffing. Includes front and rear films. Includes front and rear films.</t>
  </si>
  <si>
    <t>La pellicule de protection de seuil de portière aide à protéger des éraflures la garniture inférieure de portière. Comprend les pellicules avant et arrière.</t>
  </si>
  <si>
    <t>The extended sidewalls of the High Wall All-Season Floor Mats add extra protection to shield your original carpets from the wear and tear of everyday driving.</t>
  </si>
  <si>
    <t>Les hautes parois des tapis toutes saisons offrent une protection accrue de la moquette d’origine contre l’usure et la détérioration dues à la conduite quotidienne.</t>
  </si>
  <si>
    <t>Contoured High-Wall Carpet Floor Mats offer protection, durability and easy cleaning, all while maintaining the feeling of carpeting underfoot.  These floor mats are designed with surrounding walls that corral dirt and debris for simplified cleaning and are contoured specifically for a perfect fit.</t>
  </si>
  <si>
    <t>Les tapis en moquette à hautes parois profilées offrent protection, durabilité et facilité de nettoyage, tout en conservant la sensation de la moquette sous les pieds.  Ces tapis sont conçus avec des parois qui retiennent la saleté et les débris pour un nettoyage plus facile et sont spécialement profilés pour un ajustement parfait.</t>
  </si>
  <si>
    <t>The Rear Passenger Window Shade provides added comfort for your rear seated passengers by shielding them from the sun’s heat and glare. Includes left and right side shade.</t>
  </si>
  <si>
    <t>Les pare-soleil pour glaces latérales arrière offrent un confort accru pour vos passagers arrière, en fournissant une protection contre l’éblouissement et la chaleur du soleil. Inclut le côté gauche et droit.</t>
  </si>
  <si>
    <t>The things you haul in your trunk often spill, leave stains, or otherwise mar the original carpeting, making a Trunk Tray a wise investment.</t>
  </si>
  <si>
    <t>Il arrive souvent que les objets que vous transportez dans votre coffre se renversent, laissent des taches ou abîment la moquette d’origine, faisant du plateau de coffre un investissement judicieux.</t>
  </si>
  <si>
    <t>Small items will stay right where you put them, neat and organized, with these easy-to-use Trunk Tray Dividers.</t>
  </si>
  <si>
    <t>Les petits articles resteront là où vous les avez rangés, ordonnés et bien organisés, grâce à ces séparateurs de plateau de coffre faciles à utiliser.</t>
  </si>
  <si>
    <t>Ne laissez pas nos hivers froids vous priver du plaisir de votre voiture. L'ajout du chauffe-bloc aidera à assurer le démarrage de votre voiture, même aux températures les plus basses.</t>
  </si>
  <si>
    <t>Don't let the cold Canadian winters stop you from enjoying your new car. The addition of the Engine Block Heater will help ensure a smooth start even on the coldest days.</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</si>
  <si>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</si>
  <si>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</si>
  <si>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Vie prolongée de la batterie Honda en maintenant la charge au niveau ideal.</t>
  </si>
  <si>
    <t>Extended battery life by charging/maintaining a Honda battery to ideal charge levels.</t>
  </si>
  <si>
    <t>La garniture de seuil de portière illuminée rend l’habitacle plus attrayant tout en protégeant le seuil de portière des éraflures. Comprend les garnitures avant et arrière. Éclairage avant seulement.</t>
  </si>
  <si>
    <t>The Illuminated Door Sill Trim dresses up the interior while helping protect the lower door sill from scuff marks. Includes front and rear trims. Front illumination only.</t>
  </si>
  <si>
    <t>08F01-T20-XXXX</t>
  </si>
  <si>
    <t>Bread and Butter</t>
  </si>
  <si>
    <t xml:space="preserve">High Impact 
Exterior Aesthetic </t>
  </si>
  <si>
    <t>Engine Heaters 
- function</t>
  </si>
  <si>
    <t xml:space="preserve">Exterior Protection </t>
  </si>
  <si>
    <t>Interior Aesthetic &amp; 
Film Protection</t>
  </si>
  <si>
    <t>Interior Funtion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</si>
  <si>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</si>
  <si>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</si>
  <si>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</si>
  <si>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</si>
  <si>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</si>
  <si>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</si>
  <si>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</si>
  <si>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Cannot be installed with Door Edge Film</t>
  </si>
  <si>
    <t>Cannot be installed with Door Edge Guards</t>
  </si>
  <si>
    <t>Dependancies</t>
  </si>
  <si>
    <t>Exclusions</t>
  </si>
  <si>
    <t>N/A only used for app chart</t>
  </si>
  <si>
    <t>25CIV-AERO-PK</t>
  </si>
  <si>
    <t>Emblem, Hybrid</t>
  </si>
  <si>
    <t>08P17-T20-110A</t>
  </si>
  <si>
    <t>08F20-T20-100B</t>
  </si>
  <si>
    <t>25CIV-PRO-HYB</t>
  </si>
  <si>
    <t>Black Emblem Set - Sport Hybrid</t>
  </si>
  <si>
    <t>Protection Package - Hybrid</t>
  </si>
  <si>
    <t>Front Underbody Spoiler - NEW</t>
  </si>
  <si>
    <t>Item</t>
  </si>
  <si>
    <t>Display #</t>
  </si>
  <si>
    <t>X</t>
  </si>
  <si>
    <t>more than 1 image per pn per trim
100, 200, 300, 400, 500</t>
  </si>
  <si>
    <t>Publication Date</t>
  </si>
  <si>
    <t>10% Discount Applied.  Cannot be installed with Door Edge Guards</t>
  </si>
  <si>
    <t>Civic Berline</t>
  </si>
  <si>
    <t>SPORT 
Hybride</t>
  </si>
  <si>
    <t>Sport Touring Hybride</t>
  </si>
  <si>
    <t>16" Enkei M52 Wheels - Silver or Gloss Black</t>
  </si>
  <si>
    <t>Roues Enkei M52 de 16 po - argent ou noir brillant</t>
  </si>
  <si>
    <t>480-670-6545-SP or 480-670-6545-GB</t>
  </si>
  <si>
    <t>480-670-6545-SP ou 480-670-6545-GB</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</si>
  <si>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</si>
  <si>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</si>
  <si>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</si>
  <si>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08P20-T20-1Z0</t>
  </si>
  <si>
    <t>TUCHNH932MA1</t>
  </si>
  <si>
    <t>Solar Reflection Silver (NH-932M)</t>
  </si>
  <si>
    <t>Refl et solaire argent métallisé (NH-932M)</t>
  </si>
  <si>
    <t>TUCHNH912PA1</t>
  </si>
  <si>
    <t>Urban Grey Pearl (NH-912P)</t>
  </si>
  <si>
    <t>Gris urbain nacré  (NH-912P)</t>
  </si>
  <si>
    <t>TUCHB645PA1</t>
  </si>
  <si>
    <t>08P05-T20-1G0</t>
  </si>
  <si>
    <t>08P05-T20-1Z0</t>
  </si>
  <si>
    <t>08P05-T20-1F0</t>
  </si>
  <si>
    <t>08P20-T20-1J0</t>
  </si>
  <si>
    <t>08P20-T20-1P0</t>
  </si>
  <si>
    <t>08W18-T20-100</t>
  </si>
  <si>
    <t>TUCH-NH731P-A1</t>
  </si>
  <si>
    <t>TUCH-NH883P-A1</t>
  </si>
  <si>
    <t>08F01-T20-130A</t>
  </si>
  <si>
    <t>08F01-T20-170A</t>
  </si>
  <si>
    <t>08F01-T20-180A</t>
  </si>
  <si>
    <t>08F01-T20-190A</t>
  </si>
  <si>
    <t>08F01-T20-1J0A</t>
  </si>
  <si>
    <t>08F01-T20-1P0A</t>
  </si>
  <si>
    <t>08F01-T20-1Z0A</t>
  </si>
  <si>
    <t>25CIV-ARO-NH883</t>
  </si>
  <si>
    <t>25CIV-ARO-NH731</t>
  </si>
  <si>
    <t>25CIV-ARO-R513</t>
  </si>
  <si>
    <t>25CIV-ARO-NH912</t>
  </si>
  <si>
    <t>25CIV-ARO-B645</t>
  </si>
  <si>
    <t>25CIV-ARO-NH932</t>
  </si>
  <si>
    <t>25CIV-ARO-NH904</t>
  </si>
  <si>
    <t xml:space="preserve">Aero Kit </t>
  </si>
  <si>
    <t>Add a custom, high-performance look to your Civic Sedan with this motorsports-inspired package.  Includes body coloured front underbody spoiler, black HPD side and rear underbody colour spoilers.  All packaged together with a 10% discount.</t>
  </si>
  <si>
    <t>Package includes: Gloss Black H-Mark, CIVIC, SPORT, and Hybrid emblems.</t>
  </si>
  <si>
    <t>Turn heads with accentuated aerodynamic styling created by the Rear Underbody Spoiler. It adds a sleek, sporty, low-profile custom look.  Complete the look with the addition of the front and rear underbody spoilers - sold separately.</t>
  </si>
  <si>
    <t>Add a unique and bold style with these gloss black emblems.  Pair up with with H-Mark, Civic, and Sport emblems to complete the look - sold separately.</t>
  </si>
  <si>
    <t>The Hood Protector redirects dirt, insects, and minor road debris to help keep the windshield clean and protect the hood’s finish.</t>
  </si>
  <si>
    <t>Turn heads with accentuated aerodynamic styling created by the Rear Underbody Spoiler. It adds a sleek, sporty, low-profile custom look.  Complete the look with the addition of the side and rear underbody spoilers - sold separately.</t>
  </si>
  <si>
    <t>Floor Mats Hybrid - All-Season</t>
  </si>
  <si>
    <t>Wheels
Steel wheels first if applicable. 
Then the other wheels
Then Wheel locks</t>
  </si>
  <si>
    <t>Ensemble Aero</t>
  </si>
  <si>
    <t>Donnez une apparence personnalisée et haute performance à votre berline Civic avec cet ensemble inspiré des sports motorisés. Comprend un déflecteur de bas de caisse avant de couleur assortie à la carrosserie, ainsi que des déflecteurs de bas de caisse HPD latéraux et arrière noirs. Le tout est offert sous forme d’ensemble avec un rabais de 10 %.</t>
  </si>
  <si>
    <t>L’ensemble comprend : Emblèmes « H », CIVIC, SPORT et Hybrid noir lustré.</t>
  </si>
  <si>
    <t>Ensemble d’emblèmes noirs – Sport Hybrid</t>
  </si>
  <si>
    <t>Un excellent moyen de vous assurer que les roues demeurent sur votre véhicule, où elles devraient se trouver. La finition chromée triple nickel procure un éclat brillant et une prévention contre la corrosion.</t>
  </si>
  <si>
    <t>Si l’attention aux détails est importante pour vous, vous aimerez certainement l’allure des emblèmes « H » et Civic noir lustré. Comprend l’emblème « H » à l’avant et à l’arrière.</t>
  </si>
  <si>
    <t>Donnez un style unique et audacieux avec ces emblèmes noir lustré. Jumelez-les aux emblèmes « H », Civic et Sport pour compléter l’apparence (vendus séparément).</t>
  </si>
  <si>
    <t>Emblème, noirs lustrés - Hybrid</t>
  </si>
  <si>
    <t>Le protecteur de capot redirige la saleté, les insectes et les petits débris de la route pour aider à garder votre pare-brise propre et à protéger le fini du capot.</t>
  </si>
  <si>
    <t>Déflecteur de bas de caisse avant</t>
  </si>
  <si>
    <t>Faites tourner les têtes avec ce déflecteur de bas de caisse avant qui donne un style aérodynamique accentué. Il procure une touche personnalisée élégante qui confère une allure sportive et un profil abaissé.  . Complétez l’apparence en ajoutant des déflecteurs de bas de caisse latéraux et arrière (vendus séparément).</t>
  </si>
  <si>
    <t>Turn heads with accentuated aerodynamic styling created by the Front Underbody Spoiler. It adds a sleek, sporty, low-profile custom look.  Complete the look with the addition of the front and side underbody spoilers - sold separately.</t>
  </si>
  <si>
    <t>Faites tourner les têtes avec ce déflecteur de bas de caisse avant qui donne un style aérodynamique accentué. Il procure une touche personnalisée élégante qui confère une allure sportive et un profil abaissé. Complétez l’apparence en ajoutant des déflecteurs de bas de caisse avant et latéraux (vendus séparément).</t>
  </si>
  <si>
    <t>Faites tourner les têtes avec ce déflecteur de bas de caisse avant qui donne un style aérodynamique accentué. Il procure une touche personnalisée élégante qui confère une allure sportive et un profil abaissé. Complétez l’apparence en ajoutant des déflecteurs de bas de caisse latéraux et arrière (vendus séparément).</t>
  </si>
  <si>
    <t>Tapis toutes saisons - Hybrid</t>
  </si>
  <si>
    <t>Front Underbody Spoiler</t>
  </si>
  <si>
    <t>Rabais de 10 % appliqué.
Ne peut être installé simultanément avec protecteurs de bordure de porte.</t>
  </si>
  <si>
    <t>Ne peut être installé simultanément avec protecteurs de bordure de porte.</t>
  </si>
  <si>
    <t>Inclut avant et arrière garniture. Éclairage avant seulement.</t>
  </si>
  <si>
    <t>Ne peut être installé simultanément avec pellicule pour rebord de portière</t>
  </si>
  <si>
    <t>1  Hook.</t>
  </si>
  <si>
    <t>1  crochet.</t>
  </si>
  <si>
    <t>Quantity of 25.</t>
  </si>
  <si>
    <t>Quantity of 5.</t>
  </si>
  <si>
    <t>Quantité de 25</t>
  </si>
  <si>
    <t>Quantité de 5</t>
  </si>
  <si>
    <t>Attract even more attention with these stunning 18" Alloy Wheels structurally matched to the original vehicle design so that handling remains undisturbed. Priced as a set of 4. Recommended tires sold separately.</t>
  </si>
  <si>
    <t>Attirez encore plus l’attention avec ces superbes jantes  de 18 pouces  dont la structure est adaptée à la conception originale du véhicule afin que la maniabilité reste inchangée. Prix pour ensemble de 4. Pneus recommandés vendus séparément</t>
  </si>
  <si>
    <t>Front Underbody Spoiler - 08F01-T20-130A
Underbody Spoiler, HPD Rear - 08F24-T20-100
Underbody Spoiler, HPD Side - 08F04-T20-100</t>
  </si>
  <si>
    <t>Emblem, Gloss Black - H-Mark &amp; Civic - 08F20-T20-100
Emblem, Gloss Black - Sport - 08F20-TVA-100CA</t>
  </si>
  <si>
    <t>Emblem, Gloss Black - H-Mark &amp; Civic - 08F20-T20-100
Emblem, Gloss Black - Sport - 08F20-TVA-100CA
Emblem, Hybrid - 08F20-T20-100B</t>
  </si>
  <si>
    <t>Door Edge Film - 08P20-T20-100A
Door Sill Protection Film - 08P04-T20-100
Rear Bumper Applique - 08P48-T20-100A</t>
  </si>
  <si>
    <t>Rabais de 10 % appliqué.
Comprend un déflecteur de bas de caisse avant de couleur assortie à la carrosserie, ainsi que des déflecteurs de bas de caisse HPD latéraux et arrière noirs.
Arrivée estimée juillet 2024</t>
  </si>
  <si>
    <t>Ensemble de protection - Hybrid</t>
  </si>
  <si>
    <t xml:space="preserve">Ensemble de protection </t>
  </si>
  <si>
    <t>Bleu océanique nacré (B-645P)</t>
  </si>
  <si>
    <t>Blue Lagoon Pearl (B-645P)</t>
  </si>
  <si>
    <t>25CIV-MBM-SPT</t>
  </si>
  <si>
    <t>Residual-ized $</t>
  </si>
  <si>
    <t>Engine Block Heater - 1.5L - 08T44-TLA-300A
Optimate 12V Auto Battery Charger/Maintainer - 31670-BMS-004H</t>
  </si>
  <si>
    <t>Engine Block Heater - 2.0L - 08T44-SNA-302
Optimate 12V Auto Battery Charger/Maintainer - 31670-BMS-004H</t>
  </si>
  <si>
    <t>Floor Mats - All-Season - 08P17-T20-110
Trunk Tray - 08U45-T20-100
Splash Guards Rear - 08P09-T20-300</t>
  </si>
  <si>
    <t>Floor Mats Hybrid - All-Season - 08P17-T20-110A
Trunk Tray - 08U45-T20-100
Splash Guards Rear - 08P09-T20-300</t>
  </si>
  <si>
    <t xml:space="preserve">10% Discount Applied.  
Includes body coloured front underbody spoiler, black HPD side and rear underbody colour spoilers.  
</t>
  </si>
  <si>
    <t xml:space="preserve">Includes Front and Rear trims. Front illumination only.  </t>
  </si>
  <si>
    <t>31670-BMS-LEAD</t>
  </si>
  <si>
    <t>N/A App Chart reference</t>
  </si>
  <si>
    <t>Battery Lead</t>
  </si>
  <si>
    <t>Câble de batterie</t>
  </si>
  <si>
    <t>08W17-PC4-300</t>
  </si>
  <si>
    <t>17” Winter Steel Wheels</t>
  </si>
  <si>
    <t>Roues d’hiver de 17 po en acier</t>
  </si>
  <si>
    <t>Priced as a set of 4 wheels.  Tires sold separately. Requires 215/50/R17 95H Tires</t>
  </si>
  <si>
    <t>Prix pour un ensemble de 4 roues.  Pneus vendus séparément.  Nécessite des pneus 215/50/R17 95H</t>
  </si>
  <si>
    <t xml:space="preserve">Priced as a set of 4 wheels.  Tires sold separately. </t>
  </si>
  <si>
    <t>Transparent urethane film in the well of the door handle helps safeguard the paint finish from unsightly scratches from nails, jewelry, and keys.</t>
  </si>
  <si>
    <t>La pellicule transparente en uréthane s’applique à la cavité de la poignée de portière pour aider à protéger la finition des égratignures d’ongles, de bijoux et de clés.</t>
  </si>
  <si>
    <t>yyyy/mm/dd</t>
  </si>
  <si>
    <t xml:space="preserve">HPD Logo. </t>
  </si>
  <si>
    <t>08W42-SNA-301	Wheel Locks - Chrome</t>
  </si>
  <si>
    <t>08W42-TGG-301	Wheel Locks - Black</t>
  </si>
  <si>
    <t>Door Sill Protection Film - 08P04-T20-100
08P20-T20-100A	Door Edge Film</t>
  </si>
  <si>
    <t>Door Edge Guards - 08P20-T20-130
25CIV-PRO-FLM	Protection Package - Film</t>
  </si>
  <si>
    <t>08P20-T20-130	Door Edge Guards
25CIV-PRO-FLM	Protection Package - Film</t>
  </si>
  <si>
    <t>25CIV-PRO-FLM	Protection Package - Film</t>
  </si>
  <si>
    <t xml:space="preserve">25CIV-ARO-NH883	Aero Kit </t>
  </si>
  <si>
    <t>22CIV-PRO-ALL	Protection Package - All-Season</t>
  </si>
  <si>
    <t>22CIV-PRO-ALL	Protection Package - All-Season
25CIV-PRO-HYB	Protection Package - Hybrid</t>
  </si>
  <si>
    <t>25CIV-PRO-HYB	Protection Package - Hybrid</t>
  </si>
  <si>
    <t>22CIV-COLD-PK15	Cold Weather Package - 1.5L
22CIV-COLD-PK20	Cold Weather Package - 2.0L</t>
  </si>
  <si>
    <t xml:space="preserve">22CIV-COLD-PK15	Cold Weather Package - 1.5L
</t>
  </si>
  <si>
    <t xml:space="preserve">
22CIV-COLD-PK20	Cold Weather Package - 2.0L</t>
  </si>
  <si>
    <t>Wheels</t>
  </si>
  <si>
    <t>Images</t>
  </si>
  <si>
    <t>SiteCore</t>
  </si>
  <si>
    <t>Overlay 1</t>
  </si>
  <si>
    <t>Overlay 2</t>
  </si>
  <si>
    <t>Overlay 3</t>
  </si>
  <si>
    <t>Overlay 4</t>
  </si>
  <si>
    <t>Overlay 5</t>
  </si>
  <si>
    <t>Overlay 6</t>
  </si>
  <si>
    <t>Overlay 7</t>
  </si>
  <si>
    <t>Overlay 8</t>
  </si>
  <si>
    <t>Charging</t>
  </si>
  <si>
    <t>26MY Honda Civic Sedan</t>
  </si>
  <si>
    <t>26MY Honda Civic Berline</t>
  </si>
  <si>
    <t xml:space="preserve"> </t>
  </si>
  <si>
    <t>Jantes de 18 pouces noir</t>
  </si>
  <si>
    <t>18" Alloy Wheel - Black</t>
  </si>
  <si>
    <t>Civic, Front and Rear H-Mark Logo.</t>
  </si>
  <si>
    <t>Civic, Logo H-Mark à l'avant et à l'arrière.</t>
  </si>
  <si>
    <t>08F20-T20-100E</t>
  </si>
  <si>
    <t>Emblème, noirs lustrés - Logo « H »</t>
  </si>
  <si>
    <t>Emblem, Gloss Black - H-Mark</t>
  </si>
  <si>
    <t>If attention to detail is important to you then you’re sure to love the look of the Gloss Black H-Mark emblems. Includes Front and Rear H-Marks.</t>
  </si>
  <si>
    <t>Si l’attention aux détails est importante pour vous, vous aimerez certainement l’allure des emblèmes « H » . Comprend l’emblème « H » à l’avant et à l’arrière.</t>
  </si>
  <si>
    <t xml:space="preserve">These attractive &amp; custom Enkei M52 wheels are hub centric and compatible with your factory lug nuts. Compliment these wheels with the Michelin X-ICE Snow tires for the ultimate traction &amp; style during our Canadian winters. </t>
  </si>
  <si>
    <t>Steel wheels offer great value and allow you to save your factory wheels from our harsh Canadian winters. Compliment these wheels with the Michelin X-ICE Snow tires for the ultimate traction &amp; style during our Canadian winters.</t>
  </si>
  <si>
    <t>Ces attrayantes et distinctives roues Enkei M52 sont centrées sur le moyeu et compatibles avec les écrous de roue d’origine de votre véhicule. Jumelez ces roues aux pneus Michelin X ICE Snow pour un style et une adhérence convenant parfaitement à nos hivers canadiens.</t>
  </si>
  <si>
    <t>Des roues en acier offrent un excellent rapport qualité-prix et vous permettent de préserver les roues d’origine de votre véhicule de nos rigoureux hivers canadiens. Jumelez ces roues aux pneus Michelin X ICE Snow pour un une adhérence optimale lors de nos hivers canadiens.</t>
  </si>
  <si>
    <r>
      <t xml:space="preserve">Package includes: Door Edge and Door Sill Protection Films, and Rear Bumper Applique. </t>
    </r>
    <r>
      <rPr>
        <sz val="8"/>
        <color rgb="FFFF0000"/>
        <rFont val="Calibri"/>
        <family val="2"/>
        <scheme val="minor"/>
      </rPr>
      <t>Packaged together with a 10% discount.</t>
    </r>
  </si>
  <si>
    <t>Yes</t>
  </si>
  <si>
    <t>No</t>
  </si>
  <si>
    <t>NEW</t>
  </si>
  <si>
    <t>All-Season Floor Mats</t>
  </si>
  <si>
    <t>Rear Splash Guard </t>
  </si>
  <si>
    <t>Carpet Floor Mats - Contoured High-Wall </t>
  </si>
  <si>
    <t>Decklid Spoiler, HPD</t>
  </si>
  <si>
    <r>
      <t xml:space="preserve">L’ensemble inclut : Pellicule pour rebord de portière, pellicule de protection de seuil de portière, et pellicule pour pare-chocs arrière. </t>
    </r>
    <r>
      <rPr>
        <sz val="8"/>
        <color rgb="FFFF0000"/>
        <rFont val="Calibri"/>
        <family val="2"/>
        <scheme val="minor"/>
      </rPr>
      <t>Offerts en ensemble avec une remise de 10 %.</t>
    </r>
  </si>
  <si>
    <t>w</t>
  </si>
  <si>
    <t xml:space="preserve">Publication Date / Date de publication: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</si>
</sst>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yyyy\-mm\-dd;@"/>
    <numFmt numFmtId="178" formatCode="_([$$-409]* #,##0.00_);_([$$-409]* \(#,##0.00\);_([$$-409]* &quot;-&quot;??_);_(@_)"/>
  </numFmts>
  <fonts count="14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sz val="8.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sz val="10"/>
      <color theme="1"/>
      <name val="Calibri"/>
      <family val="2"/>
      <scheme val="minor"/>
    </font>
    <font>
      <b/>
      <sz val="8"/>
      <color theme="0"/>
      <name val="Calibri"/>
      <family val="2"/>
      <scheme val="minor"/>
    </font>
    <font>
      <sz val="8"/>
      <name val="Calibri"/>
      <family val="2"/>
      <scheme val="minor"/>
    </font>
    <font>
      <sz val="8"/>
      <color theme="1"/>
      <name val="Calibri"/>
      <family val="2"/>
      <scheme val="minor"/>
    </font>
    <font>
      <b/>
      <sz val="9"/>
      <color indexed="81"/>
      <name val="Tahoma"/>
      <family val="2"/>
    </font>
    <font>
      <sz val="10"/>
      <color theme="0"/>
      <name val="Arial"/>
      <family val="2"/>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name val="Arial"/>
      <family val="2"/>
    </font>
    <font>
      <i/>
      <sz val="10"/>
      <color theme="1" tint="0.499984740745262"/>
      <name val="Arial Narrow"/>
      <family val="2"/>
    </font>
    <font>
      <i/>
      <sz val="11"/>
      <color theme="1" tint="0.499984740745262"/>
      <name val="Arial Narrow"/>
      <family val="2"/>
    </font>
    <font>
      <i/>
      <sz val="14"/>
      <color theme="1" tint="0.499984740745262"/>
      <name val="Arial Narrow"/>
      <family val="2"/>
    </font>
    <font>
      <sz val="11"/>
      <color theme="1" tint="0.499984740745262"/>
      <name val="Arial Narrow"/>
      <family val="2"/>
    </font>
    <font>
      <sz val="10"/>
      <color theme="1" tint="0.499984740745262"/>
      <name val="Arial Narrow"/>
      <family val="2"/>
    </font>
    <font>
      <b/>
      <i/>
      <sz val="11"/>
      <color theme="1" tint="0.499984740745262"/>
      <name val="Calibri"/>
      <family val="2"/>
      <scheme val="minor"/>
    </font>
    <font>
      <sz val="8"/>
      <color rgb="FFFF0000"/>
      <name val="Calibri"/>
      <family val="2"/>
      <scheme val="minor"/>
    </font>
    <font>
      <sz val="8"/>
      <color theme="0" tint="-0.14999847407452621"/>
      <name val="Calibri"/>
      <family val="2"/>
      <scheme val="minor"/>
    </font>
    <font>
      <sz val="12"/>
      <color rgb="FFFF0000"/>
      <name val="Calibri"/>
      <family val="2"/>
      <scheme val="minor"/>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rgb="FF00FF00"/>
        <bgColor indexed="64"/>
      </patternFill>
    </fill>
    <fill>
      <patternFill patternType="solid">
        <fgColor rgb="FF66FF99"/>
        <bgColor indexed="64"/>
      </patternFill>
    </fill>
  </fills>
  <borders count="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s>
  <cellStyleXfs count="705">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70" fontId="38" fillId="0" borderId="0" applyFont="0" applyFill="0" applyBorder="0" applyAlignment="0" applyProtection="0"/>
    <xf numFmtId="169"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2"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9" fontId="38" fillId="0" borderId="0" applyFont="0" applyFill="0" applyBorder="0" applyAlignment="0" applyProtection="0"/>
    <xf numFmtId="170"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4"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2"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4" fillId="0" borderId="0"/>
    <xf numFmtId="0" fontId="4" fillId="0" borderId="0"/>
    <xf numFmtId="0" fontId="4" fillId="0" borderId="0"/>
    <xf numFmtId="165" fontId="38" fillId="0" borderId="0" applyFont="0" applyFill="0" applyBorder="0" applyAlignment="0" applyProtection="0"/>
    <xf numFmtId="9" fontId="136" fillId="0" borderId="0" applyFont="0" applyFill="0" applyBorder="0" applyAlignment="0" applyProtection="0"/>
  </cellStyleXfs>
  <cellXfs count="387">
    <xf numFmtId="0" fontId="0" fillId="0" borderId="0" xfId="0"/>
    <xf numFmtId="0" fontId="45" fillId="33" borderId="0" xfId="74" applyFont="1" applyFill="1"/>
    <xf numFmtId="0" fontId="82" fillId="33" borderId="15" xfId="594" applyNumberFormat="1" applyFont="1" applyFill="1" applyAlignment="1">
      <alignment vertical="center"/>
    </xf>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4" fillId="0" borderId="0" xfId="652"/>
    <xf numFmtId="0" fontId="95"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6" fillId="33" borderId="0" xfId="74" applyFont="1" applyFill="1"/>
    <xf numFmtId="0" fontId="48" fillId="33" borderId="0" xfId="74" applyFont="1" applyFill="1"/>
    <xf numFmtId="0" fontId="84" fillId="33" borderId="15" xfId="592" applyFont="1" applyFill="1" applyBorder="1" applyAlignment="1">
      <alignment vertical="center"/>
    </xf>
    <xf numFmtId="0" fontId="89" fillId="33" borderId="18" xfId="594" applyNumberFormat="1" applyFont="1" applyFill="1" applyBorder="1">
      <alignment horizontal="center" vertical="center"/>
    </xf>
    <xf numFmtId="166" fontId="86" fillId="33" borderId="18" xfId="595" applyNumberFormat="1" applyFont="1" applyFill="1" applyBorder="1">
      <alignment horizontal="center" vertical="center"/>
    </xf>
    <xf numFmtId="166" fontId="89" fillId="33" borderId="18" xfId="594" applyNumberFormat="1" applyFont="1" applyFill="1" applyBorder="1">
      <alignment horizontal="center" vertical="center"/>
    </xf>
    <xf numFmtId="0" fontId="86" fillId="0" borderId="18" xfId="591" applyFont="1" applyFill="1" applyBorder="1" applyAlignment="1">
      <alignment horizontal="left" vertical="center"/>
    </xf>
    <xf numFmtId="0" fontId="86" fillId="33" borderId="18" xfId="591" applyFont="1" applyFill="1" applyBorder="1" applyAlignment="1">
      <alignment horizontal="left" vertical="center"/>
    </xf>
    <xf numFmtId="166" fontId="86" fillId="0" borderId="18" xfId="594" applyNumberFormat="1" applyFont="1" applyFill="1" applyBorder="1">
      <alignment horizontal="center" vertical="center"/>
    </xf>
    <xf numFmtId="0" fontId="86" fillId="0" borderId="18" xfId="594" applyNumberFormat="1" applyFont="1" applyFill="1" applyBorder="1">
      <alignment horizontal="center" vertical="center"/>
    </xf>
    <xf numFmtId="166" fontId="86" fillId="0" borderId="18" xfId="595" applyNumberFormat="1" applyFont="1" applyFill="1" applyBorder="1">
      <alignment horizontal="center" vertical="center"/>
    </xf>
    <xf numFmtId="0" fontId="89" fillId="0" borderId="18" xfId="594" applyNumberFormat="1" applyFont="1" applyFill="1" applyBorder="1">
      <alignment horizontal="center" vertical="center"/>
    </xf>
    <xf numFmtId="0" fontId="86" fillId="0" borderId="18" xfId="595" applyFont="1" applyFill="1" applyBorder="1" applyAlignment="1">
      <alignment horizontal="left" vertical="center" wrapText="1"/>
    </xf>
    <xf numFmtId="1" fontId="89" fillId="33" borderId="18" xfId="594" applyNumberFormat="1" applyFont="1" applyFill="1" applyBorder="1" applyAlignment="1">
      <alignment horizontal="left" vertical="center"/>
    </xf>
    <xf numFmtId="171" fontId="89"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6"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3"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3" fillId="32" borderId="22" xfId="80" applyFont="1" applyFill="1" applyBorder="1" applyAlignment="1">
      <alignment horizontal="center"/>
    </xf>
    <xf numFmtId="0" fontId="83" fillId="32" borderId="24" xfId="80" applyFont="1" applyFill="1" applyBorder="1" applyAlignment="1">
      <alignment horizontal="center"/>
    </xf>
    <xf numFmtId="0" fontId="92" fillId="35" borderId="27" xfId="80" applyFont="1" applyFill="1" applyBorder="1" applyAlignment="1">
      <alignment horizontal="centerContinuous"/>
    </xf>
    <xf numFmtId="0" fontId="38" fillId="0" borderId="26" xfId="80" applyBorder="1" applyAlignment="1">
      <alignment vertical="center"/>
    </xf>
    <xf numFmtId="0" fontId="92" fillId="35" borderId="28" xfId="80" applyFont="1" applyFill="1" applyBorder="1" applyAlignment="1">
      <alignment horizontal="centerContinuous"/>
    </xf>
    <xf numFmtId="173" fontId="83" fillId="31" borderId="23" xfId="80" applyNumberFormat="1" applyFont="1" applyFill="1" applyBorder="1"/>
    <xf numFmtId="173" fontId="83" fillId="31" borderId="25" xfId="80" applyNumberFormat="1" applyFont="1" applyFill="1" applyBorder="1"/>
    <xf numFmtId="0" fontId="85"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3" fillId="0" borderId="0" xfId="74" applyFont="1" applyAlignment="1">
      <alignment vertical="center"/>
    </xf>
    <xf numFmtId="0" fontId="83" fillId="30" borderId="0" xfId="74" applyFont="1" applyFill="1" applyAlignment="1">
      <alignment vertical="center"/>
    </xf>
    <xf numFmtId="0" fontId="88" fillId="33" borderId="26" xfId="691" applyFont="1" applyFill="1" applyBorder="1" applyAlignment="1">
      <alignment horizontal="left" vertical="center"/>
    </xf>
    <xf numFmtId="0" fontId="88" fillId="33" borderId="16" xfId="691" applyFont="1" applyFill="1" applyBorder="1" applyAlignment="1">
      <alignment horizontal="left" vertical="center"/>
    </xf>
    <xf numFmtId="0" fontId="102" fillId="33" borderId="0" xfId="74" applyFont="1" applyFill="1" applyAlignment="1">
      <alignment vertical="center"/>
    </xf>
    <xf numFmtId="0" fontId="83" fillId="33" borderId="0" xfId="74" applyFont="1" applyFill="1" applyAlignment="1">
      <alignment vertical="center"/>
    </xf>
    <xf numFmtId="0" fontId="106" fillId="33" borderId="0" xfId="74" applyFont="1" applyFill="1" applyAlignment="1">
      <alignment horizontal="center" vertical="center"/>
    </xf>
    <xf numFmtId="0" fontId="103" fillId="33" borderId="0" xfId="74" applyFont="1" applyFill="1" applyAlignment="1">
      <alignment horizontal="center" vertical="center"/>
    </xf>
    <xf numFmtId="164" fontId="83" fillId="0" borderId="0" xfId="74" applyNumberFormat="1" applyFont="1" applyAlignment="1">
      <alignment vertical="center"/>
    </xf>
    <xf numFmtId="0" fontId="80" fillId="33" borderId="0" xfId="74" applyFont="1" applyFill="1" applyAlignment="1">
      <alignment vertical="center"/>
    </xf>
    <xf numFmtId="0" fontId="106" fillId="33" borderId="0" xfId="74" applyFont="1" applyFill="1" applyAlignment="1">
      <alignment horizontal="center" vertical="top"/>
    </xf>
    <xf numFmtId="8" fontId="81" fillId="33" borderId="0" xfId="74" applyNumberFormat="1" applyFont="1" applyFill="1" applyAlignment="1">
      <alignment horizontal="right" vertical="top"/>
    </xf>
    <xf numFmtId="44" fontId="81" fillId="33" borderId="0" xfId="74" applyNumberFormat="1" applyFont="1" applyFill="1" applyAlignment="1">
      <alignment horizontal="left" vertical="top"/>
    </xf>
    <xf numFmtId="49" fontId="110" fillId="0" borderId="0" xfId="74" applyNumberFormat="1" applyFont="1" applyAlignment="1">
      <alignment vertical="top"/>
    </xf>
    <xf numFmtId="0" fontId="80" fillId="33" borderId="0" xfId="74" applyFont="1" applyFill="1" applyAlignment="1">
      <alignment vertical="top"/>
    </xf>
    <xf numFmtId="0" fontId="83" fillId="33" borderId="0" xfId="74" applyFont="1" applyFill="1" applyAlignment="1">
      <alignment vertical="top"/>
    </xf>
    <xf numFmtId="0" fontId="83" fillId="30" borderId="0" xfId="74" applyFont="1" applyFill="1" applyAlignment="1">
      <alignment vertical="top"/>
    </xf>
    <xf numFmtId="0" fontId="83" fillId="0" borderId="0" xfId="74" applyFont="1" applyAlignment="1">
      <alignment vertical="top"/>
    </xf>
    <xf numFmtId="0" fontId="81" fillId="33" borderId="0" xfId="74" applyFont="1" applyFill="1" applyAlignment="1">
      <alignment vertical="center"/>
    </xf>
    <xf numFmtId="0" fontId="103" fillId="33" borderId="0" xfId="74" applyFont="1" applyFill="1" applyAlignment="1">
      <alignment vertical="center"/>
    </xf>
    <xf numFmtId="0" fontId="109" fillId="33" borderId="0" xfId="74" applyFont="1" applyFill="1" applyAlignment="1">
      <alignment horizontal="left" vertical="center"/>
    </xf>
    <xf numFmtId="0" fontId="108" fillId="33" borderId="0" xfId="74" applyFont="1" applyFill="1" applyAlignment="1">
      <alignment vertical="center"/>
    </xf>
    <xf numFmtId="0" fontId="105" fillId="0" borderId="0" xfId="74" applyFont="1" applyAlignment="1">
      <alignment vertical="center"/>
    </xf>
    <xf numFmtId="0" fontId="105" fillId="33" borderId="0" xfId="74" applyFont="1" applyFill="1" applyAlignment="1">
      <alignment vertical="center"/>
    </xf>
    <xf numFmtId="0" fontId="102" fillId="0" borderId="0" xfId="74" applyFont="1" applyAlignment="1">
      <alignment vertical="center"/>
    </xf>
    <xf numFmtId="10" fontId="5" fillId="0" borderId="0" xfId="522" applyNumberFormat="1" applyFont="1" applyBorder="1" applyAlignment="1">
      <alignment vertical="center"/>
    </xf>
    <xf numFmtId="174" fontId="81" fillId="33" borderId="0" xfId="74" applyNumberFormat="1" applyFont="1" applyFill="1" applyAlignment="1">
      <alignment horizontal="right" vertical="top"/>
    </xf>
    <xf numFmtId="175" fontId="80" fillId="33" borderId="0" xfId="74" applyNumberFormat="1" applyFont="1" applyFill="1" applyAlignment="1">
      <alignment vertical="top"/>
    </xf>
    <xf numFmtId="176" fontId="80" fillId="33" borderId="0" xfId="74" applyNumberFormat="1" applyFont="1" applyFill="1" applyAlignment="1">
      <alignment vertical="top"/>
    </xf>
    <xf numFmtId="9" fontId="110" fillId="33" borderId="0" xfId="74" applyNumberFormat="1" applyFont="1" applyFill="1" applyAlignment="1">
      <alignment vertical="center"/>
    </xf>
    <xf numFmtId="9" fontId="110" fillId="33" borderId="0" xfId="74" applyNumberFormat="1" applyFont="1" applyFill="1" applyAlignment="1">
      <alignment vertical="top"/>
    </xf>
    <xf numFmtId="0" fontId="107" fillId="33" borderId="0" xfId="74" applyFont="1" applyFill="1" applyAlignment="1">
      <alignment vertical="center"/>
    </xf>
    <xf numFmtId="171" fontId="89" fillId="31" borderId="15" xfId="594" applyNumberFormat="1" applyFont="1" applyFill="1" applyAlignment="1">
      <alignment horizontal="left" vertical="center"/>
    </xf>
    <xf numFmtId="171" fontId="89" fillId="31" borderId="18" xfId="594" applyNumberFormat="1" applyFont="1" applyFill="1" applyBorder="1" applyAlignment="1">
      <alignment horizontal="left" vertical="center"/>
    </xf>
    <xf numFmtId="0" fontId="83" fillId="33" borderId="0" xfId="74" applyFont="1" applyFill="1" applyAlignment="1">
      <alignment horizontal="center" vertical="center"/>
    </xf>
    <xf numFmtId="0" fontId="108" fillId="0" borderId="0" xfId="74" applyFont="1" applyAlignment="1">
      <alignment vertical="center"/>
    </xf>
    <xf numFmtId="0" fontId="80" fillId="0" borderId="0" xfId="591" applyFont="1" applyFill="1" applyBorder="1" applyAlignment="1">
      <alignment horizontal="center" vertical="center" wrapText="1"/>
    </xf>
    <xf numFmtId="0" fontId="98" fillId="0" borderId="0" xfId="594" applyNumberFormat="1" applyFont="1" applyFill="1" applyBorder="1">
      <alignment horizontal="center" vertical="center"/>
    </xf>
    <xf numFmtId="0" fontId="117" fillId="33" borderId="0" xfId="74" applyFont="1" applyFill="1"/>
    <xf numFmtId="0" fontId="38" fillId="34" borderId="0" xfId="74" applyFill="1"/>
    <xf numFmtId="177" fontId="116" fillId="33" borderId="0" xfId="74" applyNumberFormat="1" applyFont="1" applyFill="1" applyAlignment="1">
      <alignment horizontal="left" vertical="center"/>
    </xf>
    <xf numFmtId="0" fontId="99" fillId="32" borderId="30" xfId="80" applyFont="1" applyFill="1" applyBorder="1" applyAlignment="1" applyProtection="1">
      <alignment horizontal="center" vertical="center"/>
      <protection locked="0"/>
    </xf>
    <xf numFmtId="0" fontId="90" fillId="30" borderId="29" xfId="80" applyFont="1" applyFill="1" applyBorder="1" applyAlignment="1">
      <alignment horizontal="center" wrapText="1"/>
    </xf>
    <xf numFmtId="0" fontId="82" fillId="33" borderId="0" xfId="594" applyNumberFormat="1" applyFont="1" applyFill="1" applyBorder="1">
      <alignment horizontal="center" vertical="center"/>
    </xf>
    <xf numFmtId="0" fontId="82" fillId="33" borderId="0" xfId="594" applyNumberFormat="1" applyFont="1" applyFill="1" applyBorder="1" applyAlignment="1">
      <alignment vertical="center"/>
    </xf>
    <xf numFmtId="0" fontId="89" fillId="33" borderId="0" xfId="594" applyNumberFormat="1" applyFont="1" applyFill="1" applyBorder="1">
      <alignment horizontal="center" vertical="center"/>
    </xf>
    <xf numFmtId="0" fontId="86" fillId="33" borderId="0" xfId="591" applyFont="1" applyFill="1" applyBorder="1" applyAlignment="1">
      <alignment horizontal="left" vertical="center" wrapText="1"/>
    </xf>
    <xf numFmtId="0" fontId="3" fillId="33" borderId="0" xfId="689" applyFont="1" applyFill="1" applyAlignment="1">
      <alignment horizontal="center" vertical="center"/>
    </xf>
    <xf numFmtId="0" fontId="3" fillId="33" borderId="0" xfId="689" applyFont="1" applyFill="1" applyAlignment="1">
      <alignment vertical="center"/>
    </xf>
    <xf numFmtId="0" fontId="119" fillId="33" borderId="0" xfId="74" applyFont="1" applyFill="1" applyAlignment="1">
      <alignment horizontal="left" vertical="center"/>
    </xf>
    <xf numFmtId="0" fontId="120" fillId="33" borderId="0" xfId="672" applyFont="1" applyFill="1" applyBorder="1" applyAlignment="1">
      <alignment vertical="center"/>
    </xf>
    <xf numFmtId="0" fontId="86" fillId="33" borderId="0" xfId="74" applyFont="1" applyFill="1" applyAlignment="1">
      <alignment vertical="center"/>
    </xf>
    <xf numFmtId="0" fontId="92" fillId="36" borderId="8" xfId="595" applyFont="1" applyFill="1" applyBorder="1" applyAlignment="1">
      <alignment horizontal="center" vertical="center" wrapText="1"/>
    </xf>
    <xf numFmtId="0" fontId="86" fillId="33" borderId="0" xfId="74" applyFont="1" applyFill="1" applyAlignment="1">
      <alignment horizontal="center" vertical="center"/>
    </xf>
    <xf numFmtId="0" fontId="86" fillId="33" borderId="0" xfId="74" applyFont="1" applyFill="1" applyAlignment="1">
      <alignment vertical="center" wrapText="1"/>
    </xf>
    <xf numFmtId="0" fontId="3" fillId="33" borderId="37" xfId="689" applyFont="1" applyFill="1" applyBorder="1" applyAlignment="1">
      <alignment vertical="center"/>
    </xf>
    <xf numFmtId="0" fontId="92" fillId="36" borderId="35" xfId="595" applyFont="1" applyFill="1" applyBorder="1" applyAlignment="1">
      <alignment horizontal="center" vertical="center" wrapText="1"/>
    </xf>
    <xf numFmtId="0" fontId="92" fillId="37" borderId="35" xfId="595" applyFont="1" applyFill="1" applyBorder="1" applyAlignment="1">
      <alignment vertical="center" wrapText="1"/>
    </xf>
    <xf numFmtId="0" fontId="83" fillId="33" borderId="37" xfId="74" applyFont="1" applyFill="1" applyBorder="1" applyAlignment="1">
      <alignment vertical="center"/>
    </xf>
    <xf numFmtId="0" fontId="83" fillId="28" borderId="37" xfId="74" applyFont="1" applyFill="1" applyBorder="1" applyAlignment="1">
      <alignment vertical="center"/>
    </xf>
    <xf numFmtId="0" fontId="92" fillId="36" borderId="37" xfId="591" applyFont="1" applyFill="1" applyBorder="1" applyAlignment="1">
      <alignment horizontal="left" vertical="center"/>
    </xf>
    <xf numFmtId="0" fontId="122" fillId="33" borderId="37" xfId="689" applyFont="1" applyFill="1" applyBorder="1" applyAlignment="1">
      <alignment vertical="center"/>
    </xf>
    <xf numFmtId="0" fontId="83" fillId="33" borderId="37" xfId="74" applyFont="1" applyFill="1" applyBorder="1" applyAlignment="1">
      <alignment horizontal="center" vertical="center"/>
    </xf>
    <xf numFmtId="0" fontId="82" fillId="33" borderId="0" xfId="594" applyNumberFormat="1" applyFont="1" applyFill="1" applyBorder="1" applyAlignment="1">
      <alignment horizontal="center" vertical="center" wrapText="1"/>
    </xf>
    <xf numFmtId="0" fontId="120" fillId="33" borderId="0" xfId="672" applyFont="1" applyFill="1" applyBorder="1" applyAlignment="1">
      <alignment vertical="center" wrapText="1"/>
    </xf>
    <xf numFmtId="0" fontId="83" fillId="33" borderId="37" xfId="74" applyFont="1" applyFill="1" applyBorder="1" applyAlignment="1">
      <alignment vertical="center" wrapText="1"/>
    </xf>
    <xf numFmtId="0" fontId="83" fillId="33" borderId="0" xfId="74" applyFont="1" applyFill="1" applyAlignment="1">
      <alignment vertical="center" wrapText="1"/>
    </xf>
    <xf numFmtId="0" fontId="119" fillId="33" borderId="0" xfId="74" applyFont="1" applyFill="1" applyAlignment="1">
      <alignment horizontal="left" vertical="center" wrapText="1"/>
    </xf>
    <xf numFmtId="0" fontId="112" fillId="33" borderId="0" xfId="594" applyNumberFormat="1" applyFont="1" applyFill="1" applyBorder="1" applyAlignment="1">
      <alignment horizontal="center" vertical="center" wrapText="1"/>
    </xf>
    <xf numFmtId="0" fontId="123" fillId="33" borderId="0" xfId="672" applyFont="1" applyFill="1" applyBorder="1" applyAlignment="1">
      <alignment vertical="center" wrapText="1"/>
    </xf>
    <xf numFmtId="0" fontId="124" fillId="33" borderId="0" xfId="74" applyFont="1" applyFill="1" applyAlignment="1">
      <alignment vertical="center" wrapText="1"/>
    </xf>
    <xf numFmtId="0" fontId="123" fillId="37" borderId="35" xfId="595" applyFont="1" applyFill="1" applyBorder="1" applyAlignment="1">
      <alignment horizontal="center" vertical="center" wrapText="1"/>
    </xf>
    <xf numFmtId="0" fontId="124" fillId="33" borderId="37" xfId="74" applyFont="1" applyFill="1" applyBorder="1" applyAlignment="1">
      <alignment vertical="center" wrapText="1"/>
    </xf>
    <xf numFmtId="0" fontId="120" fillId="33" borderId="0" xfId="672" applyFont="1" applyFill="1" applyBorder="1" applyAlignment="1">
      <alignment horizontal="center" vertical="center"/>
    </xf>
    <xf numFmtId="0" fontId="86" fillId="33" borderId="0" xfId="672" applyFont="1" applyFill="1" applyBorder="1" applyAlignment="1">
      <alignment vertical="center"/>
    </xf>
    <xf numFmtId="0" fontId="87" fillId="33" borderId="15" xfId="591" applyFont="1" applyFill="1" applyBorder="1" applyAlignment="1">
      <alignment horizontal="left" vertical="center"/>
    </xf>
    <xf numFmtId="0" fontId="127" fillId="0" borderId="15" xfId="80" applyFont="1" applyBorder="1" applyAlignment="1">
      <alignment vertical="center"/>
    </xf>
    <xf numFmtId="0" fontId="128" fillId="33" borderId="0" xfId="689" applyFont="1" applyFill="1" applyAlignment="1">
      <alignment horizontal="center" vertical="center"/>
    </xf>
    <xf numFmtId="0" fontId="129" fillId="33" borderId="0" xfId="594" applyNumberFormat="1" applyFont="1" applyFill="1" applyBorder="1">
      <alignment horizontal="center" vertical="center"/>
    </xf>
    <xf numFmtId="0" fontId="124" fillId="33" borderId="37" xfId="74" applyFont="1" applyFill="1" applyBorder="1" applyAlignment="1">
      <alignment horizontal="center" vertical="center" wrapText="1"/>
    </xf>
    <xf numFmtId="0" fontId="83" fillId="38" borderId="37" xfId="74" applyFont="1" applyFill="1" applyBorder="1" applyAlignment="1">
      <alignment horizontal="center" vertical="center"/>
    </xf>
    <xf numFmtId="0" fontId="83" fillId="38" borderId="37" xfId="74" applyFont="1" applyFill="1" applyBorder="1" applyAlignment="1">
      <alignment vertical="center"/>
    </xf>
    <xf numFmtId="0" fontId="2" fillId="33" borderId="15" xfId="689" applyFont="1" applyFill="1" applyBorder="1" applyAlignment="1">
      <alignment horizontal="center" vertical="center"/>
    </xf>
    <xf numFmtId="0" fontId="2" fillId="33" borderId="15" xfId="689" applyFont="1" applyFill="1" applyBorder="1" applyAlignment="1">
      <alignment vertical="center"/>
    </xf>
    <xf numFmtId="0" fontId="2" fillId="33" borderId="16" xfId="689" applyFont="1" applyFill="1" applyBorder="1" applyAlignment="1">
      <alignment vertical="center"/>
    </xf>
    <xf numFmtId="0" fontId="2" fillId="33" borderId="0" xfId="689" applyFont="1" applyFill="1" applyAlignment="1">
      <alignment horizontal="center" vertical="center"/>
    </xf>
    <xf numFmtId="0" fontId="2" fillId="33" borderId="0" xfId="689" applyFont="1" applyFill="1" applyAlignment="1">
      <alignment vertical="center"/>
    </xf>
    <xf numFmtId="0" fontId="119" fillId="0" borderId="0" xfId="74" applyFont="1" applyAlignment="1">
      <alignment horizontal="left" vertical="center"/>
    </xf>
    <xf numFmtId="0" fontId="86" fillId="30" borderId="0" xfId="74" applyFont="1" applyFill="1" applyAlignment="1">
      <alignment vertical="center"/>
    </xf>
    <xf numFmtId="0" fontId="86" fillId="0" borderId="0" xfId="74" applyFont="1" applyAlignment="1">
      <alignment vertical="center"/>
    </xf>
    <xf numFmtId="0" fontId="2" fillId="33" borderId="18" xfId="689" applyFont="1" applyFill="1" applyBorder="1" applyAlignment="1">
      <alignment vertical="center"/>
    </xf>
    <xf numFmtId="177" fontId="100" fillId="33" borderId="0" xfId="74" applyNumberFormat="1" applyFont="1" applyFill="1" applyAlignment="1">
      <alignment horizontal="left" vertical="center"/>
    </xf>
    <xf numFmtId="0" fontId="87" fillId="33" borderId="15" xfId="591" applyFont="1" applyFill="1" applyBorder="1" applyAlignment="1">
      <alignment vertical="center"/>
    </xf>
    <xf numFmtId="0" fontId="87" fillId="33" borderId="16" xfId="591" applyFont="1" applyFill="1" applyBorder="1" applyAlignment="1">
      <alignment vertical="center"/>
    </xf>
    <xf numFmtId="0" fontId="2" fillId="33" borderId="17" xfId="689" applyFont="1" applyFill="1" applyBorder="1" applyAlignment="1">
      <alignment vertical="center"/>
    </xf>
    <xf numFmtId="0" fontId="87" fillId="33" borderId="0" xfId="591" applyFont="1" applyFill="1" applyBorder="1" applyAlignment="1">
      <alignment vertical="center"/>
    </xf>
    <xf numFmtId="0" fontId="87" fillId="33" borderId="0" xfId="591" applyFont="1" applyFill="1" applyBorder="1" applyAlignment="1">
      <alignment horizontal="left" vertical="center"/>
    </xf>
    <xf numFmtId="0" fontId="88" fillId="33" borderId="0" xfId="691" applyFont="1" applyFill="1" applyAlignment="1">
      <alignment horizontal="left" vertical="center"/>
    </xf>
    <xf numFmtId="0" fontId="86" fillId="33" borderId="15" xfId="689" applyFont="1" applyFill="1" applyBorder="1" applyAlignment="1">
      <alignment vertical="center"/>
    </xf>
    <xf numFmtId="0" fontId="86" fillId="33" borderId="16" xfId="689" applyFont="1" applyFill="1" applyBorder="1" applyAlignment="1">
      <alignment vertical="center"/>
    </xf>
    <xf numFmtId="0" fontId="86" fillId="33" borderId="13" xfId="689" applyFont="1" applyFill="1" applyBorder="1" applyAlignment="1">
      <alignment vertical="center"/>
    </xf>
    <xf numFmtId="0" fontId="86" fillId="33" borderId="20" xfId="689" applyFont="1" applyFill="1" applyBorder="1" applyAlignment="1">
      <alignment vertical="center"/>
    </xf>
    <xf numFmtId="0" fontId="86" fillId="33" borderId="18" xfId="689" applyFont="1" applyFill="1" applyBorder="1" applyAlignment="1">
      <alignment vertical="center"/>
    </xf>
    <xf numFmtId="0" fontId="87" fillId="33" borderId="15" xfId="689" applyFont="1" applyFill="1" applyBorder="1" applyAlignment="1">
      <alignment vertical="center"/>
    </xf>
    <xf numFmtId="0" fontId="86" fillId="33" borderId="26" xfId="689" applyFont="1" applyFill="1" applyBorder="1" applyAlignment="1">
      <alignment vertical="center"/>
    </xf>
    <xf numFmtId="0" fontId="83" fillId="33" borderId="0" xfId="591" applyFont="1" applyFill="1" applyBorder="1" applyAlignment="1">
      <alignment horizontal="center" wrapText="1"/>
    </xf>
    <xf numFmtId="0" fontId="120" fillId="39" borderId="0" xfId="672" applyFont="1" applyFill="1" applyBorder="1" applyAlignment="1"/>
    <xf numFmtId="0" fontId="131" fillId="39" borderId="0" xfId="689" applyFont="1" applyFill="1" applyAlignment="1">
      <alignment vertical="center"/>
    </xf>
    <xf numFmtId="0" fontId="84" fillId="33" borderId="20" xfId="592" applyFont="1" applyFill="1" applyBorder="1" applyAlignment="1">
      <alignment vertical="center"/>
    </xf>
    <xf numFmtId="0" fontId="82" fillId="33" borderId="20" xfId="594" applyNumberFormat="1" applyFont="1" applyFill="1" applyBorder="1" applyAlignment="1">
      <alignment vertical="center"/>
    </xf>
    <xf numFmtId="0" fontId="87" fillId="33" borderId="18" xfId="591" applyFont="1" applyFill="1" applyBorder="1" applyAlignment="1">
      <alignment horizontal="left" vertical="center"/>
    </xf>
    <xf numFmtId="0" fontId="84" fillId="39" borderId="0" xfId="672" applyFont="1" applyFill="1" applyBorder="1" applyAlignment="1">
      <alignment vertical="center"/>
    </xf>
    <xf numFmtId="0" fontId="86" fillId="30" borderId="15" xfId="591" applyFont="1" applyFill="1" applyBorder="1" applyAlignment="1">
      <alignment horizontal="left" vertical="center"/>
    </xf>
    <xf numFmtId="0" fontId="82" fillId="32" borderId="15" xfId="594" applyNumberFormat="1" applyFont="1" applyFill="1">
      <alignment horizontal="center" vertical="center"/>
    </xf>
    <xf numFmtId="0" fontId="87" fillId="33" borderId="26" xfId="689" applyFont="1" applyFill="1" applyBorder="1" applyAlignment="1">
      <alignment vertical="center"/>
    </xf>
    <xf numFmtId="2" fontId="3" fillId="33" borderId="37" xfId="689" applyNumberFormat="1" applyFont="1" applyFill="1" applyBorder="1" applyAlignment="1">
      <alignment vertical="center"/>
    </xf>
    <xf numFmtId="0" fontId="121" fillId="40" borderId="35" xfId="595" applyFont="1" applyFill="1" applyBorder="1" applyAlignment="1">
      <alignment horizontal="center" vertical="center" wrapText="1"/>
    </xf>
    <xf numFmtId="0" fontId="121" fillId="36" borderId="38" xfId="595" applyFont="1" applyFill="1" applyBorder="1" applyAlignment="1">
      <alignment horizontal="center" vertical="center" wrapText="1"/>
    </xf>
    <xf numFmtId="2" fontId="83" fillId="33" borderId="37" xfId="74" applyNumberFormat="1" applyFont="1" applyFill="1" applyBorder="1" applyAlignment="1">
      <alignment vertical="center"/>
    </xf>
    <xf numFmtId="0" fontId="3" fillId="33" borderId="37" xfId="689" applyFont="1" applyFill="1" applyBorder="1" applyAlignment="1">
      <alignment horizontal="center" vertical="center"/>
    </xf>
    <xf numFmtId="167" fontId="83" fillId="33" borderId="37" xfId="74" applyNumberFormat="1" applyFont="1" applyFill="1" applyBorder="1" applyAlignment="1">
      <alignment horizontal="center" vertical="center"/>
    </xf>
    <xf numFmtId="0" fontId="83" fillId="41" borderId="37" xfId="74" applyFont="1" applyFill="1" applyBorder="1" applyAlignment="1">
      <alignment horizontal="center" vertical="center"/>
    </xf>
    <xf numFmtId="2" fontId="83" fillId="41" borderId="37" xfId="74" applyNumberFormat="1" applyFont="1" applyFill="1" applyBorder="1" applyAlignment="1">
      <alignment vertical="center"/>
    </xf>
    <xf numFmtId="2" fontId="3" fillId="41" borderId="37" xfId="689" applyNumberFormat="1" applyFont="1" applyFill="1" applyBorder="1" applyAlignment="1">
      <alignment vertical="center"/>
    </xf>
    <xf numFmtId="167" fontId="83" fillId="41" borderId="37" xfId="74" applyNumberFormat="1" applyFont="1" applyFill="1" applyBorder="1" applyAlignment="1">
      <alignment horizontal="center" vertical="center"/>
    </xf>
    <xf numFmtId="0" fontId="92" fillId="37" borderId="37" xfId="595" applyFont="1" applyFill="1" applyBorder="1" applyAlignment="1">
      <alignment horizontal="center" vertical="center" wrapText="1"/>
    </xf>
    <xf numFmtId="0" fontId="130" fillId="37" borderId="37" xfId="595" applyFont="1" applyFill="1" applyBorder="1" applyAlignment="1">
      <alignment horizontal="center" vertical="center" wrapText="1"/>
    </xf>
    <xf numFmtId="0" fontId="121" fillId="36" borderId="37" xfId="595" applyFont="1" applyFill="1" applyBorder="1" applyAlignment="1">
      <alignment horizontal="center" vertical="center" wrapText="1"/>
    </xf>
    <xf numFmtId="0" fontId="118" fillId="30" borderId="37" xfId="595" applyFont="1" applyFill="1" applyBorder="1">
      <alignment horizontal="center" vertical="center"/>
    </xf>
    <xf numFmtId="0" fontId="92" fillId="37" borderId="37" xfId="595" applyFont="1" applyFill="1" applyBorder="1" applyAlignment="1">
      <alignment vertical="center" wrapText="1"/>
    </xf>
    <xf numFmtId="0" fontId="83" fillId="28" borderId="37" xfId="74" applyFont="1" applyFill="1" applyBorder="1" applyAlignment="1">
      <alignment horizontal="center" vertical="center"/>
    </xf>
    <xf numFmtId="0" fontId="2" fillId="28" borderId="37" xfId="689" applyFont="1" applyFill="1" applyBorder="1" applyAlignment="1">
      <alignment horizontal="center" vertical="center"/>
    </xf>
    <xf numFmtId="0" fontId="89" fillId="30" borderId="15" xfId="595" applyFont="1" applyFill="1" applyBorder="1" applyAlignment="1">
      <alignment horizontal="center" vertical="center" wrapText="1"/>
    </xf>
    <xf numFmtId="0" fontId="86" fillId="32" borderId="18" xfId="591" applyFont="1" applyFill="1" applyBorder="1" applyAlignment="1">
      <alignment horizontal="left" vertical="center"/>
    </xf>
    <xf numFmtId="0" fontId="83" fillId="33" borderId="34" xfId="74" applyFont="1" applyFill="1" applyBorder="1" applyAlignment="1">
      <alignment vertical="center"/>
    </xf>
    <xf numFmtId="0" fontId="89" fillId="33" borderId="34" xfId="594" applyNumberFormat="1" applyFont="1" applyFill="1" applyBorder="1">
      <alignment horizontal="center" vertical="center"/>
    </xf>
    <xf numFmtId="171" fontId="89" fillId="33" borderId="33" xfId="594" applyNumberFormat="1" applyFont="1" applyFill="1" applyBorder="1" applyAlignment="1">
      <alignment horizontal="left" vertical="center"/>
    </xf>
    <xf numFmtId="166" fontId="86" fillId="33" borderId="0" xfId="594" applyNumberFormat="1" applyFont="1" applyFill="1" applyBorder="1">
      <alignment horizontal="center" vertical="center"/>
    </xf>
    <xf numFmtId="0" fontId="86" fillId="33" borderId="0" xfId="594" applyNumberFormat="1" applyFont="1" applyFill="1" applyBorder="1">
      <alignment horizontal="center" vertical="center"/>
    </xf>
    <xf numFmtId="166" fontId="86" fillId="33" borderId="0" xfId="595" applyNumberFormat="1" applyFont="1" applyFill="1" applyBorder="1">
      <alignment horizontal="center" vertical="center"/>
    </xf>
    <xf numFmtId="0" fontId="86"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9" fillId="32" borderId="19" xfId="591" applyFont="1" applyFill="1" applyBorder="1" applyAlignment="1">
      <alignment vertical="center"/>
    </xf>
    <xf numFmtId="0" fontId="83" fillId="41" borderId="37" xfId="74" applyFont="1" applyFill="1" applyBorder="1" applyAlignment="1">
      <alignment horizontal="left" vertical="center"/>
    </xf>
    <xf numFmtId="0" fontId="83" fillId="33" borderId="37" xfId="74" applyFont="1" applyFill="1" applyBorder="1" applyAlignment="1">
      <alignment horizontal="left" vertical="center"/>
    </xf>
    <xf numFmtId="0" fontId="86" fillId="32" borderId="15" xfId="591" applyFont="1" applyFill="1" applyBorder="1">
      <alignment horizontal="left" vertical="center" indent="1"/>
    </xf>
    <xf numFmtId="0" fontId="91" fillId="33" borderId="17" xfId="689" applyFont="1" applyFill="1" applyBorder="1" applyAlignment="1">
      <alignment horizontal="center" vertical="center"/>
    </xf>
    <xf numFmtId="0" fontId="88" fillId="33" borderId="15" xfId="691" applyFont="1" applyFill="1" applyBorder="1" applyAlignment="1">
      <alignment horizontal="left" vertical="center"/>
    </xf>
    <xf numFmtId="0" fontId="86" fillId="32" borderId="20" xfId="595" applyFont="1" applyFill="1" applyBorder="1" applyAlignment="1">
      <alignment horizontal="left" vertical="center" wrapText="1"/>
    </xf>
    <xf numFmtId="0" fontId="89" fillId="32" borderId="15" xfId="591" applyFont="1" applyFill="1" applyBorder="1" applyAlignment="1">
      <alignment horizontal="left" vertical="center"/>
    </xf>
    <xf numFmtId="0" fontId="124" fillId="33" borderId="0" xfId="74" applyFont="1" applyFill="1" applyAlignment="1">
      <alignment vertical="center"/>
    </xf>
    <xf numFmtId="0" fontId="86" fillId="32" borderId="18" xfId="591" applyFont="1" applyFill="1" applyBorder="1">
      <alignment horizontal="left" vertical="center" indent="1"/>
    </xf>
    <xf numFmtId="0" fontId="89" fillId="32" borderId="18" xfId="591" applyFont="1" applyFill="1" applyBorder="1" applyAlignment="1">
      <alignment horizontal="left" vertical="center"/>
    </xf>
    <xf numFmtId="0" fontId="2" fillId="33" borderId="33" xfId="689" applyFont="1" applyFill="1" applyBorder="1" applyAlignment="1">
      <alignment vertical="center"/>
    </xf>
    <xf numFmtId="0" fontId="91" fillId="33" borderId="0" xfId="689" applyFont="1" applyFill="1" applyAlignment="1">
      <alignment horizontal="center" vertical="center"/>
    </xf>
    <xf numFmtId="0" fontId="83" fillId="41" borderId="37" xfId="74" applyFont="1" applyFill="1" applyBorder="1" applyAlignment="1">
      <alignment vertical="center"/>
    </xf>
    <xf numFmtId="0" fontId="83" fillId="41" borderId="37" xfId="74" applyFont="1" applyFill="1" applyBorder="1" applyAlignment="1">
      <alignment vertical="center" wrapText="1"/>
    </xf>
    <xf numFmtId="0" fontId="124" fillId="41" borderId="37" xfId="74" applyFont="1" applyFill="1" applyBorder="1" applyAlignment="1">
      <alignment vertical="center" wrapText="1"/>
    </xf>
    <xf numFmtId="171" fontId="89" fillId="32" borderId="15" xfId="594" applyNumberFormat="1" applyFont="1" applyFill="1" applyAlignment="1">
      <alignment horizontal="left" vertical="center"/>
    </xf>
    <xf numFmtId="1" fontId="86" fillId="31" borderId="15" xfId="594" applyNumberFormat="1" applyFont="1" applyFill="1" applyAlignment="1">
      <alignment horizontal="left" vertical="center" indent="1"/>
    </xf>
    <xf numFmtId="0" fontId="86" fillId="30" borderId="13" xfId="74" applyFont="1" applyFill="1" applyBorder="1" applyAlignment="1">
      <alignment vertical="center"/>
    </xf>
    <xf numFmtId="0" fontId="86" fillId="30" borderId="19" xfId="74" applyFont="1" applyFill="1" applyBorder="1" applyAlignment="1">
      <alignment vertical="center"/>
    </xf>
    <xf numFmtId="0" fontId="86" fillId="30" borderId="20" xfId="74" applyFont="1" applyFill="1" applyBorder="1" applyAlignment="1">
      <alignment vertical="center"/>
    </xf>
    <xf numFmtId="0" fontId="83" fillId="42" borderId="0" xfId="74" applyFont="1" applyFill="1" applyAlignment="1">
      <alignment vertical="center"/>
    </xf>
    <xf numFmtId="0" fontId="83" fillId="42" borderId="37" xfId="74" applyFont="1" applyFill="1" applyBorder="1" applyAlignment="1">
      <alignment vertical="center"/>
    </xf>
    <xf numFmtId="0" fontId="83" fillId="42" borderId="37" xfId="74" applyFont="1" applyFill="1" applyBorder="1" applyAlignment="1">
      <alignment vertical="center" wrapText="1"/>
    </xf>
    <xf numFmtId="0" fontId="124" fillId="42" borderId="37" xfId="74" applyFont="1" applyFill="1" applyBorder="1" applyAlignment="1">
      <alignment vertical="center" wrapText="1"/>
    </xf>
    <xf numFmtId="0" fontId="83" fillId="42" borderId="37" xfId="74" applyFont="1" applyFill="1" applyBorder="1" applyAlignment="1">
      <alignment horizontal="center" vertical="center"/>
    </xf>
    <xf numFmtId="0" fontId="3" fillId="42" borderId="37" xfId="689" applyFont="1" applyFill="1" applyBorder="1" applyAlignment="1">
      <alignment vertical="center"/>
    </xf>
    <xf numFmtId="2" fontId="83" fillId="42" borderId="37" xfId="74" applyNumberFormat="1" applyFont="1" applyFill="1" applyBorder="1" applyAlignment="1">
      <alignment vertical="center"/>
    </xf>
    <xf numFmtId="0" fontId="89" fillId="33" borderId="37" xfId="591" applyFont="1" applyFill="1" applyBorder="1" applyAlignment="1">
      <alignment horizontal="left" vertical="center"/>
    </xf>
    <xf numFmtId="167" fontId="3" fillId="33" borderId="37" xfId="689" applyNumberFormat="1" applyFont="1" applyFill="1" applyBorder="1" applyAlignment="1">
      <alignment horizontal="center" vertical="center"/>
    </xf>
    <xf numFmtId="0" fontId="83" fillId="0" borderId="37" xfId="74" applyFont="1" applyBorder="1" applyAlignment="1">
      <alignment vertical="center"/>
    </xf>
    <xf numFmtId="0" fontId="127" fillId="43" borderId="35" xfId="74" applyFont="1" applyFill="1" applyBorder="1"/>
    <xf numFmtId="0" fontId="127" fillId="43" borderId="8" xfId="74" applyFont="1" applyFill="1" applyBorder="1"/>
    <xf numFmtId="0" fontId="121" fillId="36" borderId="38" xfId="595" applyFont="1" applyFill="1" applyBorder="1" applyAlignment="1">
      <alignment horizontal="center" vertical="center" textRotation="90" wrapText="1"/>
    </xf>
    <xf numFmtId="0" fontId="127" fillId="43" borderId="4" xfId="74" applyFont="1" applyFill="1" applyBorder="1"/>
    <xf numFmtId="0" fontId="127" fillId="43" borderId="40" xfId="74" applyFont="1" applyFill="1" applyBorder="1"/>
    <xf numFmtId="0" fontId="38" fillId="0" borderId="0" xfId="74" applyAlignment="1">
      <alignment horizontal="center"/>
    </xf>
    <xf numFmtId="17" fontId="38" fillId="0" borderId="0" xfId="74" applyNumberFormat="1" applyAlignment="1">
      <alignment horizontal="center"/>
    </xf>
    <xf numFmtId="0" fontId="127" fillId="43" borderId="35" xfId="74" applyFont="1" applyFill="1" applyBorder="1" applyAlignment="1">
      <alignment wrapText="1"/>
    </xf>
    <xf numFmtId="177" fontId="89" fillId="33" borderId="37" xfId="591" applyNumberFormat="1" applyFont="1" applyFill="1" applyBorder="1" applyAlignment="1">
      <alignment horizontal="left" vertical="center"/>
    </xf>
    <xf numFmtId="0" fontId="83" fillId="41" borderId="37" xfId="74" applyFont="1" applyFill="1" applyBorder="1" applyAlignment="1">
      <alignment horizontal="left" vertical="center" wrapText="1"/>
    </xf>
    <xf numFmtId="0" fontId="80" fillId="41" borderId="37" xfId="74" applyFont="1" applyFill="1" applyBorder="1" applyAlignment="1">
      <alignment horizontal="center" vertical="center"/>
    </xf>
    <xf numFmtId="1" fontId="86" fillId="31" borderId="15" xfId="594" applyNumberFormat="1" applyFont="1" applyFill="1" applyAlignment="1">
      <alignment horizontal="left" vertical="center" wrapText="1" indent="1"/>
    </xf>
    <xf numFmtId="0" fontId="124" fillId="33" borderId="0" xfId="74" applyFont="1" applyFill="1" applyAlignment="1">
      <alignment vertical="top"/>
    </xf>
    <xf numFmtId="0" fontId="124" fillId="33" borderId="0" xfId="74" applyFont="1" applyFill="1" applyAlignment="1">
      <alignment horizontal="center" vertical="top"/>
    </xf>
    <xf numFmtId="0" fontId="86" fillId="32" borderId="15" xfId="591" applyFont="1" applyFill="1" applyBorder="1" applyAlignment="1">
      <alignment horizontal="left" vertical="center"/>
    </xf>
    <xf numFmtId="0" fontId="104" fillId="33" borderId="0" xfId="74" applyFont="1" applyFill="1" applyAlignment="1">
      <alignment vertical="center"/>
    </xf>
    <xf numFmtId="0" fontId="134" fillId="33" borderId="0" xfId="74" applyFont="1" applyFill="1" applyAlignment="1">
      <alignment horizontal="center" vertical="center"/>
    </xf>
    <xf numFmtId="0" fontId="83" fillId="33" borderId="0" xfId="74" applyFont="1" applyFill="1" applyAlignment="1">
      <alignment horizontal="right" vertical="center"/>
    </xf>
    <xf numFmtId="177" fontId="83" fillId="33" borderId="0" xfId="522" applyNumberFormat="1" applyFont="1" applyFill="1" applyBorder="1" applyAlignment="1">
      <alignment horizontal="left" vertical="center"/>
    </xf>
    <xf numFmtId="49" fontId="133" fillId="39" borderId="0" xfId="522" applyNumberFormat="1" applyFont="1" applyFill="1" applyBorder="1" applyAlignment="1">
      <alignment vertical="center"/>
    </xf>
    <xf numFmtId="0" fontId="133" fillId="39" borderId="0" xfId="74" applyFont="1" applyFill="1" applyAlignment="1">
      <alignment horizontal="left" vertical="center"/>
    </xf>
    <xf numFmtId="0" fontId="133" fillId="39" borderId="0" xfId="74" applyFont="1" applyFill="1" applyAlignment="1">
      <alignment vertical="center"/>
    </xf>
    <xf numFmtId="0" fontId="135" fillId="39" borderId="0" xfId="74" applyFont="1" applyFill="1" applyAlignment="1">
      <alignment horizontal="left" vertical="center"/>
    </xf>
    <xf numFmtId="0" fontId="135" fillId="39" borderId="0" xfId="74" applyFont="1" applyFill="1" applyAlignment="1">
      <alignment vertical="center"/>
    </xf>
    <xf numFmtId="0" fontId="135" fillId="39" borderId="0" xfId="74" applyFont="1" applyFill="1" applyAlignment="1">
      <alignment horizontal="center" vertical="center"/>
    </xf>
    <xf numFmtId="0" fontId="116" fillId="33" borderId="0" xfId="74" applyFont="1" applyFill="1" applyAlignment="1">
      <alignment horizontal="right" vertical="center" wrapText="1"/>
    </xf>
    <xf numFmtId="0" fontId="103" fillId="33" borderId="44" xfId="74" applyFont="1" applyFill="1" applyBorder="1" applyAlignment="1">
      <alignment horizontal="center" vertical="center"/>
    </xf>
    <xf numFmtId="0" fontId="108" fillId="33" borderId="44" xfId="74" applyFont="1" applyFill="1" applyBorder="1" applyAlignment="1">
      <alignment horizontal="left" vertical="center"/>
    </xf>
    <xf numFmtId="0" fontId="83" fillId="33" borderId="44" xfId="74" applyFont="1" applyFill="1" applyBorder="1" applyAlignment="1">
      <alignment vertical="center"/>
    </xf>
    <xf numFmtId="0" fontId="83" fillId="33" borderId="44" xfId="74" applyFont="1" applyFill="1" applyBorder="1" applyAlignment="1">
      <alignment horizontal="left" vertical="center"/>
    </xf>
    <xf numFmtId="0" fontId="107" fillId="33" borderId="44" xfId="74" applyFont="1" applyFill="1" applyBorder="1" applyAlignment="1">
      <alignment horizontal="left" vertical="center"/>
    </xf>
    <xf numFmtId="0" fontId="107" fillId="33" borderId="44" xfId="74" applyFont="1" applyFill="1" applyBorder="1" applyAlignment="1">
      <alignment vertical="center"/>
    </xf>
    <xf numFmtId="0" fontId="83" fillId="0" borderId="44" xfId="74" applyFont="1" applyBorder="1" applyAlignment="1">
      <alignment vertical="center"/>
    </xf>
    <xf numFmtId="14" fontId="107" fillId="33" borderId="44" xfId="74" applyNumberFormat="1" applyFont="1" applyFill="1" applyBorder="1" applyAlignment="1">
      <alignment horizontal="left" vertical="center"/>
    </xf>
    <xf numFmtId="0" fontId="105" fillId="34" borderId="37" xfId="74" applyFont="1" applyFill="1" applyBorder="1" applyAlignment="1">
      <alignment vertical="center"/>
    </xf>
    <xf numFmtId="0" fontId="80" fillId="42" borderId="37" xfId="74" applyFont="1" applyFill="1" applyBorder="1" applyAlignment="1">
      <alignment horizontal="center" vertical="center"/>
    </xf>
    <xf numFmtId="0" fontId="83" fillId="0" borderId="37" xfId="74" applyFont="1" applyBorder="1" applyAlignment="1">
      <alignment vertical="center" wrapText="1"/>
    </xf>
    <xf numFmtId="0" fontId="86" fillId="33" borderId="0" xfId="672" applyFont="1" applyFill="1" applyBorder="1" applyAlignment="1">
      <alignment horizontal="center" vertical="center"/>
    </xf>
    <xf numFmtId="0" fontId="92" fillId="37" borderId="45" xfId="595" applyFont="1" applyFill="1" applyBorder="1" applyAlignment="1">
      <alignment horizontal="center" vertical="center" wrapText="1"/>
    </xf>
    <xf numFmtId="0" fontId="83" fillId="33" borderId="41" xfId="74" applyFont="1" applyFill="1" applyBorder="1" applyAlignment="1">
      <alignment horizontal="center" vertical="center"/>
    </xf>
    <xf numFmtId="0" fontId="83" fillId="42" borderId="41" xfId="74" applyFont="1" applyFill="1" applyBorder="1" applyAlignment="1">
      <alignment horizontal="center" vertical="center"/>
    </xf>
    <xf numFmtId="9" fontId="86" fillId="33" borderId="0" xfId="704" applyFont="1" applyFill="1" applyBorder="1" applyAlignment="1">
      <alignment vertical="center"/>
    </xf>
    <xf numFmtId="0" fontId="122" fillId="28" borderId="37" xfId="689" applyFont="1" applyFill="1" applyBorder="1" applyAlignment="1">
      <alignment horizontal="left" vertical="center"/>
    </xf>
    <xf numFmtId="0" fontId="83" fillId="28" borderId="37" xfId="74" applyFont="1" applyFill="1" applyBorder="1" applyAlignment="1">
      <alignment horizontal="left" vertical="center"/>
    </xf>
    <xf numFmtId="0" fontId="83" fillId="42" borderId="37" xfId="74" applyFont="1" applyFill="1" applyBorder="1" applyAlignment="1">
      <alignment horizontal="left" vertical="center"/>
    </xf>
    <xf numFmtId="0" fontId="83" fillId="38" borderId="37" xfId="74" applyFont="1" applyFill="1" applyBorder="1" applyAlignment="1">
      <alignment horizontal="left" vertical="center"/>
    </xf>
    <xf numFmtId="0" fontId="83" fillId="28" borderId="37" xfId="74" applyFont="1" applyFill="1" applyBorder="1" applyAlignment="1">
      <alignment horizontal="left" vertical="center" wrapText="1"/>
    </xf>
    <xf numFmtId="167" fontId="1" fillId="33" borderId="37" xfId="689" applyNumberFormat="1" applyFont="1" applyFill="1" applyBorder="1" applyAlignment="1">
      <alignment horizontal="center" vertical="center"/>
    </xf>
    <xf numFmtId="0" fontId="83" fillId="44" borderId="37" xfId="74" applyFont="1" applyFill="1" applyBorder="1" applyAlignment="1">
      <alignment vertical="center"/>
    </xf>
    <xf numFmtId="0" fontId="137" fillId="0" borderId="0" xfId="74" applyFont="1" applyAlignment="1">
      <alignment vertical="center"/>
    </xf>
    <xf numFmtId="0" fontId="137" fillId="0" borderId="0" xfId="74" applyFont="1" applyAlignment="1">
      <alignment horizontal="left" vertical="center"/>
    </xf>
    <xf numFmtId="0" fontId="137" fillId="0" borderId="0" xfId="74" applyFont="1" applyAlignment="1">
      <alignment horizontal="left" vertical="center" wrapText="1"/>
    </xf>
    <xf numFmtId="0" fontId="138" fillId="0" borderId="0" xfId="74" applyFont="1" applyAlignment="1">
      <alignment vertical="center"/>
    </xf>
    <xf numFmtId="0" fontId="139" fillId="0" borderId="0" xfId="74" applyFont="1" applyAlignment="1">
      <alignment horizontal="left" vertical="center"/>
    </xf>
    <xf numFmtId="0" fontId="138" fillId="30" borderId="0" xfId="74" applyFont="1" applyFill="1" applyAlignment="1">
      <alignment vertical="center"/>
    </xf>
    <xf numFmtId="0" fontId="140" fillId="0" borderId="0" xfId="74" applyFont="1" applyAlignment="1">
      <alignment vertical="center"/>
    </xf>
    <xf numFmtId="0" fontId="141" fillId="0" borderId="0" xfId="74" applyFont="1" applyAlignment="1">
      <alignment vertical="center"/>
    </xf>
    <xf numFmtId="1" fontId="137" fillId="0" borderId="0" xfId="74" applyNumberFormat="1" applyFont="1" applyAlignment="1">
      <alignment horizontal="left" vertical="center"/>
    </xf>
    <xf numFmtId="178" fontId="38" fillId="0" borderId="20" xfId="80" applyNumberFormat="1" applyBorder="1" applyAlignment="1">
      <alignment vertical="center"/>
    </xf>
    <xf numFmtId="0" fontId="142" fillId="33" borderId="0" xfId="594" applyNumberFormat="1" applyFont="1" applyFill="1" applyBorder="1" applyAlignment="1">
      <alignment horizontal="left" vertical="center" wrapText="1"/>
    </xf>
    <xf numFmtId="0" fontId="92" fillId="36" borderId="37" xfId="595" applyFont="1" applyFill="1" applyBorder="1">
      <alignment horizontal="center" vertical="center"/>
    </xf>
    <xf numFmtId="44" fontId="86" fillId="31" borderId="16" xfId="36" applyFont="1" applyFill="1" applyBorder="1" applyAlignment="1">
      <alignment horizontal="center" vertical="center"/>
    </xf>
    <xf numFmtId="44" fontId="89" fillId="32" borderId="16" xfId="36" applyFont="1" applyFill="1" applyBorder="1" applyAlignment="1">
      <alignment horizontal="center" vertical="center"/>
    </xf>
    <xf numFmtId="0" fontId="83" fillId="0" borderId="0" xfId="74" applyFont="1" applyAlignment="1">
      <alignment vertical="center" wrapText="1"/>
    </xf>
    <xf numFmtId="0" fontId="124" fillId="0" borderId="0" xfId="74" applyFont="1" applyAlignment="1">
      <alignment vertical="center" wrapText="1"/>
    </xf>
    <xf numFmtId="0" fontId="83" fillId="0" borderId="0" xfId="74" applyFont="1" applyAlignment="1">
      <alignment horizontal="center" vertical="center"/>
    </xf>
    <xf numFmtId="0" fontId="123" fillId="45" borderId="35" xfId="595" applyFont="1" applyFill="1" applyBorder="1" applyAlignment="1">
      <alignment horizontal="center" vertical="center" wrapText="1"/>
    </xf>
    <xf numFmtId="0" fontId="2" fillId="33" borderId="13" xfId="689" applyFont="1" applyFill="1" applyBorder="1" applyAlignment="1">
      <alignment vertical="center"/>
    </xf>
    <xf numFmtId="0" fontId="86" fillId="31" borderId="16" xfId="594" applyNumberFormat="1" applyFont="1" applyFill="1" applyBorder="1">
      <alignment horizontal="center" vertical="center"/>
    </xf>
    <xf numFmtId="0" fontId="83" fillId="31" borderId="16" xfId="594" applyNumberFormat="1" applyFont="1" applyFill="1" applyBorder="1">
      <alignment horizontal="center" vertical="center"/>
    </xf>
    <xf numFmtId="0" fontId="86" fillId="32" borderId="16" xfId="595" applyFont="1" applyFill="1" applyAlignment="1">
      <alignment horizontal="center" vertical="center" wrapText="1"/>
    </xf>
    <xf numFmtId="0" fontId="86" fillId="0" borderId="0" xfId="74" applyFont="1" applyAlignment="1">
      <alignment vertical="center" wrapText="1"/>
    </xf>
    <xf numFmtId="0" fontId="86" fillId="32" borderId="16" xfId="595" applyFont="1" applyFill="1" applyAlignment="1">
      <alignment horizontal="left" vertical="center" wrapText="1"/>
    </xf>
    <xf numFmtId="0" fontId="86" fillId="30" borderId="20" xfId="74" applyFont="1" applyFill="1" applyBorder="1" applyAlignment="1">
      <alignment horizontal="left" vertical="center"/>
    </xf>
    <xf numFmtId="0" fontId="2" fillId="33" borderId="0" xfId="689" applyFont="1" applyFill="1" applyAlignment="1">
      <alignment horizontal="left" vertical="center"/>
    </xf>
    <xf numFmtId="0" fontId="89" fillId="32" borderId="19" xfId="591" applyFont="1" applyFill="1" applyBorder="1" applyAlignment="1">
      <alignment horizontal="left" vertical="center"/>
    </xf>
    <xf numFmtId="0" fontId="2" fillId="33" borderId="17" xfId="689" applyFont="1" applyFill="1" applyBorder="1" applyAlignment="1">
      <alignment horizontal="left" vertical="center"/>
    </xf>
    <xf numFmtId="0" fontId="124" fillId="0" borderId="37" xfId="74" applyFont="1" applyBorder="1" applyAlignment="1">
      <alignment vertical="center" wrapText="1"/>
    </xf>
    <xf numFmtId="2" fontId="83" fillId="46" borderId="37" xfId="74" applyNumberFormat="1" applyFont="1" applyFill="1" applyBorder="1" applyAlignment="1">
      <alignment vertical="center"/>
    </xf>
    <xf numFmtId="0" fontId="105" fillId="34" borderId="37" xfId="74" applyFont="1" applyFill="1" applyBorder="1" applyAlignment="1">
      <alignment horizontal="center" vertical="center"/>
    </xf>
    <xf numFmtId="0" fontId="80" fillId="46" borderId="37" xfId="74" applyFont="1" applyFill="1" applyBorder="1" applyAlignment="1">
      <alignment horizontal="center" vertical="center"/>
    </xf>
    <xf numFmtId="0" fontId="144" fillId="33" borderId="0" xfId="74" applyFont="1" applyFill="1" applyAlignment="1">
      <alignment vertical="top"/>
    </xf>
    <xf numFmtId="0" fontId="145" fillId="34" borderId="37" xfId="74" applyFont="1" applyFill="1" applyBorder="1" applyAlignment="1">
      <alignment horizontal="center" vertical="center"/>
    </xf>
    <xf numFmtId="0" fontId="80" fillId="47" borderId="37" xfId="74" applyFont="1" applyFill="1" applyBorder="1" applyAlignment="1">
      <alignment horizontal="center" vertical="center"/>
    </xf>
    <xf numFmtId="0" fontId="122" fillId="0" borderId="37" xfId="689" applyFont="1" applyBorder="1" applyAlignment="1">
      <alignment vertical="center" wrapText="1"/>
    </xf>
    <xf numFmtId="0" fontId="125" fillId="0" borderId="37" xfId="689" applyFont="1" applyBorder="1" applyAlignment="1">
      <alignment vertical="center" wrapText="1"/>
    </xf>
    <xf numFmtId="0" fontId="105" fillId="0" borderId="37" xfId="74" applyFont="1" applyBorder="1" applyAlignment="1">
      <alignment vertical="center" wrapText="1"/>
    </xf>
    <xf numFmtId="0" fontId="124" fillId="0" borderId="41" xfId="74" applyFont="1" applyBorder="1" applyAlignment="1">
      <alignment vertical="center" wrapText="1"/>
    </xf>
    <xf numFmtId="0" fontId="122" fillId="0" borderId="41" xfId="689" applyFont="1" applyBorder="1" applyAlignment="1">
      <alignment horizontal="center" vertical="center"/>
    </xf>
    <xf numFmtId="0" fontId="124" fillId="0" borderId="37" xfId="74" applyFont="1" applyBorder="1" applyAlignment="1">
      <alignment horizontal="center" vertical="center" wrapText="1"/>
    </xf>
    <xf numFmtId="0" fontId="83" fillId="0" borderId="41" xfId="74" applyFont="1" applyBorder="1" applyAlignment="1">
      <alignment horizontal="center" vertical="center"/>
    </xf>
    <xf numFmtId="0" fontId="105" fillId="0" borderId="41" xfId="74" applyFont="1" applyBorder="1" applyAlignment="1">
      <alignment horizontal="center" vertical="center"/>
    </xf>
    <xf numFmtId="0" fontId="143" fillId="0" borderId="37" xfId="74" applyFont="1" applyBorder="1" applyAlignment="1">
      <alignment horizontal="center" vertical="center" wrapText="1"/>
    </xf>
    <xf numFmtId="0" fontId="83" fillId="0" borderId="37" xfId="74" applyFont="1" applyBorder="1" applyAlignment="1">
      <alignment horizontal="center" vertical="center"/>
    </xf>
    <xf numFmtId="0" fontId="143" fillId="0" borderId="37" xfId="74" applyFont="1" applyBorder="1" applyAlignment="1">
      <alignment vertical="center" wrapText="1"/>
    </xf>
    <xf numFmtId="2" fontId="105" fillId="28" borderId="37" xfId="74" applyNumberFormat="1" applyFont="1" applyFill="1" applyBorder="1" applyAlignment="1">
      <alignment vertical="center"/>
    </xf>
    <xf numFmtId="0" fontId="105" fillId="28" borderId="37" xfId="74" applyFont="1" applyFill="1" applyBorder="1" applyAlignment="1">
      <alignment horizontal="center" vertical="center"/>
    </xf>
    <xf numFmtId="2" fontId="83" fillId="28" borderId="37" xfId="74" applyNumberFormat="1" applyFont="1" applyFill="1" applyBorder="1" applyAlignment="1">
      <alignment vertical="center"/>
    </xf>
    <xf numFmtId="0" fontId="145" fillId="28" borderId="37" xfId="74" applyFont="1" applyFill="1" applyBorder="1" applyAlignment="1">
      <alignment horizontal="center" vertical="center"/>
    </xf>
    <xf numFmtId="0" fontId="95" fillId="0" borderId="0" xfId="74" applyFont="1" applyAlignment="1">
      <alignment horizontal="left" vertical="center" wrapText="1"/>
    </xf>
    <xf numFmtId="0" fontId="95" fillId="0" borderId="0" xfId="74" applyFont="1" applyAlignment="1">
      <alignment horizontal="left" vertical="top" wrapText="1"/>
    </xf>
    <xf numFmtId="0" fontId="127" fillId="43" borderId="16" xfId="74" applyFont="1" applyFill="1" applyBorder="1" applyAlignment="1">
      <alignment horizontal="center" vertical="center" wrapText="1"/>
    </xf>
    <xf numFmtId="0" fontId="127" fillId="43" borderId="17" xfId="74" applyFont="1" applyFill="1" applyBorder="1" applyAlignment="1">
      <alignment horizontal="center" vertical="center" wrapText="1"/>
    </xf>
    <xf numFmtId="0" fontId="127" fillId="43" borderId="18" xfId="74" applyFont="1" applyFill="1" applyBorder="1" applyAlignment="1">
      <alignment horizontal="center" vertical="center" wrapText="1"/>
    </xf>
    <xf numFmtId="0" fontId="127" fillId="43" borderId="15" xfId="74" applyFont="1" applyFill="1" applyBorder="1" applyAlignment="1">
      <alignment horizontal="center" vertical="center"/>
    </xf>
    <xf numFmtId="0" fontId="127" fillId="43" borderId="15" xfId="74" applyFont="1" applyFill="1" applyBorder="1" applyAlignment="1">
      <alignment horizontal="center" vertical="center" wrapText="1"/>
    </xf>
    <xf numFmtId="0" fontId="123" fillId="45" borderId="36" xfId="74" applyFont="1" applyFill="1" applyBorder="1" applyAlignment="1">
      <alignment horizontal="center" vertical="center" wrapText="1"/>
    </xf>
    <xf numFmtId="0" fontId="123" fillId="45" borderId="39" xfId="74" applyFont="1" applyFill="1" applyBorder="1" applyAlignment="1">
      <alignment horizontal="center" vertical="center" wrapText="1"/>
    </xf>
    <xf numFmtId="0" fontId="92" fillId="36" borderId="8" xfId="74" applyFont="1" applyFill="1" applyBorder="1" applyAlignment="1">
      <alignment horizontal="center" vertical="center"/>
    </xf>
    <xf numFmtId="0" fontId="87" fillId="33" borderId="0" xfId="672" applyFont="1" applyFill="1" applyBorder="1" applyAlignment="1">
      <alignment horizontal="center" vertical="center"/>
    </xf>
    <xf numFmtId="0" fontId="86" fillId="33" borderId="0" xfId="672" applyFont="1" applyFill="1" applyBorder="1" applyAlignment="1">
      <alignment horizontal="center" vertical="center"/>
    </xf>
    <xf numFmtId="0" fontId="92" fillId="36" borderId="37" xfId="595" applyFont="1" applyFill="1" applyBorder="1">
      <alignment horizontal="center" vertical="center"/>
    </xf>
    <xf numFmtId="0" fontId="83" fillId="31" borderId="16" xfId="594" applyNumberFormat="1" applyFont="1" applyFill="1" applyBorder="1">
      <alignment horizontal="center" vertical="center"/>
    </xf>
    <xf numFmtId="0" fontId="83" fillId="31" borderId="17" xfId="594" applyNumberFormat="1" applyFont="1" applyFill="1" applyBorder="1">
      <alignment horizontal="center" vertical="center"/>
    </xf>
    <xf numFmtId="0" fontId="83" fillId="31" borderId="18" xfId="594" applyNumberFormat="1" applyFont="1" applyFill="1" applyBorder="1">
      <alignment horizontal="center" vertical="center"/>
    </xf>
    <xf numFmtId="0" fontId="86" fillId="32" borderId="16" xfId="595" applyFont="1" applyFill="1" applyAlignment="1">
      <alignment horizontal="left" vertical="center" wrapText="1"/>
    </xf>
    <xf numFmtId="0" fontId="86" fillId="32" borderId="17" xfId="595" applyFont="1" applyFill="1" applyBorder="1" applyAlignment="1">
      <alignment horizontal="left" vertical="center" wrapText="1"/>
    </xf>
    <xf numFmtId="0" fontId="86" fillId="32" borderId="18" xfId="595" applyFont="1" applyFill="1" applyBorder="1" applyAlignment="1">
      <alignment horizontal="left" vertical="center" wrapText="1"/>
    </xf>
    <xf numFmtId="44" fontId="86" fillId="31" borderId="16" xfId="36" applyFont="1" applyFill="1" applyBorder="1" applyAlignment="1">
      <alignment horizontal="center" vertical="center"/>
    </xf>
    <xf numFmtId="44" fontId="86" fillId="31" borderId="17" xfId="36" applyFont="1" applyFill="1" applyBorder="1" applyAlignment="1">
      <alignment horizontal="center" vertical="center"/>
    </xf>
    <xf numFmtId="44" fontId="86" fillId="31" borderId="18" xfId="36" applyFont="1" applyFill="1" applyBorder="1" applyAlignment="1">
      <alignment horizontal="center" vertical="center"/>
    </xf>
    <xf numFmtId="0" fontId="86" fillId="31" borderId="16" xfId="594" applyNumberFormat="1" applyFont="1" applyFill="1" applyBorder="1">
      <alignment horizontal="center" vertical="center"/>
    </xf>
    <xf numFmtId="0" fontId="86" fillId="31" borderId="17" xfId="594" applyNumberFormat="1" applyFont="1" applyFill="1" applyBorder="1">
      <alignment horizontal="center" vertical="center"/>
    </xf>
    <xf numFmtId="0" fontId="86" fillId="31" borderId="18" xfId="594" applyNumberFormat="1" applyFont="1" applyFill="1" applyBorder="1">
      <alignment horizontal="center" vertical="center"/>
    </xf>
    <xf numFmtId="44" fontId="89" fillId="32" borderId="16" xfId="36" applyFont="1" applyFill="1" applyBorder="1" applyAlignment="1">
      <alignment horizontal="center" vertical="center"/>
    </xf>
    <xf numFmtId="44" fontId="89" fillId="32" borderId="17" xfId="36" applyFont="1" applyFill="1" applyBorder="1" applyAlignment="1">
      <alignment horizontal="center" vertical="center"/>
    </xf>
    <xf numFmtId="44" fontId="89" fillId="32" borderId="18" xfId="36" applyFont="1" applyFill="1" applyBorder="1" applyAlignment="1">
      <alignment horizontal="center" vertical="center"/>
    </xf>
    <xf numFmtId="0" fontId="89" fillId="30" borderId="15" xfId="595" applyFont="1" applyFill="1" applyBorder="1">
      <alignment horizontal="center" vertical="center"/>
    </xf>
    <xf numFmtId="0" fontId="89" fillId="30" borderId="15" xfId="595" applyFont="1" applyFill="1" applyBorder="1" applyAlignment="1">
      <alignment horizontal="center" vertical="center" wrapText="1"/>
    </xf>
    <xf numFmtId="0" fontId="81" fillId="32" borderId="41" xfId="74" applyFont="1" applyFill="1" applyBorder="1" applyAlignment="1">
      <alignment horizontal="center" vertical="center"/>
    </xf>
    <xf numFmtId="0" fontId="81" fillId="32" borderId="42" xfId="74" applyFont="1" applyFill="1" applyBorder="1" applyAlignment="1">
      <alignment horizontal="center" vertical="center"/>
    </xf>
    <xf numFmtId="0" fontId="81" fillId="32" borderId="43" xfId="74" applyFont="1" applyFill="1" applyBorder="1" applyAlignment="1">
      <alignment horizontal="center" vertical="center"/>
    </xf>
    <xf numFmtId="0" fontId="111" fillId="33" borderId="0" xfId="74" applyFont="1" applyFill="1" applyAlignment="1">
      <alignment horizontal="center" vertical="center"/>
    </xf>
    <xf numFmtId="0" fontId="84" fillId="39" borderId="0" xfId="74" applyFont="1" applyFill="1" applyAlignment="1">
      <alignment horizontal="center" vertical="center"/>
    </xf>
    <xf numFmtId="0" fontId="83" fillId="33" borderId="0" xfId="74" applyFont="1" applyFill="1" applyAlignment="1">
      <alignment horizontal="center" vertical="center"/>
    </xf>
    <xf numFmtId="0" fontId="114" fillId="32" borderId="41" xfId="74" applyFont="1" applyFill="1" applyBorder="1" applyAlignment="1">
      <alignment horizontal="center" vertical="center" wrapText="1"/>
    </xf>
    <xf numFmtId="0" fontId="114" fillId="32" borderId="42" xfId="74" applyFont="1" applyFill="1" applyBorder="1" applyAlignment="1">
      <alignment horizontal="center" vertical="center"/>
    </xf>
    <xf numFmtId="0" fontId="114" fillId="32" borderId="43" xfId="74" applyFont="1" applyFill="1" applyBorder="1" applyAlignment="1">
      <alignment horizontal="center" vertical="center"/>
    </xf>
    <xf numFmtId="0" fontId="108" fillId="33" borderId="0" xfId="74" applyFont="1" applyFill="1" applyAlignment="1">
      <alignment horizontal="left" vertical="center" wrapText="1"/>
    </xf>
    <xf numFmtId="0" fontId="107" fillId="33" borderId="44" xfId="74" applyFont="1" applyFill="1" applyBorder="1" applyAlignment="1">
      <alignment horizontal="right" vertical="center"/>
    </xf>
    <xf numFmtId="2" fontId="81" fillId="32" borderId="41" xfId="74" applyNumberFormat="1" applyFont="1" applyFill="1" applyBorder="1" applyAlignment="1">
      <alignment horizontal="center" vertical="center"/>
    </xf>
    <xf numFmtId="0" fontId="115" fillId="32" borderId="41" xfId="74" applyFont="1" applyFill="1" applyBorder="1" applyAlignment="1">
      <alignment horizontal="center" vertical="center" wrapText="1"/>
    </xf>
    <xf numFmtId="0" fontId="115" fillId="32" borderId="42" xfId="74" applyFont="1" applyFill="1" applyBorder="1" applyAlignment="1">
      <alignment horizontal="center" vertical="center" wrapText="1"/>
    </xf>
    <xf numFmtId="0" fontId="115" fillId="32" borderId="43" xfId="74" applyFont="1" applyFill="1" applyBorder="1" applyAlignment="1">
      <alignment horizontal="center" vertical="center" wrapText="1"/>
    </xf>
    <xf numFmtId="0" fontId="86" fillId="32" borderId="16" xfId="595" applyFont="1" applyFill="1" applyAlignment="1">
      <alignment horizontal="center" vertical="center" wrapText="1"/>
    </xf>
    <xf numFmtId="0" fontId="86" fillId="32" borderId="17" xfId="595" applyFont="1" applyFill="1" applyBorder="1" applyAlignment="1">
      <alignment horizontal="center" vertical="center" wrapText="1"/>
    </xf>
    <xf numFmtId="0" fontId="86" fillId="32" borderId="18" xfId="595" applyFont="1" applyFill="1" applyBorder="1" applyAlignment="1">
      <alignment horizontal="center" vertical="center" wrapText="1"/>
    </xf>
    <xf numFmtId="0" fontId="87" fillId="33" borderId="33" xfId="591" applyFont="1" applyFill="1" applyBorder="1" applyAlignment="1">
      <alignment horizontal="left" vertical="center"/>
    </xf>
    <xf numFmtId="0" fontId="87" fillId="33" borderId="34" xfId="591" applyFont="1" applyFill="1" applyBorder="1" applyAlignment="1">
      <alignment horizontal="left" vertical="center"/>
    </xf>
    <xf numFmtId="0" fontId="87" fillId="33" borderId="31" xfId="591" applyFont="1" applyFill="1" applyBorder="1" applyAlignment="1">
      <alignment horizontal="left" vertical="center"/>
    </xf>
    <xf numFmtId="0" fontId="87" fillId="33" borderId="13" xfId="591" applyFont="1" applyFill="1" applyAlignment="1">
      <alignment horizontal="left" vertical="center"/>
    </xf>
    <xf numFmtId="0" fontId="87" fillId="33" borderId="19"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14" xfId="591" applyFont="1" applyFill="1" applyBorder="1" applyAlignment="1">
      <alignment horizontal="left" vertical="center"/>
    </xf>
    <xf numFmtId="0" fontId="87" fillId="33" borderId="21" xfId="591" applyFont="1" applyFill="1" applyBorder="1" applyAlignment="1">
      <alignment horizontal="left" vertical="center"/>
    </xf>
    <xf numFmtId="0" fontId="87" fillId="33" borderId="26" xfId="591" applyFont="1" applyFill="1" applyBorder="1" applyAlignment="1">
      <alignment horizontal="left" vertical="center"/>
    </xf>
    <xf numFmtId="0" fontId="113" fillId="32" borderId="41" xfId="74" applyFont="1" applyFill="1" applyBorder="1" applyAlignment="1">
      <alignment horizontal="center" vertical="center" wrapText="1"/>
    </xf>
    <xf numFmtId="0" fontId="113" fillId="32" borderId="42" xfId="74" applyFont="1" applyFill="1" applyBorder="1" applyAlignment="1">
      <alignment horizontal="center" vertical="center" wrapText="1"/>
    </xf>
    <xf numFmtId="0" fontId="113" fillId="32" borderId="43" xfId="74" applyFont="1" applyFill="1" applyBorder="1" applyAlignment="1">
      <alignment horizontal="center" vertical="center" wrapText="1"/>
    </xf>
    <xf numFmtId="0" fontId="0" fillId="0" borderId="0" xfId="0" applyAlignment="1">
      <alignment horizontal="right"/>
    </xf>
    <xf numFmtId="0" fontId="137" fillId="0" borderId="0" xfId="74" applyFont="1" applyAlignment="1"/>
    <xf numFmtId="0" fontId="137" fillId="0" borderId="0" xfId="74" applyFont="1" applyAlignment="1">
      <alignment horizontal="left"/>
    </xf>
    <xf numFmtId="0" fontId="137" fillId="0" borderId="0" xfId="74" applyFont="1" applyAlignment="1">
      <alignment horizontal="left" wrapText="1"/>
    </xf>
    <xf numFmtId="0" fontId="138" fillId="0" borderId="0" xfId="74" applyFont="1" applyAlignment="1"/>
    <xf numFmtId="0" fontId="139" fillId="0" borderId="0" xfId="74" applyFont="1" applyAlignment="1">
      <alignment horizontal="left"/>
    </xf>
    <xf numFmtId="0" fontId="138" fillId="30" borderId="0" xfId="74" applyFont="1" applyFill="1" applyAlignment="1"/>
    <xf numFmtId="0" fontId="140" fillId="0" borderId="0" xfId="74" applyFont="1" applyAlignment="1"/>
    <xf numFmtId="0" fontId="141" fillId="0" borderId="0" xfId="74" applyFont="1" applyAlignment="1"/>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xfId="704" builtinId="5"/>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2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99FF99"/>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CC"/>
      <color rgb="FF66FF99"/>
      <color rgb="FF00FF00"/>
      <color rgb="FFE3173E"/>
      <color rgb="FF414012"/>
      <color rgb="FFC8102E"/>
      <color rgb="FF032842"/>
      <color rgb="FFE4E4E4"/>
      <color rgb="FFD5D5D5"/>
      <color rgb="FFD1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5MY_CIV4D_APP_FR'!A1"/><Relationship Id="rId2" Type="http://schemas.openxmlformats.org/officeDocument/2006/relationships/hyperlink" Target="#'25MY_CIV4D_APP_EN'!A1"/><Relationship Id="rId1" Type="http://schemas.openxmlformats.org/officeDocument/2006/relationships/hyperlink" Target="#'25MY_CIV4D_SELL-EN'!A1"/><Relationship Id="rId4" Type="http://schemas.openxmlformats.org/officeDocument/2006/relationships/hyperlink" Target="#'25MY_CIV4D_SELL-FR'!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jpe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jpe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jpe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jpeg"/><Relationship Id="rId1" Type="http://schemas.openxmlformats.org/officeDocument/2006/relationships/image" Target="../media/image4.jpe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jpe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(4D)</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(4D)</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8</xdr:row>
      <xdr:rowOff>114574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7</xdr:row>
      <xdr:rowOff>31750</xdr:rowOff>
    </xdr:from>
    <xdr:to>
      <xdr:col>11</xdr:col>
      <xdr:colOff>1832</xdr:colOff>
      <xdr:row>8</xdr:row>
      <xdr:rowOff>30479</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8050" y="3860800"/>
          <a:ext cx="2808532" cy="1903729"/>
        </a:xfrm>
        <a:prstGeom prst="rect">
          <a:avLst/>
        </a:prstGeom>
        <a:ln w="19050">
          <a:solidFill>
            <a:schemeClr val="tx1"/>
          </a:solidFill>
        </a:ln>
      </xdr:spPr>
    </xdr:pic>
    <xdr:clientData/>
  </xdr:twoCellAnchor>
  <xdr:twoCellAnchor editAs="oneCell">
    <xdr:from>
      <xdr:col>7</xdr:col>
      <xdr:colOff>12700</xdr:colOff>
      <xdr:row>12</xdr:row>
      <xdr:rowOff>27962</xdr:rowOff>
    </xdr:from>
    <xdr:to>
      <xdr:col>10</xdr:col>
      <xdr:colOff>704849</xdr:colOff>
      <xdr:row>13</xdr:row>
      <xdr:rowOff>44451</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0348" t="9771" r="5100" b="6515"/>
        <a:stretch/>
      </xdr:blipFill>
      <xdr:spPr>
        <a:xfrm>
          <a:off x="4730750" y="6498612"/>
          <a:ext cx="2781299" cy="1921489"/>
        </a:xfrm>
        <a:prstGeom prst="rect">
          <a:avLst/>
        </a:prstGeom>
        <a:ln w="19050">
          <a:solidFill>
            <a:schemeClr val="tx1"/>
          </a:solidFill>
        </a:ln>
      </xdr:spPr>
    </xdr:pic>
    <xdr:clientData/>
  </xdr:twoCellAnchor>
  <xdr:twoCellAnchor editAs="oneCell">
    <xdr:from>
      <xdr:col>2</xdr:col>
      <xdr:colOff>31750</xdr:colOff>
      <xdr:row>12</xdr:row>
      <xdr:rowOff>50800</xdr:rowOff>
    </xdr:from>
    <xdr:to>
      <xdr:col>5</xdr:col>
      <xdr:colOff>704245</xdr:colOff>
      <xdr:row>13</xdr:row>
      <xdr:rowOff>44451</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676" t="3490" r="10026" b="12373"/>
        <a:stretch/>
      </xdr:blipFill>
      <xdr:spPr>
        <a:xfrm>
          <a:off x="1289050" y="6521450"/>
          <a:ext cx="2771170" cy="1898651"/>
        </a:xfrm>
        <a:prstGeom prst="rect">
          <a:avLst/>
        </a:prstGeom>
        <a:ln w="19050">
          <a:solidFill>
            <a:schemeClr val="tx1"/>
          </a:solidFill>
        </a:ln>
      </xdr:spPr>
    </xdr:pic>
    <xdr:clientData/>
  </xdr:twoCellAnchor>
  <xdr:twoCellAnchor editAs="oneCell">
    <xdr:from>
      <xdr:col>12</xdr:col>
      <xdr:colOff>6350</xdr:colOff>
      <xdr:row>16</xdr:row>
      <xdr:rowOff>127000</xdr:rowOff>
    </xdr:from>
    <xdr:to>
      <xdr:col>16</xdr:col>
      <xdr:colOff>8182</xdr:colOff>
      <xdr:row>18</xdr:row>
      <xdr:rowOff>53975</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185150" y="9093200"/>
          <a:ext cx="2808532" cy="2022475"/>
        </a:xfrm>
        <a:prstGeom prst="rect">
          <a:avLst/>
        </a:prstGeom>
        <a:noFill/>
        <a:ln w="19050">
          <a:solidFill>
            <a:schemeClr val="tx1"/>
          </a:solidFill>
        </a:ln>
      </xdr:spPr>
    </xdr:pic>
    <xdr:clientData/>
  </xdr:twoCellAnchor>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12</xdr:col>
      <xdr:colOff>21056</xdr:colOff>
      <xdr:row>12</xdr:row>
      <xdr:rowOff>34926</xdr:rowOff>
    </xdr:from>
    <xdr:to>
      <xdr:col>15</xdr:col>
      <xdr:colOff>701675</xdr:colOff>
      <xdr:row>13</xdr:row>
      <xdr:rowOff>28575</xdr:rowOff>
    </xdr:to>
    <xdr:pic>
      <xdr:nvPicPr>
        <xdr:cNvPr id="16" name="Picture 15">
          <a:extLst>
            <a:ext uri="{FF2B5EF4-FFF2-40B4-BE49-F238E27FC236}">
              <a16:creationId xmlns:a16="http://schemas.microsoft.com/office/drawing/2014/main" id="{90A1BB63-C4AE-EA0D-2CE9-BBE099B8FD9E}"/>
            </a:ext>
          </a:extLst>
        </xdr:cNvPr>
        <xdr:cNvPicPr>
          <a:picLocks noChangeAspect="1"/>
        </xdr:cNvPicPr>
      </xdr:nvPicPr>
      <xdr:blipFill rotWithShape="1">
        <a:blip xmlns:r="http://schemas.openxmlformats.org/officeDocument/2006/relationships" r:embed="rId6"/>
        <a:srcRect b="2922"/>
        <a:stretch/>
      </xdr:blipFill>
      <xdr:spPr>
        <a:xfrm>
          <a:off x="7850606" y="6511926"/>
          <a:ext cx="2661819" cy="1898649"/>
        </a:xfrm>
        <a:prstGeom prst="rect">
          <a:avLst/>
        </a:prstGeom>
        <a:ln w="19050">
          <a:solidFill>
            <a:schemeClr val="tx1"/>
          </a:solidFill>
        </a:ln>
      </xdr:spPr>
    </xdr:pic>
    <xdr:clientData/>
  </xdr:twoCellAnchor>
  <xdr:twoCellAnchor editAs="oneCell">
    <xdr:from>
      <xdr:col>2</xdr:col>
      <xdr:colOff>31751</xdr:colOff>
      <xdr:row>16</xdr:row>
      <xdr:rowOff>179534</xdr:rowOff>
    </xdr:from>
    <xdr:to>
      <xdr:col>5</xdr:col>
      <xdr:colOff>701675</xdr:colOff>
      <xdr:row>18</xdr:row>
      <xdr:rowOff>69851</xdr:rowOff>
    </xdr:to>
    <xdr:pic>
      <xdr:nvPicPr>
        <xdr:cNvPr id="18" name="Picture 17">
          <a:extLst>
            <a:ext uri="{FF2B5EF4-FFF2-40B4-BE49-F238E27FC236}">
              <a16:creationId xmlns:a16="http://schemas.microsoft.com/office/drawing/2014/main" id="{ECD53D64-3BF3-42F6-7A0B-DBD4CE6E44C2}"/>
            </a:ext>
          </a:extLst>
        </xdr:cNvPr>
        <xdr:cNvPicPr>
          <a:picLocks noChangeAspect="1"/>
        </xdr:cNvPicPr>
      </xdr:nvPicPr>
      <xdr:blipFill>
        <a:blip xmlns:r="http://schemas.openxmlformats.org/officeDocument/2006/relationships" r:embed="rId7"/>
        <a:stretch>
          <a:fillRect/>
        </a:stretch>
      </xdr:blipFill>
      <xdr:spPr>
        <a:xfrm>
          <a:off x="1289051" y="9145734"/>
          <a:ext cx="2768599" cy="1985817"/>
        </a:xfrm>
        <a:prstGeom prst="rect">
          <a:avLst/>
        </a:prstGeom>
        <a:ln w="19050">
          <a:solidFill>
            <a:schemeClr val="tx1"/>
          </a:solidFill>
        </a:ln>
      </xdr:spPr>
    </xdr:pic>
    <xdr:clientData/>
  </xdr:twoCellAnchor>
  <xdr:twoCellAnchor editAs="oneCell">
    <xdr:from>
      <xdr:col>12</xdr:col>
      <xdr:colOff>24313</xdr:colOff>
      <xdr:row>6</xdr:row>
      <xdr:rowOff>158749</xdr:rowOff>
    </xdr:from>
    <xdr:to>
      <xdr:col>15</xdr:col>
      <xdr:colOff>701676</xdr:colOff>
      <xdr:row>8</xdr:row>
      <xdr:rowOff>44174</xdr:rowOff>
    </xdr:to>
    <xdr:pic>
      <xdr:nvPicPr>
        <xdr:cNvPr id="20" name="Picture 19">
          <a:extLst>
            <a:ext uri="{FF2B5EF4-FFF2-40B4-BE49-F238E27FC236}">
              <a16:creationId xmlns:a16="http://schemas.microsoft.com/office/drawing/2014/main" id="{42F8521F-13DD-8960-A6E4-BCAC3BE829A6}"/>
            </a:ext>
          </a:extLst>
        </xdr:cNvPr>
        <xdr:cNvPicPr>
          <a:picLocks noChangeAspect="1"/>
        </xdr:cNvPicPr>
      </xdr:nvPicPr>
      <xdr:blipFill>
        <a:blip xmlns:r="http://schemas.openxmlformats.org/officeDocument/2006/relationships" r:embed="rId8"/>
        <a:stretch>
          <a:fillRect/>
        </a:stretch>
      </xdr:blipFill>
      <xdr:spPr>
        <a:xfrm>
          <a:off x="8203113" y="3829049"/>
          <a:ext cx="2756988" cy="1949175"/>
        </a:xfrm>
        <a:prstGeom prst="rect">
          <a:avLst/>
        </a:prstGeom>
        <a:ln w="19050">
          <a:solidFill>
            <a:schemeClr val="tx1"/>
          </a:solidFill>
        </a:ln>
      </xdr:spPr>
    </xdr:pic>
    <xdr:clientData/>
  </xdr:twoCellAnchor>
  <xdr:twoCellAnchor editAs="oneCell">
    <xdr:from>
      <xdr:col>2</xdr:col>
      <xdr:colOff>6351</xdr:colOff>
      <xdr:row>7</xdr:row>
      <xdr:rowOff>12701</xdr:rowOff>
    </xdr:from>
    <xdr:to>
      <xdr:col>6</xdr:col>
      <xdr:colOff>0</xdr:colOff>
      <xdr:row>8</xdr:row>
      <xdr:rowOff>29490</xdr:rowOff>
    </xdr:to>
    <xdr:pic>
      <xdr:nvPicPr>
        <xdr:cNvPr id="25" name="Picture 24">
          <a:extLst>
            <a:ext uri="{FF2B5EF4-FFF2-40B4-BE49-F238E27FC236}">
              <a16:creationId xmlns:a16="http://schemas.microsoft.com/office/drawing/2014/main" id="{37AAB3E8-25EF-ACAB-0C25-94B5772035FF}"/>
            </a:ext>
          </a:extLst>
        </xdr:cNvPr>
        <xdr:cNvPicPr>
          <a:picLocks noChangeAspect="1"/>
        </xdr:cNvPicPr>
      </xdr:nvPicPr>
      <xdr:blipFill>
        <a:blip xmlns:r="http://schemas.openxmlformats.org/officeDocument/2006/relationships" r:embed="rId9"/>
        <a:stretch>
          <a:fillRect/>
        </a:stretch>
      </xdr:blipFill>
      <xdr:spPr>
        <a:xfrm>
          <a:off x="1263651" y="3841751"/>
          <a:ext cx="2787649" cy="1921789"/>
        </a:xfrm>
        <a:prstGeom prst="rect">
          <a:avLst/>
        </a:prstGeom>
        <a:ln w="19050">
          <a:solidFill>
            <a:schemeClr val="tx1"/>
          </a:solidFill>
        </a:ln>
      </xdr:spPr>
    </xdr:pic>
    <xdr:clientData/>
  </xdr:twoCellAnchor>
  <xdr:twoCellAnchor editAs="oneCell">
    <xdr:from>
      <xdr:col>7</xdr:col>
      <xdr:colOff>19050</xdr:colOff>
      <xdr:row>17</xdr:row>
      <xdr:rowOff>0</xdr:rowOff>
    </xdr:from>
    <xdr:to>
      <xdr:col>10</xdr:col>
      <xdr:colOff>704849</xdr:colOff>
      <xdr:row>18</xdr:row>
      <xdr:rowOff>53635</xdr:rowOff>
    </xdr:to>
    <xdr:pic>
      <xdr:nvPicPr>
        <xdr:cNvPr id="2" name="Picture 1">
          <a:extLst>
            <a:ext uri="{FF2B5EF4-FFF2-40B4-BE49-F238E27FC236}">
              <a16:creationId xmlns:a16="http://schemas.microsoft.com/office/drawing/2014/main" id="{E38F3993-70CB-4E9D-AFE2-D4C91B60F222}"/>
            </a:ext>
          </a:extLst>
        </xdr:cNvPr>
        <xdr:cNvPicPr>
          <a:picLocks noChangeAspect="1"/>
        </xdr:cNvPicPr>
      </xdr:nvPicPr>
      <xdr:blipFill rotWithShape="1">
        <a:blip xmlns:r="http://schemas.openxmlformats.org/officeDocument/2006/relationships" r:embed="rId10"/>
        <a:srcRect t="1827" b="3305"/>
        <a:stretch/>
      </xdr:blipFill>
      <xdr:spPr>
        <a:xfrm>
          <a:off x="4737100" y="9156700"/>
          <a:ext cx="2755899" cy="1958635"/>
        </a:xfrm>
        <a:prstGeom prst="rect">
          <a:avLst/>
        </a:prstGeom>
        <a:ln w="19050">
          <a:solidFill>
            <a:sysClr val="windowText" lastClr="000000"/>
          </a:solidFill>
        </a:ln>
      </xdr:spPr>
    </xdr:pic>
    <xdr:clientData/>
  </xdr:twoCellAnchor>
  <xdr:twoCellAnchor editAs="oneCell">
    <xdr:from>
      <xdr:col>7</xdr:col>
      <xdr:colOff>653870</xdr:colOff>
      <xdr:row>1</xdr:row>
      <xdr:rowOff>209550</xdr:rowOff>
    </xdr:from>
    <xdr:to>
      <xdr:col>18</xdr:col>
      <xdr:colOff>104774</xdr:colOff>
      <xdr:row>6</xdr:row>
      <xdr:rowOff>57149</xdr:rowOff>
    </xdr:to>
    <xdr:pic>
      <xdr:nvPicPr>
        <xdr:cNvPr id="6" name="Picture 5">
          <a:extLst>
            <a:ext uri="{FF2B5EF4-FFF2-40B4-BE49-F238E27FC236}">
              <a16:creationId xmlns:a16="http://schemas.microsoft.com/office/drawing/2014/main" id="{20E70365-97B4-57B1-19A3-B4E907F78983}"/>
            </a:ext>
          </a:extLst>
        </xdr:cNvPr>
        <xdr:cNvPicPr>
          <a:picLocks noChangeAspect="1"/>
        </xdr:cNvPicPr>
      </xdr:nvPicPr>
      <xdr:blipFill rotWithShape="1">
        <a:blip xmlns:r="http://schemas.openxmlformats.org/officeDocument/2006/relationships" r:embed="rId11" cstate="print">
          <a:alphaModFix/>
          <a:extLst>
            <a:ext uri="{28A0092B-C50C-407E-A947-70E740481C1C}">
              <a14:useLocalDpi xmlns:a14="http://schemas.microsoft.com/office/drawing/2010/main" val="0"/>
            </a:ext>
          </a:extLst>
        </a:blip>
        <a:srcRect l="11563" t="20110" r="9461" b="9323"/>
        <a:stretch/>
      </xdr:blipFill>
      <xdr:spPr>
        <a:xfrm>
          <a:off x="5168720" y="371475"/>
          <a:ext cx="6670854" cy="3352799"/>
        </a:xfrm>
        <a:prstGeom prst="rect">
          <a:avLst/>
        </a:prstGeom>
      </xdr:spPr>
    </xdr:pic>
    <xdr:clientData/>
  </xdr:twoCellAnchor>
  <xdr:twoCellAnchor editAs="oneCell">
    <xdr:from>
      <xdr:col>0</xdr:col>
      <xdr:colOff>409575</xdr:colOff>
      <xdr:row>2</xdr:row>
      <xdr:rowOff>167619</xdr:rowOff>
    </xdr:from>
    <xdr:to>
      <xdr:col>9</xdr:col>
      <xdr:colOff>152400</xdr:colOff>
      <xdr:row>5</xdr:row>
      <xdr:rowOff>95250</xdr:rowOff>
    </xdr:to>
    <xdr:pic>
      <xdr:nvPicPr>
        <xdr:cNvPr id="12" name="Picture 11">
          <a:extLst>
            <a:ext uri="{FF2B5EF4-FFF2-40B4-BE49-F238E27FC236}">
              <a16:creationId xmlns:a16="http://schemas.microsoft.com/office/drawing/2014/main" id="{8C449519-DA2B-9CEF-AD66-9361785F56BF}"/>
            </a:ext>
          </a:extLst>
        </xdr:cNvPr>
        <xdr:cNvPicPr>
          <a:picLocks noChangeAspect="1"/>
        </xdr:cNvPicPr>
      </xdr:nvPicPr>
      <xdr:blipFill rotWithShape="1">
        <a:blip xmlns:r="http://schemas.openxmlformats.org/officeDocument/2006/relationships" r:embed="rId12" cstate="print">
          <a:alphaModFix/>
          <a:extLst>
            <a:ext uri="{28A0092B-C50C-407E-A947-70E740481C1C}">
              <a14:useLocalDpi xmlns:a14="http://schemas.microsoft.com/office/drawing/2010/main" val="0"/>
            </a:ext>
          </a:extLst>
        </a:blip>
        <a:srcRect l="15195" t="25273" r="18383" b="15904"/>
        <a:stretch/>
      </xdr:blipFill>
      <xdr:spPr>
        <a:xfrm>
          <a:off x="409575" y="558144"/>
          <a:ext cx="5667375" cy="28232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8</xdr:row>
      <xdr:rowOff>114574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0</xdr:colOff>
      <xdr:row>7</xdr:row>
      <xdr:rowOff>31750</xdr:rowOff>
    </xdr:from>
    <xdr:to>
      <xdr:col>11</xdr:col>
      <xdr:colOff>1832</xdr:colOff>
      <xdr:row>8</xdr:row>
      <xdr:rowOff>30479</xdr:rowOff>
    </xdr:to>
    <xdr:pic>
      <xdr:nvPicPr>
        <xdr:cNvPr id="2" name="Picture 1">
          <a:extLst>
            <a:ext uri="{FF2B5EF4-FFF2-40B4-BE49-F238E27FC236}">
              <a16:creationId xmlns:a16="http://schemas.microsoft.com/office/drawing/2014/main" id="{E16987CD-C4D0-4594-A40F-B752BAC55B8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8050" y="3860800"/>
          <a:ext cx="2808532" cy="1903729"/>
        </a:xfrm>
        <a:prstGeom prst="rect">
          <a:avLst/>
        </a:prstGeom>
        <a:ln w="19050">
          <a:solidFill>
            <a:schemeClr val="tx1"/>
          </a:solidFill>
        </a:ln>
      </xdr:spPr>
    </xdr:pic>
    <xdr:clientData/>
  </xdr:twoCellAnchor>
  <xdr:twoCellAnchor editAs="oneCell">
    <xdr:from>
      <xdr:col>7</xdr:col>
      <xdr:colOff>12700</xdr:colOff>
      <xdr:row>12</xdr:row>
      <xdr:rowOff>27962</xdr:rowOff>
    </xdr:from>
    <xdr:to>
      <xdr:col>10</xdr:col>
      <xdr:colOff>704849</xdr:colOff>
      <xdr:row>13</xdr:row>
      <xdr:rowOff>44451</xdr:rowOff>
    </xdr:to>
    <xdr:pic>
      <xdr:nvPicPr>
        <xdr:cNvPr id="3" name="Picture 2">
          <a:extLst>
            <a:ext uri="{FF2B5EF4-FFF2-40B4-BE49-F238E27FC236}">
              <a16:creationId xmlns:a16="http://schemas.microsoft.com/office/drawing/2014/main" id="{33E0E0E2-17EB-4FE6-B9D2-6348570081B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0348" t="9771" r="5100" b="6515"/>
        <a:stretch/>
      </xdr:blipFill>
      <xdr:spPr>
        <a:xfrm>
          <a:off x="4730750" y="6498612"/>
          <a:ext cx="2781299" cy="1921489"/>
        </a:xfrm>
        <a:prstGeom prst="rect">
          <a:avLst/>
        </a:prstGeom>
        <a:ln w="19050">
          <a:solidFill>
            <a:schemeClr val="tx1"/>
          </a:solidFill>
        </a:ln>
      </xdr:spPr>
    </xdr:pic>
    <xdr:clientData/>
  </xdr:twoCellAnchor>
  <xdr:twoCellAnchor editAs="oneCell">
    <xdr:from>
      <xdr:col>2</xdr:col>
      <xdr:colOff>31750</xdr:colOff>
      <xdr:row>12</xdr:row>
      <xdr:rowOff>50800</xdr:rowOff>
    </xdr:from>
    <xdr:to>
      <xdr:col>5</xdr:col>
      <xdr:colOff>704245</xdr:colOff>
      <xdr:row>13</xdr:row>
      <xdr:rowOff>44451</xdr:rowOff>
    </xdr:to>
    <xdr:pic>
      <xdr:nvPicPr>
        <xdr:cNvPr id="4" name="Picture 3">
          <a:extLst>
            <a:ext uri="{FF2B5EF4-FFF2-40B4-BE49-F238E27FC236}">
              <a16:creationId xmlns:a16="http://schemas.microsoft.com/office/drawing/2014/main" id="{70A8C43E-9324-4CB6-B5CE-9EEAD8CDC6C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676" t="3490" r="10026" b="12373"/>
        <a:stretch/>
      </xdr:blipFill>
      <xdr:spPr>
        <a:xfrm>
          <a:off x="1289050" y="6521450"/>
          <a:ext cx="2771170" cy="1898651"/>
        </a:xfrm>
        <a:prstGeom prst="rect">
          <a:avLst/>
        </a:prstGeom>
        <a:ln w="19050">
          <a:solidFill>
            <a:schemeClr val="tx1"/>
          </a:solidFill>
        </a:ln>
      </xdr:spPr>
    </xdr:pic>
    <xdr:clientData/>
  </xdr:twoCellAnchor>
  <xdr:twoCellAnchor editAs="oneCell">
    <xdr:from>
      <xdr:col>12</xdr:col>
      <xdr:colOff>6350</xdr:colOff>
      <xdr:row>16</xdr:row>
      <xdr:rowOff>127000</xdr:rowOff>
    </xdr:from>
    <xdr:to>
      <xdr:col>16</xdr:col>
      <xdr:colOff>8182</xdr:colOff>
      <xdr:row>18</xdr:row>
      <xdr:rowOff>53975</xdr:rowOff>
    </xdr:to>
    <xdr:pic>
      <xdr:nvPicPr>
        <xdr:cNvPr id="5" name="Picture 4">
          <a:extLst>
            <a:ext uri="{FF2B5EF4-FFF2-40B4-BE49-F238E27FC236}">
              <a16:creationId xmlns:a16="http://schemas.microsoft.com/office/drawing/2014/main" id="{DD281C7C-88C0-4F77-BC52-FB8ECF1981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185150" y="9093200"/>
          <a:ext cx="2808532" cy="2022475"/>
        </a:xfrm>
        <a:prstGeom prst="rect">
          <a:avLst/>
        </a:prstGeom>
        <a:noFill/>
        <a:ln w="19050">
          <a:solidFill>
            <a:schemeClr val="tx1"/>
          </a:solidFill>
        </a:ln>
      </xdr:spPr>
    </xdr:pic>
    <xdr:clientData/>
  </xdr:twoCellAnchor>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12</xdr:col>
      <xdr:colOff>21056</xdr:colOff>
      <xdr:row>11</xdr:row>
      <xdr:rowOff>177801</xdr:rowOff>
    </xdr:from>
    <xdr:to>
      <xdr:col>15</xdr:col>
      <xdr:colOff>701675</xdr:colOff>
      <xdr:row>13</xdr:row>
      <xdr:rowOff>38101</xdr:rowOff>
    </xdr:to>
    <xdr:pic>
      <xdr:nvPicPr>
        <xdr:cNvPr id="8" name="Picture 7">
          <a:extLst>
            <a:ext uri="{FF2B5EF4-FFF2-40B4-BE49-F238E27FC236}">
              <a16:creationId xmlns:a16="http://schemas.microsoft.com/office/drawing/2014/main" id="{F65ADB3C-6268-412D-B44B-420F1196EAB3}"/>
            </a:ext>
          </a:extLst>
        </xdr:cNvPr>
        <xdr:cNvPicPr>
          <a:picLocks noChangeAspect="1"/>
        </xdr:cNvPicPr>
      </xdr:nvPicPr>
      <xdr:blipFill>
        <a:blip xmlns:r="http://schemas.openxmlformats.org/officeDocument/2006/relationships" r:embed="rId6"/>
        <a:stretch>
          <a:fillRect/>
        </a:stretch>
      </xdr:blipFill>
      <xdr:spPr>
        <a:xfrm>
          <a:off x="8199856" y="6457951"/>
          <a:ext cx="2779294" cy="1955800"/>
        </a:xfrm>
        <a:prstGeom prst="rect">
          <a:avLst/>
        </a:prstGeom>
        <a:ln w="19050">
          <a:solidFill>
            <a:schemeClr val="tx1"/>
          </a:solidFill>
        </a:ln>
      </xdr:spPr>
    </xdr:pic>
    <xdr:clientData/>
  </xdr:twoCellAnchor>
  <xdr:twoCellAnchor editAs="oneCell">
    <xdr:from>
      <xdr:col>2</xdr:col>
      <xdr:colOff>31751</xdr:colOff>
      <xdr:row>16</xdr:row>
      <xdr:rowOff>179534</xdr:rowOff>
    </xdr:from>
    <xdr:to>
      <xdr:col>5</xdr:col>
      <xdr:colOff>701675</xdr:colOff>
      <xdr:row>18</xdr:row>
      <xdr:rowOff>69851</xdr:rowOff>
    </xdr:to>
    <xdr:pic>
      <xdr:nvPicPr>
        <xdr:cNvPr id="9" name="Picture 8">
          <a:extLst>
            <a:ext uri="{FF2B5EF4-FFF2-40B4-BE49-F238E27FC236}">
              <a16:creationId xmlns:a16="http://schemas.microsoft.com/office/drawing/2014/main" id="{8F6A1EF6-C790-4372-86DC-9D2812B86AD6}"/>
            </a:ext>
          </a:extLst>
        </xdr:cNvPr>
        <xdr:cNvPicPr>
          <a:picLocks noChangeAspect="1"/>
        </xdr:cNvPicPr>
      </xdr:nvPicPr>
      <xdr:blipFill>
        <a:blip xmlns:r="http://schemas.openxmlformats.org/officeDocument/2006/relationships" r:embed="rId7"/>
        <a:stretch>
          <a:fillRect/>
        </a:stretch>
      </xdr:blipFill>
      <xdr:spPr>
        <a:xfrm>
          <a:off x="1289051" y="9145734"/>
          <a:ext cx="2768599" cy="1985817"/>
        </a:xfrm>
        <a:prstGeom prst="rect">
          <a:avLst/>
        </a:prstGeom>
        <a:ln w="19050">
          <a:solidFill>
            <a:schemeClr val="tx1"/>
          </a:solidFill>
        </a:ln>
      </xdr:spPr>
    </xdr:pic>
    <xdr:clientData/>
  </xdr:twoCellAnchor>
  <xdr:twoCellAnchor editAs="oneCell">
    <xdr:from>
      <xdr:col>12</xdr:col>
      <xdr:colOff>24313</xdr:colOff>
      <xdr:row>6</xdr:row>
      <xdr:rowOff>158749</xdr:rowOff>
    </xdr:from>
    <xdr:to>
      <xdr:col>15</xdr:col>
      <xdr:colOff>701676</xdr:colOff>
      <xdr:row>8</xdr:row>
      <xdr:rowOff>44174</xdr:rowOff>
    </xdr:to>
    <xdr:pic>
      <xdr:nvPicPr>
        <xdr:cNvPr id="10" name="Picture 9">
          <a:extLst>
            <a:ext uri="{FF2B5EF4-FFF2-40B4-BE49-F238E27FC236}">
              <a16:creationId xmlns:a16="http://schemas.microsoft.com/office/drawing/2014/main" id="{14FFC4C0-CD73-4A41-9643-159F78D84A4B}"/>
            </a:ext>
          </a:extLst>
        </xdr:cNvPr>
        <xdr:cNvPicPr>
          <a:picLocks noChangeAspect="1"/>
        </xdr:cNvPicPr>
      </xdr:nvPicPr>
      <xdr:blipFill>
        <a:blip xmlns:r="http://schemas.openxmlformats.org/officeDocument/2006/relationships" r:embed="rId8"/>
        <a:stretch>
          <a:fillRect/>
        </a:stretch>
      </xdr:blipFill>
      <xdr:spPr>
        <a:xfrm>
          <a:off x="8203113" y="3829049"/>
          <a:ext cx="2756988" cy="1949175"/>
        </a:xfrm>
        <a:prstGeom prst="rect">
          <a:avLst/>
        </a:prstGeom>
        <a:ln w="19050">
          <a:solidFill>
            <a:schemeClr val="tx1"/>
          </a:solidFill>
        </a:ln>
      </xdr:spPr>
    </xdr:pic>
    <xdr:clientData/>
  </xdr:twoCellAnchor>
  <xdr:twoCellAnchor editAs="oneCell">
    <xdr:from>
      <xdr:col>2</xdr:col>
      <xdr:colOff>6351</xdr:colOff>
      <xdr:row>7</xdr:row>
      <xdr:rowOff>12701</xdr:rowOff>
    </xdr:from>
    <xdr:to>
      <xdr:col>6</xdr:col>
      <xdr:colOff>0</xdr:colOff>
      <xdr:row>8</xdr:row>
      <xdr:rowOff>29490</xdr:rowOff>
    </xdr:to>
    <xdr:pic>
      <xdr:nvPicPr>
        <xdr:cNvPr id="11" name="Picture 10">
          <a:extLst>
            <a:ext uri="{FF2B5EF4-FFF2-40B4-BE49-F238E27FC236}">
              <a16:creationId xmlns:a16="http://schemas.microsoft.com/office/drawing/2014/main" id="{CE600E67-EE2E-491B-887E-DCEDA2DE4831}"/>
            </a:ext>
          </a:extLst>
        </xdr:cNvPr>
        <xdr:cNvPicPr>
          <a:picLocks noChangeAspect="1"/>
        </xdr:cNvPicPr>
      </xdr:nvPicPr>
      <xdr:blipFill>
        <a:blip xmlns:r="http://schemas.openxmlformats.org/officeDocument/2006/relationships" r:embed="rId9"/>
        <a:stretch>
          <a:fillRect/>
        </a:stretch>
      </xdr:blipFill>
      <xdr:spPr>
        <a:xfrm>
          <a:off x="1263651" y="3841751"/>
          <a:ext cx="2787649" cy="1921789"/>
        </a:xfrm>
        <a:prstGeom prst="rect">
          <a:avLst/>
        </a:prstGeom>
        <a:ln w="19050">
          <a:solidFill>
            <a:schemeClr val="tx1"/>
          </a:solidFill>
        </a:ln>
      </xdr:spPr>
    </xdr:pic>
    <xdr:clientData/>
  </xdr:twoCellAnchor>
  <xdr:twoCellAnchor editAs="oneCell">
    <xdr:from>
      <xdr:col>7</xdr:col>
      <xdr:colOff>25401</xdr:colOff>
      <xdr:row>17</xdr:row>
      <xdr:rowOff>0</xdr:rowOff>
    </xdr:from>
    <xdr:to>
      <xdr:col>10</xdr:col>
      <xdr:colOff>701675</xdr:colOff>
      <xdr:row>18</xdr:row>
      <xdr:rowOff>53635</xdr:rowOff>
    </xdr:to>
    <xdr:pic>
      <xdr:nvPicPr>
        <xdr:cNvPr id="15" name="Picture 14">
          <a:extLst>
            <a:ext uri="{FF2B5EF4-FFF2-40B4-BE49-F238E27FC236}">
              <a16:creationId xmlns:a16="http://schemas.microsoft.com/office/drawing/2014/main" id="{5AD46960-E7B4-59F2-01A7-E4D87C29B933}"/>
            </a:ext>
          </a:extLst>
        </xdr:cNvPr>
        <xdr:cNvPicPr>
          <a:picLocks noChangeAspect="1"/>
        </xdr:cNvPicPr>
      </xdr:nvPicPr>
      <xdr:blipFill rotWithShape="1">
        <a:blip xmlns:r="http://schemas.openxmlformats.org/officeDocument/2006/relationships" r:embed="rId10"/>
        <a:srcRect t="1827" b="3305"/>
        <a:stretch/>
      </xdr:blipFill>
      <xdr:spPr>
        <a:xfrm>
          <a:off x="4743451" y="8851900"/>
          <a:ext cx="2755899" cy="1958635"/>
        </a:xfrm>
        <a:prstGeom prst="rect">
          <a:avLst/>
        </a:prstGeom>
        <a:ln w="19050">
          <a:solidFill>
            <a:sysClr val="windowText" lastClr="000000"/>
          </a:solidFill>
        </a:ln>
      </xdr:spPr>
    </xdr:pic>
    <xdr:clientData/>
  </xdr:twoCellAnchor>
  <xdr:twoCellAnchor editAs="oneCell">
    <xdr:from>
      <xdr:col>7</xdr:col>
      <xdr:colOff>711020</xdr:colOff>
      <xdr:row>1</xdr:row>
      <xdr:rowOff>47625</xdr:rowOff>
    </xdr:from>
    <xdr:to>
      <xdr:col>18</xdr:col>
      <xdr:colOff>161924</xdr:colOff>
      <xdr:row>7</xdr:row>
      <xdr:rowOff>47624</xdr:rowOff>
    </xdr:to>
    <xdr:pic>
      <xdr:nvPicPr>
        <xdr:cNvPr id="7" name="Picture 6">
          <a:extLst>
            <a:ext uri="{FF2B5EF4-FFF2-40B4-BE49-F238E27FC236}">
              <a16:creationId xmlns:a16="http://schemas.microsoft.com/office/drawing/2014/main" id="{14267DBC-B619-42BB-A3DF-12E6B03D4D6B}"/>
            </a:ext>
          </a:extLst>
        </xdr:cNvPr>
        <xdr:cNvPicPr>
          <a:picLocks noChangeAspect="1"/>
        </xdr:cNvPicPr>
      </xdr:nvPicPr>
      <xdr:blipFill rotWithShape="1">
        <a:blip xmlns:r="http://schemas.openxmlformats.org/officeDocument/2006/relationships" r:embed="rId11" cstate="print">
          <a:alphaModFix/>
          <a:extLst>
            <a:ext uri="{28A0092B-C50C-407E-A947-70E740481C1C}">
              <a14:useLocalDpi xmlns:a14="http://schemas.microsoft.com/office/drawing/2010/main" val="0"/>
            </a:ext>
          </a:extLst>
        </a:blip>
        <a:srcRect l="11563" t="20110" r="9461" b="9323"/>
        <a:stretch/>
      </xdr:blipFill>
      <xdr:spPr>
        <a:xfrm>
          <a:off x="5225870" y="209550"/>
          <a:ext cx="6670854" cy="3352799"/>
        </a:xfrm>
        <a:prstGeom prst="rect">
          <a:avLst/>
        </a:prstGeom>
      </xdr:spPr>
    </xdr:pic>
    <xdr:clientData/>
  </xdr:twoCellAnchor>
  <xdr:twoCellAnchor editAs="oneCell">
    <xdr:from>
      <xdr:col>0</xdr:col>
      <xdr:colOff>466725</xdr:colOff>
      <xdr:row>2</xdr:row>
      <xdr:rowOff>139044</xdr:rowOff>
    </xdr:from>
    <xdr:to>
      <xdr:col>9</xdr:col>
      <xdr:colOff>209550</xdr:colOff>
      <xdr:row>5</xdr:row>
      <xdr:rowOff>247650</xdr:rowOff>
    </xdr:to>
    <xdr:pic>
      <xdr:nvPicPr>
        <xdr:cNvPr id="14" name="Picture 13">
          <a:extLst>
            <a:ext uri="{FF2B5EF4-FFF2-40B4-BE49-F238E27FC236}">
              <a16:creationId xmlns:a16="http://schemas.microsoft.com/office/drawing/2014/main" id="{A44867A4-9816-40FE-8AE1-727FFEA69F0B}"/>
            </a:ext>
          </a:extLst>
        </xdr:cNvPr>
        <xdr:cNvPicPr>
          <a:picLocks noChangeAspect="1"/>
        </xdr:cNvPicPr>
      </xdr:nvPicPr>
      <xdr:blipFill rotWithShape="1">
        <a:blip xmlns:r="http://schemas.openxmlformats.org/officeDocument/2006/relationships" r:embed="rId12" cstate="print">
          <a:alphaModFix/>
          <a:extLst>
            <a:ext uri="{28A0092B-C50C-407E-A947-70E740481C1C}">
              <a14:useLocalDpi xmlns:a14="http://schemas.microsoft.com/office/drawing/2010/main" val="0"/>
            </a:ext>
          </a:extLst>
        </a:blip>
        <a:srcRect l="15195" t="25273" r="18383" b="15904"/>
        <a:stretch/>
      </xdr:blipFill>
      <xdr:spPr>
        <a:xfrm>
          <a:off x="466725" y="396219"/>
          <a:ext cx="5667375" cy="28232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person displayName="Vanessa Chan" id="{83D3AE26-0229-43B9-84CA-4D6856BC5EA4}" userId="S::Vanessa_Chan@ch.honda.com::4cb6249a-da87-45a0-8082-689c55716438" providerId="AD"/>
  <person displayName="Anishan Ravikandan" id="{5358AA89-79D4-4C2C-842E-A4EEA0936DD0}" userId="S::anishan_ravikandan@ch.honda.com::efec8a28-d0ec-468b-a115-c00c43897f2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10" dT="2025-09-24T15:43:12.78" personId="{5358AA89-79D4-4C2C-842E-A4EEA0936DD0}" id="{7FC2E49F-9D7D-43C4-B186-74A70218ABA5}">
    <text xml:space="preserve">The 16inch doesn’t work for SI. Lets remove this application.
</text>
  </threadedComment>
  <threadedComment ref="T11" dT="2025-09-24T15:43:17.42" personId="{5358AA89-79D4-4C2C-842E-A4EEA0936DD0}" id="{73F0A338-616E-4C5E-9C69-B9A43716A8FB}">
    <text xml:space="preserve">The 16inch doesn’t work for SI. Lets remove this application.
</text>
  </threadedComment>
  <threadedComment ref="Q15" dT="2025-09-30T19:20:24.61" personId="{83D3AE26-0229-43B9-84CA-4D6856BC5EA4}" id="{9677AF9B-0F86-4F02-A2DA-C9A2A2238423}">
    <text>Missing image model page</text>
  </threadedComment>
  <threadedComment ref="S15" dT="2025-09-30T19:20:24.61" personId="{83D3AE26-0229-43B9-84CA-4D6856BC5EA4}" id="{F5FBA57C-7B39-424F-8EDE-7F3EEC30B10C}">
    <text>Missing image model page</text>
  </threadedComment>
  <threadedComment ref="T15" dT="2025-09-30T19:20:24.61" personId="{83D3AE26-0229-43B9-84CA-4D6856BC5EA4}" id="{D8CEAB9F-A688-4DBF-A820-C4DA1725D5BE}">
    <text>Missing image model page</text>
  </threadedComment>
  <threadedComment ref="T31" dT="2025-09-24T15:43:09.22" personId="{5358AA89-79D4-4C2C-842E-A4EEA0936DD0}" id="{CDCF671E-EE98-4D64-B32A-8F44ECA6837B}">
    <text xml:space="preserve">The 16inch doesn’t work for SI. Lets remove this application.
</text>
  </threadedComment>
  <threadedComment ref="AK31" dT="2025-09-30T19:11:09.95" personId="{83D3AE26-0229-43B9-84CA-4D6856BC5EA4}" id="{748E530B-7846-4AA4-AE9E-217C1695E26C}">
    <text>Add to category</text>
  </threadedComment>
  <threadedComment ref="T32" dT="2025-09-30T19:42:32.68" personId="{83D3AE26-0229-43B9-84CA-4D6856BC5EA4}" id="{D8172F91-3DDD-4544-840E-FA20BD4BDBE9}">
    <text xml:space="preserve">Add in??? </text>
  </threadedComment>
  <threadedComment ref="M37" dT="2025-09-30T18:48:22.97" personId="{83D3AE26-0229-43B9-84CA-4D6856BC5EA4}" id="{ED79DAE0-56D5-455F-AC70-5492922D4CC7}">
    <text>Remove from web</text>
  </threadedComment>
  <threadedComment ref="P37" dT="2025-09-30T19:12:27.50" personId="{83D3AE26-0229-43B9-84CA-4D6856BC5EA4}" id="{69D5C999-53A0-4268-A780-1DA7EEDBBBDC}">
    <text xml:space="preserve">Delete out 18” alloy 5 spoke wheel 
</text>
  </threadedComment>
  <threadedComment ref="Q37" dT="2025-09-30T19:22:03.66" personId="{83D3AE26-0229-43B9-84CA-4D6856BC5EA4}" id="{4CB68F3E-4DC7-40CE-B4BE-F187F1A48E7C}">
    <text xml:space="preserve">Delete out 18” alloy 5 spoke wheel </text>
  </threadedComment>
  <threadedComment ref="S37" dT="2025-09-30T19:22:03.66" personId="{83D3AE26-0229-43B9-84CA-4D6856BC5EA4}" id="{2362A95D-402F-4B09-8623-68D4241AA9C6}">
    <text xml:space="preserve">Delete out 18” alloy 5 spoke wheel </text>
  </threadedComment>
  <threadedComment ref="T37" dT="2025-09-30T19:12:27.50" personId="{83D3AE26-0229-43B9-84CA-4D6856BC5EA4}" id="{F8669D8D-3378-497E-9D94-1F5E41E9103D}">
    <text xml:space="preserve">Delete out 18” alloy 5 spoke wheel 
</text>
  </threadedComment>
  <threadedComment ref="D39" dT="2025-09-30T19:17:24.05" personId="{83D3AE26-0229-43B9-84CA-4D6856BC5EA4}" id="{48EBA6A1-465F-4E2B-AB18-CF26AA44DC94}">
    <text xml:space="preserve">Update name - Sport trim </text>
  </threadedComment>
  <threadedComment ref="X40" dT="2025-09-30T19:05:31.18" personId="{83D3AE26-0229-43B9-84CA-4D6856BC5EA4}" id="{409F6210-B0C0-4C1C-9870-96A64F72F4FF}">
    <text>Fix image - cropped off</text>
  </threadedComment>
  <threadedComment ref="D41" dT="2025-09-30T19:02:44.27" personId="{83D3AE26-0229-43B9-84CA-4D6856BC5EA4}" id="{7B5174BF-AD7E-4434-AD26-5D98C84322C4}">
    <text>Update item name</text>
  </threadedComment>
  <threadedComment ref="AJ44" dT="2025-09-30T19:49:46.47" personId="{83D3AE26-0229-43B9-84CA-4D6856BC5EA4}" id="{A121B626-34BC-4CEE-93F5-4DB7F59AB2FB}">
    <text xml:space="preserve">Change to safety from Utility
</text>
  </threadedComment>
  <threadedComment ref="S45" dT="2025-09-30T19:34:51.10" personId="{83D3AE26-0229-43B9-84CA-4D6856BC5EA4}" id="{1A1E28AB-1A75-4397-B00B-710DD78FE177}">
    <text xml:space="preserve">Showing the other door visor - switch application
</text>
  </threadedComment>
  <threadedComment ref="Q49" dT="2025-09-30T19:27:02.92" personId="{83D3AE26-0229-43B9-84CA-4D6856BC5EA4}" id="{40A9467E-406F-4731-9113-DDFADD4DA5D3}">
    <text xml:space="preserve">Remove from 26MY
</text>
  </threadedComment>
  <threadedComment ref="S49" dT="2025-09-30T19:27:02.92" personId="{83D3AE26-0229-43B9-84CA-4D6856BC5EA4}" id="{AD59CC43-AC1B-41CF-8AB3-2E51E1813E3B}">
    <text xml:space="preserve">Remove from 26MY
</text>
  </threadedComment>
  <threadedComment ref="W80" dT="2025-09-30T19:14:52.86" personId="{83D3AE26-0229-43B9-84CA-4D6856BC5EA4}" id="{0FFCDEFE-EF5C-4EED-94C5-6726810CECC1}">
    <text>Check what order number in hAC</text>
  </threadedComment>
  <threadedComment ref="AO95" dT="2025-09-30T19:01:12.01" personId="{83D3AE26-0229-43B9-84CA-4D6856BC5EA4}" id="{CDFA2E63-E2AE-4008-8C36-AFDB61A0CE9A}">
    <text xml:space="preserve">Showing up under legacy exterior cat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796875" defaultRowHeight="12.5" outlineLevelRow="1"/>
  <cols>
    <col min="1" max="1" width="9.1796875" style="3"/>
    <col min="2" max="2" width="32" style="3" bestFit="1" customWidth="1"/>
    <col min="3" max="3" width="30.54296875" style="3" bestFit="1" customWidth="1"/>
    <col min="4" max="16384" width="9.1796875" style="3"/>
  </cols>
  <sheetData>
    <row r="1" spans="1:4">
      <c r="A1" s="4"/>
      <c r="B1" s="4"/>
      <c r="C1" s="4"/>
      <c r="D1" s="4"/>
    </row>
    <row r="2" spans="1:4" ht="15.5">
      <c r="A2" s="4"/>
      <c r="B2" s="1" t="s">
        <v>36</v>
      </c>
      <c r="C2" s="10">
        <v>6.9900000000000004E-2</v>
      </c>
      <c r="D2" s="14" t="s">
        <v>55</v>
      </c>
    </row>
    <row r="3" spans="1:4" ht="15.5">
      <c r="A3" s="4"/>
      <c r="B3" s="1" t="s">
        <v>37</v>
      </c>
      <c r="C3" s="11">
        <v>52</v>
      </c>
      <c r="D3" s="14" t="s">
        <v>55</v>
      </c>
    </row>
    <row r="4" spans="1:4" ht="15.5">
      <c r="A4" s="4"/>
      <c r="B4" s="1" t="s">
        <v>38</v>
      </c>
      <c r="C4" s="12">
        <v>5</v>
      </c>
      <c r="D4" s="14" t="s">
        <v>55</v>
      </c>
    </row>
    <row r="5" spans="1:4" ht="15.5">
      <c r="A5" s="4"/>
      <c r="B5" s="1" t="s">
        <v>39</v>
      </c>
      <c r="C5" s="5">
        <v>10000</v>
      </c>
      <c r="D5" s="14" t="s">
        <v>56</v>
      </c>
    </row>
    <row r="6" spans="1:4" ht="15.5">
      <c r="A6" s="4"/>
      <c r="B6" s="1"/>
      <c r="C6" s="1"/>
      <c r="D6" s="4"/>
    </row>
    <row r="7" spans="1:4" ht="15.5">
      <c r="A7" s="4"/>
      <c r="B7" s="1" t="s">
        <v>40</v>
      </c>
      <c r="C7" s="6" t="s">
        <v>41</v>
      </c>
      <c r="D7" s="4"/>
    </row>
    <row r="8" spans="1:4" ht="13">
      <c r="A8" s="4"/>
      <c r="B8" s="4"/>
      <c r="C8" s="7">
        <f>-PMT(C2/C3,C4*C3,C5)</f>
        <v>45.598988283683823</v>
      </c>
      <c r="D8" s="13" t="s">
        <v>54</v>
      </c>
    </row>
    <row r="9" spans="1:4">
      <c r="A9" s="4"/>
      <c r="C9" s="4"/>
      <c r="D9" s="4"/>
    </row>
    <row r="10" spans="1:4" ht="13">
      <c r="A10" s="4"/>
      <c r="B10" s="84" t="s">
        <v>267</v>
      </c>
      <c r="C10" s="4"/>
      <c r="D10" s="4"/>
    </row>
    <row r="11" spans="1:4">
      <c r="A11" s="4"/>
      <c r="B11" s="4"/>
      <c r="C11" s="4"/>
      <c r="D11" s="4"/>
    </row>
    <row r="13" spans="1:4">
      <c r="B13" s="3" t="s">
        <v>42</v>
      </c>
    </row>
    <row r="15" spans="1:4">
      <c r="B15" s="9" t="s">
        <v>43</v>
      </c>
    </row>
    <row r="16" spans="1:4">
      <c r="B16" s="9" t="s">
        <v>44</v>
      </c>
    </row>
    <row r="19" spans="2:11">
      <c r="B19" s="3" t="s">
        <v>45</v>
      </c>
    </row>
    <row r="21" spans="2:11" ht="76.5" hidden="1" customHeight="1" outlineLevel="1">
      <c r="B21" s="318" t="s">
        <v>47</v>
      </c>
      <c r="C21" s="318"/>
      <c r="D21" s="318"/>
      <c r="E21" s="318"/>
      <c r="F21" s="318"/>
      <c r="G21" s="318"/>
      <c r="H21" s="318"/>
      <c r="I21" s="318"/>
      <c r="J21" s="318"/>
      <c r="K21" s="318"/>
    </row>
    <row r="22" spans="2:11" ht="86.25" hidden="1" customHeight="1" outlineLevel="1">
      <c r="B22" s="319" t="s">
        <v>49</v>
      </c>
      <c r="C22" s="319"/>
      <c r="D22" s="319"/>
      <c r="E22" s="319"/>
      <c r="F22" s="319"/>
      <c r="G22" s="319"/>
      <c r="H22" s="319"/>
      <c r="I22" s="319"/>
      <c r="J22" s="319"/>
      <c r="K22" s="319"/>
    </row>
    <row r="23" spans="2:11" hidden="1" outlineLevel="1">
      <c r="B23" s="3" t="s">
        <v>33</v>
      </c>
    </row>
    <row r="24" spans="2:11" hidden="1" outlineLevel="1">
      <c r="B24" s="3" t="s">
        <v>50</v>
      </c>
    </row>
    <row r="25" spans="2:11" hidden="1" outlineLevel="1"/>
    <row r="26" spans="2:11" hidden="1" outlineLevel="1">
      <c r="B26" s="3" t="s">
        <v>34</v>
      </c>
    </row>
    <row r="27" spans="2:11" hidden="1" outlineLevel="1">
      <c r="B27" s="3" t="s">
        <v>35</v>
      </c>
    </row>
    <row r="28" spans="2:11" hidden="1" outlineLevel="1">
      <c r="B28" s="3" t="s">
        <v>48</v>
      </c>
    </row>
    <row r="29" spans="2:11" hidden="1" outlineLevel="1"/>
    <row r="30" spans="2:11" hidden="1" outlineLevel="1">
      <c r="B30" s="3" t="s">
        <v>51</v>
      </c>
    </row>
    <row r="31" spans="2:11" hidden="1" outlineLevel="1">
      <c r="B31" s="3" t="s">
        <v>52</v>
      </c>
    </row>
    <row r="32" spans="2:11" hidden="1" outlineLevel="1">
      <c r="B32" s="3" t="s">
        <v>53</v>
      </c>
    </row>
    <row r="33" spans="2:2" collapsed="1"/>
    <row r="35" spans="2:2">
      <c r="B35" s="85" t="s">
        <v>46</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4"/>
  <sheetViews>
    <sheetView workbookViewId="0">
      <pane ySplit="1" topLeftCell="A2" activePane="bottomLeft" state="frozen"/>
      <selection activeCell="B35" sqref="B35"/>
      <selection pane="bottomLeft" activeCell="B35" sqref="B35"/>
    </sheetView>
  </sheetViews>
  <sheetFormatPr defaultColWidth="8.7265625" defaultRowHeight="12.5" outlineLevelCol="1"/>
  <cols>
    <col min="1" max="1" width="22.453125" style="3" customWidth="1" outlineLevel="1"/>
    <col min="2" max="2" width="3.81640625" style="3" customWidth="1" outlineLevel="1"/>
    <col min="3" max="3" width="53.1796875" style="3" customWidth="1" outlineLevel="1"/>
    <col min="4" max="4" width="39.453125" style="3" bestFit="1" customWidth="1"/>
    <col min="5" max="5" width="2.81640625" style="3" bestFit="1" customWidth="1"/>
    <col min="6" max="6" width="6.7265625" style="3" bestFit="1" customWidth="1"/>
    <col min="7" max="7" width="6.81640625" style="3" customWidth="1"/>
    <col min="8" max="8" width="7.81640625" style="3" bestFit="1" customWidth="1"/>
    <col min="9" max="9" width="10.453125" style="3" bestFit="1" customWidth="1"/>
    <col min="10" max="10" width="7.54296875" style="3" bestFit="1" customWidth="1"/>
    <col min="11" max="11" width="5.81640625" style="3" bestFit="1" customWidth="1"/>
    <col min="12" max="12" width="6.1796875" style="3" bestFit="1" customWidth="1"/>
    <col min="13" max="13" width="7.1796875" style="3" bestFit="1" customWidth="1"/>
    <col min="14" max="16384" width="8.7265625" style="3"/>
  </cols>
  <sheetData>
    <row r="1" spans="1:13" ht="37.5">
      <c r="A1" s="226" t="s">
        <v>398</v>
      </c>
      <c r="B1" s="220"/>
      <c r="C1" s="219"/>
      <c r="D1" s="163" t="s">
        <v>395</v>
      </c>
      <c r="E1" s="221" t="s">
        <v>396</v>
      </c>
      <c r="F1" s="163" t="s">
        <v>289</v>
      </c>
      <c r="G1" s="163" t="s">
        <v>290</v>
      </c>
      <c r="H1" s="163" t="s">
        <v>291</v>
      </c>
      <c r="I1" s="163" t="s">
        <v>292</v>
      </c>
      <c r="J1" s="163" t="s">
        <v>293</v>
      </c>
      <c r="K1" s="163" t="s">
        <v>294</v>
      </c>
      <c r="L1" s="163" t="s">
        <v>295</v>
      </c>
      <c r="M1" s="163" t="s">
        <v>296</v>
      </c>
    </row>
    <row r="2" spans="1:13">
      <c r="A2" s="320" t="s">
        <v>381</v>
      </c>
      <c r="B2" s="222">
        <v>1</v>
      </c>
      <c r="C2" s="223" t="s">
        <v>221</v>
      </c>
      <c r="D2" s="3" t="s">
        <v>221</v>
      </c>
      <c r="E2" s="3">
        <v>1</v>
      </c>
      <c r="F2" s="224" t="s">
        <v>397</v>
      </c>
      <c r="G2" s="224" t="s">
        <v>397</v>
      </c>
      <c r="H2" s="225"/>
      <c r="I2" s="224" t="s">
        <v>397</v>
      </c>
      <c r="J2" s="224"/>
      <c r="K2" s="224"/>
      <c r="L2" s="224"/>
    </row>
    <row r="3" spans="1:13">
      <c r="A3" s="321"/>
      <c r="B3" s="222">
        <v>2</v>
      </c>
      <c r="C3" s="223" t="s">
        <v>220</v>
      </c>
      <c r="D3" s="3" t="s">
        <v>220</v>
      </c>
      <c r="E3" s="3">
        <v>2</v>
      </c>
      <c r="F3" s="224" t="s">
        <v>397</v>
      </c>
      <c r="G3" s="224" t="s">
        <v>397</v>
      </c>
      <c r="H3" s="225"/>
      <c r="I3" s="224" t="s">
        <v>397</v>
      </c>
      <c r="J3" s="224"/>
      <c r="K3" s="224"/>
      <c r="L3" s="224"/>
    </row>
    <row r="4" spans="1:13">
      <c r="A4" s="321"/>
      <c r="B4" s="222">
        <v>3</v>
      </c>
      <c r="C4" s="223" t="s">
        <v>159</v>
      </c>
      <c r="D4" s="3" t="s">
        <v>441</v>
      </c>
      <c r="E4" s="3">
        <v>3</v>
      </c>
      <c r="F4" s="224" t="s">
        <v>397</v>
      </c>
      <c r="G4" s="224" t="s">
        <v>397</v>
      </c>
      <c r="H4" s="225"/>
      <c r="I4" s="224"/>
      <c r="J4" s="224" t="s">
        <v>397</v>
      </c>
      <c r="K4" s="224"/>
      <c r="L4" s="224"/>
    </row>
    <row r="5" spans="1:13">
      <c r="A5" s="321"/>
      <c r="B5" s="222">
        <v>4</v>
      </c>
      <c r="C5" s="223" t="s">
        <v>393</v>
      </c>
      <c r="D5" s="3" t="s">
        <v>259</v>
      </c>
      <c r="E5" s="3">
        <v>4</v>
      </c>
      <c r="F5" s="224" t="s">
        <v>397</v>
      </c>
      <c r="G5" s="224" t="s">
        <v>397</v>
      </c>
      <c r="H5" s="225"/>
      <c r="I5" s="224"/>
      <c r="J5" s="224" t="s">
        <v>397</v>
      </c>
      <c r="K5" s="224"/>
      <c r="L5" s="224"/>
    </row>
    <row r="6" spans="1:13">
      <c r="A6" s="321"/>
      <c r="B6" s="222">
        <v>5</v>
      </c>
      <c r="C6" s="223" t="s">
        <v>441</v>
      </c>
      <c r="D6" s="3" t="s">
        <v>392</v>
      </c>
      <c r="E6" s="3">
        <v>5</v>
      </c>
      <c r="F6" s="224" t="s">
        <v>397</v>
      </c>
      <c r="G6" s="224" t="s">
        <v>397</v>
      </c>
      <c r="H6" s="225"/>
      <c r="I6" s="224"/>
      <c r="J6" s="224"/>
      <c r="K6" s="224"/>
      <c r="L6" s="224" t="s">
        <v>397</v>
      </c>
    </row>
    <row r="7" spans="1:13">
      <c r="A7" s="321"/>
      <c r="B7" s="222">
        <v>6</v>
      </c>
      <c r="C7" s="223" t="s">
        <v>259</v>
      </c>
      <c r="D7" s="3" t="s">
        <v>151</v>
      </c>
      <c r="E7" s="3">
        <v>6</v>
      </c>
      <c r="F7" s="224" t="s">
        <v>397</v>
      </c>
      <c r="G7" s="224" t="s">
        <v>397</v>
      </c>
      <c r="H7" s="225"/>
      <c r="I7" s="224"/>
      <c r="J7" s="224"/>
      <c r="K7" s="224"/>
      <c r="L7" s="224" t="s">
        <v>397</v>
      </c>
    </row>
    <row r="8" spans="1:13">
      <c r="A8" s="321"/>
      <c r="B8" s="222">
        <v>7</v>
      </c>
      <c r="C8" s="223" t="s">
        <v>392</v>
      </c>
      <c r="D8" s="3" t="s">
        <v>155</v>
      </c>
      <c r="E8" s="3">
        <v>7</v>
      </c>
      <c r="F8" s="224" t="s">
        <v>397</v>
      </c>
      <c r="G8" s="224" t="s">
        <v>397</v>
      </c>
      <c r="H8" s="225"/>
      <c r="I8" s="224"/>
      <c r="J8" s="224"/>
      <c r="K8" s="224"/>
      <c r="L8" s="224" t="s">
        <v>397</v>
      </c>
    </row>
    <row r="9" spans="1:13">
      <c r="A9" s="321"/>
      <c r="B9" s="222">
        <v>8</v>
      </c>
      <c r="C9" s="223" t="s">
        <v>151</v>
      </c>
      <c r="D9" s="3" t="s">
        <v>159</v>
      </c>
      <c r="E9" s="3">
        <v>8</v>
      </c>
      <c r="F9" s="224" t="s">
        <v>397</v>
      </c>
      <c r="G9" s="224" t="s">
        <v>397</v>
      </c>
      <c r="H9" s="225"/>
      <c r="I9" s="224"/>
      <c r="J9" s="224"/>
      <c r="K9" s="224"/>
      <c r="L9" s="224"/>
    </row>
    <row r="10" spans="1:13">
      <c r="A10" s="321"/>
      <c r="B10" s="222">
        <v>9</v>
      </c>
      <c r="C10" s="223" t="s">
        <v>155</v>
      </c>
      <c r="D10" s="3" t="s">
        <v>393</v>
      </c>
      <c r="E10" s="3">
        <v>9</v>
      </c>
      <c r="F10" s="224" t="s">
        <v>397</v>
      </c>
      <c r="G10" s="224" t="s">
        <v>397</v>
      </c>
      <c r="H10" s="225"/>
      <c r="I10" s="224"/>
      <c r="J10" s="224"/>
      <c r="K10" s="224"/>
      <c r="L10" s="224"/>
    </row>
    <row r="11" spans="1:13">
      <c r="A11" s="322"/>
      <c r="B11" s="222">
        <v>10</v>
      </c>
      <c r="C11" s="223" t="s">
        <v>207</v>
      </c>
      <c r="D11" s="3" t="s">
        <v>207</v>
      </c>
      <c r="E11" s="3">
        <v>10</v>
      </c>
      <c r="F11" s="224" t="s">
        <v>397</v>
      </c>
      <c r="G11" s="224" t="s">
        <v>397</v>
      </c>
      <c r="H11" s="224" t="s">
        <v>397</v>
      </c>
      <c r="I11" s="224"/>
      <c r="J11" s="224"/>
      <c r="K11" s="224"/>
      <c r="L11" s="224"/>
    </row>
    <row r="12" spans="1:13">
      <c r="A12" s="323" t="s">
        <v>369</v>
      </c>
      <c r="B12" s="222">
        <v>11</v>
      </c>
      <c r="C12" s="223" t="s">
        <v>244</v>
      </c>
      <c r="D12" s="3" t="s">
        <v>244</v>
      </c>
      <c r="E12" s="3">
        <v>11</v>
      </c>
      <c r="F12" s="224"/>
      <c r="G12" s="224" t="s">
        <v>397</v>
      </c>
      <c r="H12" s="225"/>
      <c r="I12" s="224"/>
      <c r="J12" s="224" t="s">
        <v>397</v>
      </c>
      <c r="K12" s="224"/>
      <c r="L12" s="224"/>
    </row>
    <row r="13" spans="1:13">
      <c r="A13" s="323"/>
      <c r="B13" s="222">
        <v>12</v>
      </c>
      <c r="C13" s="223" t="s">
        <v>109</v>
      </c>
      <c r="D13" s="3" t="s">
        <v>109</v>
      </c>
      <c r="E13" s="3">
        <v>12</v>
      </c>
      <c r="F13" s="224"/>
      <c r="G13" s="224" t="s">
        <v>397</v>
      </c>
      <c r="H13" s="224"/>
      <c r="I13" s="224"/>
      <c r="J13" s="224" t="s">
        <v>397</v>
      </c>
      <c r="K13" s="224"/>
      <c r="L13" s="224"/>
    </row>
    <row r="14" spans="1:13">
      <c r="A14" s="320" t="s">
        <v>449</v>
      </c>
      <c r="B14" s="222">
        <v>13</v>
      </c>
      <c r="C14" s="223" t="s">
        <v>316</v>
      </c>
      <c r="D14" s="3" t="s">
        <v>316</v>
      </c>
      <c r="E14" s="3">
        <v>13</v>
      </c>
      <c r="F14" s="224" t="s">
        <v>397</v>
      </c>
      <c r="G14" s="224" t="s">
        <v>397</v>
      </c>
      <c r="H14" s="224"/>
      <c r="I14" s="224" t="s">
        <v>397</v>
      </c>
      <c r="J14" s="224"/>
      <c r="K14" s="224"/>
      <c r="L14" s="224"/>
    </row>
    <row r="15" spans="1:13">
      <c r="A15" s="321"/>
      <c r="B15" s="222">
        <v>14</v>
      </c>
      <c r="C15" s="223" t="s">
        <v>214</v>
      </c>
      <c r="D15" s="3" t="s">
        <v>214</v>
      </c>
      <c r="E15" s="3">
        <v>14</v>
      </c>
      <c r="F15" s="224"/>
      <c r="G15" s="224" t="s">
        <v>397</v>
      </c>
      <c r="H15" s="224"/>
      <c r="I15" s="224" t="s">
        <v>397</v>
      </c>
      <c r="J15" s="224"/>
      <c r="K15" s="224"/>
      <c r="L15" s="224"/>
    </row>
    <row r="16" spans="1:13">
      <c r="A16" s="321"/>
      <c r="B16" s="222">
        <v>15</v>
      </c>
      <c r="C16" s="223" t="s">
        <v>216</v>
      </c>
      <c r="D16" s="3" t="s">
        <v>216</v>
      </c>
      <c r="E16" s="3">
        <v>15</v>
      </c>
      <c r="F16" s="224"/>
      <c r="G16" s="224" t="s">
        <v>397</v>
      </c>
      <c r="H16" s="224"/>
      <c r="I16" s="224" t="s">
        <v>397</v>
      </c>
      <c r="J16" s="224"/>
      <c r="K16" s="224"/>
      <c r="L16" s="224"/>
    </row>
    <row r="17" spans="1:12">
      <c r="A17" s="321"/>
      <c r="B17" s="222">
        <v>16</v>
      </c>
      <c r="C17" s="223" t="s">
        <v>252</v>
      </c>
      <c r="D17" s="3" t="s">
        <v>252</v>
      </c>
      <c r="E17" s="3">
        <v>16</v>
      </c>
      <c r="F17" s="224"/>
      <c r="G17" s="224" t="s">
        <v>397</v>
      </c>
      <c r="H17" s="224"/>
      <c r="I17" s="224" t="s">
        <v>397</v>
      </c>
      <c r="J17" s="224"/>
      <c r="K17" s="224"/>
      <c r="L17" s="224"/>
    </row>
    <row r="18" spans="1:12">
      <c r="A18" s="321"/>
      <c r="B18" s="222">
        <v>17</v>
      </c>
      <c r="C18" s="223" t="s">
        <v>253</v>
      </c>
      <c r="D18" s="3" t="s">
        <v>253</v>
      </c>
      <c r="E18" s="3">
        <v>17</v>
      </c>
      <c r="F18" s="224"/>
      <c r="G18" s="224" t="s">
        <v>397</v>
      </c>
      <c r="H18" s="224"/>
      <c r="I18" s="224" t="s">
        <v>397</v>
      </c>
      <c r="J18" s="224"/>
      <c r="K18" s="224"/>
      <c r="L18" s="224"/>
    </row>
    <row r="19" spans="1:12">
      <c r="A19" s="321"/>
      <c r="B19" s="222">
        <v>18</v>
      </c>
      <c r="C19" s="223" t="s">
        <v>157</v>
      </c>
      <c r="D19" s="3" t="s">
        <v>157</v>
      </c>
      <c r="E19" s="3">
        <v>18</v>
      </c>
      <c r="F19" s="224"/>
      <c r="G19" s="224" t="s">
        <v>397</v>
      </c>
      <c r="H19" s="224"/>
      <c r="I19" s="224"/>
      <c r="J19" s="224"/>
      <c r="K19" s="224"/>
      <c r="L19" s="224" t="s">
        <v>397</v>
      </c>
    </row>
    <row r="20" spans="1:12">
      <c r="A20" s="321"/>
      <c r="B20" s="222">
        <v>19</v>
      </c>
      <c r="C20" s="223" t="s">
        <v>167</v>
      </c>
      <c r="D20" s="3" t="s">
        <v>167</v>
      </c>
      <c r="E20" s="3">
        <v>19</v>
      </c>
      <c r="F20" s="224"/>
      <c r="G20" s="224" t="s">
        <v>397</v>
      </c>
      <c r="H20" s="224"/>
      <c r="I20" s="224"/>
      <c r="J20" s="224" t="s">
        <v>397</v>
      </c>
      <c r="K20" s="224"/>
      <c r="L20" s="224"/>
    </row>
    <row r="21" spans="1:12">
      <c r="A21" s="321"/>
      <c r="B21" s="222">
        <v>20</v>
      </c>
      <c r="C21" s="223" t="s">
        <v>168</v>
      </c>
      <c r="D21" s="3" t="s">
        <v>168</v>
      </c>
      <c r="E21" s="3">
        <v>20</v>
      </c>
      <c r="F21" s="224"/>
      <c r="G21" s="224" t="s">
        <v>397</v>
      </c>
      <c r="H21" s="224"/>
      <c r="I21" s="224"/>
      <c r="J21" s="224" t="s">
        <v>397</v>
      </c>
      <c r="K21" s="224"/>
      <c r="L21" s="224"/>
    </row>
    <row r="22" spans="1:12">
      <c r="A22" s="322"/>
      <c r="B22" s="222">
        <v>21</v>
      </c>
      <c r="C22" s="223" t="s">
        <v>156</v>
      </c>
      <c r="D22" s="3" t="s">
        <v>156</v>
      </c>
      <c r="E22" s="3">
        <v>21</v>
      </c>
      <c r="F22" s="224"/>
      <c r="G22" s="224" t="s">
        <v>397</v>
      </c>
      <c r="H22" s="224"/>
      <c r="I22" s="224"/>
      <c r="J22" s="224"/>
      <c r="K22" s="224"/>
      <c r="L22" s="224" t="s">
        <v>397</v>
      </c>
    </row>
    <row r="23" spans="1:12">
      <c r="A23" s="324" t="s">
        <v>370</v>
      </c>
      <c r="B23" s="222">
        <v>22</v>
      </c>
      <c r="C23" s="223" t="s">
        <v>160</v>
      </c>
      <c r="D23" s="3" t="s">
        <v>160</v>
      </c>
      <c r="E23" s="3">
        <v>22</v>
      </c>
      <c r="F23" s="224"/>
      <c r="G23" s="224" t="s">
        <v>397</v>
      </c>
      <c r="H23" s="224"/>
      <c r="I23" s="224"/>
      <c r="J23" s="224"/>
      <c r="K23" s="224"/>
      <c r="L23" s="224" t="s">
        <v>397</v>
      </c>
    </row>
    <row r="24" spans="1:12">
      <c r="A24" s="324"/>
      <c r="B24" s="222">
        <v>23</v>
      </c>
      <c r="C24" s="223" t="s">
        <v>161</v>
      </c>
      <c r="D24" s="3" t="s">
        <v>161</v>
      </c>
      <c r="E24" s="3">
        <v>23</v>
      </c>
      <c r="F24" s="224"/>
      <c r="G24" s="224" t="s">
        <v>397</v>
      </c>
      <c r="H24" s="224"/>
      <c r="I24" s="224"/>
      <c r="J24" s="224"/>
      <c r="K24" s="224"/>
      <c r="L24" s="224" t="s">
        <v>397</v>
      </c>
    </row>
    <row r="25" spans="1:12">
      <c r="A25" s="324"/>
      <c r="B25" s="222">
        <v>24</v>
      </c>
      <c r="C25" s="223" t="s">
        <v>394</v>
      </c>
      <c r="D25" s="3" t="s">
        <v>394</v>
      </c>
      <c r="E25" s="3">
        <v>24</v>
      </c>
      <c r="F25" s="224"/>
      <c r="G25" s="224" t="s">
        <v>397</v>
      </c>
      <c r="H25" s="224"/>
      <c r="I25" s="224"/>
      <c r="J25" s="224"/>
      <c r="K25" s="224"/>
      <c r="L25" s="224" t="s">
        <v>397</v>
      </c>
    </row>
    <row r="26" spans="1:12">
      <c r="A26" s="324"/>
      <c r="B26" s="222">
        <v>25</v>
      </c>
      <c r="C26" s="223" t="s">
        <v>247</v>
      </c>
      <c r="D26" s="3" t="s">
        <v>247</v>
      </c>
      <c r="E26" s="3">
        <v>25</v>
      </c>
      <c r="F26" s="224"/>
      <c r="G26" s="224" t="s">
        <v>397</v>
      </c>
      <c r="H26" s="224"/>
      <c r="I26" s="224"/>
      <c r="J26" s="224"/>
      <c r="K26" s="224"/>
      <c r="L26" s="224" t="s">
        <v>397</v>
      </c>
    </row>
    <row r="27" spans="1:12">
      <c r="A27" s="324"/>
      <c r="B27" s="222">
        <v>26</v>
      </c>
      <c r="C27" s="223" t="s">
        <v>248</v>
      </c>
      <c r="D27" s="3" t="s">
        <v>248</v>
      </c>
      <c r="E27" s="3">
        <v>26</v>
      </c>
      <c r="F27" s="224"/>
      <c r="G27" s="224" t="s">
        <v>397</v>
      </c>
      <c r="H27" s="224"/>
      <c r="I27" s="224"/>
      <c r="J27" s="224"/>
      <c r="K27" s="224"/>
      <c r="L27" s="224" t="s">
        <v>397</v>
      </c>
    </row>
    <row r="28" spans="1:12">
      <c r="A28" s="324"/>
      <c r="B28" s="222">
        <v>27</v>
      </c>
      <c r="C28" s="223" t="s">
        <v>142</v>
      </c>
      <c r="D28" s="3" t="s">
        <v>142</v>
      </c>
      <c r="E28" s="3">
        <v>27</v>
      </c>
      <c r="F28" s="224"/>
      <c r="G28" s="224" t="s">
        <v>397</v>
      </c>
      <c r="H28" s="224"/>
      <c r="I28" s="224"/>
      <c r="J28" s="224"/>
      <c r="K28" s="224"/>
      <c r="L28" s="224" t="s">
        <v>397</v>
      </c>
    </row>
    <row r="29" spans="1:12">
      <c r="A29" s="324"/>
      <c r="B29" s="222">
        <v>28</v>
      </c>
      <c r="C29" s="223" t="s">
        <v>240</v>
      </c>
      <c r="D29" s="3" t="s">
        <v>240</v>
      </c>
      <c r="E29" s="3">
        <v>28</v>
      </c>
      <c r="F29" s="224"/>
      <c r="G29" s="224" t="s">
        <v>397</v>
      </c>
      <c r="H29" s="224"/>
      <c r="I29" s="224"/>
      <c r="J29" s="224"/>
      <c r="K29" s="224"/>
      <c r="L29" s="224" t="s">
        <v>397</v>
      </c>
    </row>
    <row r="30" spans="1:12">
      <c r="A30" s="324"/>
      <c r="B30" s="222">
        <v>29</v>
      </c>
      <c r="C30" s="223" t="s">
        <v>239</v>
      </c>
      <c r="D30" s="3" t="s">
        <v>239</v>
      </c>
      <c r="E30" s="3">
        <v>29</v>
      </c>
      <c r="F30" s="224"/>
      <c r="G30" s="224" t="s">
        <v>397</v>
      </c>
      <c r="H30" s="224"/>
      <c r="I30" s="224"/>
      <c r="J30" s="224"/>
      <c r="K30" s="224"/>
      <c r="L30" s="224" t="s">
        <v>397</v>
      </c>
    </row>
    <row r="31" spans="1:12">
      <c r="A31" s="324" t="s">
        <v>371</v>
      </c>
      <c r="B31" s="222">
        <v>30</v>
      </c>
      <c r="C31" s="223" t="s">
        <v>121</v>
      </c>
      <c r="D31" s="3" t="s">
        <v>121</v>
      </c>
      <c r="E31" s="3">
        <v>30</v>
      </c>
      <c r="F31" s="224"/>
      <c r="G31" s="224" t="s">
        <v>397</v>
      </c>
      <c r="H31" s="224"/>
      <c r="I31" s="224" t="s">
        <v>397</v>
      </c>
      <c r="J31" s="224"/>
      <c r="K31" s="224"/>
      <c r="L31" s="224"/>
    </row>
    <row r="32" spans="1:12">
      <c r="A32" s="323"/>
      <c r="B32" s="222">
        <v>31</v>
      </c>
      <c r="C32" s="223" t="s">
        <v>120</v>
      </c>
      <c r="D32" s="3" t="s">
        <v>120</v>
      </c>
      <c r="E32" s="3">
        <v>31</v>
      </c>
      <c r="F32" s="224"/>
      <c r="G32" s="224" t="s">
        <v>397</v>
      </c>
      <c r="H32" s="224"/>
      <c r="I32" s="224" t="s">
        <v>397</v>
      </c>
      <c r="J32" s="224"/>
      <c r="K32" s="224"/>
      <c r="L32" s="224"/>
    </row>
    <row r="33" spans="1:12">
      <c r="A33" s="323"/>
      <c r="B33" s="222">
        <v>32</v>
      </c>
      <c r="C33" s="223" t="s">
        <v>154</v>
      </c>
      <c r="D33" s="3" t="s">
        <v>154</v>
      </c>
      <c r="E33" s="3">
        <v>32</v>
      </c>
      <c r="F33" s="224"/>
      <c r="G33" s="224" t="s">
        <v>397</v>
      </c>
      <c r="H33" s="224"/>
      <c r="I33" s="224" t="s">
        <v>397</v>
      </c>
      <c r="J33" s="224"/>
      <c r="K33" s="224"/>
      <c r="L33" s="224"/>
    </row>
    <row r="34" spans="1:12">
      <c r="A34" s="323" t="s">
        <v>372</v>
      </c>
      <c r="B34" s="222">
        <v>33</v>
      </c>
      <c r="C34" s="223" t="s">
        <v>26</v>
      </c>
      <c r="D34" s="3" t="s">
        <v>26</v>
      </c>
      <c r="E34" s="3">
        <v>33</v>
      </c>
      <c r="F34" s="224"/>
      <c r="G34" s="224" t="s">
        <v>397</v>
      </c>
      <c r="H34" s="224"/>
      <c r="I34" s="224"/>
      <c r="J34" s="224" t="s">
        <v>397</v>
      </c>
      <c r="K34" s="224"/>
      <c r="L34" s="224"/>
    </row>
    <row r="35" spans="1:12">
      <c r="A35" s="323"/>
      <c r="B35" s="222">
        <v>34</v>
      </c>
      <c r="C35" s="223" t="s">
        <v>141</v>
      </c>
      <c r="D35" s="3" t="s">
        <v>141</v>
      </c>
      <c r="E35" s="3">
        <v>34</v>
      </c>
      <c r="F35" s="224"/>
      <c r="G35" s="224" t="s">
        <v>397</v>
      </c>
      <c r="H35" s="224" t="s">
        <v>397</v>
      </c>
      <c r="I35" s="224"/>
      <c r="J35" s="224"/>
      <c r="K35" s="224"/>
      <c r="L35" s="224"/>
    </row>
    <row r="36" spans="1:12">
      <c r="A36" s="323"/>
      <c r="B36" s="222">
        <v>35</v>
      </c>
      <c r="C36" s="223" t="s">
        <v>143</v>
      </c>
      <c r="D36" s="3" t="s">
        <v>143</v>
      </c>
      <c r="E36" s="3">
        <v>35</v>
      </c>
      <c r="F36" s="224"/>
      <c r="G36" s="224" t="s">
        <v>397</v>
      </c>
      <c r="H36" s="224"/>
      <c r="I36" s="224"/>
      <c r="J36" s="224" t="s">
        <v>397</v>
      </c>
      <c r="K36" s="224"/>
      <c r="L36" s="224"/>
    </row>
    <row r="37" spans="1:12">
      <c r="A37" s="323"/>
      <c r="B37" s="222">
        <v>36</v>
      </c>
      <c r="C37" s="223" t="s">
        <v>188</v>
      </c>
      <c r="D37" s="3" t="s">
        <v>188</v>
      </c>
      <c r="E37" s="3">
        <v>36</v>
      </c>
      <c r="F37" s="224"/>
      <c r="G37" s="224" t="s">
        <v>397</v>
      </c>
      <c r="H37" s="224"/>
      <c r="I37" s="224"/>
      <c r="J37" s="224" t="s">
        <v>397</v>
      </c>
      <c r="K37" s="224"/>
      <c r="L37" s="224"/>
    </row>
    <row r="38" spans="1:12">
      <c r="A38" s="323"/>
      <c r="B38" s="222">
        <v>37</v>
      </c>
      <c r="C38" s="223" t="s">
        <v>20</v>
      </c>
      <c r="D38" s="3" t="s">
        <v>20</v>
      </c>
      <c r="E38" s="3">
        <v>37</v>
      </c>
      <c r="F38" s="224"/>
      <c r="G38" s="224" t="s">
        <v>397</v>
      </c>
      <c r="H38" s="224"/>
      <c r="I38" s="224"/>
      <c r="J38" s="224" t="s">
        <v>397</v>
      </c>
      <c r="K38" s="224"/>
      <c r="L38" s="224"/>
    </row>
    <row r="39" spans="1:12">
      <c r="A39" s="323"/>
      <c r="B39" s="222">
        <v>38</v>
      </c>
      <c r="C39" s="223" t="s">
        <v>162</v>
      </c>
      <c r="D39" s="3" t="s">
        <v>162</v>
      </c>
      <c r="E39" s="3">
        <v>38</v>
      </c>
      <c r="F39" s="224"/>
      <c r="G39" s="224" t="s">
        <v>397</v>
      </c>
      <c r="H39" s="224"/>
      <c r="I39" s="224"/>
      <c r="J39" s="224" t="s">
        <v>397</v>
      </c>
      <c r="K39" s="224"/>
      <c r="L39" s="224"/>
    </row>
    <row r="40" spans="1:12">
      <c r="A40" s="324" t="s">
        <v>373</v>
      </c>
      <c r="B40" s="222">
        <v>39</v>
      </c>
      <c r="C40" s="223" t="s">
        <v>163</v>
      </c>
      <c r="D40" s="3" t="s">
        <v>163</v>
      </c>
      <c r="E40" s="3">
        <v>39</v>
      </c>
      <c r="F40" s="224"/>
      <c r="G40" s="224" t="s">
        <v>397</v>
      </c>
      <c r="H40" s="224"/>
      <c r="I40" s="224"/>
      <c r="J40" s="224"/>
      <c r="K40" s="224" t="s">
        <v>397</v>
      </c>
      <c r="L40" s="224"/>
    </row>
    <row r="41" spans="1:12">
      <c r="A41" s="323"/>
      <c r="B41" s="222">
        <v>40</v>
      </c>
      <c r="C41" s="223" t="s">
        <v>29</v>
      </c>
      <c r="D41" s="3" t="s">
        <v>29</v>
      </c>
      <c r="E41" s="3">
        <v>40</v>
      </c>
      <c r="F41" s="224"/>
      <c r="G41" s="224" t="s">
        <v>397</v>
      </c>
      <c r="H41" s="224"/>
      <c r="I41" s="224"/>
      <c r="J41" s="224" t="s">
        <v>397</v>
      </c>
      <c r="K41" s="224"/>
      <c r="L41" s="224"/>
    </row>
    <row r="42" spans="1:12">
      <c r="A42" s="323"/>
      <c r="B42" s="222">
        <v>41</v>
      </c>
      <c r="C42" s="223" t="s">
        <v>128</v>
      </c>
      <c r="D42" s="3" t="s">
        <v>128</v>
      </c>
      <c r="E42" s="3">
        <v>41</v>
      </c>
      <c r="F42" s="224"/>
      <c r="G42" s="224" t="s">
        <v>397</v>
      </c>
      <c r="H42" s="224"/>
      <c r="I42" s="224"/>
      <c r="J42" s="224" t="s">
        <v>397</v>
      </c>
      <c r="K42" s="224"/>
      <c r="L42" s="224"/>
    </row>
    <row r="43" spans="1:12">
      <c r="A43" s="323"/>
      <c r="B43" s="222">
        <v>42</v>
      </c>
      <c r="C43" s="223" t="s">
        <v>126</v>
      </c>
      <c r="D43" s="3" t="s">
        <v>126</v>
      </c>
      <c r="E43" s="3">
        <v>42</v>
      </c>
      <c r="F43" s="224"/>
      <c r="G43" s="224" t="s">
        <v>397</v>
      </c>
      <c r="H43" s="224"/>
      <c r="I43" s="224"/>
      <c r="J43" s="224" t="s">
        <v>397</v>
      </c>
      <c r="K43" s="224"/>
      <c r="L43" s="224"/>
    </row>
    <row r="44" spans="1:12">
      <c r="A44" s="323" t="s">
        <v>374</v>
      </c>
      <c r="B44" s="222">
        <v>43</v>
      </c>
      <c r="C44" s="223" t="s">
        <v>152</v>
      </c>
      <c r="D44" s="3" t="s">
        <v>152</v>
      </c>
      <c r="E44" s="3">
        <v>43</v>
      </c>
      <c r="F44" s="224"/>
      <c r="G44" s="224" t="s">
        <v>397</v>
      </c>
      <c r="H44" s="224"/>
      <c r="I44" s="224"/>
      <c r="J44" s="224" t="s">
        <v>397</v>
      </c>
      <c r="K44" s="224"/>
      <c r="L44" s="224"/>
    </row>
    <row r="45" spans="1:12">
      <c r="A45" s="323"/>
      <c r="B45" s="222">
        <v>44</v>
      </c>
      <c r="C45" s="223" t="s">
        <v>107</v>
      </c>
      <c r="D45" s="3" t="s">
        <v>107</v>
      </c>
      <c r="E45" s="3">
        <v>44</v>
      </c>
      <c r="F45" s="224"/>
      <c r="G45" s="224" t="s">
        <v>397</v>
      </c>
      <c r="H45" s="224"/>
      <c r="I45" s="224"/>
      <c r="J45" s="224" t="s">
        <v>397</v>
      </c>
      <c r="K45" s="224"/>
      <c r="L45" s="224"/>
    </row>
    <row r="46" spans="1:12">
      <c r="A46" s="323"/>
      <c r="B46" s="222">
        <v>45</v>
      </c>
      <c r="C46" s="223" t="s">
        <v>108</v>
      </c>
      <c r="D46" s="3" t="s">
        <v>108</v>
      </c>
      <c r="E46" s="3">
        <v>45</v>
      </c>
      <c r="F46" s="224"/>
      <c r="G46" s="224" t="s">
        <v>397</v>
      </c>
      <c r="H46" s="224"/>
      <c r="I46" s="224"/>
      <c r="J46" s="224" t="s">
        <v>397</v>
      </c>
      <c r="K46" s="224"/>
      <c r="L46" s="224"/>
    </row>
    <row r="47" spans="1:12">
      <c r="A47" s="323"/>
      <c r="B47" s="222">
        <v>46</v>
      </c>
      <c r="C47" s="223" t="s">
        <v>106</v>
      </c>
      <c r="D47" s="3" t="s">
        <v>106</v>
      </c>
      <c r="E47" s="3">
        <v>46</v>
      </c>
      <c r="F47" s="224"/>
      <c r="G47" s="224" t="s">
        <v>397</v>
      </c>
      <c r="H47" s="224"/>
      <c r="I47" s="224"/>
      <c r="J47" s="224" t="s">
        <v>397</v>
      </c>
      <c r="K47" s="224"/>
      <c r="L47" s="224"/>
    </row>
    <row r="48" spans="1:12">
      <c r="A48" s="323"/>
      <c r="B48" s="222">
        <v>47</v>
      </c>
      <c r="C48" s="223" t="s">
        <v>164</v>
      </c>
      <c r="D48" s="3" t="s">
        <v>164</v>
      </c>
      <c r="E48" s="3">
        <v>47</v>
      </c>
      <c r="F48" s="224"/>
      <c r="G48" s="224" t="s">
        <v>397</v>
      </c>
      <c r="H48" s="224"/>
      <c r="I48" s="224"/>
      <c r="J48" s="224"/>
      <c r="K48" s="224" t="s">
        <v>397</v>
      </c>
      <c r="L48" s="224"/>
    </row>
    <row r="49" spans="1:13">
      <c r="A49" s="323" t="s">
        <v>375</v>
      </c>
      <c r="B49" s="222">
        <v>48</v>
      </c>
      <c r="C49" s="223" t="s">
        <v>145</v>
      </c>
      <c r="D49" s="3" t="s">
        <v>145</v>
      </c>
      <c r="E49" s="3">
        <v>48</v>
      </c>
      <c r="F49" s="224"/>
      <c r="G49" s="224" t="s">
        <v>397</v>
      </c>
      <c r="H49" s="224" t="s">
        <v>397</v>
      </c>
      <c r="I49" s="224"/>
      <c r="J49" s="224"/>
      <c r="K49" s="224"/>
      <c r="L49" s="224"/>
    </row>
    <row r="50" spans="1:13">
      <c r="A50" s="323"/>
      <c r="B50" s="222">
        <v>49</v>
      </c>
      <c r="C50" s="223" t="s">
        <v>212</v>
      </c>
      <c r="D50" s="3" t="s">
        <v>212</v>
      </c>
      <c r="E50" s="3">
        <v>49</v>
      </c>
      <c r="F50" s="224"/>
      <c r="G50" s="224" t="s">
        <v>397</v>
      </c>
      <c r="H50" s="224"/>
      <c r="I50" s="224"/>
      <c r="J50" s="224" t="s">
        <v>397</v>
      </c>
      <c r="K50" s="224"/>
      <c r="L50" s="224"/>
    </row>
    <row r="51" spans="1:13">
      <c r="A51" s="323"/>
      <c r="B51" s="222">
        <v>50</v>
      </c>
      <c r="C51" s="223" t="s">
        <v>310</v>
      </c>
      <c r="D51" s="3" t="s">
        <v>310</v>
      </c>
      <c r="E51" s="3">
        <v>50</v>
      </c>
      <c r="F51" s="224"/>
      <c r="G51" s="224" t="s">
        <v>397</v>
      </c>
      <c r="H51" s="224"/>
      <c r="I51" s="224"/>
      <c r="J51" s="224"/>
      <c r="K51" s="224"/>
      <c r="L51" s="224"/>
      <c r="M51" s="224" t="s">
        <v>397</v>
      </c>
    </row>
    <row r="52" spans="1:13">
      <c r="A52" s="323"/>
      <c r="B52" s="222">
        <v>51</v>
      </c>
      <c r="C52" s="223" t="s">
        <v>24</v>
      </c>
      <c r="D52" s="3" t="s">
        <v>24</v>
      </c>
      <c r="E52" s="3">
        <v>51</v>
      </c>
      <c r="F52" s="224"/>
      <c r="G52" s="224" t="s">
        <v>397</v>
      </c>
      <c r="H52" s="224"/>
      <c r="I52" s="224"/>
      <c r="J52" s="224"/>
      <c r="K52" s="224"/>
      <c r="L52" s="224"/>
      <c r="M52" s="224" t="s">
        <v>397</v>
      </c>
    </row>
    <row r="53" spans="1:13">
      <c r="A53" s="323"/>
      <c r="B53" s="222">
        <v>52</v>
      </c>
      <c r="C53" s="223" t="s">
        <v>22</v>
      </c>
      <c r="D53" s="3" t="s">
        <v>22</v>
      </c>
      <c r="E53" s="3">
        <v>52</v>
      </c>
      <c r="F53" s="224"/>
      <c r="G53" s="224" t="s">
        <v>397</v>
      </c>
      <c r="H53" s="224"/>
      <c r="I53" s="224"/>
      <c r="J53" s="224"/>
      <c r="K53" s="224"/>
      <c r="L53" s="224"/>
      <c r="M53" s="224" t="s">
        <v>397</v>
      </c>
    </row>
    <row r="54" spans="1:13">
      <c r="A54" s="323"/>
      <c r="B54" s="222">
        <v>53</v>
      </c>
      <c r="C54" s="223" t="s">
        <v>23</v>
      </c>
      <c r="D54" s="3" t="s">
        <v>23</v>
      </c>
      <c r="E54" s="3">
        <v>53</v>
      </c>
      <c r="F54" s="224"/>
      <c r="G54" s="224" t="s">
        <v>397</v>
      </c>
      <c r="H54" s="224"/>
      <c r="I54" s="224"/>
      <c r="J54" s="224"/>
      <c r="K54" s="224"/>
      <c r="L54" s="224"/>
      <c r="M54" s="224" t="s">
        <v>397</v>
      </c>
    </row>
    <row r="55" spans="1:13">
      <c r="B55" s="222"/>
    </row>
    <row r="56" spans="1:13">
      <c r="B56" s="222"/>
    </row>
    <row r="64" spans="1:13">
      <c r="F64" s="224"/>
      <c r="G64" s="224"/>
      <c r="H64" s="224"/>
      <c r="I64" s="224"/>
      <c r="J64" s="224"/>
      <c r="K64" s="224"/>
      <c r="L64" s="224"/>
    </row>
  </sheetData>
  <autoFilter ref="D1:M63" xr:uid="{DBECACE9-DEFD-4D1C-8455-027E3820AAFA}">
    <sortState xmlns:xlrd2="http://schemas.microsoft.com/office/spreadsheetml/2017/richdata2" ref="D14:M42">
      <sortCondition ref="E1:E63"/>
    </sortState>
  </autoFilter>
  <mergeCells count="9">
    <mergeCell ref="A2:A11"/>
    <mergeCell ref="A44:A48"/>
    <mergeCell ref="A49:A54"/>
    <mergeCell ref="A12:A13"/>
    <mergeCell ref="A23:A30"/>
    <mergeCell ref="A31:A33"/>
    <mergeCell ref="A34:A39"/>
    <mergeCell ref="A40:A43"/>
    <mergeCell ref="A14:A2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R115"/>
  <sheetViews>
    <sheetView zoomScale="115" zoomScaleNormal="115" zoomScaleSheetLayoutView="100" workbookViewId="0">
      <pane ySplit="9" topLeftCell="A49" activePane="bottomLeft" state="frozen"/>
      <selection activeCell="B1" sqref="B1:B1048576"/>
      <selection pane="bottomLeft" activeCell="B53" sqref="B53"/>
    </sheetView>
  </sheetViews>
  <sheetFormatPr defaultColWidth="9.1796875" defaultRowHeight="14.5" outlineLevelRow="1" outlineLevelCol="1"/>
  <cols>
    <col min="1" max="1" width="4.81640625" style="51" customWidth="1"/>
    <col min="2" max="2" width="15" style="51" customWidth="1"/>
    <col min="3" max="3" width="13.54296875" style="51" customWidth="1"/>
    <col min="4" max="4" width="23.54296875" style="112" customWidth="1"/>
    <col min="5" max="5" width="26.7265625" style="112" hidden="1" customWidth="1" outlineLevel="1"/>
    <col min="6" max="6" width="40.81640625" style="116" hidden="1" customWidth="1" collapsed="1"/>
    <col min="7" max="7" width="40.81640625" style="116" hidden="1" customWidth="1" outlineLevel="1"/>
    <col min="8" max="8" width="5.1796875" style="80" hidden="1" customWidth="1" collapsed="1"/>
    <col min="9" max="9" width="8.453125" style="51" hidden="1" customWidth="1"/>
    <col min="10" max="10" width="11.26953125" style="51" hidden="1" customWidth="1"/>
    <col min="11" max="11" width="12" style="51" hidden="1" customWidth="1"/>
    <col min="12" max="12" width="11.54296875" style="51" hidden="1" customWidth="1"/>
    <col min="13" max="20" width="8.81640625" style="51" hidden="1" customWidth="1"/>
    <col min="21" max="21" width="19.453125" style="51" hidden="1" customWidth="1"/>
    <col min="22" max="22" width="23.81640625" style="51" hidden="1" customWidth="1"/>
    <col min="23" max="24" width="7.81640625" style="80" customWidth="1"/>
    <col min="25" max="25" width="7.26953125" style="80" customWidth="1"/>
    <col min="26" max="26" width="7.54296875" style="80" customWidth="1"/>
    <col min="27" max="27" width="8" style="80" customWidth="1"/>
    <col min="28" max="28" width="7.1796875" style="80" hidden="1" customWidth="1"/>
    <col min="29" max="29" width="5.453125" style="80" hidden="1" customWidth="1"/>
    <col min="30" max="30" width="5.54296875" style="80" hidden="1" customWidth="1"/>
    <col min="31" max="31" width="4.54296875" style="80" hidden="1" customWidth="1"/>
    <col min="32" max="32" width="6.26953125" style="80" hidden="1" customWidth="1"/>
    <col min="33" max="33" width="8.81640625" style="97" hidden="1" customWidth="1"/>
    <col min="34" max="41" width="8.81640625" style="97" customWidth="1"/>
    <col min="42" max="42" width="12.453125" style="97" customWidth="1" collapsed="1"/>
    <col min="43" max="43" width="21.26953125" style="97" customWidth="1"/>
    <col min="44" max="16384" width="9.1796875" style="51"/>
  </cols>
  <sheetData>
    <row r="1" spans="2:44" s="46" customFormat="1">
      <c r="D1" s="282"/>
      <c r="E1" s="282"/>
      <c r="F1" s="283"/>
      <c r="G1" s="283"/>
      <c r="H1" s="284"/>
      <c r="W1" s="284"/>
      <c r="X1" s="284"/>
      <c r="Y1" s="284"/>
      <c r="Z1" s="284"/>
      <c r="AA1" s="284"/>
      <c r="AB1" s="284"/>
      <c r="AC1" s="284"/>
      <c r="AD1" s="284"/>
      <c r="AE1" s="284"/>
      <c r="AF1" s="284"/>
      <c r="AG1" s="135"/>
      <c r="AH1" s="135"/>
      <c r="AI1" s="135"/>
      <c r="AJ1" s="135"/>
      <c r="AK1" s="135"/>
      <c r="AL1" s="135"/>
      <c r="AM1" s="135"/>
      <c r="AN1" s="135"/>
      <c r="AO1" s="135"/>
      <c r="AP1" s="135"/>
      <c r="AQ1" s="135"/>
    </row>
    <row r="2" spans="2:44" s="196" customFormat="1" ht="10.5">
      <c r="B2" s="231"/>
      <c r="C2" s="231"/>
      <c r="D2" s="231"/>
      <c r="E2" s="231"/>
      <c r="F2" s="231"/>
      <c r="G2" s="231"/>
      <c r="H2" s="232"/>
      <c r="I2" s="231"/>
      <c r="J2" s="231"/>
      <c r="K2" s="231"/>
      <c r="L2" s="231"/>
      <c r="M2" s="231"/>
      <c r="N2" s="231"/>
      <c r="O2" s="231"/>
      <c r="P2" s="231"/>
      <c r="Q2" s="231"/>
      <c r="R2" s="231"/>
      <c r="S2" s="231"/>
      <c r="T2" s="231"/>
      <c r="U2" s="231"/>
      <c r="V2" s="231"/>
      <c r="W2" s="231"/>
      <c r="X2" s="300" t="s">
        <v>551</v>
      </c>
      <c r="Y2" s="231"/>
      <c r="Z2" s="231"/>
      <c r="AA2" s="231"/>
      <c r="AB2" s="231"/>
      <c r="AC2" s="231"/>
      <c r="AD2" s="231"/>
      <c r="AE2" s="231"/>
      <c r="AF2" s="231"/>
      <c r="AG2" s="231"/>
      <c r="AH2" s="231"/>
      <c r="AI2" s="231"/>
      <c r="AJ2" s="231"/>
      <c r="AK2" s="231"/>
      <c r="AL2" s="231"/>
      <c r="AM2" s="231"/>
      <c r="AN2" s="231"/>
      <c r="AO2" s="231"/>
      <c r="AP2" s="231"/>
      <c r="AQ2" s="231"/>
    </row>
    <row r="3" spans="2:44" ht="14.15" customHeight="1">
      <c r="B3" s="106" t="s">
        <v>15</v>
      </c>
      <c r="C3" s="216" t="s">
        <v>266</v>
      </c>
      <c r="D3" s="109"/>
      <c r="E3" s="92"/>
      <c r="F3" s="114"/>
      <c r="G3" s="114"/>
      <c r="H3" s="89"/>
      <c r="I3" s="89"/>
      <c r="J3" s="89"/>
      <c r="K3" s="89"/>
      <c r="L3" s="89"/>
      <c r="M3" s="123"/>
      <c r="N3" s="123"/>
      <c r="O3" s="123"/>
      <c r="P3" s="124"/>
      <c r="Q3" s="124"/>
      <c r="R3" s="124"/>
      <c r="S3" s="124"/>
      <c r="T3" s="124"/>
      <c r="U3" s="94"/>
      <c r="W3" s="89"/>
      <c r="X3" s="300" t="s">
        <v>552</v>
      </c>
      <c r="Y3" s="89"/>
      <c r="Z3" s="89"/>
      <c r="AA3" s="89"/>
      <c r="AB3" s="89"/>
      <c r="AC3" s="89"/>
      <c r="AD3" s="89"/>
      <c r="AE3" s="89"/>
      <c r="AF3" s="89"/>
      <c r="AG3" s="91"/>
      <c r="AH3" s="91"/>
      <c r="AI3" s="91"/>
      <c r="AJ3" s="91"/>
      <c r="AK3" s="91"/>
      <c r="AL3" s="91"/>
      <c r="AM3" s="91"/>
      <c r="AN3" s="91"/>
      <c r="AO3" s="91"/>
      <c r="AP3" s="91"/>
      <c r="AQ3" s="91"/>
    </row>
    <row r="4" spans="2:44" ht="14.15" customHeight="1">
      <c r="B4" s="106" t="s">
        <v>16</v>
      </c>
      <c r="C4" s="216">
        <v>2026</v>
      </c>
      <c r="D4" s="109"/>
      <c r="E4" s="92"/>
      <c r="F4" s="114"/>
      <c r="G4" s="114"/>
      <c r="H4" s="89"/>
      <c r="I4" s="89"/>
      <c r="J4" s="89"/>
      <c r="K4" s="89"/>
      <c r="L4" s="89"/>
      <c r="M4" s="89"/>
      <c r="N4" s="89"/>
      <c r="O4" s="89"/>
      <c r="P4" s="89"/>
      <c r="Q4" s="90"/>
      <c r="R4" s="90"/>
      <c r="S4" s="90"/>
      <c r="T4" s="93"/>
      <c r="U4" s="94"/>
      <c r="W4" s="89"/>
      <c r="X4" s="300" t="s">
        <v>19</v>
      </c>
      <c r="Y4" s="89"/>
      <c r="Z4" s="89"/>
      <c r="AA4" s="89"/>
      <c r="AB4" s="89"/>
      <c r="AC4" s="89"/>
      <c r="AD4" s="89"/>
      <c r="AE4" s="89"/>
      <c r="AF4" s="89"/>
      <c r="AG4" s="91"/>
      <c r="AH4" s="91"/>
      <c r="AI4" s="91"/>
      <c r="AJ4" s="91"/>
      <c r="AK4" s="91"/>
      <c r="AL4" s="91"/>
      <c r="AM4" s="91"/>
      <c r="AN4" s="91"/>
      <c r="AO4" s="91"/>
      <c r="AP4" s="91"/>
      <c r="AQ4" s="91"/>
    </row>
    <row r="5" spans="2:44" ht="14.15" customHeight="1">
      <c r="B5" s="106" t="s">
        <v>399</v>
      </c>
      <c r="C5" s="227">
        <v>46113</v>
      </c>
      <c r="D5" s="278" t="s">
        <v>507</v>
      </c>
      <c r="E5" s="92"/>
      <c r="F5" s="114"/>
      <c r="G5" s="114"/>
      <c r="H5" s="89"/>
      <c r="I5" s="89"/>
      <c r="J5" s="89"/>
      <c r="K5" s="89"/>
      <c r="L5" s="89"/>
      <c r="M5" s="89"/>
      <c r="N5" s="89"/>
      <c r="O5" s="89"/>
      <c r="P5" s="89"/>
      <c r="Q5" s="90"/>
      <c r="R5" s="90"/>
      <c r="S5" s="90"/>
      <c r="T5" s="93"/>
      <c r="U5" s="94"/>
      <c r="W5" s="89"/>
      <c r="X5" s="300" t="s">
        <v>553</v>
      </c>
      <c r="Y5" s="89"/>
      <c r="Z5" s="89"/>
      <c r="AA5" s="89"/>
      <c r="AB5" s="89"/>
      <c r="AC5" s="89"/>
      <c r="AD5" s="89"/>
      <c r="AE5" s="89"/>
      <c r="AF5" s="89"/>
      <c r="AG5" s="91"/>
      <c r="AH5" s="91"/>
      <c r="AI5" s="91"/>
      <c r="AJ5" s="91"/>
      <c r="AK5" s="91"/>
      <c r="AL5" s="91"/>
      <c r="AM5" s="91"/>
      <c r="AN5" s="91"/>
      <c r="AO5" s="91"/>
      <c r="AP5" s="91"/>
      <c r="AQ5" s="91"/>
    </row>
    <row r="6" spans="2:44" s="95" customFormat="1" ht="15" customHeight="1">
      <c r="D6" s="110"/>
      <c r="E6" s="113"/>
      <c r="F6" s="115"/>
      <c r="G6" s="115"/>
      <c r="H6" s="119"/>
      <c r="I6" s="96"/>
      <c r="J6" s="96"/>
      <c r="K6" s="96"/>
      <c r="L6" s="89"/>
      <c r="M6" s="328" t="s">
        <v>306</v>
      </c>
      <c r="N6" s="328"/>
      <c r="O6" s="328"/>
      <c r="P6" s="328"/>
      <c r="Q6" s="328"/>
      <c r="R6" s="328"/>
      <c r="S6" s="328"/>
      <c r="T6" s="328"/>
      <c r="U6" s="120"/>
      <c r="V6" s="120"/>
      <c r="W6" s="119"/>
      <c r="X6" s="119"/>
      <c r="Y6" s="119"/>
      <c r="Z6" s="119"/>
      <c r="AA6" s="119"/>
      <c r="AB6" s="119"/>
      <c r="AC6" s="119"/>
      <c r="AD6" s="119"/>
      <c r="AE6" s="119"/>
      <c r="AF6" s="119"/>
      <c r="AG6" s="328"/>
      <c r="AH6" s="329"/>
      <c r="AI6" s="329"/>
      <c r="AJ6" s="329"/>
      <c r="AK6" s="329"/>
      <c r="AL6" s="329"/>
      <c r="AM6" s="329"/>
      <c r="AN6" s="329"/>
      <c r="AO6" s="329"/>
      <c r="AP6" s="256"/>
      <c r="AQ6" s="256"/>
      <c r="AR6" s="120"/>
    </row>
    <row r="7" spans="2:44" s="97" customFormat="1" ht="15" customHeight="1">
      <c r="B7" s="290"/>
      <c r="C7" s="290"/>
      <c r="D7" s="290"/>
      <c r="E7" s="290"/>
      <c r="F7" s="290"/>
      <c r="G7" s="290"/>
      <c r="H7" s="290"/>
      <c r="I7" s="290"/>
      <c r="J7" s="290"/>
      <c r="K7" s="290"/>
      <c r="L7" s="290"/>
      <c r="M7" s="330" t="s">
        <v>307</v>
      </c>
      <c r="N7" s="330"/>
      <c r="O7" s="330"/>
      <c r="P7" s="330"/>
      <c r="Q7" s="330"/>
      <c r="R7" s="330"/>
      <c r="S7" s="330"/>
      <c r="T7" s="330"/>
    </row>
    <row r="8" spans="2:44" s="97" customFormat="1" ht="15" customHeight="1">
      <c r="B8" s="98" t="s">
        <v>282</v>
      </c>
      <c r="C8" s="98" t="s">
        <v>283</v>
      </c>
      <c r="D8" s="100"/>
      <c r="E8" s="100"/>
      <c r="F8" s="116"/>
      <c r="G8" s="116"/>
      <c r="H8" s="119"/>
      <c r="L8" s="174" t="str">
        <f>prov_cd</f>
        <v>YT</v>
      </c>
      <c r="M8" s="173" t="s">
        <v>116</v>
      </c>
      <c r="N8" s="279"/>
      <c r="O8" s="279"/>
      <c r="P8" s="173" t="s">
        <v>117</v>
      </c>
      <c r="Q8" s="173" t="s">
        <v>402</v>
      </c>
      <c r="R8" s="279"/>
      <c r="S8" s="173" t="s">
        <v>403</v>
      </c>
      <c r="T8" s="173" t="s">
        <v>251</v>
      </c>
      <c r="W8" s="99"/>
      <c r="X8" s="325" t="s">
        <v>523</v>
      </c>
      <c r="Y8" s="325"/>
      <c r="Z8" s="325"/>
      <c r="AA8" s="325"/>
      <c r="AB8" s="325"/>
      <c r="AC8" s="325"/>
      <c r="AD8" s="325"/>
      <c r="AE8" s="325"/>
      <c r="AF8" s="326"/>
      <c r="AG8" s="327"/>
      <c r="AH8" s="327"/>
      <c r="AI8" s="327"/>
      <c r="AJ8" s="327"/>
      <c r="AK8" s="327"/>
      <c r="AL8" s="327"/>
      <c r="AM8" s="327"/>
      <c r="AN8" s="327"/>
      <c r="AO8" s="327"/>
      <c r="AP8" s="256"/>
      <c r="AQ8" s="256"/>
    </row>
    <row r="9" spans="2:44" s="100" customFormat="1" ht="46.75" customHeight="1">
      <c r="B9" s="102" t="s">
        <v>277</v>
      </c>
      <c r="C9" s="102" t="s">
        <v>10</v>
      </c>
      <c r="D9" s="103" t="s">
        <v>279</v>
      </c>
      <c r="E9" s="103" t="s">
        <v>280</v>
      </c>
      <c r="F9" s="117" t="s">
        <v>281</v>
      </c>
      <c r="G9" s="117" t="s">
        <v>278</v>
      </c>
      <c r="H9" s="171" t="s">
        <v>12</v>
      </c>
      <c r="I9" s="172" t="s">
        <v>488</v>
      </c>
      <c r="J9" s="171" t="s">
        <v>17</v>
      </c>
      <c r="K9" s="171" t="s">
        <v>284</v>
      </c>
      <c r="L9" s="171" t="s">
        <v>286</v>
      </c>
      <c r="M9" s="173" t="s">
        <v>116</v>
      </c>
      <c r="N9" s="173"/>
      <c r="O9" s="173"/>
      <c r="P9" s="173" t="s">
        <v>117</v>
      </c>
      <c r="Q9" s="173" t="s">
        <v>274</v>
      </c>
      <c r="R9" s="173"/>
      <c r="S9" s="173" t="s">
        <v>273</v>
      </c>
      <c r="T9" s="173" t="s">
        <v>251</v>
      </c>
      <c r="U9" s="175" t="s">
        <v>287</v>
      </c>
      <c r="V9" s="175" t="s">
        <v>288</v>
      </c>
      <c r="W9" s="257" t="s">
        <v>285</v>
      </c>
      <c r="X9" s="285" t="s">
        <v>524</v>
      </c>
      <c r="Y9" s="285" t="s">
        <v>525</v>
      </c>
      <c r="Z9" s="285" t="s">
        <v>526</v>
      </c>
      <c r="AA9" s="285" t="s">
        <v>527</v>
      </c>
      <c r="AB9" s="285" t="s">
        <v>528</v>
      </c>
      <c r="AC9" s="285" t="s">
        <v>529</v>
      </c>
      <c r="AD9" s="285" t="s">
        <v>530</v>
      </c>
      <c r="AE9" s="285" t="s">
        <v>531</v>
      </c>
      <c r="AF9" s="285" t="s">
        <v>532</v>
      </c>
      <c r="AG9" s="163" t="s">
        <v>533</v>
      </c>
      <c r="AH9" s="163" t="s">
        <v>522</v>
      </c>
      <c r="AI9" s="163" t="s">
        <v>289</v>
      </c>
      <c r="AJ9" s="163" t="s">
        <v>291</v>
      </c>
      <c r="AK9" s="163" t="s">
        <v>292</v>
      </c>
      <c r="AL9" s="163" t="s">
        <v>293</v>
      </c>
      <c r="AM9" s="163" t="s">
        <v>294</v>
      </c>
      <c r="AN9" s="163" t="s">
        <v>295</v>
      </c>
      <c r="AO9" s="163" t="s">
        <v>296</v>
      </c>
      <c r="AP9" s="162" t="s">
        <v>384</v>
      </c>
      <c r="AQ9" s="162" t="s">
        <v>385</v>
      </c>
    </row>
    <row r="10" spans="2:44" s="97" customFormat="1" ht="81.650000000000006" customHeight="1">
      <c r="B10" s="189" t="s">
        <v>297</v>
      </c>
      <c r="C10" s="107" t="s">
        <v>297</v>
      </c>
      <c r="D10" s="303" t="s">
        <v>220</v>
      </c>
      <c r="E10" s="303" t="s">
        <v>230</v>
      </c>
      <c r="F10" s="304" t="s">
        <v>546</v>
      </c>
      <c r="G10" s="304" t="s">
        <v>548</v>
      </c>
      <c r="H10" s="165">
        <v>1.2</v>
      </c>
      <c r="I10" s="101"/>
      <c r="J10" s="161">
        <f>J14+J33</f>
        <v>1596.56</v>
      </c>
      <c r="K10" s="161">
        <f>K14+K33</f>
        <v>2028</v>
      </c>
      <c r="L10" s="297">
        <f>K10+(H10*VLOOKUP(prov_cd,rate_table,2,FALSE))</f>
        <v>2245.1999999999998</v>
      </c>
      <c r="M10" s="299" t="s">
        <v>18</v>
      </c>
      <c r="N10" s="187"/>
      <c r="O10" s="187"/>
      <c r="P10" s="299" t="s">
        <v>18</v>
      </c>
      <c r="Q10" s="176" t="s">
        <v>19</v>
      </c>
      <c r="R10" s="176"/>
      <c r="S10" s="176" t="s">
        <v>19</v>
      </c>
      <c r="T10" s="298" t="s">
        <v>19</v>
      </c>
      <c r="U10" s="118" t="s">
        <v>224</v>
      </c>
      <c r="V10" s="118" t="s">
        <v>232</v>
      </c>
      <c r="W10" s="307">
        <v>6</v>
      </c>
      <c r="X10" s="308" t="s">
        <v>551</v>
      </c>
      <c r="Y10" s="308" t="s">
        <v>19</v>
      </c>
      <c r="Z10" s="308" t="s">
        <v>19</v>
      </c>
      <c r="AA10" s="308" t="s">
        <v>19</v>
      </c>
      <c r="AB10" s="125"/>
      <c r="AC10" s="125"/>
      <c r="AD10" s="125"/>
      <c r="AE10" s="125"/>
      <c r="AF10" s="125"/>
      <c r="AG10" s="187"/>
      <c r="AH10" s="187" t="s">
        <v>18</v>
      </c>
      <c r="AI10" s="187" t="s">
        <v>18</v>
      </c>
      <c r="AJ10" s="187"/>
      <c r="AK10" s="187" t="s">
        <v>18</v>
      </c>
      <c r="AL10" s="187"/>
      <c r="AM10" s="187"/>
      <c r="AN10" s="187"/>
      <c r="AO10" s="187"/>
      <c r="AP10" s="261"/>
      <c r="AQ10" s="261"/>
    </row>
    <row r="11" spans="2:44" ht="84.65" customHeight="1">
      <c r="B11" s="189" t="s">
        <v>298</v>
      </c>
      <c r="C11" s="107" t="s">
        <v>298</v>
      </c>
      <c r="D11" s="255" t="s">
        <v>221</v>
      </c>
      <c r="E11" s="255" t="s">
        <v>233</v>
      </c>
      <c r="F11" s="304" t="s">
        <v>547</v>
      </c>
      <c r="G11" s="296" t="s">
        <v>549</v>
      </c>
      <c r="H11" s="108">
        <v>1.2</v>
      </c>
      <c r="I11" s="104"/>
      <c r="J11" s="161">
        <f>J14+J31</f>
        <v>1150.3999999999999</v>
      </c>
      <c r="K11" s="161">
        <f>K14+K31</f>
        <v>1522.72</v>
      </c>
      <c r="L11" s="297">
        <f>K11+(H11*VLOOKUP(prov_cd,rate_table,2,FALSE))</f>
        <v>1739.92</v>
      </c>
      <c r="M11" s="299" t="s">
        <v>18</v>
      </c>
      <c r="N11" s="187"/>
      <c r="O11" s="187"/>
      <c r="P11" s="299" t="s">
        <v>18</v>
      </c>
      <c r="Q11" s="176" t="s">
        <v>19</v>
      </c>
      <c r="R11" s="176"/>
      <c r="S11" s="176" t="s">
        <v>19</v>
      </c>
      <c r="T11" s="298" t="s">
        <v>19</v>
      </c>
      <c r="U11" s="118" t="s">
        <v>224</v>
      </c>
      <c r="V11" s="118" t="s">
        <v>232</v>
      </c>
      <c r="W11" s="309">
        <v>7</v>
      </c>
      <c r="X11" s="308" t="s">
        <v>551</v>
      </c>
      <c r="Y11" s="308" t="s">
        <v>19</v>
      </c>
      <c r="Z11" s="308" t="s">
        <v>19</v>
      </c>
      <c r="AA11" s="308" t="s">
        <v>19</v>
      </c>
      <c r="AB11" s="125"/>
      <c r="AC11" s="125"/>
      <c r="AD11" s="125"/>
      <c r="AE11" s="125"/>
      <c r="AF11" s="125"/>
      <c r="AG11" s="187"/>
      <c r="AH11" s="187" t="s">
        <v>18</v>
      </c>
      <c r="AI11" s="187" t="s">
        <v>18</v>
      </c>
      <c r="AJ11" s="187"/>
      <c r="AK11" s="187" t="s">
        <v>18</v>
      </c>
      <c r="AL11" s="187"/>
      <c r="AM11" s="187"/>
      <c r="AN11" s="187"/>
      <c r="AO11" s="187"/>
      <c r="AP11" s="262"/>
      <c r="AQ11" s="262"/>
    </row>
    <row r="12" spans="2:44" ht="39" hidden="1" outlineLevel="1">
      <c r="B12" s="228" t="s">
        <v>406</v>
      </c>
      <c r="C12" s="202" t="s">
        <v>386</v>
      </c>
      <c r="D12" s="255" t="s">
        <v>404</v>
      </c>
      <c r="E12" s="255"/>
      <c r="F12" s="304"/>
      <c r="G12" s="296"/>
      <c r="H12" s="167"/>
      <c r="I12" s="201"/>
      <c r="J12" s="169"/>
      <c r="K12" s="169"/>
      <c r="L12" s="168"/>
      <c r="M12" s="229"/>
      <c r="N12" s="229"/>
      <c r="O12" s="229"/>
      <c r="P12" s="229"/>
      <c r="Q12" s="229"/>
      <c r="R12" s="229"/>
      <c r="S12" s="229"/>
      <c r="T12" s="229"/>
      <c r="U12" s="203"/>
      <c r="V12" s="203"/>
      <c r="W12" s="309"/>
      <c r="X12" s="308"/>
      <c r="Y12" s="308"/>
      <c r="Z12" s="308"/>
      <c r="AA12" s="308"/>
      <c r="AB12" s="125"/>
      <c r="AC12" s="125"/>
      <c r="AD12" s="125"/>
      <c r="AE12" s="125"/>
      <c r="AF12" s="125"/>
      <c r="AG12" s="167"/>
      <c r="AH12" s="176"/>
      <c r="AI12" s="176"/>
      <c r="AJ12" s="176"/>
      <c r="AK12" s="176"/>
      <c r="AL12" s="176"/>
      <c r="AM12" s="176"/>
      <c r="AN12" s="176"/>
      <c r="AO12" s="176"/>
      <c r="AP12" s="189"/>
      <c r="AQ12" s="189"/>
    </row>
    <row r="13" spans="2:44" ht="39" hidden="1" outlineLevel="1">
      <c r="B13" s="228" t="s">
        <v>407</v>
      </c>
      <c r="C13" s="202" t="s">
        <v>386</v>
      </c>
      <c r="D13" s="255"/>
      <c r="E13" s="255" t="s">
        <v>405</v>
      </c>
      <c r="F13" s="304"/>
      <c r="G13" s="296"/>
      <c r="H13" s="167"/>
      <c r="I13" s="201"/>
      <c r="J13" s="169"/>
      <c r="K13" s="169"/>
      <c r="L13" s="168"/>
      <c r="M13" s="229"/>
      <c r="N13" s="229"/>
      <c r="O13" s="229"/>
      <c r="P13" s="229"/>
      <c r="Q13" s="229"/>
      <c r="R13" s="229"/>
      <c r="S13" s="229"/>
      <c r="T13" s="229"/>
      <c r="U13" s="203"/>
      <c r="V13" s="203"/>
      <c r="W13" s="309"/>
      <c r="X13" s="308"/>
      <c r="Y13" s="308"/>
      <c r="Z13" s="308"/>
      <c r="AA13" s="308"/>
      <c r="AB13" s="125"/>
      <c r="AC13" s="125"/>
      <c r="AD13" s="125"/>
      <c r="AE13" s="125"/>
      <c r="AF13" s="125"/>
      <c r="AG13" s="167"/>
      <c r="AH13" s="176"/>
      <c r="AI13" s="176"/>
      <c r="AJ13" s="176"/>
      <c r="AK13" s="176"/>
      <c r="AL13" s="176"/>
      <c r="AM13" s="176"/>
      <c r="AN13" s="176"/>
      <c r="AO13" s="176"/>
      <c r="AP13" s="189"/>
      <c r="AQ13" s="189"/>
    </row>
    <row r="14" spans="2:44" ht="26" hidden="1" outlineLevel="1">
      <c r="B14" s="189">
        <v>34417</v>
      </c>
      <c r="C14" s="202" t="s">
        <v>386</v>
      </c>
      <c r="D14" s="255" t="s">
        <v>222</v>
      </c>
      <c r="E14" s="255" t="s">
        <v>231</v>
      </c>
      <c r="F14" s="296"/>
      <c r="G14" s="296"/>
      <c r="H14" s="167"/>
      <c r="I14" s="201"/>
      <c r="J14" s="161">
        <f>VLOOKUP(B14,'[2]MASTER PART LIST'!$B:$C,2,FALSE)*4</f>
        <v>832.56</v>
      </c>
      <c r="K14" s="164">
        <f>VLOOKUP(B14,'[2]MASTER PART LIST'!$B:$D,3,FALSE)*4</f>
        <v>1000</v>
      </c>
      <c r="L14" s="168"/>
      <c r="M14" s="201"/>
      <c r="N14" s="201"/>
      <c r="O14" s="201"/>
      <c r="P14" s="201"/>
      <c r="Q14" s="201"/>
      <c r="R14" s="201"/>
      <c r="S14" s="201"/>
      <c r="T14" s="201"/>
      <c r="U14" s="203"/>
      <c r="V14" s="203"/>
      <c r="W14" s="309"/>
      <c r="X14" s="308"/>
      <c r="Y14" s="308"/>
      <c r="Z14" s="308"/>
      <c r="AA14" s="308"/>
      <c r="AB14" s="125"/>
      <c r="AC14" s="125"/>
      <c r="AD14" s="125"/>
      <c r="AE14" s="125"/>
      <c r="AF14" s="125"/>
      <c r="AG14" s="167"/>
      <c r="AH14" s="176"/>
      <c r="AI14" s="176"/>
      <c r="AJ14" s="176"/>
      <c r="AK14" s="176"/>
      <c r="AL14" s="176"/>
      <c r="AM14" s="176"/>
      <c r="AN14" s="176"/>
      <c r="AO14" s="176"/>
      <c r="AP14" s="189"/>
      <c r="AQ14" s="189"/>
    </row>
    <row r="15" spans="2:44" ht="94.5" collapsed="1">
      <c r="B15" s="189" t="s">
        <v>387</v>
      </c>
      <c r="C15" s="104" t="str">
        <f>B16</f>
        <v>25CIV-ARO-NH883</v>
      </c>
      <c r="D15" s="255" t="s">
        <v>441</v>
      </c>
      <c r="E15" s="255" t="s">
        <v>450</v>
      </c>
      <c r="F15" s="296" t="s">
        <v>442</v>
      </c>
      <c r="G15" s="296" t="s">
        <v>451</v>
      </c>
      <c r="H15" s="217">
        <f>H16</f>
        <v>3</v>
      </c>
      <c r="I15" s="104"/>
      <c r="J15" s="161">
        <f>J16</f>
        <v>794.7</v>
      </c>
      <c r="K15" s="161">
        <f>K16</f>
        <v>1324.8</v>
      </c>
      <c r="L15" s="297">
        <f t="shared" ref="L15:L29" si="0">K15+(H15*VLOOKUP(prov_cd,rate_table,2,FALSE))</f>
        <v>1867.8</v>
      </c>
      <c r="M15" s="299" t="s">
        <v>18</v>
      </c>
      <c r="N15" s="187"/>
      <c r="O15" s="187"/>
      <c r="P15" s="302" t="s">
        <v>18</v>
      </c>
      <c r="Q15" s="301" t="s">
        <v>18</v>
      </c>
      <c r="R15" s="187"/>
      <c r="S15" s="301" t="s">
        <v>18</v>
      </c>
      <c r="T15" s="301" t="s">
        <v>18</v>
      </c>
      <c r="U15" s="118" t="s">
        <v>493</v>
      </c>
      <c r="V15" s="118" t="s">
        <v>482</v>
      </c>
      <c r="W15" s="309">
        <v>3</v>
      </c>
      <c r="X15" s="308" t="s">
        <v>551</v>
      </c>
      <c r="Y15" s="308" t="s">
        <v>19</v>
      </c>
      <c r="Z15" s="308" t="s">
        <v>19</v>
      </c>
      <c r="AA15" s="308" t="s">
        <v>19</v>
      </c>
      <c r="AB15" s="125"/>
      <c r="AC15" s="125"/>
      <c r="AD15" s="125"/>
      <c r="AE15" s="125"/>
      <c r="AF15" s="125"/>
      <c r="AG15" s="187"/>
      <c r="AH15" s="187"/>
      <c r="AI15" s="187" t="s">
        <v>18</v>
      </c>
      <c r="AJ15" s="187"/>
      <c r="AK15" s="187"/>
      <c r="AL15" s="187"/>
      <c r="AM15" s="187"/>
      <c r="AN15" s="187" t="s">
        <v>18</v>
      </c>
      <c r="AO15" s="187"/>
      <c r="AP15" s="262"/>
      <c r="AQ15" s="265" t="s">
        <v>478</v>
      </c>
    </row>
    <row r="16" spans="2:44" ht="26" hidden="1" outlineLevel="1">
      <c r="B16" s="253" t="s">
        <v>434</v>
      </c>
      <c r="C16" s="108"/>
      <c r="D16" s="255" t="s">
        <v>58</v>
      </c>
      <c r="E16" s="255" t="s">
        <v>192</v>
      </c>
      <c r="F16" s="296"/>
      <c r="G16" s="296"/>
      <c r="H16" s="266">
        <f t="shared" ref="H16:H22" si="1">H55+$H$62+$H$63</f>
        <v>3</v>
      </c>
      <c r="I16" s="210"/>
      <c r="J16" s="161">
        <f t="shared" ref="J16:J22" si="2">(J55+$J$62+$J$63)*0.9</f>
        <v>794.7</v>
      </c>
      <c r="K16" s="161">
        <f t="shared" ref="K16:K22" si="3">(K55+$K$62+$K$63)*0.9</f>
        <v>1324.8</v>
      </c>
      <c r="L16" s="164">
        <f t="shared" si="0"/>
        <v>1867.8</v>
      </c>
      <c r="M16" s="105"/>
      <c r="N16" s="105"/>
      <c r="O16" s="105"/>
      <c r="P16" s="105"/>
      <c r="Q16" s="105"/>
      <c r="R16" s="105"/>
      <c r="S16" s="105"/>
      <c r="T16" s="177"/>
      <c r="U16" s="118"/>
      <c r="V16" s="118"/>
      <c r="W16" s="309"/>
      <c r="X16" s="308"/>
      <c r="Y16" s="308"/>
      <c r="Z16" s="308"/>
      <c r="AA16" s="308"/>
      <c r="AB16" s="125"/>
      <c r="AC16" s="125"/>
      <c r="AD16" s="125"/>
      <c r="AE16" s="125"/>
      <c r="AF16" s="125"/>
      <c r="AG16" s="187"/>
      <c r="AH16" s="187"/>
      <c r="AI16" s="187"/>
      <c r="AJ16" s="187"/>
      <c r="AK16" s="187"/>
      <c r="AL16" s="187"/>
      <c r="AM16" s="187"/>
      <c r="AN16" s="187"/>
      <c r="AO16" s="187"/>
      <c r="AP16" s="262"/>
      <c r="AQ16" s="262"/>
    </row>
    <row r="17" spans="1:43" ht="26" hidden="1" outlineLevel="1">
      <c r="B17" s="253" t="s">
        <v>440</v>
      </c>
      <c r="C17" s="108"/>
      <c r="D17" s="255" t="s">
        <v>118</v>
      </c>
      <c r="E17" s="255" t="s">
        <v>193</v>
      </c>
      <c r="F17" s="296"/>
      <c r="G17" s="296"/>
      <c r="H17" s="266">
        <f t="shared" si="1"/>
        <v>3</v>
      </c>
      <c r="I17" s="210"/>
      <c r="J17" s="161">
        <f t="shared" si="2"/>
        <v>794.7</v>
      </c>
      <c r="K17" s="161">
        <f t="shared" si="3"/>
        <v>1324.8</v>
      </c>
      <c r="L17" s="164">
        <f t="shared" si="0"/>
        <v>1867.8</v>
      </c>
      <c r="M17" s="105"/>
      <c r="N17" s="105"/>
      <c r="O17" s="105"/>
      <c r="P17" s="105"/>
      <c r="Q17" s="105"/>
      <c r="R17" s="105"/>
      <c r="S17" s="105"/>
      <c r="T17" s="177"/>
      <c r="U17" s="118"/>
      <c r="V17" s="118"/>
      <c r="W17" s="309"/>
      <c r="X17" s="308"/>
      <c r="Y17" s="308"/>
      <c r="Z17" s="308"/>
      <c r="AA17" s="308"/>
      <c r="AB17" s="125"/>
      <c r="AC17" s="125"/>
      <c r="AD17" s="125"/>
      <c r="AE17" s="125"/>
      <c r="AF17" s="125"/>
      <c r="AG17" s="187"/>
      <c r="AH17" s="187"/>
      <c r="AI17" s="187"/>
      <c r="AJ17" s="187"/>
      <c r="AK17" s="187"/>
      <c r="AL17" s="187"/>
      <c r="AM17" s="187"/>
      <c r="AN17" s="187"/>
      <c r="AO17" s="187"/>
      <c r="AP17" s="262"/>
      <c r="AQ17" s="262"/>
    </row>
    <row r="18" spans="1:43" ht="15.5" hidden="1" outlineLevel="1">
      <c r="B18" s="253" t="s">
        <v>435</v>
      </c>
      <c r="C18" s="108"/>
      <c r="D18" s="255" t="s">
        <v>57</v>
      </c>
      <c r="E18" s="255" t="s">
        <v>194</v>
      </c>
      <c r="F18" s="296"/>
      <c r="G18" s="296"/>
      <c r="H18" s="266">
        <f t="shared" si="1"/>
        <v>3</v>
      </c>
      <c r="I18" s="210"/>
      <c r="J18" s="161">
        <f t="shared" si="2"/>
        <v>794.7</v>
      </c>
      <c r="K18" s="161">
        <f t="shared" si="3"/>
        <v>1324.8</v>
      </c>
      <c r="L18" s="164">
        <f t="shared" si="0"/>
        <v>1867.8</v>
      </c>
      <c r="M18" s="105"/>
      <c r="N18" s="105"/>
      <c r="O18" s="105"/>
      <c r="P18" s="105"/>
      <c r="Q18" s="105"/>
      <c r="R18" s="105"/>
      <c r="S18" s="105"/>
      <c r="T18" s="177"/>
      <c r="U18" s="118"/>
      <c r="V18" s="118"/>
      <c r="W18" s="309"/>
      <c r="X18" s="308"/>
      <c r="Y18" s="308"/>
      <c r="Z18" s="308"/>
      <c r="AA18" s="308"/>
      <c r="AB18" s="125"/>
      <c r="AC18" s="125"/>
      <c r="AD18" s="125"/>
      <c r="AE18" s="125"/>
      <c r="AF18" s="125"/>
      <c r="AG18" s="187"/>
      <c r="AH18" s="187"/>
      <c r="AI18" s="187"/>
      <c r="AJ18" s="187"/>
      <c r="AK18" s="187"/>
      <c r="AL18" s="187"/>
      <c r="AM18" s="187"/>
      <c r="AN18" s="187"/>
      <c r="AO18" s="187"/>
      <c r="AP18" s="262"/>
      <c r="AQ18" s="262"/>
    </row>
    <row r="19" spans="1:43" ht="15.5" hidden="1" outlineLevel="1">
      <c r="B19" s="253" t="s">
        <v>436</v>
      </c>
      <c r="C19" s="108"/>
      <c r="D19" s="255" t="s">
        <v>119</v>
      </c>
      <c r="E19" s="255" t="s">
        <v>191</v>
      </c>
      <c r="F19" s="296"/>
      <c r="G19" s="296"/>
      <c r="H19" s="266">
        <f t="shared" si="1"/>
        <v>3</v>
      </c>
      <c r="I19" s="210"/>
      <c r="J19" s="161">
        <f t="shared" si="2"/>
        <v>794.7</v>
      </c>
      <c r="K19" s="161">
        <f t="shared" si="3"/>
        <v>1324.8</v>
      </c>
      <c r="L19" s="164">
        <f t="shared" si="0"/>
        <v>1867.8</v>
      </c>
      <c r="M19" s="105"/>
      <c r="N19" s="105"/>
      <c r="O19" s="105"/>
      <c r="P19" s="105"/>
      <c r="Q19" s="105"/>
      <c r="R19" s="105"/>
      <c r="S19" s="105"/>
      <c r="T19" s="177"/>
      <c r="U19" s="118"/>
      <c r="V19" s="118"/>
      <c r="W19" s="309"/>
      <c r="X19" s="308"/>
      <c r="Y19" s="308"/>
      <c r="Z19" s="308"/>
      <c r="AA19" s="308"/>
      <c r="AB19" s="125"/>
      <c r="AC19" s="125"/>
      <c r="AD19" s="125"/>
      <c r="AE19" s="125"/>
      <c r="AF19" s="125"/>
      <c r="AG19" s="187"/>
      <c r="AH19" s="187"/>
      <c r="AI19" s="187"/>
      <c r="AJ19" s="187"/>
      <c r="AK19" s="187"/>
      <c r="AL19" s="187"/>
      <c r="AM19" s="187"/>
      <c r="AN19" s="187"/>
      <c r="AO19" s="187"/>
      <c r="AP19" s="262"/>
      <c r="AQ19" s="262"/>
    </row>
    <row r="20" spans="1:43" ht="15.5" hidden="1" outlineLevel="1">
      <c r="B20" s="253" t="s">
        <v>437</v>
      </c>
      <c r="C20" s="108"/>
      <c r="D20" s="255" t="s">
        <v>416</v>
      </c>
      <c r="E20" s="255" t="s">
        <v>417</v>
      </c>
      <c r="F20" s="296"/>
      <c r="G20" s="296"/>
      <c r="H20" s="266">
        <f t="shared" si="1"/>
        <v>3</v>
      </c>
      <c r="I20" s="210"/>
      <c r="J20" s="161">
        <f t="shared" si="2"/>
        <v>794.7</v>
      </c>
      <c r="K20" s="161">
        <f t="shared" si="3"/>
        <v>1324.8</v>
      </c>
      <c r="L20" s="164">
        <f t="shared" si="0"/>
        <v>1867.8</v>
      </c>
      <c r="M20" s="105"/>
      <c r="N20" s="105"/>
      <c r="O20" s="105"/>
      <c r="P20" s="105"/>
      <c r="Q20" s="105"/>
      <c r="R20" s="105"/>
      <c r="S20" s="105"/>
      <c r="T20" s="177"/>
      <c r="U20" s="118"/>
      <c r="V20" s="118"/>
      <c r="W20" s="309"/>
      <c r="X20" s="308"/>
      <c r="Y20" s="308"/>
      <c r="Z20" s="308"/>
      <c r="AA20" s="308"/>
      <c r="AB20" s="125"/>
      <c r="AC20" s="125"/>
      <c r="AD20" s="125"/>
      <c r="AE20" s="125"/>
      <c r="AF20" s="125"/>
      <c r="AG20" s="187"/>
      <c r="AH20" s="187"/>
      <c r="AI20" s="187"/>
      <c r="AJ20" s="187"/>
      <c r="AK20" s="187"/>
      <c r="AL20" s="187"/>
      <c r="AM20" s="187"/>
      <c r="AN20" s="187"/>
      <c r="AO20" s="187"/>
      <c r="AP20" s="262"/>
      <c r="AQ20" s="262"/>
    </row>
    <row r="21" spans="1:43" ht="15.5" hidden="1" outlineLevel="1">
      <c r="B21" s="253" t="s">
        <v>438</v>
      </c>
      <c r="C21" s="108"/>
      <c r="D21" s="255" t="s">
        <v>486</v>
      </c>
      <c r="E21" s="255" t="s">
        <v>485</v>
      </c>
      <c r="F21" s="296"/>
      <c r="G21" s="296"/>
      <c r="H21" s="266">
        <f t="shared" si="1"/>
        <v>3</v>
      </c>
      <c r="I21" s="210"/>
      <c r="J21" s="161">
        <f t="shared" si="2"/>
        <v>794.7</v>
      </c>
      <c r="K21" s="161">
        <f t="shared" si="3"/>
        <v>1324.8</v>
      </c>
      <c r="L21" s="164">
        <f t="shared" si="0"/>
        <v>1867.8</v>
      </c>
      <c r="M21" s="105"/>
      <c r="N21" s="105"/>
      <c r="O21" s="105"/>
      <c r="P21" s="105"/>
      <c r="Q21" s="105"/>
      <c r="R21" s="105"/>
      <c r="S21" s="105"/>
      <c r="T21" s="177"/>
      <c r="U21" s="118"/>
      <c r="V21" s="118"/>
      <c r="W21" s="309"/>
      <c r="X21" s="308"/>
      <c r="Y21" s="308"/>
      <c r="Z21" s="308"/>
      <c r="AA21" s="308"/>
      <c r="AB21" s="125"/>
      <c r="AC21" s="125"/>
      <c r="AD21" s="125"/>
      <c r="AE21" s="125"/>
      <c r="AF21" s="125"/>
      <c r="AG21" s="187"/>
      <c r="AH21" s="187"/>
      <c r="AI21" s="187"/>
      <c r="AJ21" s="187"/>
      <c r="AK21" s="187"/>
      <c r="AL21" s="187"/>
      <c r="AM21" s="187"/>
      <c r="AN21" s="187"/>
      <c r="AO21" s="187"/>
      <c r="AP21" s="262"/>
      <c r="AQ21" s="262"/>
    </row>
    <row r="22" spans="1:43" ht="26" hidden="1" outlineLevel="1">
      <c r="B22" s="253" t="s">
        <v>439</v>
      </c>
      <c r="C22" s="108"/>
      <c r="D22" s="255" t="s">
        <v>413</v>
      </c>
      <c r="E22" s="255" t="s">
        <v>414</v>
      </c>
      <c r="F22" s="296"/>
      <c r="G22" s="296"/>
      <c r="H22" s="266">
        <f t="shared" si="1"/>
        <v>3</v>
      </c>
      <c r="I22" s="210"/>
      <c r="J22" s="161">
        <f t="shared" si="2"/>
        <v>794.7</v>
      </c>
      <c r="K22" s="161">
        <f t="shared" si="3"/>
        <v>1324.8</v>
      </c>
      <c r="L22" s="164">
        <f t="shared" si="0"/>
        <v>1867.8</v>
      </c>
      <c r="M22" s="105"/>
      <c r="N22" s="105"/>
      <c r="O22" s="105"/>
      <c r="P22" s="105"/>
      <c r="Q22" s="105"/>
      <c r="R22" s="105"/>
      <c r="S22" s="105"/>
      <c r="T22" s="177"/>
      <c r="U22" s="118"/>
      <c r="V22" s="118"/>
      <c r="W22" s="309"/>
      <c r="X22" s="308"/>
      <c r="Y22" s="308"/>
      <c r="Z22" s="308"/>
      <c r="AA22" s="308"/>
      <c r="AB22" s="125"/>
      <c r="AC22" s="125"/>
      <c r="AD22" s="125"/>
      <c r="AE22" s="125"/>
      <c r="AF22" s="125"/>
      <c r="AG22" s="187"/>
      <c r="AH22" s="187"/>
      <c r="AI22" s="187"/>
      <c r="AJ22" s="187"/>
      <c r="AK22" s="187"/>
      <c r="AL22" s="187"/>
      <c r="AM22" s="187"/>
      <c r="AN22" s="187"/>
      <c r="AO22" s="187"/>
      <c r="AP22" s="262"/>
      <c r="AQ22" s="262"/>
    </row>
    <row r="23" spans="1:43" ht="65" collapsed="1">
      <c r="A23" s="112"/>
      <c r="B23" s="104" t="s">
        <v>487</v>
      </c>
      <c r="C23" s="104" t="s">
        <v>487</v>
      </c>
      <c r="D23" s="255" t="s">
        <v>259</v>
      </c>
      <c r="E23" s="255" t="s">
        <v>258</v>
      </c>
      <c r="F23" s="296" t="s">
        <v>300</v>
      </c>
      <c r="G23" s="296" t="s">
        <v>301</v>
      </c>
      <c r="H23" s="217" t="e">
        <f>(H47+#REF!)</f>
        <v>#REF!</v>
      </c>
      <c r="I23" s="104"/>
      <c r="J23" s="161" t="e">
        <f>(J47+#REF!)*0.9</f>
        <v>#REF!</v>
      </c>
      <c r="K23" s="161" t="e">
        <f>(K47+#REF!)*0.9</f>
        <v>#REF!</v>
      </c>
      <c r="L23" s="316" t="e">
        <f t="shared" si="0"/>
        <v>#REF!</v>
      </c>
      <c r="M23" s="176" t="s">
        <v>19</v>
      </c>
      <c r="N23" s="176"/>
      <c r="O23" s="176"/>
      <c r="P23" s="187" t="s">
        <v>18</v>
      </c>
      <c r="Q23" s="176" t="s">
        <v>19</v>
      </c>
      <c r="R23" s="176"/>
      <c r="S23" s="176" t="s">
        <v>19</v>
      </c>
      <c r="T23" s="176" t="s">
        <v>19</v>
      </c>
      <c r="U23" s="118" t="s">
        <v>245</v>
      </c>
      <c r="V23" s="118" t="s">
        <v>246</v>
      </c>
      <c r="W23" s="309">
        <v>4</v>
      </c>
      <c r="X23" s="308"/>
      <c r="Y23" s="308"/>
      <c r="Z23" s="308"/>
      <c r="AA23" s="308"/>
      <c r="AB23" s="125"/>
      <c r="AC23" s="125"/>
      <c r="AD23" s="125"/>
      <c r="AE23" s="125"/>
      <c r="AF23" s="125"/>
      <c r="AG23" s="187"/>
      <c r="AH23" s="187"/>
      <c r="AI23" s="187" t="s">
        <v>18</v>
      </c>
      <c r="AJ23" s="187"/>
      <c r="AK23" s="187"/>
      <c r="AL23" s="187"/>
      <c r="AM23" s="187"/>
      <c r="AN23" s="187" t="s">
        <v>18</v>
      </c>
      <c r="AO23" s="187"/>
      <c r="AP23" s="262"/>
      <c r="AQ23" s="265" t="s">
        <v>479</v>
      </c>
    </row>
    <row r="24" spans="1:43" ht="91">
      <c r="B24" s="104" t="s">
        <v>299</v>
      </c>
      <c r="C24" s="104" t="s">
        <v>299</v>
      </c>
      <c r="D24" s="255" t="s">
        <v>392</v>
      </c>
      <c r="E24" s="255" t="s">
        <v>453</v>
      </c>
      <c r="F24" s="296" t="s">
        <v>443</v>
      </c>
      <c r="G24" s="296" t="s">
        <v>452</v>
      </c>
      <c r="H24" s="217" t="e">
        <f>(H47+#REF!+H49)</f>
        <v>#REF!</v>
      </c>
      <c r="I24" s="104"/>
      <c r="J24" s="161" t="e">
        <f>(J47+#REF!+J49)*0.9</f>
        <v>#REF!</v>
      </c>
      <c r="K24" s="161" t="e">
        <f>(K47+#REF!+K49)*0.9</f>
        <v>#REF!</v>
      </c>
      <c r="L24" s="316" t="e">
        <f t="shared" si="0"/>
        <v>#REF!</v>
      </c>
      <c r="M24" s="176" t="s">
        <v>19</v>
      </c>
      <c r="N24" s="176"/>
      <c r="O24" s="176"/>
      <c r="P24" s="176" t="s">
        <v>19</v>
      </c>
      <c r="Q24" s="187" t="s">
        <v>18</v>
      </c>
      <c r="R24" s="187"/>
      <c r="S24" s="187" t="s">
        <v>18</v>
      </c>
      <c r="T24" s="176" t="s">
        <v>19</v>
      </c>
      <c r="U24" s="118" t="s">
        <v>245</v>
      </c>
      <c r="V24" s="118" t="s">
        <v>246</v>
      </c>
      <c r="W24" s="309">
        <v>5</v>
      </c>
      <c r="X24" s="308"/>
      <c r="Y24" s="308"/>
      <c r="Z24" s="308"/>
      <c r="AA24" s="308"/>
      <c r="AB24" s="125"/>
      <c r="AC24" s="125"/>
      <c r="AD24" s="125"/>
      <c r="AE24" s="125"/>
      <c r="AF24" s="125"/>
      <c r="AG24" s="187"/>
      <c r="AH24" s="187"/>
      <c r="AI24" s="187" t="s">
        <v>18</v>
      </c>
      <c r="AJ24" s="187"/>
      <c r="AK24" s="187"/>
      <c r="AL24" s="187"/>
      <c r="AM24" s="187"/>
      <c r="AN24" s="187" t="s">
        <v>18</v>
      </c>
      <c r="AO24" s="187"/>
      <c r="AP24" s="262"/>
      <c r="AQ24" s="265" t="s">
        <v>480</v>
      </c>
    </row>
    <row r="25" spans="1:43" ht="78">
      <c r="B25" s="104" t="s">
        <v>227</v>
      </c>
      <c r="C25" s="104" t="s">
        <v>227</v>
      </c>
      <c r="D25" s="255" t="s">
        <v>151</v>
      </c>
      <c r="E25" s="255" t="s">
        <v>165</v>
      </c>
      <c r="F25" s="296" t="s">
        <v>313</v>
      </c>
      <c r="G25" s="296" t="s">
        <v>302</v>
      </c>
      <c r="H25" s="166">
        <f>H90+H93</f>
        <v>1.4</v>
      </c>
      <c r="I25" s="104"/>
      <c r="J25" s="166">
        <f>(J90+J93)*0.95</f>
        <v>216.6</v>
      </c>
      <c r="K25" s="166">
        <f>(K90+K93)*0.95</f>
        <v>361</v>
      </c>
      <c r="L25" s="316">
        <f t="shared" si="0"/>
        <v>614.4</v>
      </c>
      <c r="M25" s="176" t="s">
        <v>19</v>
      </c>
      <c r="N25" s="176"/>
      <c r="O25" s="176"/>
      <c r="P25" s="176" t="s">
        <v>19</v>
      </c>
      <c r="Q25" s="176" t="s">
        <v>19</v>
      </c>
      <c r="R25" s="176"/>
      <c r="S25" s="176" t="s">
        <v>19</v>
      </c>
      <c r="T25" s="187" t="s">
        <v>18</v>
      </c>
      <c r="U25" s="118" t="s">
        <v>60</v>
      </c>
      <c r="V25" s="118" t="s">
        <v>206</v>
      </c>
      <c r="W25" s="309">
        <v>9</v>
      </c>
      <c r="X25" s="308" t="s">
        <v>551</v>
      </c>
      <c r="Y25" s="308" t="s">
        <v>19</v>
      </c>
      <c r="Z25" s="308" t="s">
        <v>19</v>
      </c>
      <c r="AA25" s="308" t="s">
        <v>19</v>
      </c>
      <c r="AB25" s="125"/>
      <c r="AC25" s="125"/>
      <c r="AD25" s="125"/>
      <c r="AE25" s="125"/>
      <c r="AF25" s="125"/>
      <c r="AG25" s="187"/>
      <c r="AH25" s="187"/>
      <c r="AI25" s="187" t="s">
        <v>18</v>
      </c>
      <c r="AJ25" s="187"/>
      <c r="AK25" s="187" t="s">
        <v>18</v>
      </c>
      <c r="AL25" s="187"/>
      <c r="AM25" s="187"/>
      <c r="AN25" s="187"/>
      <c r="AO25" s="187"/>
      <c r="AP25" s="262"/>
      <c r="AQ25" s="265" t="s">
        <v>489</v>
      </c>
    </row>
    <row r="26" spans="1:43" ht="78">
      <c r="B26" s="104" t="s">
        <v>228</v>
      </c>
      <c r="C26" s="104" t="s">
        <v>228</v>
      </c>
      <c r="D26" s="255" t="s">
        <v>155</v>
      </c>
      <c r="E26" s="255" t="s">
        <v>166</v>
      </c>
      <c r="F26" s="296" t="s">
        <v>313</v>
      </c>
      <c r="G26" s="296" t="s">
        <v>302</v>
      </c>
      <c r="H26" s="166">
        <f>H91+H93</f>
        <v>1.4</v>
      </c>
      <c r="I26" s="104"/>
      <c r="J26" s="166">
        <f>(J91+J93)*0.95</f>
        <v>230.85</v>
      </c>
      <c r="K26" s="166">
        <f>(K91+K93)*0.95</f>
        <v>384.75</v>
      </c>
      <c r="L26" s="316">
        <f t="shared" si="0"/>
        <v>638.15</v>
      </c>
      <c r="M26" s="187" t="s">
        <v>18</v>
      </c>
      <c r="N26" s="187"/>
      <c r="O26" s="187"/>
      <c r="P26" s="187" t="s">
        <v>18</v>
      </c>
      <c r="Q26" s="187" t="s">
        <v>18</v>
      </c>
      <c r="R26" s="187"/>
      <c r="S26" s="187" t="s">
        <v>18</v>
      </c>
      <c r="T26" s="176" t="s">
        <v>19</v>
      </c>
      <c r="U26" s="118" t="s">
        <v>60</v>
      </c>
      <c r="V26" s="118" t="s">
        <v>206</v>
      </c>
      <c r="W26" s="309">
        <v>10</v>
      </c>
      <c r="X26" s="308" t="s">
        <v>551</v>
      </c>
      <c r="Y26" s="308" t="s">
        <v>19</v>
      </c>
      <c r="Z26" s="308" t="s">
        <v>19</v>
      </c>
      <c r="AA26" s="308" t="s">
        <v>19</v>
      </c>
      <c r="AB26" s="125"/>
      <c r="AC26" s="125"/>
      <c r="AD26" s="125"/>
      <c r="AE26" s="125"/>
      <c r="AF26" s="125"/>
      <c r="AG26" s="187"/>
      <c r="AH26" s="187"/>
      <c r="AI26" s="187" t="s">
        <v>18</v>
      </c>
      <c r="AJ26" s="187"/>
      <c r="AK26" s="187" t="s">
        <v>18</v>
      </c>
      <c r="AL26" s="187"/>
      <c r="AM26" s="187"/>
      <c r="AN26" s="187"/>
      <c r="AO26" s="187"/>
      <c r="AP26" s="262"/>
      <c r="AQ26" s="265" t="s">
        <v>490</v>
      </c>
    </row>
    <row r="27" spans="1:43" ht="78">
      <c r="A27" s="112"/>
      <c r="B27" s="104" t="s">
        <v>229</v>
      </c>
      <c r="C27" s="104" t="s">
        <v>229</v>
      </c>
      <c r="D27" s="255" t="s">
        <v>159</v>
      </c>
      <c r="E27" s="255" t="s">
        <v>484</v>
      </c>
      <c r="F27" s="296" t="s">
        <v>314</v>
      </c>
      <c r="G27" s="296" t="s">
        <v>303</v>
      </c>
      <c r="H27" s="166">
        <f>H84+H88+H53</f>
        <v>0.60000000000000009</v>
      </c>
      <c r="I27" s="104"/>
      <c r="J27" s="166">
        <f>(J84+J88+J53)*0.9</f>
        <v>297</v>
      </c>
      <c r="K27" s="166">
        <f>K84+K88+K53</f>
        <v>550</v>
      </c>
      <c r="L27" s="316">
        <f t="shared" si="0"/>
        <v>658.6</v>
      </c>
      <c r="M27" s="187" t="s">
        <v>18</v>
      </c>
      <c r="N27" s="187"/>
      <c r="O27" s="187"/>
      <c r="P27" s="187" t="s">
        <v>18</v>
      </c>
      <c r="Q27" s="176" t="s">
        <v>19</v>
      </c>
      <c r="R27" s="176"/>
      <c r="S27" s="176" t="s">
        <v>19</v>
      </c>
      <c r="T27" s="187" t="s">
        <v>18</v>
      </c>
      <c r="U27" s="118"/>
      <c r="V27" s="118"/>
      <c r="W27" s="309">
        <v>1</v>
      </c>
      <c r="X27" s="308" t="s">
        <v>551</v>
      </c>
      <c r="Y27" s="308" t="s">
        <v>19</v>
      </c>
      <c r="Z27" s="308" t="s">
        <v>19</v>
      </c>
      <c r="AA27" s="308" t="s">
        <v>19</v>
      </c>
      <c r="AB27" s="125"/>
      <c r="AC27" s="125"/>
      <c r="AD27" s="125"/>
      <c r="AE27" s="125"/>
      <c r="AF27" s="125"/>
      <c r="AG27" s="187"/>
      <c r="AH27" s="187"/>
      <c r="AI27" s="187" t="s">
        <v>18</v>
      </c>
      <c r="AJ27" s="187"/>
      <c r="AK27" s="187"/>
      <c r="AL27" s="187" t="s">
        <v>18</v>
      </c>
      <c r="AM27" s="187"/>
      <c r="AN27" s="187"/>
      <c r="AO27" s="187"/>
      <c r="AP27" s="262"/>
      <c r="AQ27" s="265" t="s">
        <v>491</v>
      </c>
    </row>
    <row r="28" spans="1:43" ht="78">
      <c r="B28" s="104" t="s">
        <v>391</v>
      </c>
      <c r="C28" s="104" t="s">
        <v>391</v>
      </c>
      <c r="D28" s="255" t="s">
        <v>393</v>
      </c>
      <c r="E28" s="255" t="s">
        <v>483</v>
      </c>
      <c r="F28" s="296" t="s">
        <v>314</v>
      </c>
      <c r="G28" s="296" t="s">
        <v>303</v>
      </c>
      <c r="H28" s="166">
        <f>H85+H88+H53</f>
        <v>0.60000000000000009</v>
      </c>
      <c r="I28" s="104"/>
      <c r="J28" s="166">
        <f>(J85+J88+J53)*0.9</f>
        <v>297</v>
      </c>
      <c r="K28" s="166">
        <f>K85+K88+K53</f>
        <v>550</v>
      </c>
      <c r="L28" s="316">
        <f t="shared" si="0"/>
        <v>658.6</v>
      </c>
      <c r="M28" s="176" t="s">
        <v>19</v>
      </c>
      <c r="N28" s="176"/>
      <c r="O28" s="176"/>
      <c r="P28" s="176" t="s">
        <v>19</v>
      </c>
      <c r="Q28" s="187" t="s">
        <v>18</v>
      </c>
      <c r="R28" s="187"/>
      <c r="S28" s="187" t="s">
        <v>18</v>
      </c>
      <c r="T28" s="176" t="s">
        <v>19</v>
      </c>
      <c r="U28" s="118"/>
      <c r="V28" s="118"/>
      <c r="W28" s="309">
        <v>2</v>
      </c>
      <c r="X28" s="308" t="s">
        <v>551</v>
      </c>
      <c r="Y28" s="308" t="s">
        <v>19</v>
      </c>
      <c r="Z28" s="308" t="s">
        <v>19</v>
      </c>
      <c r="AA28" s="308" t="s">
        <v>19</v>
      </c>
      <c r="AB28" s="125"/>
      <c r="AC28" s="125"/>
      <c r="AD28" s="125"/>
      <c r="AE28" s="125"/>
      <c r="AF28" s="125"/>
      <c r="AG28" s="187"/>
      <c r="AH28" s="187"/>
      <c r="AI28" s="187" t="s">
        <v>18</v>
      </c>
      <c r="AJ28" s="187"/>
      <c r="AK28" s="187"/>
      <c r="AL28" s="187" t="s">
        <v>18</v>
      </c>
      <c r="AM28" s="187"/>
      <c r="AN28" s="187"/>
      <c r="AO28" s="187"/>
      <c r="AP28" s="262"/>
      <c r="AQ28" s="265" t="s">
        <v>492</v>
      </c>
    </row>
    <row r="29" spans="1:43" ht="78">
      <c r="B29" s="104" t="s">
        <v>304</v>
      </c>
      <c r="C29" s="104" t="s">
        <v>304</v>
      </c>
      <c r="D29" s="255" t="s">
        <v>207</v>
      </c>
      <c r="E29" s="255" t="s">
        <v>208</v>
      </c>
      <c r="F29" s="296" t="s">
        <v>550</v>
      </c>
      <c r="G29" s="296" t="s">
        <v>558</v>
      </c>
      <c r="H29" s="166">
        <f>H52+H43+H83</f>
        <v>1.2000000000000002</v>
      </c>
      <c r="I29" s="104"/>
      <c r="J29" s="166">
        <f>(J52+J43+J83)*0.9</f>
        <v>214.20000000000002</v>
      </c>
      <c r="K29" s="166">
        <f>(K52+K43+K83)*0.9</f>
        <v>357.3</v>
      </c>
      <c r="L29" s="316">
        <f t="shared" si="0"/>
        <v>574.5</v>
      </c>
      <c r="M29" s="187" t="s">
        <v>18</v>
      </c>
      <c r="N29" s="187"/>
      <c r="O29" s="187"/>
      <c r="P29" s="187" t="s">
        <v>18</v>
      </c>
      <c r="Q29" s="187" t="s">
        <v>18</v>
      </c>
      <c r="R29" s="187"/>
      <c r="S29" s="187" t="s">
        <v>18</v>
      </c>
      <c r="T29" s="187" t="s">
        <v>18</v>
      </c>
      <c r="U29" s="118" t="s">
        <v>400</v>
      </c>
      <c r="V29" s="118" t="s">
        <v>466</v>
      </c>
      <c r="W29" s="309">
        <v>8</v>
      </c>
      <c r="X29" s="308" t="s">
        <v>551</v>
      </c>
      <c r="Y29" s="308" t="s">
        <v>19</v>
      </c>
      <c r="Z29" s="308" t="s">
        <v>19</v>
      </c>
      <c r="AA29" s="308" t="s">
        <v>19</v>
      </c>
      <c r="AB29" s="125"/>
      <c r="AC29" s="125"/>
      <c r="AD29" s="125"/>
      <c r="AE29" s="125"/>
      <c r="AF29" s="125"/>
      <c r="AG29" s="187"/>
      <c r="AH29" s="187"/>
      <c r="AI29" s="187" t="s">
        <v>18</v>
      </c>
      <c r="AJ29" s="187"/>
      <c r="AK29" s="187"/>
      <c r="AL29" s="187" t="s">
        <v>18</v>
      </c>
      <c r="AM29" s="187"/>
      <c r="AN29" s="187"/>
      <c r="AO29" s="187"/>
      <c r="AP29" s="262"/>
      <c r="AQ29" s="265" t="s">
        <v>481</v>
      </c>
    </row>
    <row r="30" spans="1:43">
      <c r="B30" s="209"/>
      <c r="C30" s="209"/>
      <c r="D30" s="211"/>
      <c r="E30" s="211"/>
      <c r="F30" s="212"/>
      <c r="G30" s="212"/>
      <c r="H30" s="213"/>
      <c r="I30" s="210"/>
      <c r="J30" s="214"/>
      <c r="K30" s="210"/>
      <c r="L30" s="215"/>
      <c r="M30" s="210"/>
      <c r="N30" s="210"/>
      <c r="O30" s="210"/>
      <c r="P30" s="210"/>
      <c r="Q30" s="210"/>
      <c r="R30" s="210"/>
      <c r="S30" s="210"/>
      <c r="T30" s="210"/>
      <c r="U30" s="212"/>
      <c r="V30" s="212"/>
      <c r="W30" s="212"/>
      <c r="X30" s="259"/>
      <c r="Y30" s="259"/>
      <c r="Z30" s="213"/>
      <c r="AA30" s="259"/>
      <c r="AB30" s="213"/>
      <c r="AC30" s="259"/>
      <c r="AD30" s="213"/>
      <c r="AE30" s="259"/>
      <c r="AF30" s="213"/>
      <c r="AG30" s="213"/>
      <c r="AH30" s="213"/>
      <c r="AI30" s="213"/>
      <c r="AJ30" s="213"/>
      <c r="AK30" s="213"/>
      <c r="AL30" s="213"/>
      <c r="AM30" s="213"/>
      <c r="AN30" s="213"/>
      <c r="AO30" s="213"/>
      <c r="AP30" s="263"/>
      <c r="AQ30" s="263"/>
    </row>
    <row r="31" spans="1:43" ht="51.65" customHeight="1">
      <c r="B31" s="104" t="s">
        <v>223</v>
      </c>
      <c r="C31" s="104" t="s">
        <v>223</v>
      </c>
      <c r="D31" s="255" t="s">
        <v>316</v>
      </c>
      <c r="E31" s="255" t="s">
        <v>234</v>
      </c>
      <c r="F31" s="296" t="s">
        <v>317</v>
      </c>
      <c r="G31" s="296" t="s">
        <v>559</v>
      </c>
      <c r="H31" s="108">
        <v>1.6</v>
      </c>
      <c r="I31" s="104"/>
      <c r="J31" s="161">
        <f>VLOOKUP(B31,'[2]MASTER PART LIST'!$B:$C,2,FALSE)*4</f>
        <v>317.83999999999997</v>
      </c>
      <c r="K31" s="164">
        <f>VLOOKUP(B31,'[2]MASTER PART LIST'!$B:$D,3,FALSE)*4</f>
        <v>522.72</v>
      </c>
      <c r="L31" s="314">
        <f t="shared" ref="L31:L37" si="4">K31+(H31*VLOOKUP(prov_cd,rate_table,2,FALSE))</f>
        <v>812.32</v>
      </c>
      <c r="M31" s="187" t="s">
        <v>18</v>
      </c>
      <c r="N31" s="187"/>
      <c r="O31" s="187"/>
      <c r="P31" s="187" t="s">
        <v>18</v>
      </c>
      <c r="Q31" s="176" t="s">
        <v>19</v>
      </c>
      <c r="R31" s="176"/>
      <c r="S31" s="176" t="s">
        <v>19</v>
      </c>
      <c r="T31" s="315" t="s">
        <v>19</v>
      </c>
      <c r="U31" s="118" t="s">
        <v>219</v>
      </c>
      <c r="V31" s="118" t="s">
        <v>237</v>
      </c>
      <c r="W31" s="309">
        <v>11</v>
      </c>
      <c r="X31" s="308" t="s">
        <v>551</v>
      </c>
      <c r="Y31" s="308" t="s">
        <v>19</v>
      </c>
      <c r="Z31" s="308" t="s">
        <v>19</v>
      </c>
      <c r="AA31" s="308" t="s">
        <v>19</v>
      </c>
      <c r="AB31" s="125"/>
      <c r="AC31" s="125"/>
      <c r="AD31" s="125"/>
      <c r="AE31" s="125"/>
      <c r="AF31" s="125"/>
      <c r="AG31" s="187"/>
      <c r="AH31" s="187" t="s">
        <v>18</v>
      </c>
      <c r="AI31" s="187" t="s">
        <v>18</v>
      </c>
      <c r="AJ31" s="187"/>
      <c r="AK31" s="317" t="s">
        <v>18</v>
      </c>
      <c r="AL31" s="187"/>
      <c r="AM31" s="187"/>
      <c r="AN31" s="187"/>
      <c r="AO31" s="187"/>
      <c r="AP31" s="262"/>
      <c r="AQ31" s="262"/>
    </row>
    <row r="32" spans="1:43" ht="51.65" customHeight="1">
      <c r="B32" s="104" t="s">
        <v>499</v>
      </c>
      <c r="C32" s="104" t="str">
        <f>B32</f>
        <v>08W17-PC4-300</v>
      </c>
      <c r="D32" s="255" t="s">
        <v>500</v>
      </c>
      <c r="E32" s="255" t="s">
        <v>501</v>
      </c>
      <c r="F32" s="296" t="s">
        <v>317</v>
      </c>
      <c r="G32" s="296" t="s">
        <v>315</v>
      </c>
      <c r="H32" s="108">
        <v>1.6</v>
      </c>
      <c r="I32" s="104"/>
      <c r="J32" s="161">
        <f>VLOOKUP(B32,'[2]MASTER PART LIST'!$B:$C,2,FALSE)*4</f>
        <v>376.4</v>
      </c>
      <c r="K32" s="164">
        <f>VLOOKUP(B32,'[2]MASTER PART LIST'!$B:$D,3,FALSE)*4</f>
        <v>627.28</v>
      </c>
      <c r="L32" s="316">
        <f t="shared" ref="L32" si="5">K32+(H32*VLOOKUP(prov_cd,rate_table,2,FALSE))</f>
        <v>916.88</v>
      </c>
      <c r="M32" s="176" t="s">
        <v>19</v>
      </c>
      <c r="N32" s="187"/>
      <c r="O32" s="187"/>
      <c r="P32" s="176" t="s">
        <v>19</v>
      </c>
      <c r="Q32" s="187" t="s">
        <v>18</v>
      </c>
      <c r="R32" s="187"/>
      <c r="S32" s="187" t="s">
        <v>18</v>
      </c>
      <c r="T32" s="317" t="s">
        <v>18</v>
      </c>
      <c r="U32" s="118" t="s">
        <v>502</v>
      </c>
      <c r="V32" s="118" t="s">
        <v>503</v>
      </c>
      <c r="W32" s="309">
        <v>12</v>
      </c>
      <c r="X32" s="308" t="s">
        <v>551</v>
      </c>
      <c r="Y32" s="308" t="s">
        <v>19</v>
      </c>
      <c r="Z32" s="308" t="s">
        <v>19</v>
      </c>
      <c r="AA32" s="308" t="s">
        <v>19</v>
      </c>
      <c r="AB32" s="125"/>
      <c r="AC32" s="125"/>
      <c r="AD32" s="125"/>
      <c r="AE32" s="125"/>
      <c r="AF32" s="125"/>
      <c r="AG32" s="187"/>
      <c r="AH32" s="187" t="s">
        <v>18</v>
      </c>
      <c r="AI32" s="187"/>
      <c r="AJ32" s="187"/>
      <c r="AK32" s="187"/>
      <c r="AL32" s="187"/>
      <c r="AM32" s="187"/>
      <c r="AN32" s="187"/>
      <c r="AO32" s="187"/>
      <c r="AP32" s="262"/>
      <c r="AQ32" s="262"/>
    </row>
    <row r="33" spans="1:43" ht="73.400000000000006" customHeight="1">
      <c r="B33" s="104" t="s">
        <v>215</v>
      </c>
      <c r="C33" s="104" t="s">
        <v>215</v>
      </c>
      <c r="D33" s="255" t="s">
        <v>214</v>
      </c>
      <c r="E33" s="255" t="s">
        <v>235</v>
      </c>
      <c r="F33" s="296" t="s">
        <v>318</v>
      </c>
      <c r="G33" s="296" t="s">
        <v>319</v>
      </c>
      <c r="H33" s="108">
        <v>1.6</v>
      </c>
      <c r="I33" s="104"/>
      <c r="J33" s="161">
        <f>VLOOKUP(B33,'[2]MASTER PART LIST'!$B:$C,2,FALSE)*4</f>
        <v>764</v>
      </c>
      <c r="K33" s="164">
        <f>VLOOKUP(B33,'[2]MASTER PART LIST'!$B:$D,3,FALSE)*4</f>
        <v>1028</v>
      </c>
      <c r="L33" s="316">
        <f t="shared" si="4"/>
        <v>1317.6</v>
      </c>
      <c r="M33" s="176" t="s">
        <v>21</v>
      </c>
      <c r="N33" s="176"/>
      <c r="O33" s="176"/>
      <c r="P33" s="176" t="s">
        <v>218</v>
      </c>
      <c r="Q33" s="176" t="s">
        <v>19</v>
      </c>
      <c r="R33" s="176"/>
      <c r="S33" s="176" t="s">
        <v>19</v>
      </c>
      <c r="T33" s="176" t="s">
        <v>19</v>
      </c>
      <c r="U33" s="118" t="s">
        <v>219</v>
      </c>
      <c r="V33" s="118" t="s">
        <v>237</v>
      </c>
      <c r="W33" s="309">
        <v>14</v>
      </c>
      <c r="X33" s="308" t="s">
        <v>551</v>
      </c>
      <c r="Y33" s="308" t="s">
        <v>19</v>
      </c>
      <c r="Z33" s="308" t="s">
        <v>19</v>
      </c>
      <c r="AA33" s="308" t="s">
        <v>19</v>
      </c>
      <c r="AB33" s="125"/>
      <c r="AC33" s="125"/>
      <c r="AD33" s="125"/>
      <c r="AE33" s="125"/>
      <c r="AF33" s="125"/>
      <c r="AG33" s="187"/>
      <c r="AH33" s="187" t="s">
        <v>18</v>
      </c>
      <c r="AI33" s="187"/>
      <c r="AJ33" s="187"/>
      <c r="AK33" s="187" t="s">
        <v>18</v>
      </c>
      <c r="AL33" s="187"/>
      <c r="AM33" s="187"/>
      <c r="AN33" s="187"/>
      <c r="AO33" s="187"/>
      <c r="AP33" s="262"/>
      <c r="AQ33" s="262"/>
    </row>
    <row r="34" spans="1:43" ht="63">
      <c r="B34" s="104" t="s">
        <v>217</v>
      </c>
      <c r="C34" s="104" t="s">
        <v>217</v>
      </c>
      <c r="D34" s="255" t="s">
        <v>216</v>
      </c>
      <c r="E34" s="255" t="s">
        <v>236</v>
      </c>
      <c r="F34" s="296" t="s">
        <v>318</v>
      </c>
      <c r="G34" s="296" t="s">
        <v>319</v>
      </c>
      <c r="H34" s="108">
        <v>1.6</v>
      </c>
      <c r="I34" s="104"/>
      <c r="J34" s="161">
        <f>VLOOKUP(B34,'[2]MASTER PART LIST'!$B:$C,2,FALSE)*4</f>
        <v>764</v>
      </c>
      <c r="K34" s="164">
        <f>VLOOKUP(B34,'[2]MASTER PART LIST'!$B:$D,3,FALSE)*4</f>
        <v>1028</v>
      </c>
      <c r="L34" s="316">
        <f t="shared" si="4"/>
        <v>1317.6</v>
      </c>
      <c r="M34" s="176" t="s">
        <v>21</v>
      </c>
      <c r="N34" s="176"/>
      <c r="O34" s="176"/>
      <c r="P34" s="176" t="s">
        <v>218</v>
      </c>
      <c r="Q34" s="176" t="s">
        <v>19</v>
      </c>
      <c r="R34" s="176"/>
      <c r="S34" s="176" t="s">
        <v>19</v>
      </c>
      <c r="T34" s="176" t="s">
        <v>19</v>
      </c>
      <c r="U34" s="118" t="s">
        <v>219</v>
      </c>
      <c r="V34" s="118" t="s">
        <v>237</v>
      </c>
      <c r="W34" s="309">
        <v>15</v>
      </c>
      <c r="X34" s="308" t="s">
        <v>551</v>
      </c>
      <c r="Y34" s="308" t="s">
        <v>19</v>
      </c>
      <c r="Z34" s="308" t="s">
        <v>19</v>
      </c>
      <c r="AA34" s="308" t="s">
        <v>19</v>
      </c>
      <c r="AB34" s="125"/>
      <c r="AC34" s="125"/>
      <c r="AD34" s="125"/>
      <c r="AE34" s="125"/>
      <c r="AF34" s="125"/>
      <c r="AG34" s="187"/>
      <c r="AH34" s="187" t="s">
        <v>18</v>
      </c>
      <c r="AI34" s="187"/>
      <c r="AJ34" s="187"/>
      <c r="AK34" s="187" t="s">
        <v>18</v>
      </c>
      <c r="AL34" s="187"/>
      <c r="AM34" s="187"/>
      <c r="AN34" s="187"/>
      <c r="AO34" s="187"/>
      <c r="AP34" s="262"/>
      <c r="AQ34" s="262"/>
    </row>
    <row r="35" spans="1:43" ht="63">
      <c r="B35" s="104" t="s">
        <v>254</v>
      </c>
      <c r="C35" s="104" t="s">
        <v>254</v>
      </c>
      <c r="D35" s="255" t="s">
        <v>252</v>
      </c>
      <c r="E35" s="255" t="s">
        <v>257</v>
      </c>
      <c r="F35" s="296" t="s">
        <v>318</v>
      </c>
      <c r="G35" s="296" t="s">
        <v>319</v>
      </c>
      <c r="H35" s="108">
        <v>1.6</v>
      </c>
      <c r="I35" s="104"/>
      <c r="J35" s="161">
        <f>VLOOKUP(B35,'[2]MASTER PART LIST'!$B:$C,2,FALSE)*4</f>
        <v>856</v>
      </c>
      <c r="K35" s="164">
        <f>VLOOKUP(B35,'[2]MASTER PART LIST'!$B:$D,3,FALSE)*4</f>
        <v>1148</v>
      </c>
      <c r="L35" s="316">
        <f t="shared" si="4"/>
        <v>1437.6</v>
      </c>
      <c r="M35" s="176" t="s">
        <v>19</v>
      </c>
      <c r="N35" s="176"/>
      <c r="O35" s="176"/>
      <c r="P35" s="176" t="s">
        <v>19</v>
      </c>
      <c r="Q35" s="176" t="s">
        <v>218</v>
      </c>
      <c r="R35" s="176"/>
      <c r="S35" s="176" t="s">
        <v>218</v>
      </c>
      <c r="T35" s="176" t="s">
        <v>21</v>
      </c>
      <c r="U35" s="118" t="s">
        <v>504</v>
      </c>
      <c r="V35" s="118" t="s">
        <v>237</v>
      </c>
      <c r="W35" s="309">
        <v>16</v>
      </c>
      <c r="X35" s="308" t="s">
        <v>551</v>
      </c>
      <c r="Y35" s="308" t="s">
        <v>19</v>
      </c>
      <c r="Z35" s="308" t="s">
        <v>19</v>
      </c>
      <c r="AA35" s="308" t="s">
        <v>19</v>
      </c>
      <c r="AB35" s="125"/>
      <c r="AC35" s="125"/>
      <c r="AD35" s="125"/>
      <c r="AE35" s="125"/>
      <c r="AF35" s="125"/>
      <c r="AG35" s="187"/>
      <c r="AH35" s="187" t="s">
        <v>18</v>
      </c>
      <c r="AI35" s="187"/>
      <c r="AJ35" s="187"/>
      <c r="AK35" s="187"/>
      <c r="AL35" s="187"/>
      <c r="AM35" s="187"/>
      <c r="AN35" s="187" t="s">
        <v>18</v>
      </c>
      <c r="AO35" s="187"/>
      <c r="AP35" s="262"/>
      <c r="AQ35" s="262"/>
    </row>
    <row r="36" spans="1:43" ht="63">
      <c r="B36" s="104" t="s">
        <v>255</v>
      </c>
      <c r="C36" s="104" t="s">
        <v>255</v>
      </c>
      <c r="D36" s="255" t="s">
        <v>253</v>
      </c>
      <c r="E36" s="255" t="s">
        <v>256</v>
      </c>
      <c r="F36" s="296" t="s">
        <v>318</v>
      </c>
      <c r="G36" s="296" t="s">
        <v>319</v>
      </c>
      <c r="H36" s="108">
        <v>1.6</v>
      </c>
      <c r="I36" s="104"/>
      <c r="J36" s="161">
        <f>VLOOKUP(B36,'[2]MASTER PART LIST'!$B:$C,2,FALSE)*4</f>
        <v>856</v>
      </c>
      <c r="K36" s="164">
        <f>VLOOKUP(B36,'[2]MASTER PART LIST'!$B:$D,3,FALSE)*4</f>
        <v>1148</v>
      </c>
      <c r="L36" s="316">
        <f t="shared" si="4"/>
        <v>1437.6</v>
      </c>
      <c r="M36" s="176" t="s">
        <v>19</v>
      </c>
      <c r="N36" s="176"/>
      <c r="O36" s="176"/>
      <c r="P36" s="176" t="s">
        <v>19</v>
      </c>
      <c r="Q36" s="176" t="s">
        <v>218</v>
      </c>
      <c r="R36" s="176"/>
      <c r="S36" s="176" t="s">
        <v>218</v>
      </c>
      <c r="T36" s="176" t="s">
        <v>21</v>
      </c>
      <c r="U36" s="118" t="s">
        <v>504</v>
      </c>
      <c r="V36" s="118" t="s">
        <v>237</v>
      </c>
      <c r="W36" s="309">
        <v>17</v>
      </c>
      <c r="X36" s="308" t="s">
        <v>551</v>
      </c>
      <c r="Y36" s="308" t="s">
        <v>19</v>
      </c>
      <c r="Z36" s="308" t="s">
        <v>19</v>
      </c>
      <c r="AA36" s="308" t="s">
        <v>19</v>
      </c>
      <c r="AB36" s="125"/>
      <c r="AC36" s="125"/>
      <c r="AD36" s="125"/>
      <c r="AE36" s="125"/>
      <c r="AF36" s="125"/>
      <c r="AG36" s="187"/>
      <c r="AH36" s="187" t="s">
        <v>18</v>
      </c>
      <c r="AI36" s="187"/>
      <c r="AJ36" s="187"/>
      <c r="AK36" s="187"/>
      <c r="AL36" s="187"/>
      <c r="AM36" s="187"/>
      <c r="AN36" s="187" t="s">
        <v>18</v>
      </c>
      <c r="AO36" s="187"/>
      <c r="AP36" s="262"/>
      <c r="AQ36" s="262"/>
    </row>
    <row r="37" spans="1:43" ht="42">
      <c r="B37" s="218" t="s">
        <v>424</v>
      </c>
      <c r="C37" s="104" t="s">
        <v>424</v>
      </c>
      <c r="D37" s="255" t="s">
        <v>538</v>
      </c>
      <c r="E37" s="255" t="s">
        <v>537</v>
      </c>
      <c r="F37" s="296" t="s">
        <v>476</v>
      </c>
      <c r="G37" s="296" t="s">
        <v>477</v>
      </c>
      <c r="H37" s="108">
        <v>1.6</v>
      </c>
      <c r="I37" s="104"/>
      <c r="J37" s="161">
        <f>VLOOKUP(B37,'[2]MASTER PART LIST'!$B:$C,2,FALSE)*4</f>
        <v>2316</v>
      </c>
      <c r="K37" s="164">
        <f>VLOOKUP(B37,'[2]MASTER PART LIST'!$B:$D,3,FALSE)*4</f>
        <v>3564</v>
      </c>
      <c r="L37" s="316">
        <f t="shared" si="4"/>
        <v>3853.6</v>
      </c>
      <c r="M37" s="315" t="s">
        <v>19</v>
      </c>
      <c r="N37" s="176"/>
      <c r="O37" s="176"/>
      <c r="P37" s="315" t="s">
        <v>218</v>
      </c>
      <c r="Q37" s="176" t="s">
        <v>21</v>
      </c>
      <c r="R37" s="176"/>
      <c r="S37" s="176" t="s">
        <v>21</v>
      </c>
      <c r="T37" s="315" t="s">
        <v>218</v>
      </c>
      <c r="U37" s="118" t="s">
        <v>219</v>
      </c>
      <c r="V37" s="118" t="s">
        <v>237</v>
      </c>
      <c r="W37" s="309">
        <v>13</v>
      </c>
      <c r="X37" s="308" t="s">
        <v>551</v>
      </c>
      <c r="Y37" s="308" t="s">
        <v>551</v>
      </c>
      <c r="Z37" s="308" t="s">
        <v>551</v>
      </c>
      <c r="AA37" s="308" t="s">
        <v>551</v>
      </c>
      <c r="AB37" s="125"/>
      <c r="AC37" s="125"/>
      <c r="AD37" s="125"/>
      <c r="AE37" s="125"/>
      <c r="AF37" s="125"/>
      <c r="AG37" s="187"/>
      <c r="AH37" s="187" t="s">
        <v>18</v>
      </c>
      <c r="AI37" s="187"/>
      <c r="AJ37" s="187"/>
      <c r="AK37" s="187"/>
      <c r="AL37" s="187"/>
      <c r="AM37" s="187"/>
      <c r="AN37" s="187"/>
      <c r="AO37" s="187"/>
      <c r="AP37" s="262"/>
      <c r="AQ37" s="262"/>
    </row>
    <row r="38" spans="1:43" ht="21">
      <c r="B38" s="104" t="s">
        <v>264</v>
      </c>
      <c r="C38" s="104" t="s">
        <v>264</v>
      </c>
      <c r="D38" s="255" t="s">
        <v>167</v>
      </c>
      <c r="E38" s="255" t="s">
        <v>89</v>
      </c>
      <c r="F38" s="296" t="s">
        <v>320</v>
      </c>
      <c r="G38" s="296" t="s">
        <v>321</v>
      </c>
      <c r="H38" s="108">
        <v>0.2</v>
      </c>
      <c r="I38" s="104"/>
      <c r="J38" s="161">
        <f>VLOOKUP(B38,'[2]MASTER PART LIST'!$B:$C,2,FALSE)</f>
        <v>61</v>
      </c>
      <c r="K38" s="164">
        <f>VLOOKUP(B38,'[2]MASTER PART LIST'!$B:$D,3,FALSE)</f>
        <v>102</v>
      </c>
      <c r="L38" s="316">
        <f t="shared" ref="L38:L79" si="6">K38+(H38*VLOOKUP(prov_cd,rate_table,2,FALSE))</f>
        <v>138.19999999999999</v>
      </c>
      <c r="M38" s="187" t="s">
        <v>18</v>
      </c>
      <c r="N38" s="187"/>
      <c r="O38" s="187"/>
      <c r="P38" s="187" t="s">
        <v>18</v>
      </c>
      <c r="Q38" s="187" t="s">
        <v>18</v>
      </c>
      <c r="R38" s="187"/>
      <c r="S38" s="187" t="s">
        <v>18</v>
      </c>
      <c r="T38" s="187" t="s">
        <v>18</v>
      </c>
      <c r="U38" s="118"/>
      <c r="V38" s="118"/>
      <c r="W38" s="309">
        <v>18</v>
      </c>
      <c r="X38" s="308" t="s">
        <v>551</v>
      </c>
      <c r="Y38" s="308" t="s">
        <v>19</v>
      </c>
      <c r="Z38" s="308" t="s">
        <v>19</v>
      </c>
      <c r="AA38" s="308" t="s">
        <v>19</v>
      </c>
      <c r="AB38" s="125"/>
      <c r="AC38" s="125"/>
      <c r="AD38" s="125"/>
      <c r="AE38" s="125"/>
      <c r="AF38" s="125"/>
      <c r="AG38" s="187"/>
      <c r="AH38" s="187"/>
      <c r="AI38" s="187"/>
      <c r="AJ38" s="187" t="s">
        <v>18</v>
      </c>
      <c r="AK38" s="187"/>
      <c r="AL38" s="187"/>
      <c r="AM38" s="187"/>
      <c r="AN38" s="187"/>
      <c r="AO38" s="187"/>
      <c r="AP38" s="262"/>
      <c r="AQ38" s="262" t="s">
        <v>509</v>
      </c>
    </row>
    <row r="39" spans="1:43" ht="30" customHeight="1">
      <c r="B39" s="104" t="s">
        <v>265</v>
      </c>
      <c r="C39" s="104" t="s">
        <v>265</v>
      </c>
      <c r="D39" s="305" t="s">
        <v>168</v>
      </c>
      <c r="E39" s="255" t="s">
        <v>90</v>
      </c>
      <c r="F39" s="296" t="s">
        <v>322</v>
      </c>
      <c r="G39" s="296" t="s">
        <v>454</v>
      </c>
      <c r="H39" s="108">
        <v>0.2</v>
      </c>
      <c r="I39" s="104"/>
      <c r="J39" s="161">
        <f>VLOOKUP(B39,'[2]MASTER PART LIST'!$B:$C,2,FALSE)</f>
        <v>44</v>
      </c>
      <c r="K39" s="164">
        <f>VLOOKUP(B39,'[2]MASTER PART LIST'!$B:$D,3,FALSE)</f>
        <v>73</v>
      </c>
      <c r="L39" s="316">
        <f t="shared" si="6"/>
        <v>109.2</v>
      </c>
      <c r="M39" s="187" t="s">
        <v>18</v>
      </c>
      <c r="N39" s="187"/>
      <c r="O39" s="187"/>
      <c r="P39" s="187" t="s">
        <v>18</v>
      </c>
      <c r="Q39" s="187" t="s">
        <v>18</v>
      </c>
      <c r="R39" s="187"/>
      <c r="S39" s="187" t="s">
        <v>18</v>
      </c>
      <c r="T39" s="187" t="s">
        <v>18</v>
      </c>
      <c r="U39" s="118"/>
      <c r="V39" s="118"/>
      <c r="W39" s="309">
        <v>19</v>
      </c>
      <c r="X39" s="308" t="s">
        <v>551</v>
      </c>
      <c r="Y39" s="308" t="s">
        <v>19</v>
      </c>
      <c r="Z39" s="308" t="s">
        <v>19</v>
      </c>
      <c r="AA39" s="308" t="s">
        <v>19</v>
      </c>
      <c r="AB39" s="125"/>
      <c r="AC39" s="125"/>
      <c r="AD39" s="125"/>
      <c r="AE39" s="125"/>
      <c r="AF39" s="125"/>
      <c r="AG39" s="187"/>
      <c r="AH39" s="187"/>
      <c r="AI39" s="187"/>
      <c r="AJ39" s="187" t="s">
        <v>18</v>
      </c>
      <c r="AK39" s="187"/>
      <c r="AL39" s="187"/>
      <c r="AM39" s="187"/>
      <c r="AN39" s="187"/>
      <c r="AO39" s="187"/>
      <c r="AP39" s="262"/>
      <c r="AQ39" s="262" t="s">
        <v>510</v>
      </c>
    </row>
    <row r="40" spans="1:43" ht="42">
      <c r="B40" s="104" t="s">
        <v>249</v>
      </c>
      <c r="C40" s="104" t="s">
        <v>305</v>
      </c>
      <c r="D40" s="255" t="s">
        <v>156</v>
      </c>
      <c r="E40" s="255" t="s">
        <v>170</v>
      </c>
      <c r="F40" s="296" t="s">
        <v>323</v>
      </c>
      <c r="G40" s="296" t="s">
        <v>324</v>
      </c>
      <c r="H40" s="108">
        <v>0.2</v>
      </c>
      <c r="I40" s="104"/>
      <c r="J40" s="161">
        <f>VLOOKUP(B40,'[2]MASTER PART LIST'!$B:$C,2,FALSE)</f>
        <v>57</v>
      </c>
      <c r="K40" s="164">
        <f>VLOOKUP(B40,'[2]MASTER PART LIST'!$B:$D,3,FALSE)</f>
        <v>91</v>
      </c>
      <c r="L40" s="316">
        <f t="shared" si="6"/>
        <v>127.2</v>
      </c>
      <c r="M40" s="187" t="s">
        <v>18</v>
      </c>
      <c r="N40" s="187"/>
      <c r="O40" s="187"/>
      <c r="P40" s="187" t="s">
        <v>18</v>
      </c>
      <c r="Q40" s="187" t="s">
        <v>18</v>
      </c>
      <c r="R40" s="187"/>
      <c r="S40" s="187" t="s">
        <v>18</v>
      </c>
      <c r="T40" s="187" t="s">
        <v>18</v>
      </c>
      <c r="U40" s="118" t="s">
        <v>260</v>
      </c>
      <c r="V40" s="118" t="s">
        <v>261</v>
      </c>
      <c r="W40" s="309">
        <v>20</v>
      </c>
      <c r="X40" s="311" t="s">
        <v>551</v>
      </c>
      <c r="Y40" s="308" t="s">
        <v>19</v>
      </c>
      <c r="Z40" s="308" t="s">
        <v>19</v>
      </c>
      <c r="AA40" s="308" t="s">
        <v>19</v>
      </c>
      <c r="AB40" s="125"/>
      <c r="AC40" s="125"/>
      <c r="AD40" s="125"/>
      <c r="AE40" s="125"/>
      <c r="AF40" s="125"/>
      <c r="AG40" s="187"/>
      <c r="AH40" s="187"/>
      <c r="AI40" s="187"/>
      <c r="AJ40" s="187"/>
      <c r="AK40" s="187"/>
      <c r="AL40" s="187"/>
      <c r="AM40" s="187"/>
      <c r="AN40" s="187" t="s">
        <v>18</v>
      </c>
      <c r="AO40" s="187"/>
      <c r="AP40" s="262"/>
      <c r="AQ40" s="262"/>
    </row>
    <row r="41" spans="1:43" ht="26">
      <c r="B41" s="104" t="s">
        <v>129</v>
      </c>
      <c r="C41" s="104" t="s">
        <v>129</v>
      </c>
      <c r="D41" s="305" t="s">
        <v>557</v>
      </c>
      <c r="E41" s="255" t="s">
        <v>180</v>
      </c>
      <c r="F41" s="296" t="s">
        <v>325</v>
      </c>
      <c r="G41" s="296" t="s">
        <v>326</v>
      </c>
      <c r="H41" s="108">
        <v>0.7</v>
      </c>
      <c r="I41" s="104"/>
      <c r="J41" s="161">
        <f>VLOOKUP(B41,'[2]MASTER PART LIST'!$B:$C,2,FALSE)</f>
        <v>292</v>
      </c>
      <c r="K41" s="164">
        <f>VLOOKUP(B41,'[2]MASTER PART LIST'!$B:$D,3,FALSE)</f>
        <v>487</v>
      </c>
      <c r="L41" s="316">
        <f t="shared" si="6"/>
        <v>613.70000000000005</v>
      </c>
      <c r="M41" s="176" t="s">
        <v>18</v>
      </c>
      <c r="N41" s="176"/>
      <c r="O41" s="176"/>
      <c r="P41" s="176" t="s">
        <v>18</v>
      </c>
      <c r="Q41" s="176" t="s">
        <v>18</v>
      </c>
      <c r="R41" s="176"/>
      <c r="S41" s="176" t="s">
        <v>19</v>
      </c>
      <c r="T41" s="176" t="s">
        <v>19</v>
      </c>
      <c r="U41" s="118" t="s">
        <v>144</v>
      </c>
      <c r="V41" s="118" t="s">
        <v>184</v>
      </c>
      <c r="W41" s="309">
        <v>21</v>
      </c>
      <c r="X41" s="308" t="s">
        <v>551</v>
      </c>
      <c r="Y41" s="308" t="s">
        <v>551</v>
      </c>
      <c r="Z41" s="308" t="s">
        <v>551</v>
      </c>
      <c r="AA41" s="308" t="s">
        <v>551</v>
      </c>
      <c r="AB41" s="125"/>
      <c r="AC41" s="125"/>
      <c r="AD41" s="125"/>
      <c r="AE41" s="125"/>
      <c r="AF41" s="125"/>
      <c r="AG41" s="187"/>
      <c r="AH41" s="187"/>
      <c r="AI41" s="187"/>
      <c r="AJ41" s="187"/>
      <c r="AK41" s="187"/>
      <c r="AL41" s="187"/>
      <c r="AM41" s="187"/>
      <c r="AN41" s="187" t="s">
        <v>18</v>
      </c>
      <c r="AO41" s="187"/>
      <c r="AP41" s="262"/>
      <c r="AQ41" s="262"/>
    </row>
    <row r="42" spans="1:43" ht="26">
      <c r="B42" s="104" t="s">
        <v>130</v>
      </c>
      <c r="C42" s="104" t="s">
        <v>130</v>
      </c>
      <c r="D42" s="255" t="s">
        <v>161</v>
      </c>
      <c r="E42" s="255" t="s">
        <v>181</v>
      </c>
      <c r="F42" s="296" t="s">
        <v>325</v>
      </c>
      <c r="G42" s="296" t="s">
        <v>326</v>
      </c>
      <c r="H42" s="108">
        <v>0.7</v>
      </c>
      <c r="I42" s="104"/>
      <c r="J42" s="161">
        <f>VLOOKUP(B42,'[2]MASTER PART LIST'!$B:$C,2,FALSE)</f>
        <v>292</v>
      </c>
      <c r="K42" s="164">
        <f>VLOOKUP(B42,'[2]MASTER PART LIST'!$B:$D,3,FALSE)</f>
        <v>487</v>
      </c>
      <c r="L42" s="316">
        <f t="shared" si="6"/>
        <v>613.70000000000005</v>
      </c>
      <c r="M42" s="176" t="s">
        <v>19</v>
      </c>
      <c r="N42" s="176"/>
      <c r="O42" s="176"/>
      <c r="P42" s="176" t="s">
        <v>19</v>
      </c>
      <c r="Q42" s="176" t="s">
        <v>19</v>
      </c>
      <c r="R42" s="176"/>
      <c r="S42" s="187" t="s">
        <v>18</v>
      </c>
      <c r="T42" s="176" t="s">
        <v>19</v>
      </c>
      <c r="U42" s="118" t="s">
        <v>508</v>
      </c>
      <c r="V42" s="118" t="s">
        <v>184</v>
      </c>
      <c r="W42" s="309">
        <v>22</v>
      </c>
      <c r="X42" s="308" t="s">
        <v>551</v>
      </c>
      <c r="Y42" s="308"/>
      <c r="Z42" s="308"/>
      <c r="AA42" s="308"/>
      <c r="AB42" s="125"/>
      <c r="AC42" s="125"/>
      <c r="AD42" s="125"/>
      <c r="AE42" s="125"/>
      <c r="AF42" s="125"/>
      <c r="AG42" s="187"/>
      <c r="AH42" s="187"/>
      <c r="AI42" s="187"/>
      <c r="AJ42" s="187"/>
      <c r="AK42" s="187"/>
      <c r="AL42" s="187"/>
      <c r="AM42" s="187"/>
      <c r="AN42" s="187" t="s">
        <v>18</v>
      </c>
      <c r="AO42" s="187"/>
      <c r="AP42" s="262"/>
      <c r="AQ42" s="262"/>
    </row>
    <row r="43" spans="1:43" ht="65">
      <c r="B43" s="104" t="s">
        <v>131</v>
      </c>
      <c r="C43" s="104" t="s">
        <v>131</v>
      </c>
      <c r="D43" s="255" t="s">
        <v>126</v>
      </c>
      <c r="E43" s="255" t="s">
        <v>92</v>
      </c>
      <c r="F43" s="296" t="s">
        <v>327</v>
      </c>
      <c r="G43" s="296" t="s">
        <v>328</v>
      </c>
      <c r="H43" s="108">
        <v>0.5</v>
      </c>
      <c r="I43" s="104"/>
      <c r="J43" s="161">
        <f>VLOOKUP(B43,'[2]MASTER PART LIST'!$B:$C,2,FALSE)</f>
        <v>67</v>
      </c>
      <c r="K43" s="164">
        <f>VLOOKUP(B43,'[2]MASTER PART LIST'!$B:$D,3,FALSE)</f>
        <v>112</v>
      </c>
      <c r="L43" s="316">
        <f t="shared" si="6"/>
        <v>202.5</v>
      </c>
      <c r="M43" s="187" t="s">
        <v>18</v>
      </c>
      <c r="N43" s="187"/>
      <c r="O43" s="187"/>
      <c r="P43" s="187" t="s">
        <v>18</v>
      </c>
      <c r="Q43" s="187" t="s">
        <v>18</v>
      </c>
      <c r="R43" s="187"/>
      <c r="S43" s="187" t="s">
        <v>18</v>
      </c>
      <c r="T43" s="187" t="s">
        <v>18</v>
      </c>
      <c r="U43" s="118" t="s">
        <v>383</v>
      </c>
      <c r="V43" s="118" t="s">
        <v>467</v>
      </c>
      <c r="W43" s="309">
        <v>42</v>
      </c>
      <c r="X43" s="308" t="s">
        <v>551</v>
      </c>
      <c r="Y43" s="308" t="s">
        <v>19</v>
      </c>
      <c r="Z43" s="308" t="s">
        <v>19</v>
      </c>
      <c r="AA43" s="308" t="s">
        <v>19</v>
      </c>
      <c r="AB43" s="125"/>
      <c r="AC43" s="125"/>
      <c r="AD43" s="125"/>
      <c r="AE43" s="125"/>
      <c r="AF43" s="125"/>
      <c r="AG43" s="187"/>
      <c r="AH43" s="187"/>
      <c r="AI43" s="187"/>
      <c r="AJ43" s="187"/>
      <c r="AK43" s="187"/>
      <c r="AL43" s="187" t="s">
        <v>18</v>
      </c>
      <c r="AM43" s="187"/>
      <c r="AN43" s="187"/>
      <c r="AO43" s="187"/>
      <c r="AP43" s="262"/>
      <c r="AQ43" s="265" t="s">
        <v>513</v>
      </c>
    </row>
    <row r="44" spans="1:43" ht="31.5">
      <c r="A44" s="65"/>
      <c r="B44" s="104" t="s">
        <v>132</v>
      </c>
      <c r="C44" s="104" t="s">
        <v>132</v>
      </c>
      <c r="D44" s="255" t="s">
        <v>127</v>
      </c>
      <c r="E44" s="255" t="s">
        <v>205</v>
      </c>
      <c r="F44" s="296" t="s">
        <v>505</v>
      </c>
      <c r="G44" s="296" t="s">
        <v>506</v>
      </c>
      <c r="H44" s="108">
        <v>0.4</v>
      </c>
      <c r="I44" s="104"/>
      <c r="J44" s="161">
        <f>VLOOKUP(B44,'[2]MASTER PART LIST'!$B:$C,2,FALSE)</f>
        <v>50</v>
      </c>
      <c r="K44" s="164">
        <f>VLOOKUP(B44,'[2]MASTER PART LIST'!$B:$D,3,FALSE)</f>
        <v>83</v>
      </c>
      <c r="L44" s="316">
        <f>K44+(H44*VLOOKUP(prov_cd,rate_table,2,FALSE))</f>
        <v>155.4</v>
      </c>
      <c r="M44" s="187" t="s">
        <v>18</v>
      </c>
      <c r="N44" s="187"/>
      <c r="O44" s="187"/>
      <c r="P44" s="187" t="s">
        <v>18</v>
      </c>
      <c r="Q44" s="187" t="s">
        <v>18</v>
      </c>
      <c r="R44" s="187"/>
      <c r="S44" s="187" t="s">
        <v>18</v>
      </c>
      <c r="T44" s="187" t="s">
        <v>18</v>
      </c>
      <c r="U44" s="118"/>
      <c r="V44" s="118"/>
      <c r="W44" s="312">
        <v>43</v>
      </c>
      <c r="X44" s="308" t="s">
        <v>551</v>
      </c>
      <c r="Y44" s="308" t="s">
        <v>19</v>
      </c>
      <c r="Z44" s="308" t="s">
        <v>19</v>
      </c>
      <c r="AA44" s="308" t="s">
        <v>19</v>
      </c>
      <c r="AB44" s="125"/>
      <c r="AC44" s="125"/>
      <c r="AD44" s="125"/>
      <c r="AE44" s="125"/>
      <c r="AF44" s="125"/>
      <c r="AG44" s="187"/>
      <c r="AH44" s="187"/>
      <c r="AI44" s="187"/>
      <c r="AJ44" s="317" t="s">
        <v>18</v>
      </c>
      <c r="AK44" s="187"/>
      <c r="AL44" s="187"/>
      <c r="AM44" s="187"/>
      <c r="AN44" s="187"/>
      <c r="AO44" s="187"/>
      <c r="AP44" s="262"/>
      <c r="AQ44" s="262"/>
    </row>
    <row r="45" spans="1:43" ht="31.4" customHeight="1">
      <c r="B45" s="104" t="s">
        <v>133</v>
      </c>
      <c r="C45" s="104" t="s">
        <v>133</v>
      </c>
      <c r="D45" s="255" t="s">
        <v>143</v>
      </c>
      <c r="E45" s="255" t="s">
        <v>182</v>
      </c>
      <c r="F45" s="296" t="s">
        <v>329</v>
      </c>
      <c r="G45" s="296" t="s">
        <v>330</v>
      </c>
      <c r="H45" s="108">
        <v>0.5</v>
      </c>
      <c r="I45" s="104"/>
      <c r="J45" s="161">
        <f>VLOOKUP(B45,'[2]MASTER PART LIST'!$B:$C,2,FALSE)</f>
        <v>207</v>
      </c>
      <c r="K45" s="164">
        <f>VLOOKUP(B45,'[2]MASTER PART LIST'!$B:$D,3,FALSE)</f>
        <v>345</v>
      </c>
      <c r="L45" s="316">
        <f t="shared" si="6"/>
        <v>435.5</v>
      </c>
      <c r="M45" s="176" t="s">
        <v>19</v>
      </c>
      <c r="N45" s="176"/>
      <c r="O45" s="176"/>
      <c r="P45" s="187" t="s">
        <v>18</v>
      </c>
      <c r="Q45" s="187" t="s">
        <v>18</v>
      </c>
      <c r="R45" s="187"/>
      <c r="S45" s="317" t="s">
        <v>18</v>
      </c>
      <c r="T45" s="187" t="s">
        <v>18</v>
      </c>
      <c r="U45" s="118"/>
      <c r="V45" s="118"/>
      <c r="W45" s="309">
        <v>26</v>
      </c>
      <c r="X45" s="308" t="s">
        <v>551</v>
      </c>
      <c r="Y45" s="308" t="s">
        <v>551</v>
      </c>
      <c r="Z45" s="308" t="s">
        <v>551</v>
      </c>
      <c r="AA45" s="308" t="s">
        <v>551</v>
      </c>
      <c r="AB45" s="125"/>
      <c r="AC45" s="125"/>
      <c r="AD45" s="125"/>
      <c r="AE45" s="125"/>
      <c r="AF45" s="125"/>
      <c r="AG45" s="187"/>
      <c r="AH45" s="187"/>
      <c r="AI45" s="187"/>
      <c r="AJ45" s="187"/>
      <c r="AK45" s="187"/>
      <c r="AL45" s="187" t="s">
        <v>18</v>
      </c>
      <c r="AM45" s="187"/>
      <c r="AN45" s="187"/>
      <c r="AO45" s="187"/>
      <c r="AP45" s="262"/>
      <c r="AQ45" s="262"/>
    </row>
    <row r="46" spans="1:43" ht="39">
      <c r="B46" s="104" t="s">
        <v>134</v>
      </c>
      <c r="C46" s="104" t="s">
        <v>134</v>
      </c>
      <c r="D46" s="255" t="s">
        <v>188</v>
      </c>
      <c r="E46" s="255" t="s">
        <v>204</v>
      </c>
      <c r="F46" s="296" t="s">
        <v>329</v>
      </c>
      <c r="G46" s="296" t="s">
        <v>330</v>
      </c>
      <c r="H46" s="108">
        <v>0.5</v>
      </c>
      <c r="I46" s="104"/>
      <c r="J46" s="161">
        <f>VLOOKUP(B46,'[2]MASTER PART LIST'!$B:$C,2,FALSE)</f>
        <v>207</v>
      </c>
      <c r="K46" s="164">
        <f>VLOOKUP(B46,'[2]MASTER PART LIST'!$B:$D,3,FALSE)</f>
        <v>345</v>
      </c>
      <c r="L46" s="316">
        <f t="shared" si="6"/>
        <v>435.5</v>
      </c>
      <c r="M46" s="187" t="s">
        <v>18</v>
      </c>
      <c r="N46" s="187"/>
      <c r="O46" s="187"/>
      <c r="P46" s="176" t="s">
        <v>19</v>
      </c>
      <c r="Q46" s="176" t="s">
        <v>19</v>
      </c>
      <c r="R46" s="176"/>
      <c r="S46" s="176" t="s">
        <v>19</v>
      </c>
      <c r="T46" s="176" t="s">
        <v>19</v>
      </c>
      <c r="U46" s="118" t="s">
        <v>189</v>
      </c>
      <c r="V46" s="118" t="s">
        <v>203</v>
      </c>
      <c r="W46" s="309">
        <v>27</v>
      </c>
      <c r="X46" s="308" t="s">
        <v>551</v>
      </c>
      <c r="Y46" s="308"/>
      <c r="Z46" s="308"/>
      <c r="AA46" s="308"/>
      <c r="AB46" s="125"/>
      <c r="AC46" s="125"/>
      <c r="AD46" s="125"/>
      <c r="AE46" s="125"/>
      <c r="AF46" s="125"/>
      <c r="AG46" s="187"/>
      <c r="AH46" s="187"/>
      <c r="AI46" s="187"/>
      <c r="AJ46" s="187"/>
      <c r="AK46" s="187"/>
      <c r="AL46" s="187" t="s">
        <v>18</v>
      </c>
      <c r="AM46" s="187"/>
      <c r="AN46" s="187"/>
      <c r="AO46" s="187"/>
      <c r="AP46" s="262"/>
      <c r="AQ46" s="262"/>
    </row>
    <row r="47" spans="1:43" ht="31.5">
      <c r="B47" s="104" t="s">
        <v>135</v>
      </c>
      <c r="C47" s="104" t="s">
        <v>135</v>
      </c>
      <c r="D47" s="255" t="s">
        <v>240</v>
      </c>
      <c r="E47" s="255" t="s">
        <v>241</v>
      </c>
      <c r="F47" s="296" t="s">
        <v>331</v>
      </c>
      <c r="G47" s="296" t="s">
        <v>455</v>
      </c>
      <c r="H47" s="108">
        <v>1.2</v>
      </c>
      <c r="I47" s="104"/>
      <c r="J47" s="161">
        <f>VLOOKUP(B47,'[2]MASTER PART LIST'!$B:$C,2,FALSE)</f>
        <v>105</v>
      </c>
      <c r="K47" s="164">
        <f>VLOOKUP(B47,'[2]MASTER PART LIST'!$B:$D,3,FALSE)</f>
        <v>175</v>
      </c>
      <c r="L47" s="316">
        <f t="shared" si="6"/>
        <v>392.2</v>
      </c>
      <c r="M47" s="187" t="s">
        <v>18</v>
      </c>
      <c r="N47" s="187"/>
      <c r="O47" s="187"/>
      <c r="P47" s="176" t="s">
        <v>19</v>
      </c>
      <c r="Q47" s="176" t="s">
        <v>19</v>
      </c>
      <c r="R47" s="176"/>
      <c r="S47" s="176" t="s">
        <v>19</v>
      </c>
      <c r="T47" s="176" t="s">
        <v>19</v>
      </c>
      <c r="U47" s="118" t="s">
        <v>539</v>
      </c>
      <c r="V47" s="118" t="s">
        <v>540</v>
      </c>
      <c r="W47" s="309">
        <v>30</v>
      </c>
      <c r="X47" s="308" t="s">
        <v>551</v>
      </c>
      <c r="Y47" s="308"/>
      <c r="Z47" s="308"/>
      <c r="AA47" s="308"/>
      <c r="AB47" s="125"/>
      <c r="AC47" s="125"/>
      <c r="AD47" s="125"/>
      <c r="AE47" s="125"/>
      <c r="AF47" s="125"/>
      <c r="AG47" s="187"/>
      <c r="AH47" s="187"/>
      <c r="AI47" s="187"/>
      <c r="AJ47" s="187"/>
      <c r="AK47" s="187"/>
      <c r="AL47" s="187"/>
      <c r="AM47" s="187"/>
      <c r="AN47" s="187" t="s">
        <v>18</v>
      </c>
      <c r="AO47" s="187"/>
      <c r="AP47" s="262"/>
      <c r="AQ47" s="265"/>
    </row>
    <row r="48" spans="1:43" ht="31.5">
      <c r="B48" s="104" t="s">
        <v>541</v>
      </c>
      <c r="C48" s="104" t="s">
        <v>541</v>
      </c>
      <c r="D48" s="255" t="s">
        <v>543</v>
      </c>
      <c r="E48" s="255" t="s">
        <v>542</v>
      </c>
      <c r="F48" s="296" t="s">
        <v>544</v>
      </c>
      <c r="G48" s="296" t="s">
        <v>545</v>
      </c>
      <c r="H48" s="108">
        <v>1</v>
      </c>
      <c r="I48" s="104"/>
      <c r="J48" s="161">
        <f>VLOOKUP(B48,'[2]MASTER PART LIST'!$B:$C,2,FALSE)</f>
        <v>86</v>
      </c>
      <c r="K48" s="164">
        <f>VLOOKUP(B48,'[2]MASTER PART LIST'!$B:$D,3,FALSE)</f>
        <v>123</v>
      </c>
      <c r="L48" s="316">
        <f t="shared" ref="L48" si="7">K48+(H48*VLOOKUP(prov_cd,rate_table,2,FALSE))</f>
        <v>304</v>
      </c>
      <c r="M48" s="187" t="s">
        <v>18</v>
      </c>
      <c r="N48" s="187"/>
      <c r="O48" s="187"/>
      <c r="P48" s="187" t="s">
        <v>18</v>
      </c>
      <c r="Q48" s="187" t="s">
        <v>18</v>
      </c>
      <c r="R48" s="187"/>
      <c r="S48" s="187" t="s">
        <v>18</v>
      </c>
      <c r="T48" s="187" t="s">
        <v>18</v>
      </c>
      <c r="U48" s="118" t="s">
        <v>187</v>
      </c>
      <c r="V48" s="118" t="s">
        <v>202</v>
      </c>
      <c r="W48" s="309">
        <v>31</v>
      </c>
      <c r="X48" s="308" t="s">
        <v>551</v>
      </c>
      <c r="Y48" s="308"/>
      <c r="Z48" s="308"/>
      <c r="AA48" s="308"/>
      <c r="AB48" s="125"/>
      <c r="AC48" s="125"/>
      <c r="AD48" s="125"/>
      <c r="AE48" s="125"/>
      <c r="AF48" s="125"/>
      <c r="AG48" s="187"/>
      <c r="AH48" s="187"/>
      <c r="AI48" s="187"/>
      <c r="AJ48" s="187"/>
      <c r="AK48" s="187"/>
      <c r="AL48" s="187"/>
      <c r="AM48" s="187"/>
      <c r="AN48" s="187" t="s">
        <v>18</v>
      </c>
      <c r="AO48" s="187"/>
      <c r="AP48" s="262"/>
      <c r="AQ48" s="265"/>
    </row>
    <row r="49" spans="1:43" ht="31.5">
      <c r="B49" s="104" t="s">
        <v>390</v>
      </c>
      <c r="C49" s="218" t="s">
        <v>390</v>
      </c>
      <c r="D49" s="255" t="s">
        <v>388</v>
      </c>
      <c r="E49" s="255" t="s">
        <v>457</v>
      </c>
      <c r="F49" s="296" t="s">
        <v>445</v>
      </c>
      <c r="G49" s="296" t="s">
        <v>456</v>
      </c>
      <c r="H49" s="108">
        <v>0.2</v>
      </c>
      <c r="I49" s="104"/>
      <c r="J49" s="161">
        <f>VLOOKUP(B49,'[2]MASTER PART LIST'!$B:$C,2,FALSE)</f>
        <v>46</v>
      </c>
      <c r="K49" s="164">
        <f>VLOOKUP(B49,'[2]MASTER PART LIST'!$B:$D,3,FALSE)</f>
        <v>77</v>
      </c>
      <c r="L49" s="316">
        <f t="shared" si="6"/>
        <v>113.2</v>
      </c>
      <c r="M49" s="176" t="s">
        <v>19</v>
      </c>
      <c r="N49" s="176"/>
      <c r="O49" s="176"/>
      <c r="P49" s="176" t="s">
        <v>19</v>
      </c>
      <c r="Q49" s="317" t="s">
        <v>18</v>
      </c>
      <c r="R49" s="187"/>
      <c r="S49" s="317" t="s">
        <v>18</v>
      </c>
      <c r="T49" s="176" t="s">
        <v>19</v>
      </c>
      <c r="U49" s="118"/>
      <c r="V49" s="118"/>
      <c r="W49" s="309">
        <v>32</v>
      </c>
      <c r="X49" s="308"/>
      <c r="Y49" s="308"/>
      <c r="Z49" s="308"/>
      <c r="AA49" s="308"/>
      <c r="AB49" s="125"/>
      <c r="AC49" s="125"/>
      <c r="AD49" s="125"/>
      <c r="AE49" s="125"/>
      <c r="AF49" s="125"/>
      <c r="AG49" s="187"/>
      <c r="AH49" s="187"/>
      <c r="AI49" s="187"/>
      <c r="AJ49" s="187"/>
      <c r="AK49" s="187"/>
      <c r="AL49" s="187" t="s">
        <v>18</v>
      </c>
      <c r="AM49" s="187"/>
      <c r="AN49" s="187"/>
      <c r="AO49" s="187"/>
      <c r="AP49" s="262"/>
      <c r="AQ49" s="262"/>
    </row>
    <row r="50" spans="1:43" ht="31.5">
      <c r="B50" s="104" t="s">
        <v>150</v>
      </c>
      <c r="C50" s="104" t="s">
        <v>150</v>
      </c>
      <c r="D50" s="255" t="s">
        <v>162</v>
      </c>
      <c r="E50" s="255" t="s">
        <v>93</v>
      </c>
      <c r="F50" s="296" t="s">
        <v>446</v>
      </c>
      <c r="G50" s="296" t="s">
        <v>458</v>
      </c>
      <c r="H50" s="108">
        <v>0.6</v>
      </c>
      <c r="I50" s="104"/>
      <c r="J50" s="161">
        <f>VLOOKUP(B50,'[2]MASTER PART LIST'!$B:$C,2,FALSE)</f>
        <v>221</v>
      </c>
      <c r="K50" s="164">
        <f>VLOOKUP(B50,'[2]MASTER PART LIST'!$B:$D,3,FALSE)</f>
        <v>368</v>
      </c>
      <c r="L50" s="316">
        <f t="shared" si="6"/>
        <v>476.6</v>
      </c>
      <c r="M50" s="187" t="s">
        <v>18</v>
      </c>
      <c r="N50" s="187"/>
      <c r="O50" s="187"/>
      <c r="P50" s="187" t="s">
        <v>18</v>
      </c>
      <c r="Q50" s="187" t="s">
        <v>18</v>
      </c>
      <c r="R50" s="187"/>
      <c r="S50" s="187" t="s">
        <v>18</v>
      </c>
      <c r="T50" s="187" t="s">
        <v>18</v>
      </c>
      <c r="U50" s="118"/>
      <c r="V50" s="118"/>
      <c r="W50" s="310">
        <v>50</v>
      </c>
      <c r="X50" s="308" t="s">
        <v>551</v>
      </c>
      <c r="Y50" s="308" t="s">
        <v>19</v>
      </c>
      <c r="Z50" s="308" t="s">
        <v>19</v>
      </c>
      <c r="AA50" s="308" t="s">
        <v>19</v>
      </c>
      <c r="AB50" s="125"/>
      <c r="AC50" s="125"/>
      <c r="AD50" s="125"/>
      <c r="AE50" s="125"/>
      <c r="AF50" s="125"/>
      <c r="AG50" s="187"/>
      <c r="AH50" s="187"/>
      <c r="AI50" s="187"/>
      <c r="AJ50" s="187"/>
      <c r="AK50" s="187"/>
      <c r="AL50" s="187" t="s">
        <v>18</v>
      </c>
      <c r="AM50" s="187"/>
      <c r="AN50" s="187"/>
      <c r="AO50" s="187"/>
      <c r="AP50" s="262"/>
      <c r="AQ50" s="262"/>
    </row>
    <row r="51" spans="1:43" ht="31.75" customHeight="1">
      <c r="B51" s="104" t="s">
        <v>136</v>
      </c>
      <c r="C51" s="104" t="s">
        <v>136</v>
      </c>
      <c r="D51" s="255" t="s">
        <v>20</v>
      </c>
      <c r="E51" s="255" t="s">
        <v>94</v>
      </c>
      <c r="F51" s="296" t="s">
        <v>333</v>
      </c>
      <c r="G51" s="296" t="s">
        <v>332</v>
      </c>
      <c r="H51" s="108">
        <v>0.3</v>
      </c>
      <c r="I51" s="104"/>
      <c r="J51" s="161">
        <f>VLOOKUP(B51,'[2]MASTER PART LIST'!$B:$C,2,FALSE)</f>
        <v>174</v>
      </c>
      <c r="K51" s="164">
        <f>VLOOKUP(B51,'[2]MASTER PART LIST'!$B:$D,3,FALSE)</f>
        <v>290</v>
      </c>
      <c r="L51" s="316">
        <f t="shared" si="6"/>
        <v>344.3</v>
      </c>
      <c r="M51" s="176" t="s">
        <v>19</v>
      </c>
      <c r="N51" s="187"/>
      <c r="O51" s="187"/>
      <c r="P51" s="187" t="s">
        <v>18</v>
      </c>
      <c r="Q51" s="187" t="s">
        <v>18</v>
      </c>
      <c r="R51" s="187"/>
      <c r="S51" s="187" t="s">
        <v>18</v>
      </c>
      <c r="T51" s="187" t="s">
        <v>18</v>
      </c>
      <c r="U51" s="118"/>
      <c r="V51" s="118"/>
      <c r="W51" s="310">
        <v>28</v>
      </c>
      <c r="X51" s="308" t="s">
        <v>551</v>
      </c>
      <c r="Y51" s="308" t="s">
        <v>551</v>
      </c>
      <c r="Z51" s="308" t="s">
        <v>551</v>
      </c>
      <c r="AA51" s="308" t="s">
        <v>551</v>
      </c>
      <c r="AB51" s="125"/>
      <c r="AC51" s="125"/>
      <c r="AD51" s="125"/>
      <c r="AE51" s="125"/>
      <c r="AF51" s="125"/>
      <c r="AG51" s="187"/>
      <c r="AH51" s="187"/>
      <c r="AI51" s="187"/>
      <c r="AJ51" s="187"/>
      <c r="AK51" s="187"/>
      <c r="AL51" s="187" t="s">
        <v>18</v>
      </c>
      <c r="AM51" s="187"/>
      <c r="AN51" s="187"/>
      <c r="AO51" s="187"/>
      <c r="AP51" s="262"/>
      <c r="AQ51" s="262"/>
    </row>
    <row r="52" spans="1:43" ht="31.75" customHeight="1">
      <c r="B52" s="104" t="s">
        <v>137</v>
      </c>
      <c r="C52" s="104" t="s">
        <v>137</v>
      </c>
      <c r="D52" s="255" t="s">
        <v>128</v>
      </c>
      <c r="E52" s="255" t="s">
        <v>183</v>
      </c>
      <c r="F52" s="296" t="s">
        <v>334</v>
      </c>
      <c r="G52" s="296" t="s">
        <v>335</v>
      </c>
      <c r="H52" s="108">
        <v>0.3</v>
      </c>
      <c r="I52" s="104"/>
      <c r="J52" s="161">
        <f>VLOOKUP(B52,'[2]MASTER PART LIST'!$B:$C,2,FALSE)</f>
        <v>68</v>
      </c>
      <c r="K52" s="164">
        <f>VLOOKUP(B52,'[2]MASTER PART LIST'!$B:$D,3,FALSE)</f>
        <v>113</v>
      </c>
      <c r="L52" s="316">
        <f t="shared" si="6"/>
        <v>167.3</v>
      </c>
      <c r="M52" s="187" t="s">
        <v>18</v>
      </c>
      <c r="N52" s="187"/>
      <c r="O52" s="187"/>
      <c r="P52" s="187" t="s">
        <v>18</v>
      </c>
      <c r="Q52" s="187" t="s">
        <v>18</v>
      </c>
      <c r="R52" s="187"/>
      <c r="S52" s="187" t="s">
        <v>18</v>
      </c>
      <c r="T52" s="187" t="s">
        <v>18</v>
      </c>
      <c r="U52" s="118"/>
      <c r="V52" s="118"/>
      <c r="W52" s="310">
        <v>44</v>
      </c>
      <c r="X52" s="308" t="s">
        <v>551</v>
      </c>
      <c r="Y52" s="308" t="s">
        <v>19</v>
      </c>
      <c r="Z52" s="308" t="s">
        <v>551</v>
      </c>
      <c r="AA52" s="308" t="s">
        <v>551</v>
      </c>
      <c r="AB52" s="125"/>
      <c r="AC52" s="125"/>
      <c r="AD52" s="125"/>
      <c r="AE52" s="125"/>
      <c r="AF52" s="125"/>
      <c r="AG52" s="187"/>
      <c r="AH52" s="187"/>
      <c r="AI52" s="187"/>
      <c r="AJ52" s="187"/>
      <c r="AK52" s="187"/>
      <c r="AL52" s="187" t="s">
        <v>18</v>
      </c>
      <c r="AM52" s="187"/>
      <c r="AN52" s="187"/>
      <c r="AO52" s="187"/>
      <c r="AP52" s="262"/>
      <c r="AQ52" s="262" t="s">
        <v>514</v>
      </c>
    </row>
    <row r="53" spans="1:43" ht="31.5">
      <c r="B53" s="104" t="s">
        <v>140</v>
      </c>
      <c r="C53" s="104" t="s">
        <v>140</v>
      </c>
      <c r="D53" s="255" t="s">
        <v>555</v>
      </c>
      <c r="E53" s="255" t="s">
        <v>179</v>
      </c>
      <c r="F53" s="296" t="s">
        <v>336</v>
      </c>
      <c r="G53" s="296" t="s">
        <v>337</v>
      </c>
      <c r="H53" s="108">
        <v>0.4</v>
      </c>
      <c r="I53" s="104"/>
      <c r="J53" s="161">
        <f>VLOOKUP(B53,'[2]MASTER PART LIST'!$B:$C,2,FALSE)</f>
        <v>63</v>
      </c>
      <c r="K53" s="164">
        <f>VLOOKUP(B53,'[2]MASTER PART LIST'!$B:$D,3,FALSE)</f>
        <v>105</v>
      </c>
      <c r="L53" s="316">
        <f t="shared" si="6"/>
        <v>177.4</v>
      </c>
      <c r="M53" s="187" t="s">
        <v>18</v>
      </c>
      <c r="N53" s="187"/>
      <c r="O53" s="187"/>
      <c r="P53" s="187" t="s">
        <v>18</v>
      </c>
      <c r="Q53" s="187" t="s">
        <v>18</v>
      </c>
      <c r="R53" s="187"/>
      <c r="S53" s="187" t="s">
        <v>18</v>
      </c>
      <c r="T53" s="187" t="s">
        <v>18</v>
      </c>
      <c r="U53" s="118"/>
      <c r="V53" s="118"/>
      <c r="W53" s="310">
        <v>51</v>
      </c>
      <c r="X53" s="308" t="s">
        <v>551</v>
      </c>
      <c r="Y53" s="308" t="s">
        <v>19</v>
      </c>
      <c r="Z53" s="308" t="s">
        <v>19</v>
      </c>
      <c r="AA53" s="308" t="s">
        <v>19</v>
      </c>
      <c r="AB53" s="125"/>
      <c r="AC53" s="125"/>
      <c r="AD53" s="125"/>
      <c r="AE53" s="125"/>
      <c r="AF53" s="125"/>
      <c r="AG53" s="187"/>
      <c r="AH53" s="187"/>
      <c r="AI53" s="187"/>
      <c r="AJ53" s="187"/>
      <c r="AK53" s="187"/>
      <c r="AL53" s="187" t="s">
        <v>18</v>
      </c>
      <c r="AM53" s="187"/>
      <c r="AN53" s="187"/>
      <c r="AO53" s="187"/>
      <c r="AP53" s="262"/>
      <c r="AQ53" s="262"/>
    </row>
    <row r="54" spans="1:43" ht="63">
      <c r="B54" s="189" t="s">
        <v>368</v>
      </c>
      <c r="C54" s="104" t="s">
        <v>427</v>
      </c>
      <c r="D54" s="255" t="s">
        <v>465</v>
      </c>
      <c r="E54" s="255" t="s">
        <v>459</v>
      </c>
      <c r="F54" s="296" t="s">
        <v>447</v>
      </c>
      <c r="G54" s="296" t="s">
        <v>460</v>
      </c>
      <c r="H54" s="170">
        <f>H55</f>
        <v>1</v>
      </c>
      <c r="I54" s="104"/>
      <c r="J54" s="169">
        <f>J55</f>
        <v>262</v>
      </c>
      <c r="K54" s="168">
        <f>K55</f>
        <v>437</v>
      </c>
      <c r="L54" s="316">
        <f t="shared" si="6"/>
        <v>618</v>
      </c>
      <c r="M54" s="187" t="s">
        <v>18</v>
      </c>
      <c r="N54" s="187"/>
      <c r="O54" s="187"/>
      <c r="P54" s="187" t="s">
        <v>18</v>
      </c>
      <c r="Q54" s="187" t="s">
        <v>18</v>
      </c>
      <c r="R54" s="187"/>
      <c r="S54" s="187" t="s">
        <v>18</v>
      </c>
      <c r="T54" s="187" t="s">
        <v>18</v>
      </c>
      <c r="U54" s="118"/>
      <c r="V54" s="118"/>
      <c r="W54" s="310">
        <v>23</v>
      </c>
      <c r="X54" s="308" t="s">
        <v>551</v>
      </c>
      <c r="Y54" s="308" t="s">
        <v>19</v>
      </c>
      <c r="Z54" s="308" t="s">
        <v>19</v>
      </c>
      <c r="AA54" s="308" t="s">
        <v>19</v>
      </c>
      <c r="AB54" s="125"/>
      <c r="AC54" s="125"/>
      <c r="AD54" s="125"/>
      <c r="AE54" s="125"/>
      <c r="AF54" s="125"/>
      <c r="AG54" s="187"/>
      <c r="AH54" s="187"/>
      <c r="AI54" s="187"/>
      <c r="AJ54" s="187"/>
      <c r="AK54" s="187"/>
      <c r="AL54" s="187"/>
      <c r="AM54" s="187"/>
      <c r="AN54" s="187" t="s">
        <v>18</v>
      </c>
      <c r="AO54" s="187"/>
      <c r="AP54" s="262"/>
      <c r="AQ54" s="262" t="s">
        <v>515</v>
      </c>
    </row>
    <row r="55" spans="1:43" ht="26" hidden="1" outlineLevel="1">
      <c r="B55" s="104" t="s">
        <v>427</v>
      </c>
      <c r="C55" s="108" t="s">
        <v>19</v>
      </c>
      <c r="D55" s="255" t="s">
        <v>58</v>
      </c>
      <c r="E55" s="255" t="s">
        <v>192</v>
      </c>
      <c r="F55" s="296"/>
      <c r="G55" s="296"/>
      <c r="H55" s="166">
        <v>1</v>
      </c>
      <c r="I55" s="127"/>
      <c r="J55" s="161">
        <f>VLOOKUP(B55,'[2]MASTER PART LIST'!$B:$C,2,FALSE)</f>
        <v>262</v>
      </c>
      <c r="K55" s="164">
        <f>VLOOKUP(B55,'[2]MASTER PART LIST'!$B:$D,3,FALSE)</f>
        <v>437</v>
      </c>
      <c r="L55" s="316">
        <f t="shared" si="6"/>
        <v>618</v>
      </c>
      <c r="M55" s="187" t="s">
        <v>18</v>
      </c>
      <c r="N55" s="187"/>
      <c r="O55" s="187"/>
      <c r="P55" s="187" t="s">
        <v>18</v>
      </c>
      <c r="Q55" s="187" t="s">
        <v>18</v>
      </c>
      <c r="R55" s="187"/>
      <c r="S55" s="187" t="s">
        <v>18</v>
      </c>
      <c r="T55" s="187" t="s">
        <v>18</v>
      </c>
      <c r="U55" s="118"/>
      <c r="V55" s="118"/>
      <c r="W55" s="313"/>
      <c r="X55" s="308"/>
      <c r="Y55" s="308"/>
      <c r="Z55" s="308"/>
      <c r="AA55" s="308"/>
      <c r="AB55" s="125"/>
      <c r="AC55" s="125"/>
      <c r="AD55" s="125"/>
      <c r="AE55" s="125"/>
      <c r="AF55" s="125"/>
      <c r="AG55" s="126"/>
      <c r="AH55" s="176"/>
      <c r="AI55" s="176"/>
      <c r="AJ55" s="176"/>
      <c r="AK55" s="176"/>
      <c r="AL55" s="176"/>
      <c r="AM55" s="176"/>
      <c r="AN55" s="176"/>
      <c r="AO55" s="176"/>
      <c r="AP55" s="262"/>
      <c r="AQ55" s="262"/>
    </row>
    <row r="56" spans="1:43" ht="26" hidden="1" outlineLevel="1">
      <c r="B56" s="104" t="s">
        <v>428</v>
      </c>
      <c r="C56" s="108" t="s">
        <v>19</v>
      </c>
      <c r="D56" s="255" t="s">
        <v>118</v>
      </c>
      <c r="E56" s="255" t="s">
        <v>193</v>
      </c>
      <c r="F56" s="296"/>
      <c r="G56" s="296"/>
      <c r="H56" s="166">
        <v>1</v>
      </c>
      <c r="I56" s="127"/>
      <c r="J56" s="161">
        <f>VLOOKUP(B56,'[2]MASTER PART LIST'!$B:$C,2,FALSE)</f>
        <v>262</v>
      </c>
      <c r="K56" s="164">
        <f>VLOOKUP(B56,'[2]MASTER PART LIST'!$B:$D,3,FALSE)</f>
        <v>437</v>
      </c>
      <c r="L56" s="316">
        <f t="shared" si="6"/>
        <v>618</v>
      </c>
      <c r="M56" s="176" t="s">
        <v>19</v>
      </c>
      <c r="N56" s="187"/>
      <c r="O56" s="187"/>
      <c r="P56" s="187" t="s">
        <v>18</v>
      </c>
      <c r="Q56" s="176" t="s">
        <v>19</v>
      </c>
      <c r="R56" s="187"/>
      <c r="S56" s="176" t="s">
        <v>19</v>
      </c>
      <c r="T56" s="176" t="s">
        <v>19</v>
      </c>
      <c r="U56" s="118"/>
      <c r="V56" s="118"/>
      <c r="W56" s="313"/>
      <c r="X56" s="308"/>
      <c r="Y56" s="308"/>
      <c r="Z56" s="308"/>
      <c r="AA56" s="308"/>
      <c r="AB56" s="125"/>
      <c r="AC56" s="125"/>
      <c r="AD56" s="125"/>
      <c r="AE56" s="125"/>
      <c r="AF56" s="125"/>
      <c r="AG56" s="126"/>
      <c r="AH56" s="176"/>
      <c r="AI56" s="176"/>
      <c r="AJ56" s="176"/>
      <c r="AK56" s="176"/>
      <c r="AL56" s="176"/>
      <c r="AM56" s="176"/>
      <c r="AN56" s="176"/>
      <c r="AO56" s="176"/>
      <c r="AP56" s="262"/>
      <c r="AQ56" s="262"/>
    </row>
    <row r="57" spans="1:43" ht="15.5" hidden="1" outlineLevel="1">
      <c r="B57" s="104" t="s">
        <v>429</v>
      </c>
      <c r="C57" s="108" t="s">
        <v>19</v>
      </c>
      <c r="D57" s="255" t="s">
        <v>57</v>
      </c>
      <c r="E57" s="255" t="s">
        <v>194</v>
      </c>
      <c r="F57" s="296"/>
      <c r="G57" s="296"/>
      <c r="H57" s="166">
        <v>1</v>
      </c>
      <c r="I57" s="127"/>
      <c r="J57" s="161">
        <f>VLOOKUP(B57,'[2]MASTER PART LIST'!$B:$C,2,FALSE)</f>
        <v>262</v>
      </c>
      <c r="K57" s="164">
        <f>VLOOKUP(B57,'[2]MASTER PART LIST'!$B:$D,3,FALSE)</f>
        <v>437</v>
      </c>
      <c r="L57" s="316">
        <f t="shared" si="6"/>
        <v>618</v>
      </c>
      <c r="M57" s="187" t="s">
        <v>18</v>
      </c>
      <c r="N57" s="187"/>
      <c r="O57" s="187"/>
      <c r="P57" s="187" t="s">
        <v>18</v>
      </c>
      <c r="Q57" s="187" t="s">
        <v>18</v>
      </c>
      <c r="R57" s="187"/>
      <c r="S57" s="187" t="s">
        <v>18</v>
      </c>
      <c r="T57" s="187" t="s">
        <v>18</v>
      </c>
      <c r="U57" s="118"/>
      <c r="V57" s="118"/>
      <c r="W57" s="313"/>
      <c r="X57" s="308"/>
      <c r="Y57" s="308"/>
      <c r="Z57" s="308"/>
      <c r="AA57" s="308"/>
      <c r="AB57" s="125"/>
      <c r="AC57" s="125"/>
      <c r="AD57" s="125"/>
      <c r="AE57" s="125"/>
      <c r="AF57" s="125"/>
      <c r="AG57" s="126"/>
      <c r="AH57" s="176"/>
      <c r="AI57" s="176"/>
      <c r="AJ57" s="176"/>
      <c r="AK57" s="176"/>
      <c r="AL57" s="176"/>
      <c r="AM57" s="176"/>
      <c r="AN57" s="176"/>
      <c r="AO57" s="176"/>
      <c r="AP57" s="262"/>
      <c r="AQ57" s="262"/>
    </row>
    <row r="58" spans="1:43" ht="15.5" hidden="1" outlineLevel="1">
      <c r="B58" s="104" t="s">
        <v>430</v>
      </c>
      <c r="C58" s="108" t="s">
        <v>19</v>
      </c>
      <c r="D58" s="255" t="s">
        <v>119</v>
      </c>
      <c r="E58" s="255" t="s">
        <v>191</v>
      </c>
      <c r="F58" s="296"/>
      <c r="G58" s="296"/>
      <c r="H58" s="166">
        <v>1</v>
      </c>
      <c r="I58" s="127"/>
      <c r="J58" s="161">
        <f>VLOOKUP(B58,'[2]MASTER PART LIST'!$B:$C,2,FALSE)</f>
        <v>262</v>
      </c>
      <c r="K58" s="164">
        <f>VLOOKUP(B58,'[2]MASTER PART LIST'!$B:$D,3,FALSE)</f>
        <v>437</v>
      </c>
      <c r="L58" s="316">
        <f t="shared" si="6"/>
        <v>618</v>
      </c>
      <c r="M58" s="187" t="s">
        <v>18</v>
      </c>
      <c r="N58" s="176"/>
      <c r="O58" s="176"/>
      <c r="P58" s="187" t="s">
        <v>18</v>
      </c>
      <c r="Q58" s="187" t="s">
        <v>18</v>
      </c>
      <c r="R58" s="187"/>
      <c r="S58" s="187" t="s">
        <v>18</v>
      </c>
      <c r="T58" s="187" t="s">
        <v>18</v>
      </c>
      <c r="U58" s="118"/>
      <c r="V58" s="118"/>
      <c r="W58" s="313"/>
      <c r="X58" s="308"/>
      <c r="Y58" s="308"/>
      <c r="Z58" s="308"/>
      <c r="AA58" s="308"/>
      <c r="AB58" s="125"/>
      <c r="AC58" s="125"/>
      <c r="AD58" s="125"/>
      <c r="AE58" s="125"/>
      <c r="AF58" s="125"/>
      <c r="AG58" s="126"/>
      <c r="AH58" s="176"/>
      <c r="AI58" s="176"/>
      <c r="AJ58" s="176"/>
      <c r="AK58" s="176"/>
      <c r="AL58" s="176"/>
      <c r="AM58" s="176"/>
      <c r="AN58" s="176"/>
      <c r="AO58" s="176"/>
      <c r="AP58" s="262"/>
      <c r="AQ58" s="262"/>
    </row>
    <row r="59" spans="1:43" ht="15.5" hidden="1" outlineLevel="1">
      <c r="B59" s="104" t="s">
        <v>431</v>
      </c>
      <c r="C59" s="108" t="s">
        <v>19</v>
      </c>
      <c r="D59" s="255" t="s">
        <v>416</v>
      </c>
      <c r="E59" s="255" t="s">
        <v>417</v>
      </c>
      <c r="F59" s="296"/>
      <c r="G59" s="296"/>
      <c r="H59" s="166">
        <v>1</v>
      </c>
      <c r="I59" s="127"/>
      <c r="J59" s="161">
        <f>VLOOKUP(B59,'[2]MASTER PART LIST'!$B:$C,2,FALSE)</f>
        <v>262</v>
      </c>
      <c r="K59" s="164">
        <f>VLOOKUP(B59,'[2]MASTER PART LIST'!$B:$D,3,FALSE)</f>
        <v>437</v>
      </c>
      <c r="L59" s="316">
        <f t="shared" si="6"/>
        <v>618</v>
      </c>
      <c r="M59" s="176" t="s">
        <v>19</v>
      </c>
      <c r="N59" s="187"/>
      <c r="O59" s="187"/>
      <c r="P59" s="176" t="s">
        <v>19</v>
      </c>
      <c r="Q59" s="176" t="s">
        <v>19</v>
      </c>
      <c r="R59" s="176"/>
      <c r="S59" s="187" t="s">
        <v>18</v>
      </c>
      <c r="T59" s="187" t="s">
        <v>18</v>
      </c>
      <c r="U59" s="118"/>
      <c r="V59" s="118"/>
      <c r="W59" s="313"/>
      <c r="X59" s="308"/>
      <c r="Y59" s="308"/>
      <c r="Z59" s="308"/>
      <c r="AA59" s="308"/>
      <c r="AB59" s="125"/>
      <c r="AC59" s="125"/>
      <c r="AD59" s="125"/>
      <c r="AE59" s="125"/>
      <c r="AF59" s="125"/>
      <c r="AG59" s="126"/>
      <c r="AH59" s="176"/>
      <c r="AI59" s="176"/>
      <c r="AJ59" s="176"/>
      <c r="AK59" s="176"/>
      <c r="AL59" s="176"/>
      <c r="AM59" s="176"/>
      <c r="AN59" s="176"/>
      <c r="AO59" s="176"/>
      <c r="AP59" s="262"/>
      <c r="AQ59" s="262"/>
    </row>
    <row r="60" spans="1:43" ht="15.5" hidden="1" outlineLevel="1">
      <c r="B60" s="104" t="s">
        <v>432</v>
      </c>
      <c r="C60" s="108" t="s">
        <v>19</v>
      </c>
      <c r="D60" s="255" t="s">
        <v>486</v>
      </c>
      <c r="E60" s="255" t="s">
        <v>485</v>
      </c>
      <c r="F60" s="296"/>
      <c r="G60" s="296"/>
      <c r="H60" s="166">
        <v>1</v>
      </c>
      <c r="I60" s="127"/>
      <c r="J60" s="161">
        <f>VLOOKUP(B60,'[2]MASTER PART LIST'!$B:$C,2,FALSE)</f>
        <v>262</v>
      </c>
      <c r="K60" s="164">
        <f>VLOOKUP(B60,'[2]MASTER PART LIST'!$B:$D,3,FALSE)</f>
        <v>437</v>
      </c>
      <c r="L60" s="316">
        <f t="shared" si="6"/>
        <v>618</v>
      </c>
      <c r="M60" s="176" t="s">
        <v>19</v>
      </c>
      <c r="N60" s="176"/>
      <c r="O60" s="176"/>
      <c r="P60" s="176" t="s">
        <v>19</v>
      </c>
      <c r="Q60" s="176" t="s">
        <v>19</v>
      </c>
      <c r="R60" s="176"/>
      <c r="S60" s="187" t="s">
        <v>18</v>
      </c>
      <c r="T60" s="176" t="s">
        <v>19</v>
      </c>
      <c r="U60" s="118"/>
      <c r="V60" s="118"/>
      <c r="W60" s="313"/>
      <c r="X60" s="308"/>
      <c r="Y60" s="308"/>
      <c r="Z60" s="308"/>
      <c r="AA60" s="308"/>
      <c r="AB60" s="125"/>
      <c r="AC60" s="125"/>
      <c r="AD60" s="125"/>
      <c r="AE60" s="125"/>
      <c r="AF60" s="125"/>
      <c r="AG60" s="126"/>
      <c r="AH60" s="176"/>
      <c r="AI60" s="176"/>
      <c r="AJ60" s="176"/>
      <c r="AK60" s="176"/>
      <c r="AL60" s="176"/>
      <c r="AM60" s="176"/>
      <c r="AN60" s="176"/>
      <c r="AO60" s="176"/>
      <c r="AP60" s="262"/>
      <c r="AQ60" s="262"/>
    </row>
    <row r="61" spans="1:43" ht="26" hidden="1" outlineLevel="1">
      <c r="B61" s="104" t="s">
        <v>433</v>
      </c>
      <c r="C61" s="108" t="s">
        <v>19</v>
      </c>
      <c r="D61" s="255" t="s">
        <v>413</v>
      </c>
      <c r="E61" s="218" t="s">
        <v>414</v>
      </c>
      <c r="F61" s="296"/>
      <c r="G61" s="296"/>
      <c r="H61" s="166">
        <v>1</v>
      </c>
      <c r="I61" s="127"/>
      <c r="J61" s="161">
        <f>VLOOKUP(B61,'[2]MASTER PART LIST'!$B:$C,2,FALSE)</f>
        <v>262</v>
      </c>
      <c r="K61" s="164">
        <f>VLOOKUP(B61,'[2]MASTER PART LIST'!$B:$D,3,FALSE)</f>
        <v>437</v>
      </c>
      <c r="L61" s="316">
        <f t="shared" si="6"/>
        <v>618</v>
      </c>
      <c r="M61" s="187" t="s">
        <v>18</v>
      </c>
      <c r="N61" s="187"/>
      <c r="O61" s="187"/>
      <c r="P61" s="187" t="s">
        <v>18</v>
      </c>
      <c r="Q61" s="187" t="s">
        <v>18</v>
      </c>
      <c r="R61" s="187"/>
      <c r="S61" s="187" t="s">
        <v>18</v>
      </c>
      <c r="T61" s="176" t="s">
        <v>19</v>
      </c>
      <c r="U61" s="118"/>
      <c r="V61" s="118"/>
      <c r="W61" s="313"/>
      <c r="X61" s="308"/>
      <c r="Y61" s="308"/>
      <c r="Z61" s="308"/>
      <c r="AA61" s="308"/>
      <c r="AB61" s="125"/>
      <c r="AC61" s="125"/>
      <c r="AD61" s="125"/>
      <c r="AE61" s="125"/>
      <c r="AF61" s="125"/>
      <c r="AG61" s="126"/>
      <c r="AH61" s="176"/>
      <c r="AI61" s="176"/>
      <c r="AJ61" s="176"/>
      <c r="AK61" s="176"/>
      <c r="AL61" s="176"/>
      <c r="AM61" s="176"/>
      <c r="AN61" s="176"/>
      <c r="AO61" s="176"/>
      <c r="AP61" s="262"/>
      <c r="AQ61" s="262"/>
    </row>
    <row r="62" spans="1:43" ht="63" collapsed="1">
      <c r="A62" s="112"/>
      <c r="B62" s="104" t="s">
        <v>138</v>
      </c>
      <c r="C62" s="104" t="s">
        <v>138</v>
      </c>
      <c r="D62" s="255" t="s">
        <v>247</v>
      </c>
      <c r="E62" s="255" t="s">
        <v>209</v>
      </c>
      <c r="F62" s="296" t="s">
        <v>461</v>
      </c>
      <c r="G62" s="296" t="s">
        <v>463</v>
      </c>
      <c r="H62" s="166">
        <v>1</v>
      </c>
      <c r="I62" s="104"/>
      <c r="J62" s="161">
        <f>VLOOKUP(B62,'[2]MASTER PART LIST'!$B:$C,2,FALSE)</f>
        <v>230</v>
      </c>
      <c r="K62" s="164">
        <f>VLOOKUP(B62,'[2]MASTER PART LIST'!$B:$D,3,FALSE)</f>
        <v>383</v>
      </c>
      <c r="L62" s="316">
        <f t="shared" si="6"/>
        <v>564</v>
      </c>
      <c r="M62" s="187" t="s">
        <v>18</v>
      </c>
      <c r="N62" s="187"/>
      <c r="O62" s="187"/>
      <c r="P62" s="187" t="s">
        <v>18</v>
      </c>
      <c r="Q62" s="187" t="s">
        <v>18</v>
      </c>
      <c r="R62" s="187"/>
      <c r="S62" s="187" t="s">
        <v>18</v>
      </c>
      <c r="T62" s="187" t="s">
        <v>18</v>
      </c>
      <c r="U62" s="118" t="s">
        <v>144</v>
      </c>
      <c r="V62" s="118" t="s">
        <v>184</v>
      </c>
      <c r="W62" s="310">
        <v>24</v>
      </c>
      <c r="X62" s="308" t="s">
        <v>551</v>
      </c>
      <c r="Y62" s="308" t="s">
        <v>19</v>
      </c>
      <c r="Z62" s="308" t="s">
        <v>551</v>
      </c>
      <c r="AA62" s="308" t="s">
        <v>551</v>
      </c>
      <c r="AB62" s="125"/>
      <c r="AC62" s="125"/>
      <c r="AD62" s="125"/>
      <c r="AE62" s="125"/>
      <c r="AF62" s="125"/>
      <c r="AG62" s="187"/>
      <c r="AH62" s="187"/>
      <c r="AI62" s="187"/>
      <c r="AJ62" s="187"/>
      <c r="AK62" s="187"/>
      <c r="AL62" s="187"/>
      <c r="AM62" s="187"/>
      <c r="AN62" s="187" t="s">
        <v>18</v>
      </c>
      <c r="AO62" s="187"/>
      <c r="AP62" s="262"/>
      <c r="AQ62" s="262" t="s">
        <v>515</v>
      </c>
    </row>
    <row r="63" spans="1:43" ht="63">
      <c r="A63" s="112"/>
      <c r="B63" s="104" t="s">
        <v>139</v>
      </c>
      <c r="C63" s="104" t="s">
        <v>139</v>
      </c>
      <c r="D63" s="255" t="s">
        <v>248</v>
      </c>
      <c r="E63" s="255" t="s">
        <v>210</v>
      </c>
      <c r="F63" s="296" t="s">
        <v>444</v>
      </c>
      <c r="G63" s="296" t="s">
        <v>462</v>
      </c>
      <c r="H63" s="166">
        <v>1</v>
      </c>
      <c r="I63" s="104"/>
      <c r="J63" s="161">
        <f>VLOOKUP(B63,'[2]MASTER PART LIST'!$B:$C,2,FALSE)</f>
        <v>391</v>
      </c>
      <c r="K63" s="164">
        <f>VLOOKUP(B63,'[2]MASTER PART LIST'!$B:$D,3,FALSE)</f>
        <v>652</v>
      </c>
      <c r="L63" s="316">
        <f t="shared" si="6"/>
        <v>833</v>
      </c>
      <c r="M63" s="187" t="s">
        <v>18</v>
      </c>
      <c r="N63" s="187"/>
      <c r="O63" s="187"/>
      <c r="P63" s="187" t="s">
        <v>18</v>
      </c>
      <c r="Q63" s="187" t="s">
        <v>18</v>
      </c>
      <c r="R63" s="187"/>
      <c r="S63" s="187" t="s">
        <v>18</v>
      </c>
      <c r="T63" s="187" t="s">
        <v>19</v>
      </c>
      <c r="U63" s="118" t="s">
        <v>144</v>
      </c>
      <c r="V63" s="118" t="s">
        <v>184</v>
      </c>
      <c r="W63" s="310">
        <v>25</v>
      </c>
      <c r="X63" s="308" t="s">
        <v>551</v>
      </c>
      <c r="Y63" s="308" t="s">
        <v>551</v>
      </c>
      <c r="Z63" s="308" t="s">
        <v>551</v>
      </c>
      <c r="AA63" s="308" t="s">
        <v>551</v>
      </c>
      <c r="AB63" s="125"/>
      <c r="AC63" s="125"/>
      <c r="AD63" s="125"/>
      <c r="AE63" s="125"/>
      <c r="AF63" s="125"/>
      <c r="AG63" s="187"/>
      <c r="AH63" s="187"/>
      <c r="AI63" s="187"/>
      <c r="AJ63" s="187"/>
      <c r="AK63" s="187"/>
      <c r="AL63" s="187"/>
      <c r="AM63" s="187"/>
      <c r="AN63" s="187" t="s">
        <v>18</v>
      </c>
      <c r="AO63" s="187"/>
      <c r="AP63" s="262"/>
      <c r="AQ63" s="262" t="s">
        <v>515</v>
      </c>
    </row>
    <row r="64" spans="1:43" ht="42">
      <c r="B64" s="189" t="s">
        <v>309</v>
      </c>
      <c r="C64" s="104" t="s">
        <v>124</v>
      </c>
      <c r="D64" s="255" t="s">
        <v>26</v>
      </c>
      <c r="E64" s="255" t="s">
        <v>95</v>
      </c>
      <c r="F64" s="296" t="s">
        <v>338</v>
      </c>
      <c r="G64" s="296" t="s">
        <v>339</v>
      </c>
      <c r="H64" s="167">
        <f>H67</f>
        <v>0.4</v>
      </c>
      <c r="I64" s="104"/>
      <c r="J64" s="169">
        <f>J67</f>
        <v>215</v>
      </c>
      <c r="K64" s="168">
        <f>K67</f>
        <v>358</v>
      </c>
      <c r="L64" s="316">
        <f t="shared" si="6"/>
        <v>430.4</v>
      </c>
      <c r="M64" s="187" t="s">
        <v>18</v>
      </c>
      <c r="N64" s="187"/>
      <c r="O64" s="187"/>
      <c r="P64" s="187" t="s">
        <v>18</v>
      </c>
      <c r="Q64" s="187" t="s">
        <v>18</v>
      </c>
      <c r="R64" s="187"/>
      <c r="S64" s="187" t="s">
        <v>18</v>
      </c>
      <c r="T64" s="187" t="s">
        <v>18</v>
      </c>
      <c r="U64" s="118"/>
      <c r="V64" s="118"/>
      <c r="W64" s="309">
        <v>29</v>
      </c>
      <c r="X64" s="308" t="s">
        <v>551</v>
      </c>
      <c r="Y64" s="308" t="s">
        <v>19</v>
      </c>
      <c r="Z64" s="308" t="s">
        <v>19</v>
      </c>
      <c r="AA64" s="308" t="s">
        <v>19</v>
      </c>
      <c r="AB64" s="125"/>
      <c r="AC64" s="125"/>
      <c r="AD64" s="125"/>
      <c r="AE64" s="125"/>
      <c r="AF64" s="125"/>
      <c r="AG64" s="187"/>
      <c r="AH64" s="187"/>
      <c r="AI64" s="187"/>
      <c r="AJ64" s="187" t="s">
        <v>18</v>
      </c>
      <c r="AK64" s="187"/>
      <c r="AL64" s="187"/>
      <c r="AM64" s="187"/>
      <c r="AN64" s="187"/>
      <c r="AO64" s="187"/>
      <c r="AP64" s="262"/>
      <c r="AQ64" s="262"/>
    </row>
    <row r="65" spans="2:43" ht="26" hidden="1" outlineLevel="1">
      <c r="B65" s="190" t="s">
        <v>124</v>
      </c>
      <c r="C65" s="108" t="s">
        <v>19</v>
      </c>
      <c r="D65" s="255" t="s">
        <v>58</v>
      </c>
      <c r="E65" s="255" t="s">
        <v>192</v>
      </c>
      <c r="F65" s="296"/>
      <c r="G65" s="296"/>
      <c r="H65" s="108">
        <v>0.4</v>
      </c>
      <c r="I65" s="127"/>
      <c r="J65" s="161">
        <f>VLOOKUP(B65,'[2]MASTER PART LIST'!$B:$C,2,FALSE)</f>
        <v>215</v>
      </c>
      <c r="K65" s="164">
        <f>VLOOKUP(B65,'[2]MASTER PART LIST'!$B:$D,3,FALSE)</f>
        <v>358</v>
      </c>
      <c r="L65" s="316">
        <f t="shared" si="6"/>
        <v>430.4</v>
      </c>
      <c r="M65" s="187" t="s">
        <v>18</v>
      </c>
      <c r="N65" s="187"/>
      <c r="O65" s="187"/>
      <c r="P65" s="187" t="s">
        <v>18</v>
      </c>
      <c r="Q65" s="187" t="s">
        <v>18</v>
      </c>
      <c r="R65" s="187"/>
      <c r="S65" s="187" t="s">
        <v>18</v>
      </c>
      <c r="T65" s="187" t="s">
        <v>18</v>
      </c>
      <c r="U65" s="118"/>
      <c r="V65" s="118"/>
      <c r="W65" s="296"/>
      <c r="X65" s="308"/>
      <c r="Y65" s="308"/>
      <c r="Z65" s="308"/>
      <c r="AA65" s="308"/>
      <c r="AB65" s="125"/>
      <c r="AC65" s="125"/>
      <c r="AD65" s="125"/>
      <c r="AE65" s="125"/>
      <c r="AF65" s="125"/>
      <c r="AG65" s="254"/>
      <c r="AH65" s="187"/>
      <c r="AI65" s="187"/>
      <c r="AJ65" s="187"/>
      <c r="AK65" s="187"/>
      <c r="AL65" s="187"/>
      <c r="AM65" s="187"/>
      <c r="AN65" s="187"/>
      <c r="AO65" s="187"/>
      <c r="AP65" s="262"/>
      <c r="AQ65" s="262"/>
    </row>
    <row r="66" spans="2:43" ht="26" hidden="1" outlineLevel="1">
      <c r="B66" s="190" t="s">
        <v>123</v>
      </c>
      <c r="C66" s="108" t="s">
        <v>19</v>
      </c>
      <c r="D66" s="255" t="s">
        <v>118</v>
      </c>
      <c r="E66" s="255" t="s">
        <v>193</v>
      </c>
      <c r="F66" s="296"/>
      <c r="G66" s="296"/>
      <c r="H66" s="108">
        <v>0.4</v>
      </c>
      <c r="I66" s="127"/>
      <c r="J66" s="161">
        <f>VLOOKUP(B66,'[2]MASTER PART LIST'!$B:$C,2,FALSE)</f>
        <v>215</v>
      </c>
      <c r="K66" s="164">
        <f>VLOOKUP(B66,'[2]MASTER PART LIST'!$B:$D,3,FALSE)</f>
        <v>358</v>
      </c>
      <c r="L66" s="316">
        <f t="shared" si="6"/>
        <v>430.4</v>
      </c>
      <c r="M66" s="176" t="s">
        <v>19</v>
      </c>
      <c r="N66" s="187"/>
      <c r="O66" s="187"/>
      <c r="P66" s="187" t="s">
        <v>18</v>
      </c>
      <c r="Q66" s="176" t="s">
        <v>19</v>
      </c>
      <c r="R66" s="187"/>
      <c r="S66" s="176" t="s">
        <v>19</v>
      </c>
      <c r="T66" s="176" t="s">
        <v>19</v>
      </c>
      <c r="U66" s="118"/>
      <c r="V66" s="118"/>
      <c r="W66" s="296"/>
      <c r="X66" s="308"/>
      <c r="Y66" s="308"/>
      <c r="Z66" s="308"/>
      <c r="AA66" s="308"/>
      <c r="AB66" s="125"/>
      <c r="AC66" s="125"/>
      <c r="AD66" s="125"/>
      <c r="AE66" s="125"/>
      <c r="AF66" s="125"/>
      <c r="AG66" s="254"/>
      <c r="AH66" s="187"/>
      <c r="AI66" s="187"/>
      <c r="AJ66" s="187"/>
      <c r="AK66" s="187"/>
      <c r="AL66" s="187"/>
      <c r="AM66" s="187"/>
      <c r="AN66" s="187"/>
      <c r="AO66" s="187"/>
      <c r="AP66" s="262"/>
      <c r="AQ66" s="262"/>
    </row>
    <row r="67" spans="2:43" ht="15.5" hidden="1" outlineLevel="1">
      <c r="B67" s="190" t="s">
        <v>122</v>
      </c>
      <c r="C67" s="108" t="s">
        <v>19</v>
      </c>
      <c r="D67" s="255" t="s">
        <v>57</v>
      </c>
      <c r="E67" s="255" t="s">
        <v>194</v>
      </c>
      <c r="F67" s="296"/>
      <c r="G67" s="296"/>
      <c r="H67" s="108">
        <v>0.4</v>
      </c>
      <c r="I67" s="127"/>
      <c r="J67" s="161">
        <f>VLOOKUP(B67,'[2]MASTER PART LIST'!$B:$C,2,FALSE)</f>
        <v>215</v>
      </c>
      <c r="K67" s="164">
        <f>VLOOKUP(B67,'[2]MASTER PART LIST'!$B:$D,3,FALSE)</f>
        <v>358</v>
      </c>
      <c r="L67" s="316">
        <f t="shared" si="6"/>
        <v>430.4</v>
      </c>
      <c r="M67" s="187" t="s">
        <v>18</v>
      </c>
      <c r="N67" s="187"/>
      <c r="O67" s="187"/>
      <c r="P67" s="187" t="s">
        <v>18</v>
      </c>
      <c r="Q67" s="187" t="s">
        <v>18</v>
      </c>
      <c r="R67" s="187"/>
      <c r="S67" s="187" t="s">
        <v>18</v>
      </c>
      <c r="T67" s="187" t="s">
        <v>18</v>
      </c>
      <c r="U67" s="118"/>
      <c r="V67" s="118"/>
      <c r="W67" s="296"/>
      <c r="X67" s="308"/>
      <c r="Y67" s="308"/>
      <c r="Z67" s="308"/>
      <c r="AA67" s="308"/>
      <c r="AB67" s="125"/>
      <c r="AC67" s="125"/>
      <c r="AD67" s="125"/>
      <c r="AE67" s="125"/>
      <c r="AF67" s="125"/>
      <c r="AG67" s="254"/>
      <c r="AH67" s="187"/>
      <c r="AI67" s="187"/>
      <c r="AJ67" s="187"/>
      <c r="AK67" s="187"/>
      <c r="AL67" s="187"/>
      <c r="AM67" s="187"/>
      <c r="AN67" s="187"/>
      <c r="AO67" s="187"/>
      <c r="AP67" s="262"/>
      <c r="AQ67" s="262"/>
    </row>
    <row r="68" spans="2:43" ht="15.5" hidden="1" outlineLevel="1">
      <c r="B68" s="190" t="s">
        <v>125</v>
      </c>
      <c r="C68" s="108" t="s">
        <v>19</v>
      </c>
      <c r="D68" s="255" t="s">
        <v>119</v>
      </c>
      <c r="E68" s="255" t="s">
        <v>191</v>
      </c>
      <c r="F68" s="296"/>
      <c r="G68" s="296"/>
      <c r="H68" s="108">
        <v>0.4</v>
      </c>
      <c r="I68" s="127"/>
      <c r="J68" s="161">
        <f>VLOOKUP(B68,'[2]MASTER PART LIST'!$B:$C,2,FALSE)</f>
        <v>215</v>
      </c>
      <c r="K68" s="164">
        <f>VLOOKUP(B68,'[2]MASTER PART LIST'!$B:$D,3,FALSE)</f>
        <v>358</v>
      </c>
      <c r="L68" s="316">
        <f t="shared" si="6"/>
        <v>430.4</v>
      </c>
      <c r="M68" s="187" t="s">
        <v>18</v>
      </c>
      <c r="N68" s="176"/>
      <c r="O68" s="176"/>
      <c r="P68" s="187" t="s">
        <v>18</v>
      </c>
      <c r="Q68" s="187" t="s">
        <v>18</v>
      </c>
      <c r="R68" s="187"/>
      <c r="S68" s="187" t="s">
        <v>18</v>
      </c>
      <c r="T68" s="187" t="s">
        <v>18</v>
      </c>
      <c r="U68" s="118"/>
      <c r="V68" s="118"/>
      <c r="W68" s="296"/>
      <c r="X68" s="308"/>
      <c r="Y68" s="308"/>
      <c r="Z68" s="308"/>
      <c r="AA68" s="308"/>
      <c r="AB68" s="125"/>
      <c r="AC68" s="125"/>
      <c r="AD68" s="125"/>
      <c r="AE68" s="125"/>
      <c r="AF68" s="125"/>
      <c r="AG68" s="254"/>
      <c r="AH68" s="187"/>
      <c r="AI68" s="187"/>
      <c r="AJ68" s="187"/>
      <c r="AK68" s="187"/>
      <c r="AL68" s="187"/>
      <c r="AM68" s="187"/>
      <c r="AN68" s="187"/>
      <c r="AO68" s="187"/>
      <c r="AP68" s="262"/>
      <c r="AQ68" s="262"/>
    </row>
    <row r="69" spans="2:43" ht="15.5" hidden="1" outlineLevel="1">
      <c r="B69" s="190" t="s">
        <v>421</v>
      </c>
      <c r="C69" s="108" t="s">
        <v>19</v>
      </c>
      <c r="D69" s="255" t="s">
        <v>416</v>
      </c>
      <c r="E69" s="255" t="s">
        <v>417</v>
      </c>
      <c r="F69" s="296"/>
      <c r="G69" s="296"/>
      <c r="H69" s="108">
        <v>0.4</v>
      </c>
      <c r="I69" s="127"/>
      <c r="J69" s="161">
        <f>VLOOKUP(B69,'[2]MASTER PART LIST'!$B:$C,2,FALSE)</f>
        <v>215</v>
      </c>
      <c r="K69" s="164">
        <f>VLOOKUP(B69,'[2]MASTER PART LIST'!$B:$D,3,FALSE)</f>
        <v>358</v>
      </c>
      <c r="L69" s="316">
        <f t="shared" si="6"/>
        <v>430.4</v>
      </c>
      <c r="M69" s="176" t="s">
        <v>19</v>
      </c>
      <c r="N69" s="187"/>
      <c r="O69" s="187"/>
      <c r="P69" s="176" t="s">
        <v>19</v>
      </c>
      <c r="Q69" s="176" t="s">
        <v>19</v>
      </c>
      <c r="R69" s="176"/>
      <c r="S69" s="187" t="s">
        <v>18</v>
      </c>
      <c r="T69" s="187" t="s">
        <v>18</v>
      </c>
      <c r="U69" s="118"/>
      <c r="V69" s="118"/>
      <c r="W69" s="296"/>
      <c r="X69" s="308"/>
      <c r="Y69" s="308"/>
      <c r="Z69" s="308"/>
      <c r="AA69" s="308"/>
      <c r="AB69" s="125"/>
      <c r="AC69" s="125"/>
      <c r="AD69" s="125"/>
      <c r="AE69" s="125"/>
      <c r="AF69" s="125"/>
      <c r="AG69" s="254"/>
      <c r="AH69" s="187"/>
      <c r="AI69" s="187"/>
      <c r="AJ69" s="187"/>
      <c r="AK69" s="187"/>
      <c r="AL69" s="187"/>
      <c r="AM69" s="187"/>
      <c r="AN69" s="187"/>
      <c r="AO69" s="187"/>
      <c r="AP69" s="262"/>
      <c r="AQ69" s="262"/>
    </row>
    <row r="70" spans="2:43" ht="15.5" hidden="1" outlineLevel="1">
      <c r="B70" s="190" t="s">
        <v>419</v>
      </c>
      <c r="C70" s="108" t="s">
        <v>19</v>
      </c>
      <c r="D70" s="255" t="s">
        <v>486</v>
      </c>
      <c r="E70" s="255" t="s">
        <v>485</v>
      </c>
      <c r="F70" s="296"/>
      <c r="G70" s="296"/>
      <c r="H70" s="108">
        <v>0.4</v>
      </c>
      <c r="I70" s="127"/>
      <c r="J70" s="161">
        <f>VLOOKUP(B70,'[2]MASTER PART LIST'!$B:$C,2,FALSE)</f>
        <v>215</v>
      </c>
      <c r="K70" s="164">
        <f>VLOOKUP(B70,'[2]MASTER PART LIST'!$B:$D,3,FALSE)</f>
        <v>358</v>
      </c>
      <c r="L70" s="316">
        <f t="shared" si="6"/>
        <v>430.4</v>
      </c>
      <c r="M70" s="176" t="s">
        <v>19</v>
      </c>
      <c r="N70" s="176"/>
      <c r="O70" s="176"/>
      <c r="P70" s="176" t="s">
        <v>19</v>
      </c>
      <c r="Q70" s="176" t="s">
        <v>19</v>
      </c>
      <c r="R70" s="176"/>
      <c r="S70" s="187" t="s">
        <v>18</v>
      </c>
      <c r="T70" s="176" t="s">
        <v>19</v>
      </c>
      <c r="U70" s="118"/>
      <c r="V70" s="118"/>
      <c r="W70" s="296"/>
      <c r="X70" s="308"/>
      <c r="Y70" s="308"/>
      <c r="Z70" s="308"/>
      <c r="AA70" s="308"/>
      <c r="AB70" s="125"/>
      <c r="AC70" s="125"/>
      <c r="AD70" s="125"/>
      <c r="AE70" s="125"/>
      <c r="AF70" s="125"/>
      <c r="AG70" s="254"/>
      <c r="AH70" s="187"/>
      <c r="AI70" s="187"/>
      <c r="AJ70" s="187"/>
      <c r="AK70" s="187"/>
      <c r="AL70" s="187"/>
      <c r="AM70" s="187"/>
      <c r="AN70" s="187"/>
      <c r="AO70" s="187"/>
      <c r="AP70" s="262"/>
      <c r="AQ70" s="262"/>
    </row>
    <row r="71" spans="2:43" ht="26" hidden="1" outlineLevel="1">
      <c r="B71" s="190" t="s">
        <v>420</v>
      </c>
      <c r="C71" s="108" t="s">
        <v>19</v>
      </c>
      <c r="D71" s="255" t="s">
        <v>413</v>
      </c>
      <c r="E71" s="218" t="s">
        <v>414</v>
      </c>
      <c r="F71" s="296"/>
      <c r="G71" s="296"/>
      <c r="H71" s="108">
        <v>0.4</v>
      </c>
      <c r="I71" s="127"/>
      <c r="J71" s="161">
        <f>VLOOKUP(B71,'[2]MASTER PART LIST'!$B:$C,2,FALSE)</f>
        <v>215</v>
      </c>
      <c r="K71" s="164">
        <f>VLOOKUP(B71,'[2]MASTER PART LIST'!$B:$D,3,FALSE)</f>
        <v>358</v>
      </c>
      <c r="L71" s="316">
        <f t="shared" si="6"/>
        <v>430.4</v>
      </c>
      <c r="M71" s="187" t="s">
        <v>18</v>
      </c>
      <c r="N71" s="187"/>
      <c r="O71" s="187"/>
      <c r="P71" s="187" t="s">
        <v>18</v>
      </c>
      <c r="Q71" s="187" t="s">
        <v>18</v>
      </c>
      <c r="R71" s="187"/>
      <c r="S71" s="187" t="s">
        <v>18</v>
      </c>
      <c r="T71" s="176" t="s">
        <v>19</v>
      </c>
      <c r="U71" s="118"/>
      <c r="V71" s="118"/>
      <c r="W71" s="296"/>
      <c r="X71" s="308"/>
      <c r="Y71" s="308"/>
      <c r="Z71" s="308"/>
      <c r="AA71" s="308"/>
      <c r="AB71" s="125"/>
      <c r="AC71" s="125"/>
      <c r="AD71" s="125"/>
      <c r="AE71" s="125"/>
      <c r="AF71" s="125"/>
      <c r="AG71" s="254"/>
      <c r="AH71" s="187"/>
      <c r="AI71" s="187"/>
      <c r="AJ71" s="187"/>
      <c r="AK71" s="187"/>
      <c r="AL71" s="187"/>
      <c r="AM71" s="187"/>
      <c r="AN71" s="187"/>
      <c r="AO71" s="187"/>
      <c r="AP71" s="262"/>
      <c r="AQ71" s="262"/>
    </row>
    <row r="72" spans="2:43" ht="52" collapsed="1">
      <c r="B72" s="189" t="s">
        <v>308</v>
      </c>
      <c r="C72" s="104" t="s">
        <v>148</v>
      </c>
      <c r="D72" s="255" t="s">
        <v>145</v>
      </c>
      <c r="E72" s="255" t="s">
        <v>169</v>
      </c>
      <c r="F72" s="296" t="s">
        <v>340</v>
      </c>
      <c r="G72" s="296" t="s">
        <v>341</v>
      </c>
      <c r="H72" s="167">
        <f>H75</f>
        <v>0.4</v>
      </c>
      <c r="I72" s="104"/>
      <c r="J72" s="169">
        <f>J75</f>
        <v>140</v>
      </c>
      <c r="K72" s="168">
        <f>K75</f>
        <v>200</v>
      </c>
      <c r="L72" s="316">
        <f t="shared" si="6"/>
        <v>272.39999999999998</v>
      </c>
      <c r="M72" s="187" t="s">
        <v>18</v>
      </c>
      <c r="N72" s="187"/>
      <c r="O72" s="187"/>
      <c r="P72" s="187" t="s">
        <v>18</v>
      </c>
      <c r="Q72" s="187" t="s">
        <v>18</v>
      </c>
      <c r="R72" s="187"/>
      <c r="S72" s="187" t="s">
        <v>18</v>
      </c>
      <c r="T72" s="187" t="s">
        <v>18</v>
      </c>
      <c r="U72" s="118" t="s">
        <v>382</v>
      </c>
      <c r="V72" s="118" t="s">
        <v>469</v>
      </c>
      <c r="W72" s="309">
        <v>45</v>
      </c>
      <c r="X72" s="308" t="s">
        <v>551</v>
      </c>
      <c r="Y72" s="308" t="s">
        <v>19</v>
      </c>
      <c r="Z72" s="308" t="s">
        <v>19</v>
      </c>
      <c r="AA72" s="308" t="s">
        <v>19</v>
      </c>
      <c r="AB72" s="125"/>
      <c r="AC72" s="125"/>
      <c r="AD72" s="125"/>
      <c r="AE72" s="125"/>
      <c r="AF72" s="125"/>
      <c r="AG72" s="187"/>
      <c r="AH72" s="187"/>
      <c r="AI72" s="187"/>
      <c r="AJ72" s="187" t="s">
        <v>18</v>
      </c>
      <c r="AK72" s="187"/>
      <c r="AL72" s="187"/>
      <c r="AM72" s="187"/>
      <c r="AN72" s="187"/>
      <c r="AO72" s="187"/>
      <c r="AP72" s="262"/>
      <c r="AQ72" s="265" t="s">
        <v>511</v>
      </c>
    </row>
    <row r="73" spans="2:43" ht="26" hidden="1" outlineLevel="1">
      <c r="B73" s="104" t="s">
        <v>148</v>
      </c>
      <c r="C73" s="108" t="s">
        <v>19</v>
      </c>
      <c r="D73" s="255" t="s">
        <v>58</v>
      </c>
      <c r="E73" s="255" t="s">
        <v>192</v>
      </c>
      <c r="F73" s="296"/>
      <c r="G73" s="296"/>
      <c r="H73" s="108">
        <v>0.4</v>
      </c>
      <c r="I73" s="127"/>
      <c r="J73" s="161">
        <f>VLOOKUP(B73,'[2]MASTER PART LIST'!$B:$C,2,FALSE)</f>
        <v>140</v>
      </c>
      <c r="K73" s="164">
        <f>VLOOKUP(B73,'[2]MASTER PART LIST'!$B:$D,3,FALSE)</f>
        <v>200</v>
      </c>
      <c r="L73" s="316">
        <f t="shared" si="6"/>
        <v>272.39999999999998</v>
      </c>
      <c r="M73" s="187" t="s">
        <v>18</v>
      </c>
      <c r="N73" s="187"/>
      <c r="O73" s="187"/>
      <c r="P73" s="187" t="s">
        <v>18</v>
      </c>
      <c r="Q73" s="187" t="s">
        <v>18</v>
      </c>
      <c r="R73" s="187"/>
      <c r="S73" s="187" t="s">
        <v>18</v>
      </c>
      <c r="T73" s="187" t="s">
        <v>18</v>
      </c>
      <c r="U73" s="118"/>
      <c r="V73" s="118"/>
      <c r="W73" s="296"/>
      <c r="X73" s="308"/>
      <c r="Y73" s="308"/>
      <c r="Z73" s="308"/>
      <c r="AA73" s="308"/>
      <c r="AB73" s="125"/>
      <c r="AC73" s="125"/>
      <c r="AD73" s="125"/>
      <c r="AE73" s="125"/>
      <c r="AF73" s="125"/>
      <c r="AG73" s="254"/>
      <c r="AH73" s="187"/>
      <c r="AI73" s="187"/>
      <c r="AJ73" s="187"/>
      <c r="AK73" s="187"/>
      <c r="AL73" s="187"/>
      <c r="AM73" s="187"/>
      <c r="AN73" s="187"/>
      <c r="AO73" s="187"/>
      <c r="AP73" s="262"/>
      <c r="AQ73" s="262"/>
    </row>
    <row r="74" spans="2:43" ht="26" hidden="1" outlineLevel="1">
      <c r="B74" s="104" t="s">
        <v>147</v>
      </c>
      <c r="C74" s="108" t="s">
        <v>19</v>
      </c>
      <c r="D74" s="255" t="s">
        <v>118</v>
      </c>
      <c r="E74" s="255" t="s">
        <v>193</v>
      </c>
      <c r="F74" s="296"/>
      <c r="G74" s="296"/>
      <c r="H74" s="108">
        <v>0.4</v>
      </c>
      <c r="I74" s="127"/>
      <c r="J74" s="161">
        <f>VLOOKUP(B74,'[2]MASTER PART LIST'!$B:$C,2,FALSE)</f>
        <v>115</v>
      </c>
      <c r="K74" s="164">
        <f>VLOOKUP(B74,'[2]MASTER PART LIST'!$B:$D,3,FALSE)</f>
        <v>195</v>
      </c>
      <c r="L74" s="316">
        <f t="shared" si="6"/>
        <v>267.39999999999998</v>
      </c>
      <c r="M74" s="176" t="s">
        <v>19</v>
      </c>
      <c r="N74" s="187"/>
      <c r="O74" s="187"/>
      <c r="P74" s="187" t="s">
        <v>18</v>
      </c>
      <c r="Q74" s="176" t="s">
        <v>19</v>
      </c>
      <c r="R74" s="187"/>
      <c r="S74" s="176" t="s">
        <v>19</v>
      </c>
      <c r="T74" s="176" t="s">
        <v>19</v>
      </c>
      <c r="U74" s="118"/>
      <c r="V74" s="118"/>
      <c r="W74" s="296"/>
      <c r="X74" s="308"/>
      <c r="Y74" s="308"/>
      <c r="Z74" s="308"/>
      <c r="AA74" s="308"/>
      <c r="AB74" s="125"/>
      <c r="AC74" s="125"/>
      <c r="AD74" s="125"/>
      <c r="AE74" s="125"/>
      <c r="AF74" s="125"/>
      <c r="AG74" s="254"/>
      <c r="AH74" s="187"/>
      <c r="AI74" s="187"/>
      <c r="AJ74" s="187"/>
      <c r="AK74" s="187"/>
      <c r="AL74" s="187"/>
      <c r="AM74" s="187"/>
      <c r="AN74" s="187"/>
      <c r="AO74" s="187"/>
      <c r="AP74" s="262"/>
      <c r="AQ74" s="262"/>
    </row>
    <row r="75" spans="2:43" ht="15.5" hidden="1" outlineLevel="1">
      <c r="B75" s="104" t="s">
        <v>146</v>
      </c>
      <c r="C75" s="108" t="s">
        <v>19</v>
      </c>
      <c r="D75" s="255" t="s">
        <v>57</v>
      </c>
      <c r="E75" s="255" t="s">
        <v>194</v>
      </c>
      <c r="F75" s="296"/>
      <c r="G75" s="296"/>
      <c r="H75" s="108">
        <v>0.4</v>
      </c>
      <c r="I75" s="127"/>
      <c r="J75" s="161">
        <f>VLOOKUP(B75,'[2]MASTER PART LIST'!$B:$C,2,FALSE)</f>
        <v>140</v>
      </c>
      <c r="K75" s="164">
        <f>VLOOKUP(B75,'[2]MASTER PART LIST'!$B:$D,3,FALSE)</f>
        <v>200</v>
      </c>
      <c r="L75" s="316">
        <f t="shared" si="6"/>
        <v>272.39999999999998</v>
      </c>
      <c r="M75" s="187" t="s">
        <v>18</v>
      </c>
      <c r="N75" s="187"/>
      <c r="O75" s="187"/>
      <c r="P75" s="187" t="s">
        <v>18</v>
      </c>
      <c r="Q75" s="187" t="s">
        <v>18</v>
      </c>
      <c r="R75" s="187"/>
      <c r="S75" s="187" t="s">
        <v>18</v>
      </c>
      <c r="T75" s="187" t="s">
        <v>18</v>
      </c>
      <c r="U75" s="118"/>
      <c r="V75" s="118"/>
      <c r="W75" s="296"/>
      <c r="X75" s="308"/>
      <c r="Y75" s="308"/>
      <c r="Z75" s="308"/>
      <c r="AA75" s="308"/>
      <c r="AB75" s="125"/>
      <c r="AC75" s="125"/>
      <c r="AD75" s="125"/>
      <c r="AE75" s="125"/>
      <c r="AF75" s="125"/>
      <c r="AG75" s="254"/>
      <c r="AH75" s="187"/>
      <c r="AI75" s="187"/>
      <c r="AJ75" s="187"/>
      <c r="AK75" s="187"/>
      <c r="AL75" s="187"/>
      <c r="AM75" s="187"/>
      <c r="AN75" s="187"/>
      <c r="AO75" s="187"/>
      <c r="AP75" s="262"/>
      <c r="AQ75" s="262"/>
    </row>
    <row r="76" spans="2:43" ht="15.5" hidden="1" outlineLevel="1">
      <c r="B76" s="104" t="s">
        <v>149</v>
      </c>
      <c r="C76" s="108" t="s">
        <v>19</v>
      </c>
      <c r="D76" s="255" t="s">
        <v>119</v>
      </c>
      <c r="E76" s="255" t="s">
        <v>191</v>
      </c>
      <c r="F76" s="296"/>
      <c r="G76" s="296"/>
      <c r="H76" s="108">
        <v>0.4</v>
      </c>
      <c r="I76" s="127"/>
      <c r="J76" s="161">
        <f>VLOOKUP(B76,'[2]MASTER PART LIST'!$B:$C,2,FALSE)</f>
        <v>140</v>
      </c>
      <c r="K76" s="164">
        <f>VLOOKUP(B76,'[2]MASTER PART LIST'!$B:$D,3,FALSE)</f>
        <v>200</v>
      </c>
      <c r="L76" s="316">
        <f t="shared" si="6"/>
        <v>272.39999999999998</v>
      </c>
      <c r="M76" s="187" t="s">
        <v>18</v>
      </c>
      <c r="N76" s="176"/>
      <c r="O76" s="176"/>
      <c r="P76" s="187" t="s">
        <v>18</v>
      </c>
      <c r="Q76" s="187" t="s">
        <v>18</v>
      </c>
      <c r="R76" s="187"/>
      <c r="S76" s="187" t="s">
        <v>18</v>
      </c>
      <c r="T76" s="187" t="s">
        <v>18</v>
      </c>
      <c r="U76" s="118"/>
      <c r="V76" s="118"/>
      <c r="W76" s="296"/>
      <c r="X76" s="308"/>
      <c r="Y76" s="308"/>
      <c r="Z76" s="308"/>
      <c r="AA76" s="308"/>
      <c r="AB76" s="125"/>
      <c r="AC76" s="125"/>
      <c r="AD76" s="125"/>
      <c r="AE76" s="125"/>
      <c r="AF76" s="125"/>
      <c r="AG76" s="254"/>
      <c r="AH76" s="187"/>
      <c r="AI76" s="187"/>
      <c r="AJ76" s="187"/>
      <c r="AK76" s="187"/>
      <c r="AL76" s="187"/>
      <c r="AM76" s="187"/>
      <c r="AN76" s="187"/>
      <c r="AO76" s="187"/>
      <c r="AP76" s="262"/>
      <c r="AQ76" s="262"/>
    </row>
    <row r="77" spans="2:43" ht="15.5" hidden="1" outlineLevel="1">
      <c r="B77" s="104" t="s">
        <v>422</v>
      </c>
      <c r="C77" s="108" t="s">
        <v>19</v>
      </c>
      <c r="D77" s="255" t="s">
        <v>416</v>
      </c>
      <c r="E77" s="255" t="s">
        <v>417</v>
      </c>
      <c r="F77" s="296"/>
      <c r="G77" s="296"/>
      <c r="H77" s="108">
        <v>0.4</v>
      </c>
      <c r="I77" s="127"/>
      <c r="J77" s="161">
        <f>VLOOKUP(B77,'[2]MASTER PART LIST'!$B:$C,2,FALSE)</f>
        <v>140</v>
      </c>
      <c r="K77" s="164">
        <f>VLOOKUP(B77,'[2]MASTER PART LIST'!$B:$D,3,FALSE)</f>
        <v>200</v>
      </c>
      <c r="L77" s="316">
        <f t="shared" si="6"/>
        <v>272.39999999999998</v>
      </c>
      <c r="M77" s="176" t="s">
        <v>19</v>
      </c>
      <c r="N77" s="187"/>
      <c r="O77" s="187"/>
      <c r="P77" s="176" t="s">
        <v>19</v>
      </c>
      <c r="Q77" s="176" t="s">
        <v>19</v>
      </c>
      <c r="R77" s="176"/>
      <c r="S77" s="187" t="s">
        <v>18</v>
      </c>
      <c r="T77" s="187" t="s">
        <v>18</v>
      </c>
      <c r="U77" s="118"/>
      <c r="V77" s="118"/>
      <c r="W77" s="296"/>
      <c r="X77" s="308"/>
      <c r="Y77" s="308"/>
      <c r="Z77" s="308"/>
      <c r="AA77" s="308"/>
      <c r="AB77" s="125"/>
      <c r="AC77" s="125"/>
      <c r="AD77" s="125"/>
      <c r="AE77" s="125"/>
      <c r="AF77" s="125"/>
      <c r="AG77" s="254"/>
      <c r="AH77" s="187"/>
      <c r="AI77" s="187"/>
      <c r="AJ77" s="187"/>
      <c r="AK77" s="187"/>
      <c r="AL77" s="187"/>
      <c r="AM77" s="187"/>
      <c r="AN77" s="187"/>
      <c r="AO77" s="187"/>
      <c r="AP77" s="262"/>
      <c r="AQ77" s="262"/>
    </row>
    <row r="78" spans="2:43" ht="15.5" hidden="1" outlineLevel="1">
      <c r="B78" s="104" t="s">
        <v>423</v>
      </c>
      <c r="C78" s="108" t="s">
        <v>19</v>
      </c>
      <c r="D78" s="255" t="s">
        <v>486</v>
      </c>
      <c r="E78" s="255" t="s">
        <v>485</v>
      </c>
      <c r="F78" s="296"/>
      <c r="G78" s="296"/>
      <c r="H78" s="108">
        <v>0.4</v>
      </c>
      <c r="I78" s="127"/>
      <c r="J78" s="161">
        <f>VLOOKUP(B78,'[2]MASTER PART LIST'!$B:$C,2,FALSE)</f>
        <v>140</v>
      </c>
      <c r="K78" s="164">
        <f>VLOOKUP(B78,'[2]MASTER PART LIST'!$B:$D,3,FALSE)</f>
        <v>200</v>
      </c>
      <c r="L78" s="316">
        <f t="shared" si="6"/>
        <v>272.39999999999998</v>
      </c>
      <c r="M78" s="176" t="s">
        <v>19</v>
      </c>
      <c r="N78" s="176"/>
      <c r="O78" s="176"/>
      <c r="P78" s="176" t="s">
        <v>19</v>
      </c>
      <c r="Q78" s="176" t="s">
        <v>19</v>
      </c>
      <c r="R78" s="176"/>
      <c r="S78" s="187" t="s">
        <v>18</v>
      </c>
      <c r="T78" s="176" t="s">
        <v>19</v>
      </c>
      <c r="U78" s="118"/>
      <c r="V78" s="118"/>
      <c r="W78" s="296"/>
      <c r="X78" s="308"/>
      <c r="Y78" s="308"/>
      <c r="Z78" s="308"/>
      <c r="AA78" s="308"/>
      <c r="AB78" s="125"/>
      <c r="AC78" s="125"/>
      <c r="AD78" s="125"/>
      <c r="AE78" s="125"/>
      <c r="AF78" s="125"/>
      <c r="AG78" s="254"/>
      <c r="AH78" s="187"/>
      <c r="AI78" s="187"/>
      <c r="AJ78" s="187"/>
      <c r="AK78" s="187"/>
      <c r="AL78" s="187"/>
      <c r="AM78" s="187"/>
      <c r="AN78" s="187"/>
      <c r="AO78" s="187"/>
      <c r="AP78" s="262"/>
      <c r="AQ78" s="262"/>
    </row>
    <row r="79" spans="2:43" ht="26" hidden="1" outlineLevel="1">
      <c r="B79" s="104" t="s">
        <v>411</v>
      </c>
      <c r="C79" s="108" t="s">
        <v>19</v>
      </c>
      <c r="D79" s="255" t="s">
        <v>413</v>
      </c>
      <c r="E79" s="218" t="s">
        <v>414</v>
      </c>
      <c r="F79" s="296"/>
      <c r="G79" s="296"/>
      <c r="H79" s="108">
        <v>0.4</v>
      </c>
      <c r="I79" s="127"/>
      <c r="J79" s="161">
        <f>VLOOKUP(B79,'[2]MASTER PART LIST'!$B:$C,2,FALSE)</f>
        <v>140</v>
      </c>
      <c r="K79" s="164">
        <f>VLOOKUP(B79,'[2]MASTER PART LIST'!$B:$D,3,FALSE)</f>
        <v>200</v>
      </c>
      <c r="L79" s="316">
        <f t="shared" si="6"/>
        <v>272.39999999999998</v>
      </c>
      <c r="M79" s="187" t="s">
        <v>18</v>
      </c>
      <c r="N79" s="187"/>
      <c r="O79" s="187"/>
      <c r="P79" s="187" t="s">
        <v>18</v>
      </c>
      <c r="Q79" s="187" t="s">
        <v>18</v>
      </c>
      <c r="R79" s="187"/>
      <c r="S79" s="187" t="s">
        <v>18</v>
      </c>
      <c r="T79" s="176" t="s">
        <v>19</v>
      </c>
      <c r="U79" s="118"/>
      <c r="V79" s="118"/>
      <c r="W79" s="296"/>
      <c r="X79" s="308"/>
      <c r="Y79" s="308"/>
      <c r="Z79" s="308"/>
      <c r="AA79" s="308"/>
      <c r="AB79" s="125"/>
      <c r="AC79" s="125"/>
      <c r="AD79" s="125"/>
      <c r="AE79" s="125"/>
      <c r="AF79" s="125"/>
      <c r="AG79" s="254"/>
      <c r="AH79" s="187"/>
      <c r="AI79" s="187"/>
      <c r="AJ79" s="187"/>
      <c r="AK79" s="187"/>
      <c r="AL79" s="187"/>
      <c r="AM79" s="187"/>
      <c r="AN79" s="187"/>
      <c r="AO79" s="187"/>
      <c r="AP79" s="262"/>
      <c r="AQ79" s="262"/>
    </row>
    <row r="80" spans="2:43" ht="21" collapsed="1">
      <c r="B80" s="104" t="s">
        <v>213</v>
      </c>
      <c r="C80" s="104" t="s">
        <v>213</v>
      </c>
      <c r="D80" s="255" t="s">
        <v>212</v>
      </c>
      <c r="E80" s="255" t="s">
        <v>174</v>
      </c>
      <c r="F80" s="296" t="s">
        <v>342</v>
      </c>
      <c r="G80" s="296" t="s">
        <v>343</v>
      </c>
      <c r="H80" s="166">
        <v>0</v>
      </c>
      <c r="I80" s="104"/>
      <c r="J80" s="161">
        <f>VLOOKUP(B80,'[2]MASTER PART LIST'!$B:$C,2,FALSE)</f>
        <v>40.01</v>
      </c>
      <c r="K80" s="164">
        <f>VLOOKUP(B80,'[2]MASTER PART LIST'!$B:$D,3,FALSE)</f>
        <v>66.69</v>
      </c>
      <c r="L80" s="316">
        <f t="shared" ref="L80:L105" si="8">K80+(H80*VLOOKUP(prov_cd,rate_table,2,FALSE))</f>
        <v>66.69</v>
      </c>
      <c r="M80" s="187" t="s">
        <v>18</v>
      </c>
      <c r="N80" s="187"/>
      <c r="O80" s="187"/>
      <c r="P80" s="187" t="s">
        <v>18</v>
      </c>
      <c r="Q80" s="187" t="s">
        <v>18</v>
      </c>
      <c r="R80" s="187"/>
      <c r="S80" s="187" t="s">
        <v>18</v>
      </c>
      <c r="T80" s="187" t="s">
        <v>18</v>
      </c>
      <c r="U80" s="118"/>
      <c r="V80" s="118"/>
      <c r="W80" s="310">
        <v>250</v>
      </c>
      <c r="X80" s="308" t="s">
        <v>551</v>
      </c>
      <c r="Y80" s="308" t="s">
        <v>19</v>
      </c>
      <c r="Z80" s="308" t="s">
        <v>19</v>
      </c>
      <c r="AA80" s="308" t="s">
        <v>19</v>
      </c>
      <c r="AB80" s="125"/>
      <c r="AC80" s="125"/>
      <c r="AD80" s="125"/>
      <c r="AE80" s="125"/>
      <c r="AF80" s="125"/>
      <c r="AG80" s="187"/>
      <c r="AH80" s="187"/>
      <c r="AI80" s="187"/>
      <c r="AJ80" s="187"/>
      <c r="AK80" s="187"/>
      <c r="AL80" s="187" t="s">
        <v>18</v>
      </c>
      <c r="AM80" s="187"/>
      <c r="AN80" s="187"/>
      <c r="AO80" s="187"/>
      <c r="AP80" s="262"/>
      <c r="AQ80" s="262"/>
    </row>
    <row r="81" spans="1:43" ht="21">
      <c r="B81" s="104" t="s">
        <v>211</v>
      </c>
      <c r="C81" s="104" t="s">
        <v>211</v>
      </c>
      <c r="D81" s="255" t="s">
        <v>106</v>
      </c>
      <c r="E81" s="255" t="s">
        <v>175</v>
      </c>
      <c r="F81" s="296" t="s">
        <v>344</v>
      </c>
      <c r="G81" s="296" t="s">
        <v>345</v>
      </c>
      <c r="H81" s="108">
        <v>0.2</v>
      </c>
      <c r="I81" s="104"/>
      <c r="J81" s="161">
        <f>VLOOKUP(B81,'[2]MASTER PART LIST'!$B:$C,2,FALSE)</f>
        <v>17</v>
      </c>
      <c r="K81" s="164">
        <f>VLOOKUP(B81,'[2]MASTER PART LIST'!$B:$D,3,FALSE)</f>
        <v>28</v>
      </c>
      <c r="L81" s="316">
        <f t="shared" si="8"/>
        <v>64.2</v>
      </c>
      <c r="M81" s="187" t="s">
        <v>18</v>
      </c>
      <c r="N81" s="187"/>
      <c r="O81" s="187"/>
      <c r="P81" s="187" t="s">
        <v>18</v>
      </c>
      <c r="Q81" s="187" t="s">
        <v>18</v>
      </c>
      <c r="R81" s="187"/>
      <c r="S81" s="187" t="s">
        <v>18</v>
      </c>
      <c r="T81" s="187" t="s">
        <v>18</v>
      </c>
      <c r="U81" s="118" t="s">
        <v>470</v>
      </c>
      <c r="V81" s="118" t="s">
        <v>471</v>
      </c>
      <c r="W81" s="310">
        <v>39</v>
      </c>
      <c r="X81" s="308" t="s">
        <v>551</v>
      </c>
      <c r="Y81" s="308" t="s">
        <v>19</v>
      </c>
      <c r="Z81" s="308" t="s">
        <v>19</v>
      </c>
      <c r="AA81" s="308" t="s">
        <v>19</v>
      </c>
      <c r="AB81" s="125"/>
      <c r="AC81" s="125"/>
      <c r="AD81" s="125"/>
      <c r="AE81" s="125"/>
      <c r="AF81" s="125"/>
      <c r="AG81" s="187"/>
      <c r="AH81" s="187"/>
      <c r="AI81" s="187"/>
      <c r="AJ81" s="187"/>
      <c r="AK81" s="187"/>
      <c r="AL81" s="187" t="s">
        <v>18</v>
      </c>
      <c r="AM81" s="187"/>
      <c r="AN81" s="187"/>
      <c r="AO81" s="187"/>
      <c r="AP81" s="262"/>
      <c r="AQ81" s="262"/>
    </row>
    <row r="82" spans="1:43" ht="31.5">
      <c r="B82" s="104" t="s">
        <v>110</v>
      </c>
      <c r="C82" s="104" t="s">
        <v>110</v>
      </c>
      <c r="D82" s="255" t="s">
        <v>107</v>
      </c>
      <c r="E82" s="255" t="s">
        <v>176</v>
      </c>
      <c r="F82" s="296" t="s">
        <v>346</v>
      </c>
      <c r="G82" s="296" t="s">
        <v>347</v>
      </c>
      <c r="H82" s="108">
        <v>0.4</v>
      </c>
      <c r="I82" s="104"/>
      <c r="J82" s="161">
        <f>VLOOKUP(B82,'[2]MASTER PART LIST'!$B:$C,2,FALSE)</f>
        <v>59</v>
      </c>
      <c r="K82" s="164">
        <f>VLOOKUP(B82,'[2]MASTER PART LIST'!$B:$D,3,FALSE)</f>
        <v>98</v>
      </c>
      <c r="L82" s="316">
        <f t="shared" si="8"/>
        <v>170.4</v>
      </c>
      <c r="M82" s="187" t="s">
        <v>18</v>
      </c>
      <c r="N82" s="187"/>
      <c r="O82" s="187"/>
      <c r="P82" s="187" t="s">
        <v>18</v>
      </c>
      <c r="Q82" s="187" t="s">
        <v>18</v>
      </c>
      <c r="R82" s="187"/>
      <c r="S82" s="187" t="s">
        <v>18</v>
      </c>
      <c r="T82" s="187" t="s">
        <v>18</v>
      </c>
      <c r="U82" s="118"/>
      <c r="V82" s="118"/>
      <c r="W82" s="310">
        <v>40</v>
      </c>
      <c r="X82" s="308" t="s">
        <v>551</v>
      </c>
      <c r="Y82" s="308" t="s">
        <v>19</v>
      </c>
      <c r="Z82" s="308" t="s">
        <v>19</v>
      </c>
      <c r="AA82" s="308" t="s">
        <v>19</v>
      </c>
      <c r="AB82" s="125"/>
      <c r="AC82" s="125"/>
      <c r="AD82" s="125"/>
      <c r="AE82" s="125"/>
      <c r="AF82" s="125"/>
      <c r="AG82" s="187"/>
      <c r="AH82" s="187"/>
      <c r="AI82" s="187"/>
      <c r="AJ82" s="187"/>
      <c r="AK82" s="187"/>
      <c r="AL82" s="187" t="s">
        <v>18</v>
      </c>
      <c r="AM82" s="187"/>
      <c r="AN82" s="187"/>
      <c r="AO82" s="187"/>
      <c r="AP82" s="262"/>
      <c r="AQ82" s="262"/>
    </row>
    <row r="83" spans="1:43" ht="65">
      <c r="A83" s="112"/>
      <c r="B83" s="104" t="s">
        <v>111</v>
      </c>
      <c r="C83" s="104" t="s">
        <v>111</v>
      </c>
      <c r="D83" s="255" t="s">
        <v>29</v>
      </c>
      <c r="E83" s="255" t="s">
        <v>177</v>
      </c>
      <c r="F83" s="296" t="s">
        <v>348</v>
      </c>
      <c r="G83" s="296" t="s">
        <v>349</v>
      </c>
      <c r="H83" s="108">
        <v>0.4</v>
      </c>
      <c r="I83" s="104"/>
      <c r="J83" s="161">
        <f>VLOOKUP(B83,'[2]MASTER PART LIST'!$B:$C,2,FALSE)</f>
        <v>103</v>
      </c>
      <c r="K83" s="164">
        <f>VLOOKUP(B83,'[2]MASTER PART LIST'!$B:$D,3,FALSE)</f>
        <v>172</v>
      </c>
      <c r="L83" s="316">
        <f t="shared" si="8"/>
        <v>244.4</v>
      </c>
      <c r="M83" s="187" t="s">
        <v>18</v>
      </c>
      <c r="N83" s="187"/>
      <c r="O83" s="187"/>
      <c r="P83" s="187" t="s">
        <v>18</v>
      </c>
      <c r="Q83" s="187" t="s">
        <v>18</v>
      </c>
      <c r="R83" s="187"/>
      <c r="S83" s="187" t="s">
        <v>18</v>
      </c>
      <c r="T83" s="187" t="s">
        <v>18</v>
      </c>
      <c r="U83" s="118"/>
      <c r="V83" s="118"/>
      <c r="W83" s="309">
        <v>46</v>
      </c>
      <c r="X83" s="308" t="s">
        <v>551</v>
      </c>
      <c r="Y83" s="308" t="s">
        <v>19</v>
      </c>
      <c r="Z83" s="308" t="s">
        <v>19</v>
      </c>
      <c r="AA83" s="308" t="s">
        <v>19</v>
      </c>
      <c r="AB83" s="125"/>
      <c r="AC83" s="125"/>
      <c r="AD83" s="125"/>
      <c r="AE83" s="125"/>
      <c r="AF83" s="125"/>
      <c r="AG83" s="187"/>
      <c r="AH83" s="187"/>
      <c r="AI83" s="187"/>
      <c r="AJ83" s="187" t="s">
        <v>18</v>
      </c>
      <c r="AK83" s="187"/>
      <c r="AL83" s="187"/>
      <c r="AM83" s="187"/>
      <c r="AN83" s="187"/>
      <c r="AO83" s="187"/>
      <c r="AP83" s="262"/>
      <c r="AQ83" s="265" t="s">
        <v>512</v>
      </c>
    </row>
    <row r="84" spans="1:43" ht="31.5">
      <c r="B84" s="104" t="s">
        <v>242</v>
      </c>
      <c r="C84" s="104" t="s">
        <v>242</v>
      </c>
      <c r="D84" s="255" t="s">
        <v>554</v>
      </c>
      <c r="E84" s="255" t="s">
        <v>173</v>
      </c>
      <c r="F84" s="296" t="s">
        <v>350</v>
      </c>
      <c r="G84" s="296" t="s">
        <v>351</v>
      </c>
      <c r="H84" s="108">
        <v>0.1</v>
      </c>
      <c r="I84" s="104"/>
      <c r="J84" s="161">
        <f>VLOOKUP(B84,'[2]MASTER PART LIST'!$B:$C,2,FALSE)</f>
        <v>149</v>
      </c>
      <c r="K84" s="164">
        <f>VLOOKUP(B84,'[2]MASTER PART LIST'!$B:$D,3,FALSE)</f>
        <v>248</v>
      </c>
      <c r="L84" s="316">
        <f t="shared" si="8"/>
        <v>266.10000000000002</v>
      </c>
      <c r="M84" s="187" t="s">
        <v>18</v>
      </c>
      <c r="N84" s="187"/>
      <c r="O84" s="187"/>
      <c r="P84" s="187" t="s">
        <v>18</v>
      </c>
      <c r="Q84" s="176" t="s">
        <v>19</v>
      </c>
      <c r="R84" s="176"/>
      <c r="S84" s="176" t="s">
        <v>19</v>
      </c>
      <c r="T84" s="187" t="s">
        <v>18</v>
      </c>
      <c r="U84" s="118" t="s">
        <v>185</v>
      </c>
      <c r="V84" s="118" t="s">
        <v>200</v>
      </c>
      <c r="W84" s="310">
        <v>34</v>
      </c>
      <c r="X84" s="308" t="s">
        <v>551</v>
      </c>
      <c r="Y84" s="308" t="s">
        <v>19</v>
      </c>
      <c r="Z84" s="308" t="s">
        <v>19</v>
      </c>
      <c r="AA84" s="308" t="s">
        <v>19</v>
      </c>
      <c r="AB84" s="125"/>
      <c r="AC84" s="125"/>
      <c r="AD84" s="125"/>
      <c r="AE84" s="125"/>
      <c r="AF84" s="125"/>
      <c r="AG84" s="187"/>
      <c r="AH84" s="187"/>
      <c r="AI84" s="187"/>
      <c r="AJ84" s="187"/>
      <c r="AK84" s="187"/>
      <c r="AL84" s="187" t="s">
        <v>18</v>
      </c>
      <c r="AM84" s="187"/>
      <c r="AN84" s="187"/>
      <c r="AO84" s="187"/>
      <c r="AP84" s="262"/>
      <c r="AQ84" s="262" t="s">
        <v>516</v>
      </c>
    </row>
    <row r="85" spans="1:43" ht="31.5">
      <c r="B85" s="104" t="s">
        <v>389</v>
      </c>
      <c r="C85" s="104" t="s">
        <v>389</v>
      </c>
      <c r="D85" s="255" t="s">
        <v>448</v>
      </c>
      <c r="E85" s="255" t="s">
        <v>464</v>
      </c>
      <c r="F85" s="296" t="s">
        <v>350</v>
      </c>
      <c r="G85" s="296" t="s">
        <v>351</v>
      </c>
      <c r="H85" s="108">
        <v>0.1</v>
      </c>
      <c r="I85" s="104"/>
      <c r="J85" s="161">
        <f>VLOOKUP(B85,'[2]MASTER PART LIST'!$B:$C,2,FALSE)</f>
        <v>149</v>
      </c>
      <c r="K85" s="164">
        <f>VLOOKUP(B85,'[2]MASTER PART LIST'!$B:$D,3,FALSE)</f>
        <v>248</v>
      </c>
      <c r="L85" s="316">
        <f t="shared" si="8"/>
        <v>266.10000000000002</v>
      </c>
      <c r="M85" s="176" t="s">
        <v>19</v>
      </c>
      <c r="N85" s="176"/>
      <c r="O85" s="176"/>
      <c r="P85" s="176" t="s">
        <v>19</v>
      </c>
      <c r="Q85" s="187" t="s">
        <v>18</v>
      </c>
      <c r="R85" s="187"/>
      <c r="S85" s="187" t="s">
        <v>18</v>
      </c>
      <c r="T85" s="176" t="s">
        <v>19</v>
      </c>
      <c r="U85" s="118"/>
      <c r="V85" s="118"/>
      <c r="W85" s="310">
        <v>35</v>
      </c>
      <c r="X85" s="308" t="s">
        <v>551</v>
      </c>
      <c r="Y85" s="308" t="s">
        <v>19</v>
      </c>
      <c r="Z85" s="308" t="s">
        <v>19</v>
      </c>
      <c r="AA85" s="308" t="s">
        <v>19</v>
      </c>
      <c r="AB85" s="125"/>
      <c r="AC85" s="125"/>
      <c r="AD85" s="125"/>
      <c r="AE85" s="125"/>
      <c r="AF85" s="125"/>
      <c r="AG85" s="187"/>
      <c r="AH85" s="187"/>
      <c r="AI85" s="187"/>
      <c r="AJ85" s="187"/>
      <c r="AK85" s="187"/>
      <c r="AL85" s="187" t="s">
        <v>18</v>
      </c>
      <c r="AM85" s="187"/>
      <c r="AN85" s="187"/>
      <c r="AO85" s="187"/>
      <c r="AP85" s="262"/>
      <c r="AQ85" s="262" t="s">
        <v>518</v>
      </c>
    </row>
    <row r="86" spans="1:43" ht="63">
      <c r="B86" s="104" t="s">
        <v>243</v>
      </c>
      <c r="C86" s="104" t="s">
        <v>243</v>
      </c>
      <c r="D86" s="255" t="s">
        <v>556</v>
      </c>
      <c r="E86" s="255" t="s">
        <v>201</v>
      </c>
      <c r="F86" s="296" t="s">
        <v>352</v>
      </c>
      <c r="G86" s="296" t="s">
        <v>353</v>
      </c>
      <c r="H86" s="108">
        <v>0.1</v>
      </c>
      <c r="I86" s="104"/>
      <c r="J86" s="161">
        <f>VLOOKUP(B86,'[2]MASTER PART LIST'!$B:$C,2,FALSE)</f>
        <v>238</v>
      </c>
      <c r="K86" s="164">
        <f>VLOOKUP(B86,'[2]MASTER PART LIST'!$B:$D,3,FALSE)</f>
        <v>397</v>
      </c>
      <c r="L86" s="316">
        <f t="shared" si="8"/>
        <v>415.1</v>
      </c>
      <c r="M86" s="187" t="s">
        <v>18</v>
      </c>
      <c r="N86" s="187"/>
      <c r="O86" s="187"/>
      <c r="P86" s="187" t="s">
        <v>18</v>
      </c>
      <c r="Q86" s="187" t="s">
        <v>18</v>
      </c>
      <c r="R86" s="187"/>
      <c r="S86" s="187" t="s">
        <v>18</v>
      </c>
      <c r="T86" s="187" t="s">
        <v>18</v>
      </c>
      <c r="U86" s="118" t="s">
        <v>185</v>
      </c>
      <c r="V86" s="118" t="s">
        <v>200</v>
      </c>
      <c r="W86" s="309">
        <v>37</v>
      </c>
      <c r="X86" s="308" t="s">
        <v>551</v>
      </c>
      <c r="Y86" s="308" t="s">
        <v>19</v>
      </c>
      <c r="Z86" s="308" t="s">
        <v>19</v>
      </c>
      <c r="AA86" s="308" t="s">
        <v>19</v>
      </c>
      <c r="AB86" s="125"/>
      <c r="AC86" s="125"/>
      <c r="AD86" s="125"/>
      <c r="AE86" s="125"/>
      <c r="AF86" s="125"/>
      <c r="AG86" s="187"/>
      <c r="AH86" s="187"/>
      <c r="AI86" s="187"/>
      <c r="AJ86" s="187"/>
      <c r="AK86" s="187"/>
      <c r="AL86" s="187"/>
      <c r="AM86" s="187" t="s">
        <v>18</v>
      </c>
      <c r="AN86" s="187"/>
      <c r="AO86" s="187"/>
      <c r="AP86" s="262"/>
      <c r="AQ86" s="262"/>
    </row>
    <row r="87" spans="1:43" ht="42">
      <c r="B87" s="104" t="s">
        <v>113</v>
      </c>
      <c r="C87" s="104" t="s">
        <v>113</v>
      </c>
      <c r="D87" s="255" t="s">
        <v>108</v>
      </c>
      <c r="E87" s="255" t="s">
        <v>199</v>
      </c>
      <c r="F87" s="296" t="s">
        <v>354</v>
      </c>
      <c r="G87" s="296" t="s">
        <v>355</v>
      </c>
      <c r="H87" s="108">
        <v>0.5</v>
      </c>
      <c r="I87" s="104"/>
      <c r="J87" s="161">
        <f>VLOOKUP(B87,'[2]MASTER PART LIST'!$B:$C,2,FALSE)</f>
        <v>168</v>
      </c>
      <c r="K87" s="164">
        <f>VLOOKUP(B87,'[2]MASTER PART LIST'!$B:$D,3,FALSE)</f>
        <v>280</v>
      </c>
      <c r="L87" s="316">
        <f t="shared" si="8"/>
        <v>370.5</v>
      </c>
      <c r="M87" s="187" t="s">
        <v>18</v>
      </c>
      <c r="N87" s="187"/>
      <c r="O87" s="187"/>
      <c r="P87" s="187" t="s">
        <v>18</v>
      </c>
      <c r="Q87" s="187" t="s">
        <v>18</v>
      </c>
      <c r="R87" s="187"/>
      <c r="S87" s="187" t="s">
        <v>18</v>
      </c>
      <c r="T87" s="187" t="s">
        <v>18</v>
      </c>
      <c r="U87" s="118" t="s">
        <v>186</v>
      </c>
      <c r="V87" s="118" t="s">
        <v>198</v>
      </c>
      <c r="W87" s="309">
        <v>41</v>
      </c>
      <c r="X87" s="308" t="s">
        <v>551</v>
      </c>
      <c r="Y87" s="308" t="s">
        <v>19</v>
      </c>
      <c r="Z87" s="308" t="s">
        <v>19</v>
      </c>
      <c r="AA87" s="308" t="s">
        <v>19</v>
      </c>
      <c r="AB87" s="125"/>
      <c r="AC87" s="125"/>
      <c r="AD87" s="125"/>
      <c r="AE87" s="125"/>
      <c r="AF87" s="125"/>
      <c r="AG87" s="187"/>
      <c r="AH87" s="187"/>
      <c r="AI87" s="187"/>
      <c r="AJ87" s="187"/>
      <c r="AK87" s="187"/>
      <c r="AL87" s="187" t="s">
        <v>18</v>
      </c>
      <c r="AM87" s="187"/>
      <c r="AN87" s="187"/>
      <c r="AO87" s="187"/>
      <c r="AP87" s="262"/>
      <c r="AQ87" s="262"/>
    </row>
    <row r="88" spans="1:43" ht="65">
      <c r="B88" s="104" t="s">
        <v>114</v>
      </c>
      <c r="C88" s="104" t="s">
        <v>114</v>
      </c>
      <c r="D88" s="255" t="s">
        <v>109</v>
      </c>
      <c r="E88" s="255" t="s">
        <v>178</v>
      </c>
      <c r="F88" s="296" t="s">
        <v>356</v>
      </c>
      <c r="G88" s="296" t="s">
        <v>357</v>
      </c>
      <c r="H88" s="108">
        <v>0.1</v>
      </c>
      <c r="I88" s="104"/>
      <c r="J88" s="161">
        <f>VLOOKUP(B88,'[2]MASTER PART LIST'!$B:$C,2,FALSE)</f>
        <v>118</v>
      </c>
      <c r="K88" s="164">
        <f>VLOOKUP(B88,'[2]MASTER PART LIST'!$B:$D,3,FALSE)</f>
        <v>197</v>
      </c>
      <c r="L88" s="316">
        <f t="shared" si="8"/>
        <v>215.1</v>
      </c>
      <c r="M88" s="187" t="s">
        <v>18</v>
      </c>
      <c r="N88" s="187"/>
      <c r="O88" s="187"/>
      <c r="P88" s="187" t="s">
        <v>18</v>
      </c>
      <c r="Q88" s="187" t="s">
        <v>18</v>
      </c>
      <c r="R88" s="187"/>
      <c r="S88" s="187" t="s">
        <v>18</v>
      </c>
      <c r="T88" s="187" t="s">
        <v>18</v>
      </c>
      <c r="U88" s="118"/>
      <c r="V88" s="118"/>
      <c r="W88" s="310">
        <v>36</v>
      </c>
      <c r="X88" s="308" t="s">
        <v>551</v>
      </c>
      <c r="Y88" s="308" t="s">
        <v>19</v>
      </c>
      <c r="Z88" s="308" t="s">
        <v>19</v>
      </c>
      <c r="AA88" s="308" t="s">
        <v>19</v>
      </c>
      <c r="AB88" s="125"/>
      <c r="AC88" s="125"/>
      <c r="AD88" s="125"/>
      <c r="AE88" s="125"/>
      <c r="AF88" s="125"/>
      <c r="AG88" s="187"/>
      <c r="AH88" s="187"/>
      <c r="AI88" s="187"/>
      <c r="AJ88" s="187"/>
      <c r="AK88" s="187"/>
      <c r="AL88" s="187" t="s">
        <v>18</v>
      </c>
      <c r="AM88" s="187"/>
      <c r="AN88" s="187"/>
      <c r="AO88" s="187"/>
      <c r="AP88" s="262"/>
      <c r="AQ88" s="265" t="s">
        <v>517</v>
      </c>
    </row>
    <row r="89" spans="1:43" ht="31.5">
      <c r="B89" s="104" t="s">
        <v>115</v>
      </c>
      <c r="C89" s="104" t="s">
        <v>115</v>
      </c>
      <c r="D89" s="255" t="s">
        <v>152</v>
      </c>
      <c r="E89" s="255" t="s">
        <v>197</v>
      </c>
      <c r="F89" s="296" t="s">
        <v>358</v>
      </c>
      <c r="G89" s="296" t="s">
        <v>359</v>
      </c>
      <c r="H89" s="108">
        <v>0.1</v>
      </c>
      <c r="I89" s="104"/>
      <c r="J89" s="161">
        <f>VLOOKUP(B89,'[2]MASTER PART LIST'!$B:$C,2,FALSE)</f>
        <v>77</v>
      </c>
      <c r="K89" s="164">
        <f>VLOOKUP(B89,'[2]MASTER PART LIST'!$B:$D,3,FALSE)</f>
        <v>128</v>
      </c>
      <c r="L89" s="316">
        <f t="shared" si="8"/>
        <v>146.1</v>
      </c>
      <c r="M89" s="187" t="s">
        <v>18</v>
      </c>
      <c r="N89" s="187"/>
      <c r="O89" s="187"/>
      <c r="P89" s="187" t="s">
        <v>18</v>
      </c>
      <c r="Q89" s="187" t="s">
        <v>18</v>
      </c>
      <c r="R89" s="187"/>
      <c r="S89" s="187" t="s">
        <v>18</v>
      </c>
      <c r="T89" s="187" t="s">
        <v>18</v>
      </c>
      <c r="U89" s="118" t="s">
        <v>153</v>
      </c>
      <c r="V89" s="118" t="s">
        <v>196</v>
      </c>
      <c r="W89" s="310">
        <v>38</v>
      </c>
      <c r="X89" s="308" t="s">
        <v>551</v>
      </c>
      <c r="Y89" s="308" t="s">
        <v>19</v>
      </c>
      <c r="Z89" s="308" t="s">
        <v>19</v>
      </c>
      <c r="AA89" s="308" t="s">
        <v>19</v>
      </c>
      <c r="AB89" s="125"/>
      <c r="AC89" s="125"/>
      <c r="AD89" s="125"/>
      <c r="AE89" s="125"/>
      <c r="AF89" s="125"/>
      <c r="AG89" s="187"/>
      <c r="AH89" s="187"/>
      <c r="AI89" s="187"/>
      <c r="AJ89" s="187"/>
      <c r="AK89" s="187"/>
      <c r="AL89" s="187" t="s">
        <v>18</v>
      </c>
      <c r="AM89" s="187"/>
      <c r="AN89" s="187"/>
      <c r="AO89" s="187"/>
      <c r="AP89" s="262"/>
      <c r="AQ89" s="262"/>
    </row>
    <row r="90" spans="1:43" ht="39">
      <c r="B90" s="104" t="s">
        <v>225</v>
      </c>
      <c r="C90" s="104" t="s">
        <v>225</v>
      </c>
      <c r="D90" s="255" t="s">
        <v>121</v>
      </c>
      <c r="E90" s="255" t="s">
        <v>171</v>
      </c>
      <c r="F90" s="296" t="s">
        <v>361</v>
      </c>
      <c r="G90" s="296" t="s">
        <v>360</v>
      </c>
      <c r="H90" s="108">
        <v>1.4</v>
      </c>
      <c r="I90" s="104"/>
      <c r="J90" s="161">
        <f>VLOOKUP(B90,'[2]MASTER PART LIST'!$B:$C,2,FALSE)</f>
        <v>134</v>
      </c>
      <c r="K90" s="164">
        <f>VLOOKUP(B90,'[2]MASTER PART LIST'!$B:$D,3,FALSE)</f>
        <v>223</v>
      </c>
      <c r="L90" s="316">
        <f t="shared" si="8"/>
        <v>476.4</v>
      </c>
      <c r="M90" s="176" t="s">
        <v>19</v>
      </c>
      <c r="N90" s="176"/>
      <c r="O90" s="176"/>
      <c r="P90" s="176" t="s">
        <v>19</v>
      </c>
      <c r="Q90" s="176" t="s">
        <v>19</v>
      </c>
      <c r="R90" s="176"/>
      <c r="S90" s="176" t="s">
        <v>19</v>
      </c>
      <c r="T90" s="187" t="s">
        <v>18</v>
      </c>
      <c r="U90" s="118"/>
      <c r="V90" s="118"/>
      <c r="W90" s="309">
        <v>47</v>
      </c>
      <c r="X90" s="308" t="s">
        <v>551</v>
      </c>
      <c r="Y90" s="308" t="s">
        <v>19</v>
      </c>
      <c r="Z90" s="308" t="s">
        <v>19</v>
      </c>
      <c r="AA90" s="308" t="s">
        <v>19</v>
      </c>
      <c r="AB90" s="125"/>
      <c r="AC90" s="125"/>
      <c r="AD90" s="125"/>
      <c r="AE90" s="125"/>
      <c r="AF90" s="125"/>
      <c r="AG90" s="187"/>
      <c r="AH90" s="187"/>
      <c r="AI90" s="187"/>
      <c r="AJ90" s="187"/>
      <c r="AK90" s="187"/>
      <c r="AL90" s="187" t="s">
        <v>18</v>
      </c>
      <c r="AM90" s="187"/>
      <c r="AN90" s="187"/>
      <c r="AO90" s="187"/>
      <c r="AP90" s="262"/>
      <c r="AQ90" s="265" t="s">
        <v>520</v>
      </c>
    </row>
    <row r="91" spans="1:43" ht="39">
      <c r="B91" s="104" t="s">
        <v>226</v>
      </c>
      <c r="C91" s="104" t="s">
        <v>226</v>
      </c>
      <c r="D91" s="255" t="s">
        <v>120</v>
      </c>
      <c r="E91" s="255" t="s">
        <v>172</v>
      </c>
      <c r="F91" s="296" t="s">
        <v>361</v>
      </c>
      <c r="G91" s="296" t="s">
        <v>360</v>
      </c>
      <c r="H91" s="108">
        <v>1.4</v>
      </c>
      <c r="I91" s="104"/>
      <c r="J91" s="161">
        <f>VLOOKUP(B91,'[2]MASTER PART LIST'!$B:$C,2,FALSE)</f>
        <v>149</v>
      </c>
      <c r="K91" s="164">
        <f>VLOOKUP(B91,'[2]MASTER PART LIST'!$B:$D,3,FALSE)</f>
        <v>248</v>
      </c>
      <c r="L91" s="316">
        <f t="shared" si="8"/>
        <v>501.4</v>
      </c>
      <c r="M91" s="187" t="s">
        <v>18</v>
      </c>
      <c r="N91" s="187"/>
      <c r="O91" s="187"/>
      <c r="P91" s="187" t="s">
        <v>18</v>
      </c>
      <c r="Q91" s="187" t="s">
        <v>18</v>
      </c>
      <c r="R91" s="187"/>
      <c r="S91" s="187" t="s">
        <v>18</v>
      </c>
      <c r="T91" s="176" t="s">
        <v>19</v>
      </c>
      <c r="U91" s="118"/>
      <c r="V91" s="118"/>
      <c r="W91" s="309">
        <v>48</v>
      </c>
      <c r="X91" s="308" t="s">
        <v>551</v>
      </c>
      <c r="Y91" s="308" t="s">
        <v>19</v>
      </c>
      <c r="Z91" s="308" t="s">
        <v>19</v>
      </c>
      <c r="AA91" s="308" t="s">
        <v>19</v>
      </c>
      <c r="AB91" s="125"/>
      <c r="AC91" s="125"/>
      <c r="AD91" s="125"/>
      <c r="AE91" s="125"/>
      <c r="AF91" s="125"/>
      <c r="AG91" s="187"/>
      <c r="AH91" s="187"/>
      <c r="AI91" s="187"/>
      <c r="AJ91" s="187"/>
      <c r="AK91" s="187" t="s">
        <v>18</v>
      </c>
      <c r="AL91" s="187"/>
      <c r="AM91" s="187"/>
      <c r="AN91" s="187"/>
      <c r="AO91" s="187"/>
      <c r="AP91" s="262"/>
      <c r="AQ91" s="265" t="s">
        <v>521</v>
      </c>
    </row>
    <row r="92" spans="1:43" ht="42">
      <c r="B92" s="104" t="s">
        <v>112</v>
      </c>
      <c r="C92" s="104" t="s">
        <v>112</v>
      </c>
      <c r="D92" s="255" t="s">
        <v>163</v>
      </c>
      <c r="E92" s="255" t="s">
        <v>195</v>
      </c>
      <c r="F92" s="296" t="s">
        <v>367</v>
      </c>
      <c r="G92" s="296" t="s">
        <v>366</v>
      </c>
      <c r="H92" s="108">
        <v>1.1000000000000001</v>
      </c>
      <c r="I92" s="104"/>
      <c r="J92" s="161">
        <f>VLOOKUP(B92,'[2]MASTER PART LIST'!$B:$C,2,FALSE)</f>
        <v>256</v>
      </c>
      <c r="K92" s="164">
        <f>VLOOKUP(B92,'[2]MASTER PART LIST'!$B:$D,3,FALSE)</f>
        <v>427</v>
      </c>
      <c r="L92" s="316">
        <f t="shared" si="8"/>
        <v>626.1</v>
      </c>
      <c r="M92" s="187" t="s">
        <v>18</v>
      </c>
      <c r="N92" s="187"/>
      <c r="O92" s="187"/>
      <c r="P92" s="187" t="s">
        <v>18</v>
      </c>
      <c r="Q92" s="187" t="s">
        <v>18</v>
      </c>
      <c r="R92" s="187"/>
      <c r="S92" s="187" t="s">
        <v>18</v>
      </c>
      <c r="T92" s="187" t="s">
        <v>18</v>
      </c>
      <c r="U92" s="118" t="s">
        <v>494</v>
      </c>
      <c r="V92" s="118" t="s">
        <v>468</v>
      </c>
      <c r="W92" s="309">
        <v>33</v>
      </c>
      <c r="X92" s="308" t="s">
        <v>551</v>
      </c>
      <c r="Y92" s="308" t="s">
        <v>19</v>
      </c>
      <c r="Z92" s="308" t="s">
        <v>19</v>
      </c>
      <c r="AA92" s="308" t="s">
        <v>19</v>
      </c>
      <c r="AB92" s="125"/>
      <c r="AC92" s="125"/>
      <c r="AD92" s="125"/>
      <c r="AE92" s="125"/>
      <c r="AF92" s="125"/>
      <c r="AG92" s="187"/>
      <c r="AH92" s="187"/>
      <c r="AI92" s="187"/>
      <c r="AJ92" s="187"/>
      <c r="AK92" s="187"/>
      <c r="AL92" s="187"/>
      <c r="AM92" s="187" t="s">
        <v>18</v>
      </c>
      <c r="AN92" s="187"/>
      <c r="AO92" s="187"/>
      <c r="AP92" s="262"/>
      <c r="AQ92" s="262"/>
    </row>
    <row r="93" spans="1:43" ht="52">
      <c r="B93" s="104" t="s">
        <v>27</v>
      </c>
      <c r="C93" s="104" t="s">
        <v>27</v>
      </c>
      <c r="D93" s="255" t="s">
        <v>154</v>
      </c>
      <c r="E93" s="255" t="s">
        <v>98</v>
      </c>
      <c r="F93" s="296" t="s">
        <v>365</v>
      </c>
      <c r="G93" s="296" t="s">
        <v>364</v>
      </c>
      <c r="H93" s="166">
        <v>0</v>
      </c>
      <c r="I93" s="104"/>
      <c r="J93" s="161">
        <f>VLOOKUP(B93,'[2]MASTER PART LIST'!$B:$C,2,FALSE)</f>
        <v>94</v>
      </c>
      <c r="K93" s="164">
        <f>VLOOKUP(B93,'[2]MASTER PART LIST'!$B:$D,3,FALSE)</f>
        <v>157</v>
      </c>
      <c r="L93" s="316">
        <f t="shared" si="8"/>
        <v>157</v>
      </c>
      <c r="M93" s="187" t="s">
        <v>18</v>
      </c>
      <c r="N93" s="187"/>
      <c r="O93" s="187"/>
      <c r="P93" s="187" t="s">
        <v>18</v>
      </c>
      <c r="Q93" s="187" t="s">
        <v>18</v>
      </c>
      <c r="R93" s="187"/>
      <c r="S93" s="187" t="s">
        <v>18</v>
      </c>
      <c r="T93" s="187" t="s">
        <v>18</v>
      </c>
      <c r="U93" s="118"/>
      <c r="V93" s="118"/>
      <c r="W93" s="309">
        <v>49</v>
      </c>
      <c r="X93" s="308" t="s">
        <v>551</v>
      </c>
      <c r="Y93" s="308" t="s">
        <v>19</v>
      </c>
      <c r="Z93" s="308" t="s">
        <v>19</v>
      </c>
      <c r="AA93" s="308" t="s">
        <v>19</v>
      </c>
      <c r="AB93" s="125"/>
      <c r="AC93" s="125"/>
      <c r="AD93" s="125"/>
      <c r="AE93" s="125"/>
      <c r="AF93" s="125"/>
      <c r="AG93" s="187"/>
      <c r="AH93" s="187"/>
      <c r="AI93" s="187"/>
      <c r="AJ93" s="187"/>
      <c r="AK93" s="187" t="s">
        <v>18</v>
      </c>
      <c r="AL93" s="187"/>
      <c r="AM93" s="187"/>
      <c r="AN93" s="187"/>
      <c r="AO93" s="187"/>
      <c r="AP93" s="262"/>
      <c r="AQ93" s="265" t="s">
        <v>519</v>
      </c>
    </row>
    <row r="94" spans="1:43" ht="15.5" hidden="1">
      <c r="B94" s="218" t="s">
        <v>495</v>
      </c>
      <c r="C94" s="267" t="s">
        <v>496</v>
      </c>
      <c r="D94" s="255" t="s">
        <v>497</v>
      </c>
      <c r="E94" s="255" t="s">
        <v>498</v>
      </c>
      <c r="F94" s="306"/>
      <c r="G94" s="255"/>
      <c r="H94" s="166">
        <v>0</v>
      </c>
      <c r="I94" s="104"/>
      <c r="J94" s="161">
        <f>VLOOKUP(B94,'[2]MASTER PART LIST'!$B:$C,2,FALSE)</f>
        <v>20</v>
      </c>
      <c r="K94" s="164">
        <f>VLOOKUP(B94,'[2]MASTER PART LIST'!$B:$D,3,FALSE)</f>
        <v>28</v>
      </c>
      <c r="L94" s="316">
        <f t="shared" ref="L94" si="9">K94+(H94*VLOOKUP(prov_cd,rate_table,2,FALSE))</f>
        <v>28</v>
      </c>
      <c r="M94" s="187" t="s">
        <v>18</v>
      </c>
      <c r="N94" s="187"/>
      <c r="O94" s="187"/>
      <c r="P94" s="187" t="s">
        <v>18</v>
      </c>
      <c r="Q94" s="187" t="s">
        <v>18</v>
      </c>
      <c r="R94" s="187"/>
      <c r="S94" s="187" t="s">
        <v>18</v>
      </c>
      <c r="T94" s="187" t="s">
        <v>18</v>
      </c>
      <c r="U94" s="118"/>
      <c r="V94" s="118"/>
      <c r="W94" s="309"/>
      <c r="X94" s="308"/>
      <c r="Y94" s="308"/>
      <c r="Z94" s="308"/>
      <c r="AA94" s="308"/>
      <c r="AB94" s="125"/>
      <c r="AC94" s="125"/>
      <c r="AD94" s="125"/>
      <c r="AE94" s="125"/>
      <c r="AF94" s="125"/>
      <c r="AG94" s="187"/>
      <c r="AH94" s="187"/>
      <c r="AI94" s="187"/>
      <c r="AJ94" s="187"/>
      <c r="AK94" s="187"/>
      <c r="AL94" s="187"/>
      <c r="AM94" s="187"/>
      <c r="AN94" s="187"/>
      <c r="AO94" s="187"/>
      <c r="AP94" s="262"/>
      <c r="AQ94" s="262"/>
    </row>
    <row r="95" spans="1:43" ht="31.5">
      <c r="B95" s="189" t="s">
        <v>311</v>
      </c>
      <c r="C95" s="190" t="s">
        <v>426</v>
      </c>
      <c r="D95" s="305" t="s">
        <v>310</v>
      </c>
      <c r="E95" s="255" t="s">
        <v>312</v>
      </c>
      <c r="F95" s="296" t="s">
        <v>362</v>
      </c>
      <c r="G95" s="296" t="s">
        <v>363</v>
      </c>
      <c r="H95" s="170">
        <f>H96</f>
        <v>0</v>
      </c>
      <c r="I95" s="104"/>
      <c r="J95" s="169">
        <f>J96</f>
        <v>13.25</v>
      </c>
      <c r="K95" s="168">
        <f>K96</f>
        <v>22</v>
      </c>
      <c r="L95" s="316">
        <f t="shared" si="8"/>
        <v>22</v>
      </c>
      <c r="M95" s="187" t="s">
        <v>18</v>
      </c>
      <c r="N95" s="187"/>
      <c r="O95" s="187"/>
      <c r="P95" s="187" t="s">
        <v>18</v>
      </c>
      <c r="Q95" s="187" t="s">
        <v>18</v>
      </c>
      <c r="R95" s="187"/>
      <c r="S95" s="187" t="s">
        <v>18</v>
      </c>
      <c r="T95" s="187" t="s">
        <v>18</v>
      </c>
      <c r="U95" s="118"/>
      <c r="V95" s="118"/>
      <c r="W95" s="309">
        <v>249</v>
      </c>
      <c r="X95" s="308" t="s">
        <v>551</v>
      </c>
      <c r="Y95" s="308" t="s">
        <v>19</v>
      </c>
      <c r="Z95" s="308" t="s">
        <v>19</v>
      </c>
      <c r="AA95" s="308" t="s">
        <v>19</v>
      </c>
      <c r="AB95" s="125"/>
      <c r="AC95" s="125"/>
      <c r="AD95" s="125"/>
      <c r="AE95" s="125"/>
      <c r="AF95" s="125"/>
      <c r="AG95" s="187"/>
      <c r="AH95" s="187"/>
      <c r="AI95" s="187"/>
      <c r="AJ95" s="187"/>
      <c r="AK95" s="187"/>
      <c r="AL95" s="187"/>
      <c r="AM95" s="187"/>
      <c r="AN95" s="187"/>
      <c r="AO95" s="317" t="s">
        <v>18</v>
      </c>
      <c r="AP95" s="262"/>
      <c r="AQ95" s="262"/>
    </row>
    <row r="96" spans="1:43" ht="26" hidden="1" outlineLevel="1">
      <c r="B96" s="108" t="s">
        <v>426</v>
      </c>
      <c r="C96" s="108" t="s">
        <v>19</v>
      </c>
      <c r="D96" s="111" t="s">
        <v>58</v>
      </c>
      <c r="E96" s="111" t="s">
        <v>192</v>
      </c>
      <c r="F96" s="212"/>
      <c r="G96" s="212"/>
      <c r="H96" s="166">
        <v>0</v>
      </c>
      <c r="I96" s="127"/>
      <c r="J96" s="161">
        <f>VLOOKUP(B96,'[2]MASTER PART LIST'!$B:$C,2,FALSE)</f>
        <v>13.25</v>
      </c>
      <c r="K96" s="164">
        <f>VLOOKUP(B96,'[2]MASTER PART LIST'!$B:$D,3,FALSE)</f>
        <v>22</v>
      </c>
      <c r="L96" s="164">
        <f t="shared" si="8"/>
        <v>22</v>
      </c>
      <c r="M96" s="187" t="s">
        <v>18</v>
      </c>
      <c r="N96" s="187"/>
      <c r="O96" s="187"/>
      <c r="P96" s="187" t="s">
        <v>18</v>
      </c>
      <c r="Q96" s="187" t="s">
        <v>18</v>
      </c>
      <c r="R96" s="187"/>
      <c r="S96" s="187" t="s">
        <v>18</v>
      </c>
      <c r="T96" s="187" t="s">
        <v>18</v>
      </c>
      <c r="U96" s="118"/>
      <c r="V96" s="118"/>
      <c r="W96" s="212"/>
      <c r="X96" s="125"/>
      <c r="Y96" s="125"/>
      <c r="Z96" s="125"/>
      <c r="AA96" s="125"/>
      <c r="AB96" s="125"/>
      <c r="AC96" s="125"/>
      <c r="AD96" s="125"/>
      <c r="AE96" s="125"/>
      <c r="AF96" s="125"/>
      <c r="AG96" s="126"/>
      <c r="AH96" s="126"/>
      <c r="AI96" s="126"/>
      <c r="AJ96" s="126"/>
      <c r="AK96" s="126"/>
      <c r="AL96" s="126"/>
      <c r="AM96" s="126"/>
      <c r="AN96" s="126"/>
      <c r="AO96" s="126"/>
      <c r="AP96" s="264"/>
      <c r="AQ96" s="264"/>
    </row>
    <row r="97" spans="2:43" ht="26" hidden="1" outlineLevel="1">
      <c r="B97" s="108" t="s">
        <v>262</v>
      </c>
      <c r="C97" s="108" t="s">
        <v>19</v>
      </c>
      <c r="D97" s="111" t="s">
        <v>250</v>
      </c>
      <c r="E97" s="111" t="s">
        <v>193</v>
      </c>
      <c r="F97" s="212"/>
      <c r="G97" s="212"/>
      <c r="H97" s="166">
        <v>0</v>
      </c>
      <c r="I97" s="127"/>
      <c r="J97" s="161" t="e">
        <f>VLOOKUP(B97,'[2]MASTER PART LIST'!$B:$C,2,FALSE)</f>
        <v>#N/A</v>
      </c>
      <c r="K97" s="164" t="e">
        <f>VLOOKUP(B97,'[2]MASTER PART LIST'!$B:$D,3,FALSE)</f>
        <v>#N/A</v>
      </c>
      <c r="L97" s="164" t="e">
        <f t="shared" si="8"/>
        <v>#N/A</v>
      </c>
      <c r="M97" s="176" t="s">
        <v>19</v>
      </c>
      <c r="N97" s="187"/>
      <c r="O97" s="187"/>
      <c r="P97" s="187" t="s">
        <v>18</v>
      </c>
      <c r="Q97" s="176" t="s">
        <v>19</v>
      </c>
      <c r="R97" s="187"/>
      <c r="S97" s="176" t="s">
        <v>19</v>
      </c>
      <c r="T97" s="176" t="s">
        <v>19</v>
      </c>
      <c r="U97" s="118"/>
      <c r="V97" s="118"/>
      <c r="W97" s="212"/>
      <c r="X97" s="125"/>
      <c r="Y97" s="125"/>
      <c r="Z97" s="125"/>
      <c r="AA97" s="125"/>
      <c r="AB97" s="125"/>
      <c r="AC97" s="125"/>
      <c r="AD97" s="125"/>
      <c r="AE97" s="125"/>
      <c r="AF97" s="125"/>
      <c r="AG97" s="126"/>
      <c r="AH97" s="126"/>
      <c r="AI97" s="126"/>
      <c r="AJ97" s="126"/>
      <c r="AK97" s="126"/>
      <c r="AL97" s="126"/>
      <c r="AM97" s="126"/>
      <c r="AN97" s="126"/>
      <c r="AO97" s="126"/>
      <c r="AP97" s="264"/>
      <c r="AQ97" s="264"/>
    </row>
    <row r="98" spans="2:43" ht="15.5" hidden="1" outlineLevel="1">
      <c r="B98" s="108" t="s">
        <v>425</v>
      </c>
      <c r="C98" s="108" t="s">
        <v>19</v>
      </c>
      <c r="D98" s="111" t="s">
        <v>57</v>
      </c>
      <c r="E98" s="111" t="s">
        <v>194</v>
      </c>
      <c r="F98" s="212"/>
      <c r="G98" s="212"/>
      <c r="H98" s="166">
        <v>0</v>
      </c>
      <c r="I98" s="127"/>
      <c r="J98" s="161">
        <f>VLOOKUP(B98,'[2]MASTER PART LIST'!$B:$C,2,FALSE)</f>
        <v>13.25</v>
      </c>
      <c r="K98" s="164">
        <f>VLOOKUP(B98,'[2]MASTER PART LIST'!$B:$D,3,FALSE)</f>
        <v>22</v>
      </c>
      <c r="L98" s="164">
        <f t="shared" si="8"/>
        <v>22</v>
      </c>
      <c r="M98" s="187" t="s">
        <v>18</v>
      </c>
      <c r="N98" s="187"/>
      <c r="O98" s="187"/>
      <c r="P98" s="187" t="s">
        <v>18</v>
      </c>
      <c r="Q98" s="187" t="s">
        <v>18</v>
      </c>
      <c r="R98" s="187"/>
      <c r="S98" s="187" t="s">
        <v>18</v>
      </c>
      <c r="T98" s="187" t="s">
        <v>18</v>
      </c>
      <c r="U98" s="118"/>
      <c r="V98" s="118"/>
      <c r="W98" s="212"/>
      <c r="X98" s="125"/>
      <c r="Y98" s="125"/>
      <c r="Z98" s="125"/>
      <c r="AA98" s="125"/>
      <c r="AB98" s="125"/>
      <c r="AC98" s="125"/>
      <c r="AD98" s="125"/>
      <c r="AE98" s="125"/>
      <c r="AF98" s="125"/>
      <c r="AG98" s="126"/>
      <c r="AH98" s="126"/>
      <c r="AI98" s="126"/>
      <c r="AJ98" s="126"/>
      <c r="AK98" s="126"/>
      <c r="AL98" s="126"/>
      <c r="AM98" s="126"/>
      <c r="AN98" s="126"/>
      <c r="AO98" s="126"/>
      <c r="AP98" s="264"/>
      <c r="AQ98" s="264"/>
    </row>
    <row r="99" spans="2:43" ht="15.5" hidden="1" outlineLevel="1">
      <c r="B99" s="108" t="s">
        <v>263</v>
      </c>
      <c r="C99" s="108" t="s">
        <v>19</v>
      </c>
      <c r="D99" s="111" t="s">
        <v>119</v>
      </c>
      <c r="E99" s="111" t="s">
        <v>191</v>
      </c>
      <c r="F99" s="212"/>
      <c r="G99" s="212"/>
      <c r="H99" s="166">
        <v>0</v>
      </c>
      <c r="I99" s="127"/>
      <c r="J99" s="161" t="e">
        <f>VLOOKUP(B99,'[2]MASTER PART LIST'!$B:$C,2,FALSE)</f>
        <v>#N/A</v>
      </c>
      <c r="K99" s="164" t="e">
        <f>VLOOKUP(B99,'[2]MASTER PART LIST'!$B:$D,3,FALSE)</f>
        <v>#N/A</v>
      </c>
      <c r="L99" s="164" t="e">
        <f t="shared" si="8"/>
        <v>#N/A</v>
      </c>
      <c r="M99" s="187" t="s">
        <v>18</v>
      </c>
      <c r="N99" s="176"/>
      <c r="O99" s="176"/>
      <c r="P99" s="187" t="s">
        <v>18</v>
      </c>
      <c r="Q99" s="187" t="s">
        <v>18</v>
      </c>
      <c r="R99" s="187"/>
      <c r="S99" s="187" t="s">
        <v>18</v>
      </c>
      <c r="T99" s="187" t="s">
        <v>18</v>
      </c>
      <c r="U99" s="118"/>
      <c r="V99" s="118"/>
      <c r="W99" s="212"/>
      <c r="X99" s="125"/>
      <c r="Y99" s="125"/>
      <c r="Z99" s="125"/>
      <c r="AA99" s="125"/>
      <c r="AB99" s="125"/>
      <c r="AC99" s="125"/>
      <c r="AD99" s="125"/>
      <c r="AE99" s="125"/>
      <c r="AF99" s="125"/>
      <c r="AG99" s="126"/>
      <c r="AH99" s="126"/>
      <c r="AI99" s="126"/>
      <c r="AJ99" s="126"/>
      <c r="AK99" s="126"/>
      <c r="AL99" s="126"/>
      <c r="AM99" s="126"/>
      <c r="AN99" s="126"/>
      <c r="AO99" s="126"/>
      <c r="AP99" s="264"/>
      <c r="AQ99" s="264"/>
    </row>
    <row r="100" spans="2:43" ht="13.5" hidden="1" customHeight="1" outlineLevel="1">
      <c r="B100" s="108" t="s">
        <v>415</v>
      </c>
      <c r="C100" s="108" t="s">
        <v>19</v>
      </c>
      <c r="D100" s="111" t="s">
        <v>416</v>
      </c>
      <c r="E100" s="104" t="s">
        <v>417</v>
      </c>
      <c r="F100" s="212"/>
      <c r="G100" s="212"/>
      <c r="H100" s="166">
        <v>0</v>
      </c>
      <c r="I100" s="127"/>
      <c r="J100" s="161" t="e">
        <f>VLOOKUP(B100,'[2]MASTER PART LIST'!$B:$C,2,FALSE)</f>
        <v>#N/A</v>
      </c>
      <c r="K100" s="164" t="e">
        <f>VLOOKUP(B100,'[2]MASTER PART LIST'!$B:$D,3,FALSE)</f>
        <v>#N/A</v>
      </c>
      <c r="L100" s="164" t="e">
        <f t="shared" si="8"/>
        <v>#N/A</v>
      </c>
      <c r="M100" s="176" t="s">
        <v>19</v>
      </c>
      <c r="N100" s="187"/>
      <c r="O100" s="187"/>
      <c r="P100" s="176" t="s">
        <v>19</v>
      </c>
      <c r="Q100" s="176" t="s">
        <v>19</v>
      </c>
      <c r="R100" s="176"/>
      <c r="S100" s="187" t="s">
        <v>18</v>
      </c>
      <c r="T100" s="187" t="s">
        <v>18</v>
      </c>
      <c r="U100" s="118"/>
      <c r="V100" s="118"/>
      <c r="W100" s="212"/>
      <c r="X100" s="125"/>
      <c r="Y100" s="125"/>
      <c r="Z100" s="125"/>
      <c r="AA100" s="125"/>
      <c r="AB100" s="125"/>
      <c r="AC100" s="125"/>
      <c r="AD100" s="125"/>
      <c r="AE100" s="125"/>
      <c r="AF100" s="125"/>
      <c r="AG100" s="126"/>
      <c r="AH100" s="126"/>
      <c r="AI100" s="126"/>
      <c r="AJ100" s="126"/>
      <c r="AK100" s="126"/>
      <c r="AL100" s="126"/>
      <c r="AM100" s="126"/>
      <c r="AN100" s="126"/>
      <c r="AO100" s="126"/>
      <c r="AP100" s="264"/>
      <c r="AQ100" s="264"/>
    </row>
    <row r="101" spans="2:43" ht="15.5" hidden="1" outlineLevel="1">
      <c r="B101" s="108" t="s">
        <v>418</v>
      </c>
      <c r="C101" s="108" t="s">
        <v>19</v>
      </c>
      <c r="D101" s="255" t="s">
        <v>486</v>
      </c>
      <c r="E101" s="255" t="s">
        <v>485</v>
      </c>
      <c r="F101" s="212"/>
      <c r="G101" s="212"/>
      <c r="H101" s="166">
        <v>0</v>
      </c>
      <c r="I101" s="127"/>
      <c r="J101" s="161" t="e">
        <f>VLOOKUP(B101,'[2]MASTER PART LIST'!$B:$C,2,FALSE)</f>
        <v>#N/A</v>
      </c>
      <c r="K101" s="164" t="e">
        <f>VLOOKUP(B101,'[2]MASTER PART LIST'!$B:$D,3,FALSE)</f>
        <v>#N/A</v>
      </c>
      <c r="L101" s="164" t="e">
        <f t="shared" si="8"/>
        <v>#N/A</v>
      </c>
      <c r="M101" s="176" t="s">
        <v>19</v>
      </c>
      <c r="N101" s="176"/>
      <c r="O101" s="176"/>
      <c r="P101" s="176" t="s">
        <v>19</v>
      </c>
      <c r="Q101" s="176" t="s">
        <v>19</v>
      </c>
      <c r="R101" s="176"/>
      <c r="S101" s="187" t="s">
        <v>18</v>
      </c>
      <c r="T101" s="176" t="s">
        <v>19</v>
      </c>
      <c r="U101" s="118"/>
      <c r="V101" s="118"/>
      <c r="W101" s="212"/>
      <c r="X101" s="125"/>
      <c r="Y101" s="125"/>
      <c r="Z101" s="125"/>
      <c r="AA101" s="125"/>
      <c r="AB101" s="125"/>
      <c r="AC101" s="125"/>
      <c r="AD101" s="125"/>
      <c r="AE101" s="125"/>
      <c r="AF101" s="125"/>
      <c r="AG101" s="126"/>
      <c r="AH101" s="126"/>
      <c r="AI101" s="126"/>
      <c r="AJ101" s="126"/>
      <c r="AK101" s="126"/>
      <c r="AL101" s="126"/>
      <c r="AM101" s="126"/>
      <c r="AN101" s="126"/>
      <c r="AO101" s="126"/>
      <c r="AP101" s="264"/>
      <c r="AQ101" s="264"/>
    </row>
    <row r="102" spans="2:43" ht="26" hidden="1" outlineLevel="1">
      <c r="B102" s="108" t="s">
        <v>412</v>
      </c>
      <c r="C102" s="108" t="s">
        <v>19</v>
      </c>
      <c r="D102" s="111" t="s">
        <v>413</v>
      </c>
      <c r="E102" s="104" t="s">
        <v>414</v>
      </c>
      <c r="F102" s="212"/>
      <c r="G102" s="212"/>
      <c r="H102" s="166">
        <v>0</v>
      </c>
      <c r="I102" s="127"/>
      <c r="J102" s="161" t="e">
        <f>VLOOKUP(B102,'[2]MASTER PART LIST'!$B:$C,2,FALSE)</f>
        <v>#N/A</v>
      </c>
      <c r="K102" s="164" t="e">
        <f>VLOOKUP(B102,'[2]MASTER PART LIST'!$B:$D,3,FALSE)</f>
        <v>#N/A</v>
      </c>
      <c r="L102" s="164" t="e">
        <f t="shared" si="8"/>
        <v>#N/A</v>
      </c>
      <c r="M102" s="187" t="s">
        <v>18</v>
      </c>
      <c r="N102" s="187"/>
      <c r="O102" s="187"/>
      <c r="P102" s="187" t="s">
        <v>18</v>
      </c>
      <c r="Q102" s="187" t="s">
        <v>18</v>
      </c>
      <c r="R102" s="187"/>
      <c r="S102" s="187" t="s">
        <v>18</v>
      </c>
      <c r="T102" s="176" t="s">
        <v>19</v>
      </c>
      <c r="U102" s="118"/>
      <c r="V102" s="118"/>
      <c r="W102" s="212"/>
      <c r="X102" s="125"/>
      <c r="Y102" s="125"/>
      <c r="Z102" s="125"/>
      <c r="AA102" s="125"/>
      <c r="AB102" s="125"/>
      <c r="AC102" s="125"/>
      <c r="AD102" s="125"/>
      <c r="AE102" s="125"/>
      <c r="AF102" s="125"/>
      <c r="AG102" s="126"/>
      <c r="AH102" s="126"/>
      <c r="AI102" s="126"/>
      <c r="AJ102" s="126"/>
      <c r="AK102" s="126"/>
      <c r="AL102" s="126"/>
      <c r="AM102" s="126"/>
      <c r="AN102" s="126"/>
      <c r="AO102" s="126"/>
      <c r="AP102" s="264"/>
      <c r="AQ102" s="264"/>
    </row>
    <row r="103" spans="2:43" ht="15.5" hidden="1" collapsed="1">
      <c r="B103" s="218" t="s">
        <v>65</v>
      </c>
      <c r="C103" s="218" t="s">
        <v>65</v>
      </c>
      <c r="D103" s="255" t="s">
        <v>22</v>
      </c>
      <c r="E103" s="255" t="s">
        <v>100</v>
      </c>
      <c r="F103" s="296"/>
      <c r="G103" s="296"/>
      <c r="H103" s="166">
        <v>0</v>
      </c>
      <c r="I103" s="104"/>
      <c r="J103" s="161">
        <f>VLOOKUP(B103,'[2]MASTER PART LIST'!$B:$C,2,FALSE)</f>
        <v>9.5</v>
      </c>
      <c r="K103" s="164">
        <f>VLOOKUP(B103,'[2]MASTER PART LIST'!$B:$D,3,FALSE)</f>
        <v>15.75</v>
      </c>
      <c r="L103" s="164">
        <f t="shared" si="8"/>
        <v>15.75</v>
      </c>
      <c r="M103" s="187" t="s">
        <v>18</v>
      </c>
      <c r="N103" s="187"/>
      <c r="O103" s="187"/>
      <c r="P103" s="187" t="s">
        <v>18</v>
      </c>
      <c r="Q103" s="187" t="s">
        <v>18</v>
      </c>
      <c r="R103" s="187"/>
      <c r="S103" s="187" t="s">
        <v>18</v>
      </c>
      <c r="T103" s="187" t="s">
        <v>18</v>
      </c>
      <c r="U103" s="118" t="s">
        <v>473</v>
      </c>
      <c r="V103" s="118" t="s">
        <v>475</v>
      </c>
      <c r="W103" s="258">
        <v>401</v>
      </c>
      <c r="X103" s="125"/>
      <c r="Y103" s="125"/>
      <c r="Z103" s="125"/>
      <c r="AA103" s="125"/>
      <c r="AB103" s="125"/>
      <c r="AC103" s="125"/>
      <c r="AD103" s="125"/>
      <c r="AE103" s="125"/>
      <c r="AF103" s="125"/>
      <c r="AG103" s="187"/>
      <c r="AH103" s="187"/>
      <c r="AI103" s="187"/>
      <c r="AJ103" s="187"/>
      <c r="AK103" s="187"/>
      <c r="AL103" s="187"/>
      <c r="AM103" s="187"/>
      <c r="AN103" s="187"/>
      <c r="AO103" s="187" t="s">
        <v>18</v>
      </c>
      <c r="AP103" s="262"/>
      <c r="AQ103" s="262"/>
    </row>
    <row r="104" spans="2:43" ht="15.5" hidden="1">
      <c r="B104" s="218" t="s">
        <v>64</v>
      </c>
      <c r="C104" s="218" t="s">
        <v>64</v>
      </c>
      <c r="D104" s="255" t="s">
        <v>23</v>
      </c>
      <c r="E104" s="255" t="s">
        <v>101</v>
      </c>
      <c r="F104" s="296"/>
      <c r="G104" s="296"/>
      <c r="H104" s="166">
        <v>0</v>
      </c>
      <c r="I104" s="104"/>
      <c r="J104" s="161">
        <f>VLOOKUP(B104,'[2]MASTER PART LIST'!$B:$C,2,FALSE)</f>
        <v>2.4500000000000002</v>
      </c>
      <c r="K104" s="164">
        <f>VLOOKUP(B104,'[2]MASTER PART LIST'!$B:$D,3,FALSE)</f>
        <v>4</v>
      </c>
      <c r="L104" s="164">
        <f t="shared" si="8"/>
        <v>4</v>
      </c>
      <c r="M104" s="187" t="s">
        <v>18</v>
      </c>
      <c r="N104" s="187"/>
      <c r="O104" s="187"/>
      <c r="P104" s="187" t="s">
        <v>18</v>
      </c>
      <c r="Q104" s="187" t="s">
        <v>18</v>
      </c>
      <c r="R104" s="187"/>
      <c r="S104" s="187" t="s">
        <v>18</v>
      </c>
      <c r="T104" s="187" t="s">
        <v>18</v>
      </c>
      <c r="U104" s="118" t="s">
        <v>473</v>
      </c>
      <c r="V104" s="118" t="s">
        <v>475</v>
      </c>
      <c r="W104" s="258">
        <v>402</v>
      </c>
      <c r="X104" s="125"/>
      <c r="Y104" s="125"/>
      <c r="Z104" s="125"/>
      <c r="AA104" s="125"/>
      <c r="AB104" s="125"/>
      <c r="AC104" s="125"/>
      <c r="AD104" s="125"/>
      <c r="AE104" s="125"/>
      <c r="AF104" s="125"/>
      <c r="AG104" s="187"/>
      <c r="AH104" s="187"/>
      <c r="AI104" s="187"/>
      <c r="AJ104" s="187"/>
      <c r="AK104" s="187"/>
      <c r="AL104" s="187"/>
      <c r="AM104" s="187"/>
      <c r="AN104" s="187"/>
      <c r="AO104" s="187"/>
      <c r="AP104" s="262"/>
      <c r="AQ104" s="262"/>
    </row>
    <row r="105" spans="2:43" ht="26" hidden="1">
      <c r="B105" s="218" t="s">
        <v>63</v>
      </c>
      <c r="C105" s="218" t="s">
        <v>63</v>
      </c>
      <c r="D105" s="255" t="s">
        <v>24</v>
      </c>
      <c r="E105" s="255" t="s">
        <v>190</v>
      </c>
      <c r="F105" s="296"/>
      <c r="G105" s="296"/>
      <c r="H105" s="166">
        <v>0</v>
      </c>
      <c r="I105" s="104"/>
      <c r="J105" s="161">
        <f>VLOOKUP(B105,'[2]MASTER PART LIST'!$B:$C,2,FALSE)</f>
        <v>6.25</v>
      </c>
      <c r="K105" s="164">
        <f>VLOOKUP(B105,'[2]MASTER PART LIST'!$B:$D,3,FALSE)</f>
        <v>13.75</v>
      </c>
      <c r="L105" s="164">
        <f t="shared" si="8"/>
        <v>13.75</v>
      </c>
      <c r="M105" s="187" t="s">
        <v>18</v>
      </c>
      <c r="N105" s="187"/>
      <c r="O105" s="187"/>
      <c r="P105" s="187" t="s">
        <v>18</v>
      </c>
      <c r="Q105" s="187" t="s">
        <v>18</v>
      </c>
      <c r="R105" s="187"/>
      <c r="S105" s="187" t="s">
        <v>18</v>
      </c>
      <c r="T105" s="187" t="s">
        <v>18</v>
      </c>
      <c r="U105" s="118" t="s">
        <v>472</v>
      </c>
      <c r="V105" s="118" t="s">
        <v>474</v>
      </c>
      <c r="W105" s="258">
        <v>403</v>
      </c>
      <c r="X105" s="125"/>
      <c r="Y105" s="125"/>
      <c r="Z105" s="125"/>
      <c r="AA105" s="125"/>
      <c r="AB105" s="125"/>
      <c r="AC105" s="125"/>
      <c r="AD105" s="125"/>
      <c r="AE105" s="125"/>
      <c r="AF105" s="125"/>
      <c r="AG105" s="187"/>
      <c r="AH105" s="187"/>
      <c r="AI105" s="187"/>
      <c r="AJ105" s="187"/>
      <c r="AK105" s="187"/>
      <c r="AL105" s="187"/>
      <c r="AM105" s="187"/>
      <c r="AN105" s="187"/>
      <c r="AO105" s="187"/>
      <c r="AP105" s="262"/>
      <c r="AQ105" s="262"/>
    </row>
    <row r="106" spans="2:43" hidden="1"/>
    <row r="115" spans="6:6">
      <c r="F115" s="116" t="s">
        <v>536</v>
      </c>
    </row>
  </sheetData>
  <mergeCells count="5">
    <mergeCell ref="X8:AF8"/>
    <mergeCell ref="AG8:AO8"/>
    <mergeCell ref="AG6:AO6"/>
    <mergeCell ref="M6:T6"/>
    <mergeCell ref="M7:T7"/>
  </mergeCells>
  <phoneticPr fontId="48" type="noConversion"/>
  <conditionalFormatting sqref="W94">
    <cfRule type="duplicateValues" dxfId="20" priority="5"/>
  </conditionalFormatting>
  <conditionalFormatting sqref="W1:W6 W8:W1048576">
    <cfRule type="duplicateValues" dxfId="19" priority="3"/>
  </conditionalFormatting>
  <conditionalFormatting sqref="X10:AF29 X31:AF105">
    <cfRule type="containsText" dxfId="18" priority="2" operator="containsText" text="NEW">
      <formula>NOT(ISERROR(SEARCH("NEW",X10)))</formula>
    </cfRule>
  </conditionalFormatting>
  <dataValidations count="1">
    <dataValidation type="list" allowBlank="1" showInputMessage="1" showErrorMessage="1" sqref="X10:AF29 X31:AF105" xr:uid="{F73B4861-A814-418B-B20B-1C399B0FDC42}">
      <formula1>$X$2:$X$5</formula1>
    </dataValidation>
  </dataValidations>
  <printOptions horizontalCentered="1"/>
  <pageMargins left="0.23622047244094491" right="0.23622047244094491" top="0.39370078740157483" bottom="0.39370078740157483" header="0.31496062992125984" footer="0.31496062992125984"/>
  <pageSetup scale="26"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C19" sqref="C19"/>
    </sheetView>
  </sheetViews>
  <sheetFormatPr defaultColWidth="9.1796875" defaultRowHeight="12.5"/>
  <cols>
    <col min="1" max="1" width="49.453125" style="28" customWidth="1"/>
    <col min="2" max="3" width="14.1796875" style="28" customWidth="1"/>
    <col min="4" max="16384" width="9.1796875" style="28"/>
  </cols>
  <sheetData>
    <row r="1" spans="1:12" ht="47.5" thickBot="1">
      <c r="A1" s="88" t="s">
        <v>276</v>
      </c>
      <c r="B1" s="87" t="s">
        <v>9</v>
      </c>
      <c r="C1" s="31"/>
      <c r="G1" s="29"/>
      <c r="H1" s="29"/>
      <c r="I1" s="29"/>
      <c r="J1" s="29"/>
      <c r="K1" s="29"/>
    </row>
    <row r="2" spans="1:12">
      <c r="A2" s="33"/>
      <c r="C2" s="31"/>
      <c r="F2" s="30"/>
      <c r="G2" s="34"/>
      <c r="H2" s="34"/>
      <c r="I2" s="34"/>
      <c r="J2" s="34"/>
      <c r="K2" s="34"/>
      <c r="L2" s="31"/>
    </row>
    <row r="3" spans="1:12" ht="13.5" thickBot="1">
      <c r="A3" s="33"/>
      <c r="B3" s="34"/>
      <c r="C3" s="39"/>
      <c r="E3" s="32"/>
      <c r="F3" s="30"/>
      <c r="G3" s="34"/>
      <c r="H3" s="34"/>
      <c r="I3" s="34"/>
      <c r="J3" s="34"/>
      <c r="K3" s="34"/>
      <c r="L3" s="31"/>
    </row>
    <row r="4" spans="1:12" ht="15" thickBot="1">
      <c r="A4" s="33"/>
      <c r="B4" s="38" t="s">
        <v>28</v>
      </c>
      <c r="C4" s="40"/>
      <c r="F4" s="30"/>
      <c r="G4" s="34"/>
      <c r="H4" s="34"/>
      <c r="I4" s="34"/>
      <c r="J4" s="34"/>
      <c r="K4" s="34"/>
      <c r="L4" s="31"/>
    </row>
    <row r="5" spans="1:12" ht="14.5">
      <c r="B5" s="38" t="s">
        <v>275</v>
      </c>
      <c r="C5" s="40"/>
      <c r="F5" s="30"/>
      <c r="G5" s="34"/>
      <c r="H5" s="34"/>
      <c r="I5" s="34"/>
      <c r="J5" s="34"/>
      <c r="K5" s="34"/>
      <c r="L5" s="31"/>
    </row>
    <row r="6" spans="1:12" ht="13">
      <c r="A6" s="30"/>
      <c r="B6" s="36" t="s">
        <v>0</v>
      </c>
      <c r="C6" s="41">
        <v>171</v>
      </c>
      <c r="D6" s="31"/>
      <c r="F6" s="30"/>
      <c r="G6" s="34"/>
      <c r="H6" s="34"/>
      <c r="I6" s="34"/>
      <c r="J6" s="34"/>
      <c r="K6" s="34"/>
      <c r="L6" s="31"/>
    </row>
    <row r="7" spans="1:12" ht="13">
      <c r="A7" s="30"/>
      <c r="B7" s="36" t="s">
        <v>1</v>
      </c>
      <c r="C7" s="41">
        <v>181</v>
      </c>
      <c r="D7" s="31"/>
      <c r="F7" s="30"/>
      <c r="G7" s="34"/>
      <c r="H7" s="34"/>
      <c r="I7" s="34"/>
      <c r="J7" s="34"/>
      <c r="K7" s="34"/>
      <c r="L7" s="31"/>
    </row>
    <row r="8" spans="1:12" ht="13">
      <c r="A8" s="30"/>
      <c r="B8" s="36" t="s">
        <v>2</v>
      </c>
      <c r="C8" s="41">
        <v>164</v>
      </c>
      <c r="D8" s="31"/>
      <c r="F8" s="30"/>
      <c r="G8" s="34"/>
      <c r="H8" s="34"/>
      <c r="I8" s="34"/>
      <c r="J8" s="34"/>
      <c r="K8" s="34"/>
      <c r="L8" s="31"/>
    </row>
    <row r="9" spans="1:12" ht="13">
      <c r="A9" s="30"/>
      <c r="B9" s="36" t="s">
        <v>3</v>
      </c>
      <c r="C9" s="41">
        <v>142</v>
      </c>
      <c r="D9" s="31"/>
      <c r="F9" s="30"/>
      <c r="G9" s="34"/>
      <c r="H9" s="34"/>
      <c r="I9" s="34"/>
      <c r="J9" s="34"/>
      <c r="K9" s="34"/>
      <c r="L9" s="31"/>
    </row>
    <row r="10" spans="1:12" ht="13">
      <c r="A10" s="30"/>
      <c r="B10" s="36" t="s">
        <v>4</v>
      </c>
      <c r="C10" s="41">
        <v>142</v>
      </c>
      <c r="D10" s="31"/>
      <c r="F10" s="30"/>
      <c r="G10" s="34"/>
      <c r="H10" s="34"/>
      <c r="I10" s="34"/>
      <c r="J10" s="34"/>
      <c r="K10" s="34"/>
      <c r="L10" s="31"/>
    </row>
    <row r="11" spans="1:12" ht="13.5" thickBot="1">
      <c r="A11" s="30"/>
      <c r="B11" s="36" t="s">
        <v>5</v>
      </c>
      <c r="C11" s="41">
        <v>142</v>
      </c>
      <c r="D11" s="31"/>
      <c r="F11" s="30"/>
      <c r="G11" s="34"/>
      <c r="H11" s="34"/>
      <c r="I11" s="34"/>
      <c r="J11" s="34"/>
      <c r="K11" s="34"/>
      <c r="L11" s="31"/>
    </row>
    <row r="12" spans="1:12" ht="13.5" thickBot="1">
      <c r="A12" s="30"/>
      <c r="B12" s="36" t="s">
        <v>6</v>
      </c>
      <c r="C12" s="41">
        <v>160</v>
      </c>
      <c r="D12" s="31"/>
      <c r="F12" s="45" t="str">
        <f>prov_cd</f>
        <v>YT</v>
      </c>
      <c r="G12" s="34"/>
      <c r="H12" s="34"/>
      <c r="I12" s="34"/>
      <c r="J12" s="34"/>
      <c r="K12" s="34"/>
      <c r="L12" s="31"/>
    </row>
    <row r="13" spans="1:12" ht="13">
      <c r="A13" s="30"/>
      <c r="B13" s="36" t="s">
        <v>59</v>
      </c>
      <c r="C13" s="41">
        <v>134</v>
      </c>
      <c r="D13" s="31"/>
      <c r="F13" s="30"/>
      <c r="G13" s="34"/>
      <c r="H13" s="34"/>
      <c r="I13" s="34"/>
      <c r="J13" s="34"/>
      <c r="K13" s="34"/>
      <c r="L13" s="31"/>
    </row>
    <row r="14" spans="1:12" ht="13">
      <c r="A14" s="30"/>
      <c r="B14" s="36" t="s">
        <v>7</v>
      </c>
      <c r="C14" s="41">
        <v>152</v>
      </c>
      <c r="D14" s="277"/>
      <c r="F14" s="30"/>
      <c r="G14" s="34"/>
      <c r="H14" s="34"/>
      <c r="I14" s="34"/>
      <c r="J14" s="34"/>
      <c r="K14" s="34"/>
      <c r="L14" s="31"/>
    </row>
    <row r="15" spans="1:12" ht="13">
      <c r="A15" s="30"/>
      <c r="B15" s="36" t="s">
        <v>8</v>
      </c>
      <c r="C15" s="41">
        <v>164</v>
      </c>
      <c r="D15" s="31"/>
      <c r="F15" s="30"/>
      <c r="G15" s="34"/>
      <c r="H15" s="34"/>
      <c r="I15" s="34"/>
      <c r="J15" s="34"/>
      <c r="K15" s="34"/>
      <c r="L15" s="31"/>
    </row>
    <row r="16" spans="1:12" ht="13.5"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5">
      <c r="B19" s="378" t="s">
        <v>560</v>
      </c>
      <c r="C19" s="227">
        <f>'26MY_CIV4D_DATA'!$C$5</f>
        <v>46113</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ht="13">
      <c r="A23" s="32" t="s">
        <v>30</v>
      </c>
      <c r="F23" s="30"/>
      <c r="G23" s="34"/>
      <c r="H23" s="34"/>
      <c r="I23" s="34"/>
      <c r="J23" s="34"/>
      <c r="K23" s="34"/>
      <c r="L23" s="31"/>
    </row>
    <row r="24" spans="1:12" ht="13">
      <c r="A24" s="32" t="s">
        <v>102</v>
      </c>
      <c r="F24" s="30"/>
      <c r="G24" s="34"/>
      <c r="H24" s="34"/>
      <c r="I24" s="34"/>
      <c r="J24" s="34"/>
      <c r="K24" s="34"/>
      <c r="L24" s="31"/>
    </row>
    <row r="25" spans="1:12">
      <c r="F25" s="30"/>
      <c r="G25" s="34"/>
      <c r="H25" s="34"/>
      <c r="I25" s="34"/>
      <c r="J25" s="34"/>
      <c r="K25" s="34"/>
      <c r="L25" s="31"/>
    </row>
    <row r="26" spans="1:12">
      <c r="A26" s="122"/>
      <c r="F26" s="30"/>
      <c r="G26" s="34"/>
      <c r="H26" s="34"/>
      <c r="I26" s="34"/>
      <c r="J26" s="34"/>
      <c r="K26" s="34"/>
      <c r="L26" s="31"/>
    </row>
    <row r="27" spans="1:12">
      <c r="A27" s="122"/>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B2:U169"/>
  <sheetViews>
    <sheetView view="pageBreakPreview" zoomScale="70" zoomScaleNormal="60" zoomScaleSheetLayoutView="70" workbookViewId="0">
      <selection activeCell="B1" sqref="B1:B1048576"/>
    </sheetView>
  </sheetViews>
  <sheetFormatPr defaultColWidth="9.1796875" defaultRowHeight="13" outlineLevelCol="1"/>
  <cols>
    <col min="1" max="1" width="9.1796875" style="46"/>
    <col min="2" max="2" width="15.54296875" style="386" hidden="1" customWidth="1"/>
    <col min="3" max="3" width="40.453125" style="46" customWidth="1"/>
    <col min="4" max="4" width="19.81640625" style="46" customWidth="1"/>
    <col min="5" max="5" width="10.81640625" style="46" customWidth="1" outlineLevel="1"/>
    <col min="6" max="6" width="11.81640625" style="46" customWidth="1"/>
    <col min="7" max="7" width="8.54296875" style="46" customWidth="1"/>
    <col min="8" max="8" width="15.26953125" style="46" customWidth="1"/>
    <col min="9" max="9" width="10.54296875" style="46" customWidth="1"/>
    <col min="10" max="11" width="10.54296875" style="46" hidden="1" customWidth="1"/>
    <col min="12" max="13" width="10.54296875" style="46" customWidth="1"/>
    <col min="14" max="14" width="10.54296875" style="46" hidden="1" customWidth="1"/>
    <col min="15" max="16" width="10.54296875" style="46" customWidth="1"/>
    <col min="17" max="17" width="62" style="46" customWidth="1"/>
    <col min="18" max="18" width="9.1796875" style="46" customWidth="1"/>
    <col min="19" max="16384" width="9.1796875" style="46"/>
  </cols>
  <sheetData>
    <row r="2" spans="2:20" ht="35.25" customHeight="1">
      <c r="B2" s="379" t="s">
        <v>380</v>
      </c>
      <c r="C2" s="157" t="s">
        <v>72</v>
      </c>
      <c r="D2" s="157"/>
      <c r="E2" s="154"/>
      <c r="F2" s="15"/>
      <c r="G2" s="128"/>
      <c r="H2" s="129"/>
      <c r="I2" s="129"/>
      <c r="J2" s="129"/>
      <c r="K2" s="129"/>
      <c r="L2" s="144"/>
      <c r="M2" s="145"/>
      <c r="N2" s="145"/>
      <c r="O2" s="144"/>
      <c r="P2" s="144"/>
      <c r="Q2" s="144"/>
    </row>
    <row r="3" spans="2:20" ht="30" customHeight="1">
      <c r="B3" s="379"/>
      <c r="C3" s="158" t="s">
        <v>15</v>
      </c>
      <c r="D3" s="159" t="s">
        <v>266</v>
      </c>
      <c r="E3" s="155"/>
      <c r="F3" s="2"/>
      <c r="G3" s="128"/>
      <c r="H3" s="129"/>
      <c r="I3" s="129"/>
      <c r="J3" s="129"/>
      <c r="K3" s="286"/>
      <c r="L3" s="146"/>
      <c r="O3" s="147"/>
      <c r="P3" s="144"/>
      <c r="Q3" s="144"/>
    </row>
    <row r="4" spans="2:20" ht="30" customHeight="1">
      <c r="B4" s="379"/>
      <c r="C4" s="158" t="s">
        <v>16</v>
      </c>
      <c r="D4" s="159">
        <f>'26MY_CIV4D_DATA'!C4</f>
        <v>2026</v>
      </c>
      <c r="E4" s="155"/>
      <c r="F4" s="2"/>
      <c r="G4" s="128"/>
      <c r="H4" s="129"/>
      <c r="I4" s="129"/>
      <c r="J4" s="129"/>
      <c r="K4" s="129"/>
      <c r="L4" s="144"/>
      <c r="M4" s="148"/>
      <c r="N4" s="148"/>
      <c r="O4" s="144"/>
      <c r="P4" s="144"/>
      <c r="Q4" s="144"/>
    </row>
    <row r="5" spans="2:20">
      <c r="B5" s="379"/>
      <c r="C5" s="156" t="s">
        <v>376</v>
      </c>
      <c r="D5" s="156"/>
      <c r="E5" s="121"/>
      <c r="F5" s="121"/>
      <c r="G5" s="121"/>
      <c r="H5" s="121"/>
      <c r="I5" s="121"/>
      <c r="J5" s="121"/>
      <c r="K5" s="121"/>
      <c r="L5" s="121"/>
      <c r="M5" s="121"/>
      <c r="N5" s="121"/>
      <c r="O5" s="121"/>
      <c r="P5" s="121"/>
      <c r="Q5" s="149"/>
    </row>
    <row r="6" spans="2:20">
      <c r="B6" s="379"/>
      <c r="C6" s="138" t="s">
        <v>377</v>
      </c>
      <c r="D6" s="138"/>
      <c r="E6" s="138"/>
      <c r="F6" s="138"/>
      <c r="G6" s="138"/>
      <c r="H6" s="138"/>
      <c r="I6" s="138"/>
      <c r="J6" s="138"/>
      <c r="K6" s="138"/>
      <c r="L6" s="138"/>
      <c r="M6" s="138"/>
      <c r="N6" s="138"/>
      <c r="O6" s="138"/>
      <c r="P6" s="121"/>
      <c r="Q6" s="149"/>
    </row>
    <row r="7" spans="2:20">
      <c r="B7" s="379"/>
      <c r="C7" s="138" t="s">
        <v>378</v>
      </c>
      <c r="D7" s="138"/>
      <c r="E7" s="138"/>
      <c r="F7" s="138"/>
      <c r="G7" s="138"/>
      <c r="H7" s="138"/>
      <c r="I7" s="138"/>
      <c r="J7" s="138"/>
      <c r="K7" s="138"/>
      <c r="L7" s="138"/>
      <c r="M7" s="138"/>
      <c r="N7" s="138"/>
      <c r="O7" s="138"/>
      <c r="P7" s="121"/>
      <c r="Q7" s="149"/>
    </row>
    <row r="8" spans="2:20">
      <c r="B8" s="379"/>
      <c r="C8" s="138" t="s">
        <v>379</v>
      </c>
      <c r="D8" s="138"/>
      <c r="E8" s="138"/>
      <c r="F8" s="138"/>
      <c r="G8" s="138"/>
      <c r="H8" s="139"/>
      <c r="I8" s="138"/>
      <c r="J8" s="138"/>
      <c r="K8" s="138"/>
      <c r="L8" s="138"/>
      <c r="M8" s="138"/>
      <c r="N8" s="138"/>
      <c r="O8" s="138"/>
      <c r="P8" s="121"/>
      <c r="Q8" s="149"/>
    </row>
    <row r="9" spans="2:20">
      <c r="B9" s="379"/>
      <c r="C9" s="141"/>
      <c r="D9" s="141"/>
      <c r="E9" s="141"/>
      <c r="F9" s="141"/>
      <c r="G9" s="141"/>
      <c r="H9" s="141"/>
      <c r="I9" s="141"/>
      <c r="J9" s="141"/>
      <c r="K9" s="141"/>
      <c r="L9" s="141"/>
      <c r="M9" s="141"/>
      <c r="N9" s="141"/>
      <c r="O9" s="141"/>
      <c r="P9" s="142"/>
      <c r="Q9" s="160"/>
    </row>
    <row r="10" spans="2:20" ht="14.5">
      <c r="B10" s="379"/>
      <c r="C10" s="51"/>
      <c r="D10" s="51"/>
      <c r="E10" s="51"/>
      <c r="F10" s="51"/>
      <c r="G10" s="51"/>
      <c r="H10" s="151" t="s">
        <v>61</v>
      </c>
      <c r="I10" s="51"/>
      <c r="J10" s="51"/>
      <c r="K10" s="51"/>
      <c r="L10" s="51"/>
      <c r="M10" s="51"/>
      <c r="N10" s="51"/>
      <c r="O10" s="51"/>
      <c r="P10" s="51"/>
      <c r="Q10" s="150"/>
    </row>
    <row r="11" spans="2:20" ht="18.5">
      <c r="B11" s="379"/>
      <c r="C11" s="152" t="s">
        <v>71</v>
      </c>
      <c r="D11" s="153"/>
      <c r="E11" s="132"/>
      <c r="F11" s="132"/>
      <c r="G11" s="131"/>
      <c r="H11" s="181" t="str">
        <f>prov_cd</f>
        <v>YT</v>
      </c>
      <c r="I11" s="180"/>
      <c r="J11" s="51"/>
      <c r="K11" s="51"/>
      <c r="L11" s="51"/>
      <c r="M11" s="51"/>
      <c r="N11" s="51"/>
      <c r="O11" s="51"/>
      <c r="P11" s="51"/>
      <c r="Q11" s="51"/>
    </row>
    <row r="12" spans="2:20" ht="14.5">
      <c r="B12" s="379"/>
      <c r="C12" s="346" t="s">
        <v>62</v>
      </c>
      <c r="D12" s="346" t="s">
        <v>10</v>
      </c>
      <c r="E12" s="346" t="s">
        <v>17</v>
      </c>
      <c r="F12" s="346" t="s">
        <v>11</v>
      </c>
      <c r="G12" s="346" t="s">
        <v>12</v>
      </c>
      <c r="H12" s="347" t="s">
        <v>13</v>
      </c>
      <c r="I12" s="346" t="s">
        <v>25</v>
      </c>
      <c r="J12" s="346"/>
      <c r="K12" s="346"/>
      <c r="L12" s="346"/>
      <c r="M12" s="346"/>
      <c r="N12" s="346"/>
      <c r="O12" s="346"/>
      <c r="P12" s="346"/>
      <c r="Q12" s="346" t="s">
        <v>14</v>
      </c>
    </row>
    <row r="13" spans="2:20" ht="29.15" customHeight="1">
      <c r="B13" s="379"/>
      <c r="C13" s="346"/>
      <c r="D13" s="346"/>
      <c r="E13" s="346"/>
      <c r="F13" s="346"/>
      <c r="G13" s="346"/>
      <c r="H13" s="347"/>
      <c r="I13" s="178" t="str">
        <f>'26MY_CIV4D_DATA'!M$9</f>
        <v>LX</v>
      </c>
      <c r="J13" s="178">
        <f>'26MY_CIV4D_DATA'!N$9</f>
        <v>0</v>
      </c>
      <c r="K13" s="178">
        <f>'26MY_CIV4D_DATA'!O$9</f>
        <v>0</v>
      </c>
      <c r="L13" s="178" t="str">
        <f>'26MY_CIV4D_DATA'!P$9</f>
        <v>SPORT</v>
      </c>
      <c r="M13" s="178" t="str">
        <f>'26MY_CIV4D_DATA'!Q$9</f>
        <v>SPORT 
Hybrid</v>
      </c>
      <c r="N13" s="178">
        <f>'26MY_CIV4D_DATA'!R$9</f>
        <v>0</v>
      </c>
      <c r="O13" s="178" t="str">
        <f>'26MY_CIV4D_DATA'!S$9</f>
        <v>Sport Touring Hybrid</v>
      </c>
      <c r="P13" s="178" t="str">
        <f>'26MY_CIV4D_DATA'!T$9</f>
        <v>Si</v>
      </c>
      <c r="Q13" s="346"/>
    </row>
    <row r="14" spans="2:20" s="133" customFormat="1" ht="30" customHeight="1">
      <c r="B14" s="380" t="s">
        <v>297</v>
      </c>
      <c r="C14" s="195" t="str">
        <f>VLOOKUP(B14,'26MY_CIV4D_DATA'!B:AQ,3,FALSE)</f>
        <v>16” Enkei M52 Wheels &amp; Michelin X-ICE Snow Tire Package</v>
      </c>
      <c r="D14" s="204"/>
      <c r="E14" s="337">
        <f>VLOOKUP(B14,'26MY_CIV4D_DATA'!B:AQ,9,FALSE)</f>
        <v>1596.56</v>
      </c>
      <c r="F14" s="337">
        <f>VLOOKUP(B14,'26MY_CIV4D_DATA'!B:AQ,10,FALSE)</f>
        <v>2028</v>
      </c>
      <c r="G14" s="340">
        <f>VLOOKUP(B14,'26MY_CIV4D_DATA'!B:AQ,7,FALSE)</f>
        <v>1.2</v>
      </c>
      <c r="H14" s="343">
        <f>VLOOKUP(B14,'26MY_CIV4D_DATA'!B:AQ,11,FALSE)</f>
        <v>2245.1999999999998</v>
      </c>
      <c r="I14" s="331" t="str">
        <f>VLOOKUP(B14,'26MY_CIV4D_DATA'!B:AQ,12,FALSE)</f>
        <v>•</v>
      </c>
      <c r="J14" s="331">
        <f>VLOOKUP(B14,'26MY_CIV4D_DATA'!B:AQ,13,FALSE)</f>
        <v>0</v>
      </c>
      <c r="K14" s="331">
        <f>VLOOKUP($B14,'26MY_CIV4D_DATA'!$B:$AQ,14,FALSE)</f>
        <v>0</v>
      </c>
      <c r="L14" s="331" t="str">
        <f>VLOOKUP(B14,'26MY_CIV4D_DATA'!B:AQ,15,FALSE)</f>
        <v>•</v>
      </c>
      <c r="M14" s="331" t="str">
        <f>VLOOKUP($B14,'26MY_CIV4D_DATA'!$B:$AQ,16,FALSE)</f>
        <v>N/A</v>
      </c>
      <c r="N14" s="331">
        <f>VLOOKUP($B14,'26MY_CIV4D_DATA'!$B:$AQ,17,FALSE)</f>
        <v>0</v>
      </c>
      <c r="O14" s="331" t="str">
        <f>VLOOKUP($B14,'26MY_CIV4D_DATA'!$B:$AQ,18,FALSE)</f>
        <v>N/A</v>
      </c>
      <c r="P14" s="331" t="str">
        <f>VLOOKUP(B14,'26MY_CIV4D_DATA'!B:AQ,19,FALSE)</f>
        <v>N/A</v>
      </c>
      <c r="Q14" s="334" t="str">
        <f>IF(VLOOKUP(B14,'26MY_CIV4D_DATA'!B:AQ,20,FALSE)="","",VLOOKUP(B14,'26MY_CIV4D_DATA'!B:AQ,20,FALSE))</f>
        <v xml:space="preserve">Priced as a set of 4 wheels. </v>
      </c>
      <c r="R14" s="95"/>
      <c r="S14" s="95"/>
      <c r="T14" s="95"/>
    </row>
    <row r="15" spans="2:20" s="134" customFormat="1" ht="29">
      <c r="B15" s="381" t="s">
        <v>406</v>
      </c>
      <c r="C15" s="191" t="str">
        <f>VLOOKUP(B15,'26MY_CIV4D_DATA'!B:AQ,3,FALSE)</f>
        <v>16" Enkei M52 Wheels - Silver or Gloss Black</v>
      </c>
      <c r="D15" s="230" t="str">
        <f t="shared" ref="D15" si="0">B15</f>
        <v>480-670-6545-SP or 480-670-6545-GB</v>
      </c>
      <c r="E15" s="338"/>
      <c r="F15" s="338"/>
      <c r="G15" s="341"/>
      <c r="H15" s="344"/>
      <c r="I15" s="332"/>
      <c r="J15" s="332"/>
      <c r="K15" s="332"/>
      <c r="L15" s="332"/>
      <c r="M15" s="332"/>
      <c r="N15" s="332"/>
      <c r="O15" s="332"/>
      <c r="P15" s="332"/>
      <c r="Q15" s="335"/>
      <c r="R15" s="97"/>
      <c r="S15" s="97"/>
      <c r="T15" s="97"/>
    </row>
    <row r="16" spans="2:20" s="134" customFormat="1" ht="15" customHeight="1">
      <c r="B16" s="380">
        <v>34417</v>
      </c>
      <c r="C16" s="191" t="str">
        <f>VLOOKUP(B16,'26MY_CIV4D_DATA'!B:AQ,3,FALSE)</f>
        <v>Michelin X-ICE Snow Tires - 215/55/16</v>
      </c>
      <c r="D16" s="205">
        <f t="shared" ref="D16" si="1">B16</f>
        <v>34417</v>
      </c>
      <c r="E16" s="339"/>
      <c r="F16" s="339"/>
      <c r="G16" s="342"/>
      <c r="H16" s="345"/>
      <c r="I16" s="333"/>
      <c r="J16" s="333"/>
      <c r="K16" s="333"/>
      <c r="L16" s="333"/>
      <c r="M16" s="333"/>
      <c r="N16" s="333"/>
      <c r="O16" s="333"/>
      <c r="P16" s="333"/>
      <c r="Q16" s="336"/>
      <c r="R16" s="97"/>
      <c r="S16" s="97"/>
      <c r="T16" s="97"/>
    </row>
    <row r="17" spans="2:20" s="134" customFormat="1" ht="7" customHeight="1">
      <c r="B17" s="380"/>
      <c r="C17" s="206"/>
      <c r="D17" s="207"/>
      <c r="E17" s="207"/>
      <c r="F17" s="207"/>
      <c r="G17" s="207"/>
      <c r="H17" s="207"/>
      <c r="I17" s="207"/>
      <c r="J17" s="207"/>
      <c r="K17" s="207"/>
      <c r="L17" s="207"/>
      <c r="M17" s="207"/>
      <c r="N17" s="207"/>
      <c r="O17" s="207"/>
      <c r="P17" s="207"/>
      <c r="Q17" s="292"/>
      <c r="R17" s="97"/>
      <c r="S17" s="97"/>
      <c r="T17" s="97"/>
    </row>
    <row r="18" spans="2:20" s="134" customFormat="1" ht="15" customHeight="1">
      <c r="B18" s="380" t="s">
        <v>298</v>
      </c>
      <c r="C18" s="195" t="str">
        <f>VLOOKUP(B18,'26MY_CIV4D_DATA'!B:AQ,3,FALSE)</f>
        <v>16” Winter Steel Wheels &amp; Michelin X-ICE Snow Tire Package</v>
      </c>
      <c r="D18" s="204"/>
      <c r="E18" s="337">
        <f>VLOOKUP(B18,'26MY_CIV4D_DATA'!B:AQ,9,FALSE)</f>
        <v>1150.3999999999999</v>
      </c>
      <c r="F18" s="337">
        <f>VLOOKUP(B18,'26MY_CIV4D_DATA'!B:AQ,10,FALSE)</f>
        <v>1522.72</v>
      </c>
      <c r="G18" s="340">
        <f>VLOOKUP(B18,'26MY_CIV4D_DATA'!B:AQ,7,FALSE)</f>
        <v>1.2</v>
      </c>
      <c r="H18" s="343">
        <f>VLOOKUP(B18,'26MY_CIV4D_DATA'!B:AQ,11,FALSE)</f>
        <v>1739.92</v>
      </c>
      <c r="I18" s="331" t="str">
        <f>VLOOKUP(B18,'26MY_CIV4D_DATA'!B:AQ,12,FALSE)</f>
        <v>•</v>
      </c>
      <c r="J18" s="331">
        <f>VLOOKUP(B18,'26MY_CIV4D_DATA'!B:AQ,13,FALSE)</f>
        <v>0</v>
      </c>
      <c r="K18" s="331">
        <f>VLOOKUP($B18,'26MY_CIV4D_DATA'!$B:$AQ,14,FALSE)</f>
        <v>0</v>
      </c>
      <c r="L18" s="331" t="str">
        <f>VLOOKUP(B18,'26MY_CIV4D_DATA'!B:AQ,15,FALSE)</f>
        <v>•</v>
      </c>
      <c r="M18" s="331" t="str">
        <f>VLOOKUP($B18,'26MY_CIV4D_DATA'!$B:$AQ,16,FALSE)</f>
        <v>N/A</v>
      </c>
      <c r="N18" s="331">
        <f>VLOOKUP($B18,'26MY_CIV4D_DATA'!$B:$AQ,17,FALSE)</f>
        <v>0</v>
      </c>
      <c r="O18" s="331" t="str">
        <f>VLOOKUP($B18,'26MY_CIV4D_DATA'!$B:$AQ,18,FALSE)</f>
        <v>N/A</v>
      </c>
      <c r="P18" s="331" t="str">
        <f>VLOOKUP(B18,'26MY_CIV4D_DATA'!B:AQ,19,FALSE)</f>
        <v>N/A</v>
      </c>
      <c r="Q18" s="334" t="str">
        <f>IF(VLOOKUP(B18,'26MY_CIV4D_DATA'!B:AQ,20,FALSE)="","",VLOOKUP(B18,'26MY_CIV4D_DATA'!B:AQ,20,FALSE))</f>
        <v xml:space="preserve">Priced as a set of 4 wheels. </v>
      </c>
      <c r="R18" s="97"/>
      <c r="S18" s="97"/>
      <c r="T18" s="97"/>
    </row>
    <row r="19" spans="2:20" s="134" customFormat="1" ht="14.5">
      <c r="B19" s="380" t="s">
        <v>223</v>
      </c>
      <c r="C19" s="191" t="str">
        <f>VLOOKUP(B19,'26MY_CIV4D_DATA'!B:AQ,3,FALSE)</f>
        <v>16” Winter Steel Wheels</v>
      </c>
      <c r="D19" s="205" t="str">
        <f t="shared" ref="D19" si="2">B19</f>
        <v>42700-TBA-A12</v>
      </c>
      <c r="E19" s="338"/>
      <c r="F19" s="338"/>
      <c r="G19" s="341"/>
      <c r="H19" s="344"/>
      <c r="I19" s="332"/>
      <c r="J19" s="332"/>
      <c r="K19" s="332"/>
      <c r="L19" s="332"/>
      <c r="M19" s="332"/>
      <c r="N19" s="332"/>
      <c r="O19" s="332"/>
      <c r="P19" s="332"/>
      <c r="Q19" s="335"/>
      <c r="R19" s="97"/>
      <c r="S19" s="97"/>
      <c r="T19" s="97"/>
    </row>
    <row r="20" spans="2:20" s="134" customFormat="1" ht="14.5">
      <c r="B20" s="380">
        <v>34417</v>
      </c>
      <c r="C20" s="191" t="str">
        <f>VLOOKUP(B20,'26MY_CIV4D_DATA'!B:AQ,3,FALSE)</f>
        <v>Michelin X-ICE Snow Tires - 215/55/16</v>
      </c>
      <c r="D20" s="205">
        <f t="shared" ref="D20" si="3">B20</f>
        <v>34417</v>
      </c>
      <c r="E20" s="339"/>
      <c r="F20" s="339"/>
      <c r="G20" s="342"/>
      <c r="H20" s="345"/>
      <c r="I20" s="333"/>
      <c r="J20" s="333"/>
      <c r="K20" s="333"/>
      <c r="L20" s="333"/>
      <c r="M20" s="333"/>
      <c r="N20" s="333"/>
      <c r="O20" s="333"/>
      <c r="P20" s="333"/>
      <c r="Q20" s="336"/>
      <c r="R20" s="97"/>
      <c r="S20" s="97"/>
      <c r="T20" s="97"/>
    </row>
    <row r="21" spans="2:20" s="134" customFormat="1" ht="7" customHeight="1">
      <c r="B21" s="380"/>
      <c r="C21" s="206"/>
      <c r="D21" s="207"/>
      <c r="E21" s="207"/>
      <c r="F21" s="207"/>
      <c r="G21" s="207"/>
      <c r="H21" s="207"/>
      <c r="I21" s="207"/>
      <c r="J21" s="207"/>
      <c r="K21" s="207"/>
      <c r="L21" s="207"/>
      <c r="M21" s="207"/>
      <c r="N21" s="207"/>
      <c r="O21" s="207"/>
      <c r="P21" s="207"/>
      <c r="Q21" s="292"/>
      <c r="R21" s="97"/>
      <c r="S21" s="97"/>
      <c r="T21" s="97"/>
    </row>
    <row r="22" spans="2:20" s="134" customFormat="1" ht="14.5">
      <c r="B22" s="380" t="s">
        <v>387</v>
      </c>
      <c r="C22" s="195" t="str">
        <f>VLOOKUP(B22,'26MY_CIV4D_DATA'!B:AQ,3,FALSE)</f>
        <v xml:space="preserve">Aero Kit </v>
      </c>
      <c r="D22" s="78"/>
      <c r="E22" s="337">
        <f>VLOOKUP(B22,'26MY_CIV4D_DATA'!B:AQ,9,FALSE)</f>
        <v>794.7</v>
      </c>
      <c r="F22" s="337">
        <f>VLOOKUP(B22,'26MY_CIV4D_DATA'!B:AQ,10,FALSE)</f>
        <v>1324.8</v>
      </c>
      <c r="G22" s="340">
        <f>VLOOKUP(B22,'26MY_CIV4D_DATA'!B:AQ,7,FALSE)</f>
        <v>3</v>
      </c>
      <c r="H22" s="343">
        <f>VLOOKUP(B22,'26MY_CIV4D_DATA'!B:AQ,11,FALSE)</f>
        <v>1867.8</v>
      </c>
      <c r="I22" s="331" t="str">
        <f>VLOOKUP(B22,'26MY_CIV4D_DATA'!B:AQ,12,FALSE)</f>
        <v>•</v>
      </c>
      <c r="J22" s="331">
        <f>VLOOKUP(B22,'26MY_CIV4D_DATA'!B:AQ,13,FALSE)</f>
        <v>0</v>
      </c>
      <c r="K22" s="331">
        <f>VLOOKUP($B22,'26MY_CIV4D_DATA'!$B:$AQ,14,FALSE)</f>
        <v>0</v>
      </c>
      <c r="L22" s="331" t="str">
        <f>VLOOKUP(B22,'26MY_CIV4D_DATA'!B:AQ,15,FALSE)</f>
        <v>•</v>
      </c>
      <c r="M22" s="331" t="str">
        <f>VLOOKUP($B22,'26MY_CIV4D_DATA'!$B:$AQ,16,FALSE)</f>
        <v>•</v>
      </c>
      <c r="N22" s="331">
        <f>VLOOKUP($B22,'26MY_CIV4D_DATA'!$B:$AQ,17,FALSE)</f>
        <v>0</v>
      </c>
      <c r="O22" s="331" t="str">
        <f>VLOOKUP($B22,'26MY_CIV4D_DATA'!$B:$AQ,18,FALSE)</f>
        <v>•</v>
      </c>
      <c r="P22" s="331" t="str">
        <f>VLOOKUP(B22,'26MY_CIV4D_DATA'!B:AQ,19,FALSE)</f>
        <v>•</v>
      </c>
      <c r="Q22" s="334" t="str">
        <f>IF(VLOOKUP(B22,'26MY_CIV4D_DATA'!B:AQ,20,FALSE)="","",VLOOKUP(B22,'26MY_CIV4D_DATA'!B:AQ,20,FALSE))</f>
        <v xml:space="preserve">10% Discount Applied.  
Includes body coloured front underbody spoiler, black HPD side and rear underbody colour spoilers.  
</v>
      </c>
      <c r="R22" s="97"/>
      <c r="S22" s="97"/>
      <c r="T22" s="97"/>
    </row>
    <row r="23" spans="2:20" s="134" customFormat="1" ht="14.5">
      <c r="B23" s="380" t="s">
        <v>434</v>
      </c>
      <c r="C23" s="191" t="str">
        <f>VLOOKUP(B23,'26MY_CIV4D_DATA'!B:AQ,3,FALSE)</f>
        <v>Platinum White Pearl (NH-883P)</v>
      </c>
      <c r="D23" s="205" t="str">
        <f t="shared" ref="D23:D28" si="4">B23</f>
        <v>25CIV-ARO-NH883</v>
      </c>
      <c r="E23" s="338"/>
      <c r="F23" s="338"/>
      <c r="G23" s="341"/>
      <c r="H23" s="344"/>
      <c r="I23" s="332"/>
      <c r="J23" s="332"/>
      <c r="K23" s="332"/>
      <c r="L23" s="332"/>
      <c r="M23" s="332"/>
      <c r="N23" s="332"/>
      <c r="O23" s="332"/>
      <c r="P23" s="332"/>
      <c r="Q23" s="335"/>
      <c r="R23" s="97"/>
      <c r="S23" s="97"/>
      <c r="T23" s="97"/>
    </row>
    <row r="24" spans="2:20" s="134" customFormat="1" ht="14.5">
      <c r="B24" s="380" t="s">
        <v>440</v>
      </c>
      <c r="C24" s="191" t="str">
        <f>VLOOKUP(B24,'26MY_CIV4D_DATA'!B:AQ,3,FALSE)</f>
        <v>Meteriod Gray Pearl (NH-904M)</v>
      </c>
      <c r="D24" s="205" t="str">
        <f t="shared" si="4"/>
        <v>25CIV-ARO-NH904</v>
      </c>
      <c r="E24" s="338"/>
      <c r="F24" s="338"/>
      <c r="G24" s="341"/>
      <c r="H24" s="344"/>
      <c r="I24" s="332"/>
      <c r="J24" s="332"/>
      <c r="K24" s="332"/>
      <c r="L24" s="332"/>
      <c r="M24" s="332"/>
      <c r="N24" s="332"/>
      <c r="O24" s="332"/>
      <c r="P24" s="332"/>
      <c r="Q24" s="335"/>
      <c r="R24" s="97"/>
      <c r="S24" s="97"/>
      <c r="T24" s="97"/>
    </row>
    <row r="25" spans="2:20" s="134" customFormat="1" ht="14.5">
      <c r="B25" s="380" t="s">
        <v>435</v>
      </c>
      <c r="C25" s="191" t="str">
        <f>VLOOKUP(B25,'26MY_CIV4D_DATA'!B:AQ,3,FALSE)</f>
        <v>Crystal Black Pearl (NH-731P)</v>
      </c>
      <c r="D25" s="205" t="str">
        <f t="shared" si="4"/>
        <v>25CIV-ARO-NH731</v>
      </c>
      <c r="E25" s="338"/>
      <c r="F25" s="338"/>
      <c r="G25" s="341"/>
      <c r="H25" s="344"/>
      <c r="I25" s="332"/>
      <c r="J25" s="332"/>
      <c r="K25" s="332"/>
      <c r="L25" s="332"/>
      <c r="M25" s="332"/>
      <c r="N25" s="332"/>
      <c r="O25" s="332"/>
      <c r="P25" s="332"/>
      <c r="Q25" s="335"/>
      <c r="R25" s="97"/>
      <c r="S25" s="97"/>
      <c r="T25" s="97"/>
    </row>
    <row r="26" spans="2:20" s="134" customFormat="1" ht="14.5">
      <c r="B26" s="380" t="s">
        <v>436</v>
      </c>
      <c r="C26" s="191" t="str">
        <f>VLOOKUP(B26,'26MY_CIV4D_DATA'!B:AQ,3,FALSE)</f>
        <v>Rallye Red (R-513)</v>
      </c>
      <c r="D26" s="205" t="str">
        <f t="shared" si="4"/>
        <v>25CIV-ARO-R513</v>
      </c>
      <c r="E26" s="338"/>
      <c r="F26" s="338"/>
      <c r="G26" s="341"/>
      <c r="H26" s="344"/>
      <c r="I26" s="332"/>
      <c r="J26" s="332"/>
      <c r="K26" s="332"/>
      <c r="L26" s="332"/>
      <c r="M26" s="332"/>
      <c r="N26" s="332"/>
      <c r="O26" s="332"/>
      <c r="P26" s="332"/>
      <c r="Q26" s="335"/>
      <c r="R26" s="97"/>
      <c r="S26" s="97"/>
      <c r="T26" s="97"/>
    </row>
    <row r="27" spans="2:20" s="134" customFormat="1" ht="14.5">
      <c r="B27" s="380" t="s">
        <v>437</v>
      </c>
      <c r="C27" s="191" t="str">
        <f>VLOOKUP(B27,'26MY_CIV4D_DATA'!B:AQ,3,FALSE)</f>
        <v>Urban Grey Pearl (NH-912P)</v>
      </c>
      <c r="D27" s="205" t="str">
        <f t="shared" si="4"/>
        <v>25CIV-ARO-NH912</v>
      </c>
      <c r="E27" s="338"/>
      <c r="F27" s="338"/>
      <c r="G27" s="341"/>
      <c r="H27" s="344"/>
      <c r="I27" s="332"/>
      <c r="J27" s="332"/>
      <c r="K27" s="332"/>
      <c r="L27" s="332"/>
      <c r="M27" s="332"/>
      <c r="N27" s="332"/>
      <c r="O27" s="332"/>
      <c r="P27" s="332"/>
      <c r="Q27" s="335"/>
      <c r="R27" s="97"/>
      <c r="S27" s="97"/>
      <c r="T27" s="97"/>
    </row>
    <row r="28" spans="2:20" s="134" customFormat="1" ht="14.5">
      <c r="B28" s="380" t="s">
        <v>438</v>
      </c>
      <c r="C28" s="191" t="str">
        <f>VLOOKUP(B28,'26MY_CIV4D_DATA'!B:AQ,3,FALSE)</f>
        <v>Blue Lagoon Pearl (B-645P)</v>
      </c>
      <c r="D28" s="205" t="str">
        <f t="shared" si="4"/>
        <v>25CIV-ARO-B645</v>
      </c>
      <c r="E28" s="338"/>
      <c r="F28" s="338"/>
      <c r="G28" s="341"/>
      <c r="H28" s="344"/>
      <c r="I28" s="332"/>
      <c r="J28" s="332"/>
      <c r="K28" s="332"/>
      <c r="L28" s="332"/>
      <c r="M28" s="332"/>
      <c r="N28" s="332"/>
      <c r="O28" s="332"/>
      <c r="P28" s="332"/>
      <c r="Q28" s="335"/>
      <c r="R28" s="97"/>
      <c r="S28" s="97"/>
      <c r="T28" s="97"/>
    </row>
    <row r="29" spans="2:20" s="134" customFormat="1" ht="14.5">
      <c r="B29" s="380" t="s">
        <v>439</v>
      </c>
      <c r="C29" s="191" t="str">
        <f>VLOOKUP(B29,'26MY_CIV4D_DATA'!B:AQ,3,FALSE)</f>
        <v>Solar Reflection Silver (NH-932M)</v>
      </c>
      <c r="D29" s="205" t="str">
        <f t="shared" ref="D29" si="5">B29</f>
        <v>25CIV-ARO-NH932</v>
      </c>
      <c r="E29" s="339"/>
      <c r="F29" s="339"/>
      <c r="G29" s="342"/>
      <c r="H29" s="345"/>
      <c r="I29" s="333"/>
      <c r="J29" s="333"/>
      <c r="K29" s="333"/>
      <c r="L29" s="333"/>
      <c r="M29" s="333"/>
      <c r="N29" s="333"/>
      <c r="O29" s="333"/>
      <c r="P29" s="333"/>
      <c r="Q29" s="336"/>
      <c r="R29" s="97"/>
      <c r="S29" s="97"/>
      <c r="T29" s="97"/>
    </row>
    <row r="30" spans="2:20" s="134" customFormat="1" ht="7" customHeight="1">
      <c r="B30" s="380"/>
      <c r="C30" s="206"/>
      <c r="D30" s="207"/>
      <c r="E30" s="207"/>
      <c r="F30" s="207"/>
      <c r="G30" s="207"/>
      <c r="H30" s="207"/>
      <c r="I30" s="207"/>
      <c r="J30" s="207"/>
      <c r="K30" s="207"/>
      <c r="L30" s="207"/>
      <c r="M30" s="207"/>
      <c r="N30" s="207"/>
      <c r="O30" s="207"/>
      <c r="P30" s="207"/>
      <c r="Q30" s="292"/>
      <c r="R30" s="97"/>
      <c r="S30" s="97"/>
      <c r="T30" s="97"/>
    </row>
    <row r="31" spans="2:20" s="134" customFormat="1" ht="14.5">
      <c r="B31" s="380" t="s">
        <v>227</v>
      </c>
      <c r="C31" s="195" t="str">
        <f>VLOOKUP(B31,'26MY_CIV4D_DATA'!B:AQ,3,FALSE)</f>
        <v>Cold Weather Package - 1.5L</v>
      </c>
      <c r="D31" s="78" t="str">
        <f>B31</f>
        <v>22CIV-COLD-PK15</v>
      </c>
      <c r="E31" s="337">
        <f>VLOOKUP(B31,'26MY_CIV4D_DATA'!B:AQ,9,FALSE)</f>
        <v>216.6</v>
      </c>
      <c r="F31" s="337">
        <f>VLOOKUP(B31,'26MY_CIV4D_DATA'!B:AQ,10,FALSE)</f>
        <v>361</v>
      </c>
      <c r="G31" s="340">
        <f>VLOOKUP(B31,'26MY_CIV4D_DATA'!B:AQ,7,FALSE)</f>
        <v>1.4</v>
      </c>
      <c r="H31" s="343">
        <f>VLOOKUP(B31,'26MY_CIV4D_DATA'!B:AQ,11,FALSE)</f>
        <v>614.4</v>
      </c>
      <c r="I31" s="331" t="str">
        <f>VLOOKUP(B31,'26MY_CIV4D_DATA'!B:AQ,12,FALSE)</f>
        <v>N/A</v>
      </c>
      <c r="J31" s="331">
        <f>VLOOKUP(B31,'26MY_CIV4D_DATA'!B:AQ,13,FALSE)</f>
        <v>0</v>
      </c>
      <c r="K31" s="331">
        <f>VLOOKUP($B31,'26MY_CIV4D_DATA'!$B:$AQ,14,FALSE)</f>
        <v>0</v>
      </c>
      <c r="L31" s="331" t="str">
        <f>VLOOKUP(B31,'26MY_CIV4D_DATA'!B:AQ,15,FALSE)</f>
        <v>N/A</v>
      </c>
      <c r="M31" s="331" t="str">
        <f>VLOOKUP($B31,'26MY_CIV4D_DATA'!$B:$AQ,16,FALSE)</f>
        <v>N/A</v>
      </c>
      <c r="N31" s="331">
        <f>VLOOKUP($B31,'26MY_CIV4D_DATA'!$B:$AQ,17,FALSE)</f>
        <v>0</v>
      </c>
      <c r="O31" s="331" t="str">
        <f>VLOOKUP($B31,'26MY_CIV4D_DATA'!$B:$AQ,18,FALSE)</f>
        <v>N/A</v>
      </c>
      <c r="P31" s="331" t="str">
        <f>VLOOKUP(B31,'26MY_CIV4D_DATA'!B:AQ,19,FALSE)</f>
        <v>•</v>
      </c>
      <c r="Q31" s="334" t="str">
        <f>IF(VLOOKUP(B31,'26MY_CIV4D_DATA'!B:AQ,20,FALSE)="","",VLOOKUP(B31,'26MY_CIV4D_DATA'!B:AQ,20,FALSE))</f>
        <v>5% Discount Applied.</v>
      </c>
      <c r="R31" s="97"/>
      <c r="S31" s="97"/>
      <c r="T31" s="97"/>
    </row>
    <row r="32" spans="2:20" s="134" customFormat="1" ht="14.5">
      <c r="B32" s="380" t="s">
        <v>225</v>
      </c>
      <c r="C32" s="191" t="str">
        <f>VLOOKUP(B32,'26MY_CIV4D_DATA'!B:AQ,3,FALSE)</f>
        <v>Engine Block Heater - 1.5L</v>
      </c>
      <c r="D32" s="205" t="str">
        <f t="shared" ref="D32:D33" si="6">B32</f>
        <v>08T44-TLA-300A</v>
      </c>
      <c r="E32" s="338"/>
      <c r="F32" s="338"/>
      <c r="G32" s="341"/>
      <c r="H32" s="344"/>
      <c r="I32" s="332"/>
      <c r="J32" s="332"/>
      <c r="K32" s="332"/>
      <c r="L32" s="332"/>
      <c r="M32" s="332"/>
      <c r="N32" s="332"/>
      <c r="O32" s="332"/>
      <c r="P32" s="332"/>
      <c r="Q32" s="335"/>
      <c r="R32" s="97"/>
      <c r="S32" s="97"/>
      <c r="T32" s="97"/>
    </row>
    <row r="33" spans="2:21" s="134" customFormat="1" ht="14.5">
      <c r="B33" s="380" t="s">
        <v>27</v>
      </c>
      <c r="C33" s="191" t="str">
        <f>VLOOKUP(B33,'26MY_CIV4D_DATA'!B:AQ,3,FALSE)</f>
        <v>Optimate 12V Auto Battery Charger/Maintainer</v>
      </c>
      <c r="D33" s="205" t="str">
        <f t="shared" si="6"/>
        <v>31670-BMS-004H</v>
      </c>
      <c r="E33" s="339"/>
      <c r="F33" s="339"/>
      <c r="G33" s="342"/>
      <c r="H33" s="345"/>
      <c r="I33" s="333"/>
      <c r="J33" s="333"/>
      <c r="K33" s="333"/>
      <c r="L33" s="333"/>
      <c r="M33" s="333"/>
      <c r="N33" s="333"/>
      <c r="O33" s="333"/>
      <c r="P33" s="333"/>
      <c r="Q33" s="336"/>
      <c r="R33" s="97"/>
      <c r="S33" s="97"/>
      <c r="T33" s="97"/>
    </row>
    <row r="34" spans="2:21" s="134" customFormat="1" ht="7" customHeight="1">
      <c r="B34" s="380"/>
      <c r="C34" s="206"/>
      <c r="D34" s="207"/>
      <c r="E34" s="207"/>
      <c r="F34" s="207"/>
      <c r="G34" s="207"/>
      <c r="H34" s="207"/>
      <c r="I34" s="207"/>
      <c r="J34" s="207"/>
      <c r="K34" s="207"/>
      <c r="L34" s="207"/>
      <c r="M34" s="207"/>
      <c r="N34" s="207"/>
      <c r="O34" s="207"/>
      <c r="P34" s="207"/>
      <c r="Q34" s="292"/>
      <c r="R34" s="97"/>
      <c r="S34" s="97"/>
      <c r="T34" s="97"/>
    </row>
    <row r="35" spans="2:21" s="134" customFormat="1" ht="14.5">
      <c r="B35" s="380" t="s">
        <v>228</v>
      </c>
      <c r="C35" s="195" t="str">
        <f>VLOOKUP(B35,'26MY_CIV4D_DATA'!B:AQ,3,FALSE)</f>
        <v>Cold Weather Package - 2.0L</v>
      </c>
      <c r="D35" s="78" t="str">
        <f>B35</f>
        <v>22CIV-COLD-PK20</v>
      </c>
      <c r="E35" s="337">
        <f>VLOOKUP(B35,'26MY_CIV4D_DATA'!B:AQ,9,FALSE)</f>
        <v>230.85</v>
      </c>
      <c r="F35" s="337">
        <f>VLOOKUP(B35,'26MY_CIV4D_DATA'!B:AQ,10,FALSE)</f>
        <v>384.75</v>
      </c>
      <c r="G35" s="340">
        <f>VLOOKUP(B35,'26MY_CIV4D_DATA'!B:AQ,7,FALSE)</f>
        <v>1.4</v>
      </c>
      <c r="H35" s="343">
        <f>VLOOKUP(B35,'26MY_CIV4D_DATA'!B:AQ,11,FALSE)</f>
        <v>638.15</v>
      </c>
      <c r="I35" s="331" t="str">
        <f>VLOOKUP(B35,'26MY_CIV4D_DATA'!B:AQ,12,FALSE)</f>
        <v>•</v>
      </c>
      <c r="J35" s="331">
        <f>VLOOKUP(B35,'26MY_CIV4D_DATA'!B:AQ,13,FALSE)</f>
        <v>0</v>
      </c>
      <c r="K35" s="331">
        <f>VLOOKUP($B35,'26MY_CIV4D_DATA'!$B:$AQ,14,FALSE)</f>
        <v>0</v>
      </c>
      <c r="L35" s="331" t="str">
        <f>VLOOKUP(B35,'26MY_CIV4D_DATA'!B:AQ,15,FALSE)</f>
        <v>•</v>
      </c>
      <c r="M35" s="331" t="str">
        <f>VLOOKUP($B35,'26MY_CIV4D_DATA'!$B:$AQ,16,FALSE)</f>
        <v>•</v>
      </c>
      <c r="N35" s="331">
        <f>VLOOKUP($B35,'26MY_CIV4D_DATA'!$B:$AQ,17,FALSE)</f>
        <v>0</v>
      </c>
      <c r="O35" s="331" t="str">
        <f>VLOOKUP($B35,'26MY_CIV4D_DATA'!$B:$AQ,18,FALSE)</f>
        <v>•</v>
      </c>
      <c r="P35" s="331" t="str">
        <f>VLOOKUP(B35,'26MY_CIV4D_DATA'!B:AQ,19,FALSE)</f>
        <v>N/A</v>
      </c>
      <c r="Q35" s="334" t="str">
        <f>IF(VLOOKUP(B35,'26MY_CIV4D_DATA'!B:AQ,20,FALSE)="","",VLOOKUP(B35,'26MY_CIV4D_DATA'!B:AQ,20,FALSE))</f>
        <v>5% Discount Applied.</v>
      </c>
      <c r="R35" s="97"/>
      <c r="S35" s="97"/>
      <c r="T35" s="97"/>
    </row>
    <row r="36" spans="2:21" s="134" customFormat="1" ht="14.5">
      <c r="B36" s="380" t="s">
        <v>226</v>
      </c>
      <c r="C36" s="191" t="str">
        <f>VLOOKUP(B36,'26MY_CIV4D_DATA'!B:AQ,3,FALSE)</f>
        <v>Engine Block Heater - 2.0L</v>
      </c>
      <c r="D36" s="205" t="str">
        <f t="shared" ref="D36:D37" si="7">B36</f>
        <v>08T44-SNA-302</v>
      </c>
      <c r="E36" s="338"/>
      <c r="F36" s="338"/>
      <c r="G36" s="341"/>
      <c r="H36" s="344"/>
      <c r="I36" s="332"/>
      <c r="J36" s="332"/>
      <c r="K36" s="332"/>
      <c r="L36" s="332"/>
      <c r="M36" s="332"/>
      <c r="N36" s="332"/>
      <c r="O36" s="332"/>
      <c r="P36" s="332"/>
      <c r="Q36" s="335"/>
      <c r="R36" s="97"/>
      <c r="S36" s="97"/>
      <c r="T36" s="97"/>
    </row>
    <row r="37" spans="2:21" s="134" customFormat="1" ht="14.5">
      <c r="B37" s="380" t="s">
        <v>27</v>
      </c>
      <c r="C37" s="191" t="str">
        <f>VLOOKUP(B37,'26MY_CIV4D_DATA'!B:AQ,3,FALSE)</f>
        <v>Optimate 12V Auto Battery Charger/Maintainer</v>
      </c>
      <c r="D37" s="205" t="str">
        <f t="shared" si="7"/>
        <v>31670-BMS-004H</v>
      </c>
      <c r="E37" s="339"/>
      <c r="F37" s="339"/>
      <c r="G37" s="342"/>
      <c r="H37" s="345"/>
      <c r="I37" s="333"/>
      <c r="J37" s="333"/>
      <c r="K37" s="333"/>
      <c r="L37" s="333"/>
      <c r="M37" s="333"/>
      <c r="N37" s="333"/>
      <c r="O37" s="333"/>
      <c r="P37" s="333"/>
      <c r="Q37" s="336"/>
      <c r="R37" s="97"/>
      <c r="S37" s="97"/>
      <c r="T37" s="97"/>
    </row>
    <row r="38" spans="2:21" s="134" customFormat="1" ht="7" customHeight="1">
      <c r="B38" s="380"/>
      <c r="C38" s="206"/>
      <c r="D38" s="207"/>
      <c r="E38" s="207"/>
      <c r="F38" s="207"/>
      <c r="G38" s="207"/>
      <c r="H38" s="207"/>
      <c r="I38" s="207"/>
      <c r="J38" s="207"/>
      <c r="K38" s="207"/>
      <c r="L38" s="207"/>
      <c r="M38" s="207"/>
      <c r="N38" s="207"/>
      <c r="O38" s="207"/>
      <c r="P38" s="207"/>
      <c r="Q38" s="292"/>
      <c r="R38" s="97"/>
      <c r="S38" s="97"/>
      <c r="T38" s="97"/>
    </row>
    <row r="39" spans="2:21" s="134" customFormat="1" ht="14.5">
      <c r="B39" s="380" t="s">
        <v>229</v>
      </c>
      <c r="C39" s="195" t="str">
        <f>VLOOKUP(B39,'26MY_CIV4D_DATA'!B:AQ,3,FALSE)</f>
        <v>Protection Package - All-Season</v>
      </c>
      <c r="D39" s="78" t="str">
        <f>B39</f>
        <v>22CIV-PRO-ALL</v>
      </c>
      <c r="E39" s="337">
        <f>VLOOKUP(B39,'26MY_CIV4D_DATA'!B:AQ,9,FALSE)</f>
        <v>297</v>
      </c>
      <c r="F39" s="337">
        <f>VLOOKUP(B39,'26MY_CIV4D_DATA'!B:AQ,10,FALSE)</f>
        <v>550</v>
      </c>
      <c r="G39" s="340">
        <f>VLOOKUP(B39,'26MY_CIV4D_DATA'!B:AQ,7,FALSE)</f>
        <v>0.60000000000000009</v>
      </c>
      <c r="H39" s="343">
        <f>VLOOKUP(B39,'26MY_CIV4D_DATA'!B:AQ,11,FALSE)</f>
        <v>658.6</v>
      </c>
      <c r="I39" s="331" t="str">
        <f>VLOOKUP(B39,'26MY_CIV4D_DATA'!B:AQ,12,FALSE)</f>
        <v>•</v>
      </c>
      <c r="J39" s="331">
        <f>VLOOKUP(B39,'26MY_CIV4D_DATA'!B:AQ,13,FALSE)</f>
        <v>0</v>
      </c>
      <c r="K39" s="331">
        <f>VLOOKUP($B39,'26MY_CIV4D_DATA'!$B:$AQ,14,FALSE)</f>
        <v>0</v>
      </c>
      <c r="L39" s="331" t="str">
        <f>VLOOKUP(B39,'26MY_CIV4D_DATA'!B:AQ,15,FALSE)</f>
        <v>•</v>
      </c>
      <c r="M39" s="331" t="str">
        <f>VLOOKUP($B39,'26MY_CIV4D_DATA'!$B:$AQ,16,FALSE)</f>
        <v>N/A</v>
      </c>
      <c r="N39" s="331">
        <f>VLOOKUP($B39,'26MY_CIV4D_DATA'!$B:$AQ,17,FALSE)</f>
        <v>0</v>
      </c>
      <c r="O39" s="331" t="str">
        <f>VLOOKUP($B39,'26MY_CIV4D_DATA'!$B:$AQ,18,FALSE)</f>
        <v>N/A</v>
      </c>
      <c r="P39" s="331" t="str">
        <f>VLOOKUP(B39,'26MY_CIV4D_DATA'!B:AQ,19,FALSE)</f>
        <v>•</v>
      </c>
      <c r="Q39" s="334" t="str">
        <f>IF(VLOOKUP(B39,'26MY_CIV4D_DATA'!B:AQ,20,FALSE)="","",VLOOKUP(B39,'26MY_CIV4D_DATA'!B:AQ,20,FALSE))</f>
        <v/>
      </c>
      <c r="R39" s="97"/>
      <c r="S39" s="97"/>
      <c r="T39" s="97"/>
    </row>
    <row r="40" spans="2:21" s="134" customFormat="1" ht="14.5">
      <c r="B40" s="380" t="s">
        <v>242</v>
      </c>
      <c r="C40" s="191" t="str">
        <f>VLOOKUP(B40,'26MY_CIV4D_DATA'!B:AQ,3,FALSE)</f>
        <v>All-Season Floor Mats</v>
      </c>
      <c r="D40" s="205" t="str">
        <f t="shared" ref="D40:D42" si="8">B40</f>
        <v>08P17-T20-110</v>
      </c>
      <c r="E40" s="338"/>
      <c r="F40" s="338"/>
      <c r="G40" s="341"/>
      <c r="H40" s="344"/>
      <c r="I40" s="332"/>
      <c r="J40" s="332"/>
      <c r="K40" s="332"/>
      <c r="L40" s="332"/>
      <c r="M40" s="332"/>
      <c r="N40" s="332"/>
      <c r="O40" s="332"/>
      <c r="P40" s="332"/>
      <c r="Q40" s="335"/>
      <c r="R40" s="97"/>
      <c r="S40" s="97"/>
      <c r="T40" s="97"/>
    </row>
    <row r="41" spans="2:21" s="134" customFormat="1" ht="14.5">
      <c r="B41" s="380" t="s">
        <v>114</v>
      </c>
      <c r="C41" s="191" t="str">
        <f>VLOOKUP(B41,'26MY_CIV4D_DATA'!B:AQ,3,FALSE)</f>
        <v>Trunk Tray</v>
      </c>
      <c r="D41" s="205" t="str">
        <f t="shared" si="8"/>
        <v>08U45-T20-100</v>
      </c>
      <c r="E41" s="338"/>
      <c r="F41" s="338"/>
      <c r="G41" s="341"/>
      <c r="H41" s="344"/>
      <c r="I41" s="332"/>
      <c r="J41" s="332"/>
      <c r="K41" s="332"/>
      <c r="L41" s="332"/>
      <c r="M41" s="332"/>
      <c r="N41" s="332"/>
      <c r="O41" s="332"/>
      <c r="P41" s="332"/>
      <c r="Q41" s="335"/>
      <c r="R41" s="97"/>
      <c r="S41" s="97"/>
      <c r="T41" s="97"/>
    </row>
    <row r="42" spans="2:21" s="134" customFormat="1" ht="14.5">
      <c r="B42" s="380" t="s">
        <v>140</v>
      </c>
      <c r="C42" s="191" t="str">
        <f>VLOOKUP(B42,'26MY_CIV4D_DATA'!B:AQ,3,FALSE)</f>
        <v>Rear Splash Guard </v>
      </c>
      <c r="D42" s="205" t="str">
        <f t="shared" si="8"/>
        <v>08P09-T20-300</v>
      </c>
      <c r="E42" s="339"/>
      <c r="F42" s="339"/>
      <c r="G42" s="342"/>
      <c r="H42" s="345"/>
      <c r="I42" s="333"/>
      <c r="J42" s="333"/>
      <c r="K42" s="333"/>
      <c r="L42" s="333"/>
      <c r="M42" s="333"/>
      <c r="N42" s="333"/>
      <c r="O42" s="333"/>
      <c r="P42" s="333"/>
      <c r="Q42" s="336"/>
      <c r="R42" s="97"/>
      <c r="S42" s="260"/>
      <c r="T42" s="260"/>
      <c r="U42" s="260"/>
    </row>
    <row r="43" spans="2:21" s="134" customFormat="1" ht="7" customHeight="1">
      <c r="B43" s="380"/>
      <c r="C43" s="206"/>
      <c r="D43" s="207"/>
      <c r="E43" s="207"/>
      <c r="F43" s="207"/>
      <c r="G43" s="207"/>
      <c r="H43" s="207"/>
      <c r="I43" s="207"/>
      <c r="J43" s="207"/>
      <c r="K43" s="207"/>
      <c r="L43" s="207"/>
      <c r="M43" s="207"/>
      <c r="N43" s="207"/>
      <c r="O43" s="207"/>
      <c r="P43" s="207"/>
      <c r="Q43" s="292"/>
      <c r="R43" s="97"/>
      <c r="S43" s="97"/>
      <c r="T43" s="97"/>
    </row>
    <row r="44" spans="2:21" s="134" customFormat="1" ht="14.5">
      <c r="B44" s="380" t="s">
        <v>391</v>
      </c>
      <c r="C44" s="195" t="str">
        <f>VLOOKUP(B44,'26MY_CIV4D_DATA'!B:AQ,3,FALSE)</f>
        <v>Protection Package - Hybrid</v>
      </c>
      <c r="D44" s="78" t="str">
        <f>B44</f>
        <v>25CIV-PRO-HYB</v>
      </c>
      <c r="E44" s="337">
        <f>VLOOKUP(B44,'26MY_CIV4D_DATA'!B:AQ,9,FALSE)</f>
        <v>297</v>
      </c>
      <c r="F44" s="337">
        <f>VLOOKUP(B44,'26MY_CIV4D_DATA'!B:AQ,10,FALSE)</f>
        <v>550</v>
      </c>
      <c r="G44" s="340">
        <f>VLOOKUP(B44,'26MY_CIV4D_DATA'!B:AQ,7,FALSE)</f>
        <v>0.60000000000000009</v>
      </c>
      <c r="H44" s="343">
        <f>VLOOKUP(B44,'26MY_CIV4D_DATA'!B:AQ,11,FALSE)</f>
        <v>658.6</v>
      </c>
      <c r="I44" s="331" t="str">
        <f>VLOOKUP(B44,'26MY_CIV4D_DATA'!B:AQ,12,FALSE)</f>
        <v>N/A</v>
      </c>
      <c r="J44" s="331">
        <f>VLOOKUP(B44,'26MY_CIV4D_DATA'!B:AQ,13,FALSE)</f>
        <v>0</v>
      </c>
      <c r="K44" s="331">
        <f>VLOOKUP($B44,'26MY_CIV4D_DATA'!$B:$AQ,14,FALSE)</f>
        <v>0</v>
      </c>
      <c r="L44" s="331" t="str">
        <f>VLOOKUP(B44,'26MY_CIV4D_DATA'!B:AQ,15,FALSE)</f>
        <v>N/A</v>
      </c>
      <c r="M44" s="331" t="str">
        <f>VLOOKUP($B44,'26MY_CIV4D_DATA'!$B:$AQ,16,FALSE)</f>
        <v>•</v>
      </c>
      <c r="N44" s="331">
        <f>VLOOKUP($B44,'26MY_CIV4D_DATA'!$B:$AQ,17,FALSE)</f>
        <v>0</v>
      </c>
      <c r="O44" s="331" t="str">
        <f>VLOOKUP($B44,'26MY_CIV4D_DATA'!$B:$AQ,18,FALSE)</f>
        <v>•</v>
      </c>
      <c r="P44" s="331" t="str">
        <f>VLOOKUP(B44,'26MY_CIV4D_DATA'!B:AQ,19,FALSE)</f>
        <v>N/A</v>
      </c>
      <c r="Q44" s="334" t="str">
        <f>IF(VLOOKUP(B44,'26MY_CIV4D_DATA'!B:AQ,20,FALSE)="","",VLOOKUP(B44,'26MY_CIV4D_DATA'!B:AQ,20,FALSE))</f>
        <v/>
      </c>
      <c r="R44" s="97"/>
      <c r="S44" s="97"/>
      <c r="T44" s="97"/>
    </row>
    <row r="45" spans="2:21" s="134" customFormat="1" ht="14.5">
      <c r="B45" s="380" t="s">
        <v>389</v>
      </c>
      <c r="C45" s="191" t="str">
        <f>VLOOKUP(B45,'26MY_CIV4D_DATA'!B:AQ,3,FALSE)</f>
        <v>Floor Mats Hybrid - All-Season</v>
      </c>
      <c r="D45" s="205" t="str">
        <f t="shared" ref="D45:D47" si="9">B45</f>
        <v>08P17-T20-110A</v>
      </c>
      <c r="E45" s="338"/>
      <c r="F45" s="338"/>
      <c r="G45" s="341"/>
      <c r="H45" s="344"/>
      <c r="I45" s="332"/>
      <c r="J45" s="332"/>
      <c r="K45" s="332"/>
      <c r="L45" s="332"/>
      <c r="M45" s="332"/>
      <c r="N45" s="332"/>
      <c r="O45" s="332"/>
      <c r="P45" s="332"/>
      <c r="Q45" s="335"/>
      <c r="R45" s="97"/>
      <c r="S45" s="97"/>
      <c r="T45" s="97"/>
    </row>
    <row r="46" spans="2:21" s="134" customFormat="1" ht="14.5">
      <c r="B46" s="380" t="s">
        <v>114</v>
      </c>
      <c r="C46" s="191" t="str">
        <f>VLOOKUP(B46,'26MY_CIV4D_DATA'!B:AQ,3,FALSE)</f>
        <v>Trunk Tray</v>
      </c>
      <c r="D46" s="205" t="str">
        <f t="shared" si="9"/>
        <v>08U45-T20-100</v>
      </c>
      <c r="E46" s="338"/>
      <c r="F46" s="338"/>
      <c r="G46" s="341"/>
      <c r="H46" s="344"/>
      <c r="I46" s="332"/>
      <c r="J46" s="332"/>
      <c r="K46" s="332"/>
      <c r="L46" s="332"/>
      <c r="M46" s="332"/>
      <c r="N46" s="332"/>
      <c r="O46" s="332"/>
      <c r="P46" s="332"/>
      <c r="Q46" s="335"/>
      <c r="R46" s="97"/>
      <c r="S46" s="97"/>
      <c r="T46" s="97"/>
    </row>
    <row r="47" spans="2:21" s="134" customFormat="1" ht="14.5">
      <c r="B47" s="380" t="s">
        <v>140</v>
      </c>
      <c r="C47" s="191" t="str">
        <f>VLOOKUP(B47,'26MY_CIV4D_DATA'!B:AQ,3,FALSE)</f>
        <v>Rear Splash Guard </v>
      </c>
      <c r="D47" s="205" t="str">
        <f t="shared" si="9"/>
        <v>08P09-T20-300</v>
      </c>
      <c r="E47" s="339"/>
      <c r="F47" s="339"/>
      <c r="G47" s="342"/>
      <c r="H47" s="345"/>
      <c r="I47" s="333"/>
      <c r="J47" s="333"/>
      <c r="K47" s="333"/>
      <c r="L47" s="333"/>
      <c r="M47" s="333"/>
      <c r="N47" s="333"/>
      <c r="O47" s="333"/>
      <c r="P47" s="333"/>
      <c r="Q47" s="336"/>
      <c r="R47" s="97"/>
      <c r="S47" s="97"/>
      <c r="T47" s="97"/>
    </row>
    <row r="48" spans="2:21" s="134" customFormat="1" ht="7" customHeight="1">
      <c r="B48" s="380"/>
      <c r="C48" s="206"/>
      <c r="D48" s="207"/>
      <c r="E48" s="207"/>
      <c r="F48" s="207"/>
      <c r="G48" s="207"/>
      <c r="H48" s="207"/>
      <c r="I48" s="207"/>
      <c r="J48" s="207"/>
      <c r="K48" s="207"/>
      <c r="L48" s="207"/>
      <c r="M48" s="207"/>
      <c r="N48" s="207"/>
      <c r="O48" s="207"/>
      <c r="P48" s="207"/>
      <c r="Q48" s="292"/>
      <c r="R48" s="97"/>
      <c r="S48" s="97"/>
      <c r="T48" s="97"/>
    </row>
    <row r="49" spans="2:20" s="134" customFormat="1" ht="14.5">
      <c r="B49" s="380" t="s">
        <v>304</v>
      </c>
      <c r="C49" s="195" t="str">
        <f>VLOOKUP(B49,'26MY_CIV4D_DATA'!B:AQ,3,FALSE)</f>
        <v>Protection Package - Film</v>
      </c>
      <c r="D49" s="78" t="str">
        <f>B49</f>
        <v>25CIV-PRO-FLM</v>
      </c>
      <c r="E49" s="337">
        <f>VLOOKUP(B49,'26MY_CIV4D_DATA'!B:AQ,9,FALSE)</f>
        <v>214.20000000000002</v>
      </c>
      <c r="F49" s="337">
        <f>VLOOKUP(B49,'26MY_CIV4D_DATA'!B:AQ,10,FALSE)</f>
        <v>357.3</v>
      </c>
      <c r="G49" s="340">
        <f>VLOOKUP(B49,'26MY_CIV4D_DATA'!B:AQ,7,FALSE)</f>
        <v>1.2000000000000002</v>
      </c>
      <c r="H49" s="343">
        <f>VLOOKUP(B49,'26MY_CIV4D_DATA'!B:AQ,11,FALSE)</f>
        <v>574.5</v>
      </c>
      <c r="I49" s="331" t="str">
        <f>VLOOKUP(B49,'26MY_CIV4D_DATA'!B:AQ,12,FALSE)</f>
        <v>•</v>
      </c>
      <c r="J49" s="331">
        <f>VLOOKUP(B49,'26MY_CIV4D_DATA'!B:AQ,13,FALSE)</f>
        <v>0</v>
      </c>
      <c r="K49" s="331">
        <f>VLOOKUP($B49,'26MY_CIV4D_DATA'!$B:$AQ,14,FALSE)</f>
        <v>0</v>
      </c>
      <c r="L49" s="331" t="str">
        <f>VLOOKUP(B49,'26MY_CIV4D_DATA'!B:AQ,15,FALSE)</f>
        <v>•</v>
      </c>
      <c r="M49" s="331" t="str">
        <f>VLOOKUP($B49,'26MY_CIV4D_DATA'!$B:$AQ,16,FALSE)</f>
        <v>•</v>
      </c>
      <c r="N49" s="331">
        <f>VLOOKUP($B49,'26MY_CIV4D_DATA'!$B:$AQ,17,FALSE)</f>
        <v>0</v>
      </c>
      <c r="O49" s="331" t="str">
        <f>VLOOKUP($B49,'26MY_CIV4D_DATA'!$B:$AQ,18,FALSE)</f>
        <v>•</v>
      </c>
      <c r="P49" s="331" t="str">
        <f>VLOOKUP(B49,'26MY_CIV4D_DATA'!B:AQ,19,FALSE)</f>
        <v>•</v>
      </c>
      <c r="Q49" s="334" t="str">
        <f>IF(VLOOKUP(B49,'26MY_CIV4D_DATA'!B:AQ,20,FALSE)="","",VLOOKUP(B49,'26MY_CIV4D_DATA'!B:AQ,20,FALSE))</f>
        <v>10% Discount Applied.  Cannot be installed with Door Edge Guards</v>
      </c>
      <c r="R49" s="97"/>
      <c r="S49" s="97"/>
      <c r="T49" s="97"/>
    </row>
    <row r="50" spans="2:20" s="134" customFormat="1" ht="14.5">
      <c r="B50" s="380" t="s">
        <v>131</v>
      </c>
      <c r="C50" s="191" t="str">
        <f>VLOOKUP(B50,'26MY_CIV4D_DATA'!B:AQ,3,FALSE)</f>
        <v>Door Edge Film</v>
      </c>
      <c r="D50" s="205" t="str">
        <f t="shared" ref="D50:D52" si="10">B50</f>
        <v>08P20-T20-100A</v>
      </c>
      <c r="E50" s="338"/>
      <c r="F50" s="338"/>
      <c r="G50" s="341"/>
      <c r="H50" s="344"/>
      <c r="I50" s="332"/>
      <c r="J50" s="332"/>
      <c r="K50" s="332"/>
      <c r="L50" s="332"/>
      <c r="M50" s="332"/>
      <c r="N50" s="332"/>
      <c r="O50" s="332"/>
      <c r="P50" s="332"/>
      <c r="Q50" s="335"/>
      <c r="R50" s="97"/>
      <c r="S50" s="97"/>
      <c r="T50" s="97"/>
    </row>
    <row r="51" spans="2:20" s="134" customFormat="1" ht="14.5">
      <c r="B51" s="380" t="s">
        <v>111</v>
      </c>
      <c r="C51" s="191" t="str">
        <f>VLOOKUP(B51,'26MY_CIV4D_DATA'!B:AQ,3,FALSE)</f>
        <v>Door Sill Protection Film</v>
      </c>
      <c r="D51" s="205" t="str">
        <f t="shared" si="10"/>
        <v>08P04-T20-100</v>
      </c>
      <c r="E51" s="338"/>
      <c r="F51" s="338"/>
      <c r="G51" s="341"/>
      <c r="H51" s="344"/>
      <c r="I51" s="332"/>
      <c r="J51" s="332"/>
      <c r="K51" s="332"/>
      <c r="L51" s="332"/>
      <c r="M51" s="332"/>
      <c r="N51" s="332"/>
      <c r="O51" s="332"/>
      <c r="P51" s="332"/>
      <c r="Q51" s="335"/>
      <c r="R51" s="97"/>
      <c r="S51" s="97"/>
      <c r="T51" s="97"/>
    </row>
    <row r="52" spans="2:20" s="134" customFormat="1" ht="14.5">
      <c r="B52" s="380" t="s">
        <v>137</v>
      </c>
      <c r="C52" s="191" t="str">
        <f>VLOOKUP(B52,'26MY_CIV4D_DATA'!B:AQ,3,FALSE)</f>
        <v>Rear Bumper Applique</v>
      </c>
      <c r="D52" s="205" t="str">
        <f t="shared" si="10"/>
        <v>08P48-T20-100A</v>
      </c>
      <c r="E52" s="339"/>
      <c r="F52" s="339"/>
      <c r="G52" s="342"/>
      <c r="H52" s="345"/>
      <c r="I52" s="333"/>
      <c r="J52" s="333"/>
      <c r="K52" s="333"/>
      <c r="L52" s="333"/>
      <c r="M52" s="333"/>
      <c r="N52" s="333"/>
      <c r="O52" s="333"/>
      <c r="P52" s="333"/>
      <c r="Q52" s="336"/>
      <c r="R52" s="97"/>
      <c r="S52" s="97"/>
      <c r="T52" s="97"/>
    </row>
    <row r="53" spans="2:20" s="135" customFormat="1" ht="15" customHeight="1">
      <c r="B53" s="382"/>
      <c r="C53" s="132"/>
      <c r="D53" s="132"/>
      <c r="E53" s="132"/>
      <c r="F53" s="132"/>
      <c r="G53" s="131"/>
      <c r="H53" s="132"/>
      <c r="I53" s="132"/>
      <c r="J53" s="132"/>
      <c r="K53" s="132"/>
      <c r="L53" s="132"/>
      <c r="M53" s="132"/>
      <c r="N53" s="132"/>
      <c r="O53" s="132"/>
      <c r="P53" s="132"/>
      <c r="Q53" s="293"/>
    </row>
    <row r="54" spans="2:20" s="133" customFormat="1" ht="18.5">
      <c r="B54" s="383"/>
      <c r="C54" s="152" t="s">
        <v>70</v>
      </c>
      <c r="D54" s="152"/>
      <c r="E54" s="143"/>
      <c r="F54" s="143"/>
      <c r="G54" s="143"/>
      <c r="H54" s="143"/>
      <c r="I54" s="143"/>
      <c r="J54" s="143"/>
      <c r="K54" s="143"/>
      <c r="L54" s="143"/>
      <c r="M54" s="143"/>
      <c r="N54" s="143"/>
      <c r="O54" s="143"/>
      <c r="P54" s="143"/>
      <c r="Q54" s="143"/>
    </row>
    <row r="55" spans="2:20" s="134" customFormat="1" ht="15" customHeight="1">
      <c r="B55" s="384"/>
      <c r="C55" s="346" t="s">
        <v>62</v>
      </c>
      <c r="D55" s="346" t="s">
        <v>10</v>
      </c>
      <c r="E55" s="346" t="s">
        <v>17</v>
      </c>
      <c r="F55" s="346" t="s">
        <v>11</v>
      </c>
      <c r="G55" s="346" t="s">
        <v>12</v>
      </c>
      <c r="H55" s="347" t="s">
        <v>13</v>
      </c>
      <c r="I55" s="346" t="s">
        <v>25</v>
      </c>
      <c r="J55" s="346"/>
      <c r="K55" s="346"/>
      <c r="L55" s="346"/>
      <c r="M55" s="346"/>
      <c r="N55" s="346"/>
      <c r="O55" s="346"/>
      <c r="P55" s="346"/>
      <c r="Q55" s="346" t="s">
        <v>14</v>
      </c>
    </row>
    <row r="56" spans="2:20" s="134" customFormat="1" ht="29.15" customHeight="1">
      <c r="B56" s="384"/>
      <c r="C56" s="346"/>
      <c r="D56" s="346"/>
      <c r="E56" s="346"/>
      <c r="F56" s="346"/>
      <c r="G56" s="346"/>
      <c r="H56" s="347"/>
      <c r="I56" s="178" t="str">
        <f>'26MY_CIV4D_DATA'!M$9</f>
        <v>LX</v>
      </c>
      <c r="J56" s="178">
        <f>'26MY_CIV4D_DATA'!N$9</f>
        <v>0</v>
      </c>
      <c r="K56" s="178">
        <f>'26MY_CIV4D_DATA'!O$9</f>
        <v>0</v>
      </c>
      <c r="L56" s="178" t="str">
        <f>'26MY_CIV4D_DATA'!P$9</f>
        <v>SPORT</v>
      </c>
      <c r="M56" s="178" t="str">
        <f>'26MY_CIV4D_DATA'!Q$9</f>
        <v>SPORT 
Hybrid</v>
      </c>
      <c r="N56" s="178">
        <f>'26MY_CIV4D_DATA'!R$9</f>
        <v>0</v>
      </c>
      <c r="O56" s="178" t="str">
        <f>'26MY_CIV4D_DATA'!S$9</f>
        <v>Sport Touring Hybrid</v>
      </c>
      <c r="P56" s="178" t="str">
        <f>'26MY_CIV4D_DATA'!T$9</f>
        <v>Si</v>
      </c>
      <c r="Q56" s="346"/>
    </row>
    <row r="57" spans="2:20" s="135" customFormat="1" ht="15" customHeight="1">
      <c r="B57" s="382" t="s">
        <v>215</v>
      </c>
      <c r="C57" s="179" t="str">
        <f>VLOOKUP(B57,'26MY_CIV4D_DATA'!B:AQ,3,FALSE)</f>
        <v>16" Enkei M52 Wheel - Gloss Black</v>
      </c>
      <c r="D57" s="79" t="str">
        <f>B57</f>
        <v>480-670-6545GB</v>
      </c>
      <c r="E57" s="280">
        <f>VLOOKUP(B57,'26MY_CIV4D_DATA'!B:AQ,9,FALSE)</f>
        <v>764</v>
      </c>
      <c r="F57" s="280">
        <f>VLOOKUP(B57,'26MY_CIV4D_DATA'!B:AQ,10,FALSE)</f>
        <v>1028</v>
      </c>
      <c r="G57" s="287">
        <f>VLOOKUP(B57,'26MY_CIV4D_DATA'!B:AQ,7,FALSE)</f>
        <v>1.6</v>
      </c>
      <c r="H57" s="281">
        <f>VLOOKUP(B57,'26MY_CIV4D_DATA'!B:AQ,11,FALSE)</f>
        <v>1317.6</v>
      </c>
      <c r="I57" s="288" t="str">
        <f>VLOOKUP(B57,'26MY_CIV4D_DATA'!B:AQ,12,FALSE)</f>
        <v>E</v>
      </c>
      <c r="J57" s="288">
        <f>VLOOKUP(B57,'26MY_CIV4D_DATA'!B:AQ,13,FALSE)</f>
        <v>0</v>
      </c>
      <c r="K57" s="288">
        <f>VLOOKUP($B57,'26MY_CIV4D_DATA'!$B:$AQ,14,FALSE)</f>
        <v>0</v>
      </c>
      <c r="L57" s="288" t="str">
        <f>VLOOKUP(B57,'26MY_CIV4D_DATA'!B:AQ,15,FALSE)</f>
        <v>T</v>
      </c>
      <c r="M57" s="288" t="str">
        <f>VLOOKUP($B57,'26MY_CIV4D_DATA'!$B:$AQ,16,FALSE)</f>
        <v>N/A</v>
      </c>
      <c r="N57" s="288">
        <f>VLOOKUP($B57,'26MY_CIV4D_DATA'!$B:$AQ,17,FALSE)</f>
        <v>0</v>
      </c>
      <c r="O57" s="288" t="str">
        <f>VLOOKUP($B57,'26MY_CIV4D_DATA'!$B:$AQ,18,FALSE)</f>
        <v>N/A</v>
      </c>
      <c r="P57" s="288" t="str">
        <f>VLOOKUP(B57,'26MY_CIV4D_DATA'!B:AQ,19,FALSE)</f>
        <v>N/A</v>
      </c>
      <c r="Q57" s="291" t="str">
        <f>IF(VLOOKUP(B57,'26MY_CIV4D_DATA'!B:AQ,20,FALSE)="","",VLOOKUP(B57,'26MY_CIV4D_DATA'!B:AQ,20,FALSE))</f>
        <v>Priced as a set of 4 wheels.  Tires sold separately.</v>
      </c>
    </row>
    <row r="58" spans="2:20" s="134" customFormat="1" ht="14.5">
      <c r="B58" s="384" t="s">
        <v>217</v>
      </c>
      <c r="C58" s="179" t="str">
        <f>VLOOKUP(B58,'26MY_CIV4D_DATA'!B:AQ,3,FALSE)</f>
        <v>16" Enkei M52 Wheel - Silver</v>
      </c>
      <c r="D58" s="79" t="str">
        <f t="shared" ref="D58:D65" si="11">B58</f>
        <v>480-670-6545SP</v>
      </c>
      <c r="E58" s="280">
        <f>VLOOKUP(B58,'26MY_CIV4D_DATA'!B:AQ,9,FALSE)</f>
        <v>764</v>
      </c>
      <c r="F58" s="280">
        <f>VLOOKUP(B58,'26MY_CIV4D_DATA'!B:AQ,10,FALSE)</f>
        <v>1028</v>
      </c>
      <c r="G58" s="287">
        <f>VLOOKUP(B58,'26MY_CIV4D_DATA'!B:AQ,7,FALSE)</f>
        <v>1.6</v>
      </c>
      <c r="H58" s="281">
        <f>VLOOKUP(B58,'26MY_CIV4D_DATA'!B:AQ,11,FALSE)</f>
        <v>1317.6</v>
      </c>
      <c r="I58" s="288" t="str">
        <f>VLOOKUP(B58,'26MY_CIV4D_DATA'!B:AQ,12,FALSE)</f>
        <v>E</v>
      </c>
      <c r="J58" s="288">
        <f>VLOOKUP(B58,'26MY_CIV4D_DATA'!B:AQ,13,FALSE)</f>
        <v>0</v>
      </c>
      <c r="K58" s="288">
        <f>VLOOKUP($B58,'26MY_CIV4D_DATA'!$B:$AQ,14,FALSE)</f>
        <v>0</v>
      </c>
      <c r="L58" s="288" t="str">
        <f>VLOOKUP(B58,'26MY_CIV4D_DATA'!B:AQ,15,FALSE)</f>
        <v>T</v>
      </c>
      <c r="M58" s="288" t="str">
        <f>VLOOKUP($B58,'26MY_CIV4D_DATA'!$B:$AQ,16,FALSE)</f>
        <v>N/A</v>
      </c>
      <c r="N58" s="288">
        <f>VLOOKUP($B58,'26MY_CIV4D_DATA'!$B:$AQ,17,FALSE)</f>
        <v>0</v>
      </c>
      <c r="O58" s="288" t="str">
        <f>VLOOKUP($B58,'26MY_CIV4D_DATA'!$B:$AQ,18,FALSE)</f>
        <v>N/A</v>
      </c>
      <c r="P58" s="288" t="str">
        <f>VLOOKUP(B58,'26MY_CIV4D_DATA'!B:AQ,19,FALSE)</f>
        <v>N/A</v>
      </c>
      <c r="Q58" s="291" t="str">
        <f>IF(VLOOKUP(B58,'26MY_CIV4D_DATA'!B:AQ,20,FALSE)="","",VLOOKUP(B58,'26MY_CIV4D_DATA'!B:AQ,20,FALSE))</f>
        <v>Priced as a set of 4 wheels.  Tires sold separately.</v>
      </c>
    </row>
    <row r="59" spans="2:20" s="134" customFormat="1" ht="14.5">
      <c r="B59" s="384" t="s">
        <v>254</v>
      </c>
      <c r="C59" s="179" t="str">
        <f>VLOOKUP(B59,'26MY_CIV4D_DATA'!B:AQ,3,FALSE)</f>
        <v>17" Enkei Draco Wheel, Gloss Black</v>
      </c>
      <c r="D59" s="79" t="str">
        <f t="shared" si="11"/>
        <v>509-775-6545BH</v>
      </c>
      <c r="E59" s="280">
        <f>VLOOKUP(B59,'26MY_CIV4D_DATA'!B:AQ,9,FALSE)</f>
        <v>856</v>
      </c>
      <c r="F59" s="280">
        <f>VLOOKUP(B59,'26MY_CIV4D_DATA'!B:AQ,10,FALSE)</f>
        <v>1148</v>
      </c>
      <c r="G59" s="287">
        <f>VLOOKUP(B59,'26MY_CIV4D_DATA'!B:AQ,7,FALSE)</f>
        <v>1.6</v>
      </c>
      <c r="H59" s="281">
        <f>VLOOKUP(B59,'26MY_CIV4D_DATA'!B:AQ,11,FALSE)</f>
        <v>1437.6</v>
      </c>
      <c r="I59" s="288" t="str">
        <f>VLOOKUP(B59,'26MY_CIV4D_DATA'!B:AQ,12,FALSE)</f>
        <v>N/A</v>
      </c>
      <c r="J59" s="288">
        <f>VLOOKUP(B59,'26MY_CIV4D_DATA'!B:AQ,13,FALSE)</f>
        <v>0</v>
      </c>
      <c r="K59" s="288">
        <f>VLOOKUP($B59,'26MY_CIV4D_DATA'!$B:$AQ,14,FALSE)</f>
        <v>0</v>
      </c>
      <c r="L59" s="288" t="str">
        <f>VLOOKUP(B59,'26MY_CIV4D_DATA'!B:AQ,15,FALSE)</f>
        <v>N/A</v>
      </c>
      <c r="M59" s="288" t="str">
        <f>VLOOKUP($B59,'26MY_CIV4D_DATA'!$B:$AQ,16,FALSE)</f>
        <v>T</v>
      </c>
      <c r="N59" s="288">
        <f>VLOOKUP($B59,'26MY_CIV4D_DATA'!$B:$AQ,17,FALSE)</f>
        <v>0</v>
      </c>
      <c r="O59" s="288" t="str">
        <f>VLOOKUP($B59,'26MY_CIV4D_DATA'!$B:$AQ,18,FALSE)</f>
        <v>T</v>
      </c>
      <c r="P59" s="288" t="str">
        <f>VLOOKUP(B59,'26MY_CIV4D_DATA'!B:AQ,19,FALSE)</f>
        <v>E</v>
      </c>
      <c r="Q59" s="291" t="str">
        <f>IF(VLOOKUP(B59,'26MY_CIV4D_DATA'!B:AQ,20,FALSE)="","",VLOOKUP(B59,'26MY_CIV4D_DATA'!B:AQ,20,FALSE))</f>
        <v xml:space="preserve">Priced as a set of 4 wheels.  Tires sold separately. </v>
      </c>
    </row>
    <row r="60" spans="2:20" s="134" customFormat="1" ht="14.5">
      <c r="B60" s="384" t="s">
        <v>255</v>
      </c>
      <c r="C60" s="179" t="str">
        <f>VLOOKUP(B60,'26MY_CIV4D_DATA'!B:AQ,3,FALSE)</f>
        <v>17" Enkei Draco Wheel, Silver</v>
      </c>
      <c r="D60" s="79" t="str">
        <f t="shared" si="11"/>
        <v>509-775-6545SH</v>
      </c>
      <c r="E60" s="280">
        <f>VLOOKUP(B60,'26MY_CIV4D_DATA'!B:AQ,9,FALSE)</f>
        <v>856</v>
      </c>
      <c r="F60" s="280">
        <f>VLOOKUP(B60,'26MY_CIV4D_DATA'!B:AQ,10,FALSE)</f>
        <v>1148</v>
      </c>
      <c r="G60" s="287">
        <f>VLOOKUP(B60,'26MY_CIV4D_DATA'!B:AQ,7,FALSE)</f>
        <v>1.6</v>
      </c>
      <c r="H60" s="281">
        <f>VLOOKUP(B60,'26MY_CIV4D_DATA'!B:AQ,11,FALSE)</f>
        <v>1437.6</v>
      </c>
      <c r="I60" s="288" t="str">
        <f>VLOOKUP(B60,'26MY_CIV4D_DATA'!B:AQ,12,FALSE)</f>
        <v>N/A</v>
      </c>
      <c r="J60" s="288">
        <f>VLOOKUP(B60,'26MY_CIV4D_DATA'!B:AQ,13,FALSE)</f>
        <v>0</v>
      </c>
      <c r="K60" s="288">
        <f>VLOOKUP($B60,'26MY_CIV4D_DATA'!$B:$AQ,14,FALSE)</f>
        <v>0</v>
      </c>
      <c r="L60" s="288" t="str">
        <f>VLOOKUP(B60,'26MY_CIV4D_DATA'!B:AQ,15,FALSE)</f>
        <v>N/A</v>
      </c>
      <c r="M60" s="288" t="str">
        <f>VLOOKUP($B60,'26MY_CIV4D_DATA'!$B:$AQ,16,FALSE)</f>
        <v>T</v>
      </c>
      <c r="N60" s="288">
        <f>VLOOKUP($B60,'26MY_CIV4D_DATA'!$B:$AQ,17,FALSE)</f>
        <v>0</v>
      </c>
      <c r="O60" s="288" t="str">
        <f>VLOOKUP($B60,'26MY_CIV4D_DATA'!$B:$AQ,18,FALSE)</f>
        <v>T</v>
      </c>
      <c r="P60" s="288" t="str">
        <f>VLOOKUP(B60,'26MY_CIV4D_DATA'!B:AQ,19,FALSE)</f>
        <v>E</v>
      </c>
      <c r="Q60" s="291" t="str">
        <f>IF(VLOOKUP(B60,'26MY_CIV4D_DATA'!B:AQ,20,FALSE)="","",VLOOKUP(B60,'26MY_CIV4D_DATA'!B:AQ,20,FALSE))</f>
        <v xml:space="preserve">Priced as a set of 4 wheels.  Tires sold separately. </v>
      </c>
    </row>
    <row r="61" spans="2:20" s="134" customFormat="1" ht="29">
      <c r="B61" s="384" t="s">
        <v>499</v>
      </c>
      <c r="C61" s="179" t="str">
        <f>VLOOKUP(B61,'26MY_CIV4D_DATA'!B:AQ,3,FALSE)</f>
        <v>17” Winter Steel Wheels</v>
      </c>
      <c r="D61" s="79" t="str">
        <f t="shared" ref="D61" si="12">B61</f>
        <v>08W17-PC4-300</v>
      </c>
      <c r="E61" s="280">
        <f>VLOOKUP(B61,'26MY_CIV4D_DATA'!B:AQ,9,FALSE)</f>
        <v>376.4</v>
      </c>
      <c r="F61" s="280">
        <f>VLOOKUP(B61,'26MY_CIV4D_DATA'!B:AQ,10,FALSE)</f>
        <v>627.28</v>
      </c>
      <c r="G61" s="287">
        <f>VLOOKUP(B61,'26MY_CIV4D_DATA'!B:AQ,7,FALSE)</f>
        <v>1.6</v>
      </c>
      <c r="H61" s="281">
        <f>VLOOKUP(B61,'26MY_CIV4D_DATA'!B:AQ,11,FALSE)</f>
        <v>916.88</v>
      </c>
      <c r="I61" s="288" t="str">
        <f>VLOOKUP(B61,'26MY_CIV4D_DATA'!B:AQ,12,FALSE)</f>
        <v>N/A</v>
      </c>
      <c r="J61" s="288">
        <f>VLOOKUP(B61,'26MY_CIV4D_DATA'!B:AQ,13,FALSE)</f>
        <v>0</v>
      </c>
      <c r="K61" s="288">
        <f>VLOOKUP($B61,'26MY_CIV4D_DATA'!$B:$AQ,14,FALSE)</f>
        <v>0</v>
      </c>
      <c r="L61" s="288" t="str">
        <f>VLOOKUP(B61,'26MY_CIV4D_DATA'!B:AQ,15,FALSE)</f>
        <v>N/A</v>
      </c>
      <c r="M61" s="288" t="str">
        <f>VLOOKUP($B61,'26MY_CIV4D_DATA'!$B:$AQ,16,FALSE)</f>
        <v>•</v>
      </c>
      <c r="N61" s="288">
        <f>VLOOKUP($B61,'26MY_CIV4D_DATA'!$B:$AQ,17,FALSE)</f>
        <v>0</v>
      </c>
      <c r="O61" s="288" t="str">
        <f>VLOOKUP($B61,'26MY_CIV4D_DATA'!$B:$AQ,18,FALSE)</f>
        <v>•</v>
      </c>
      <c r="P61" s="288" t="str">
        <f>VLOOKUP(B61,'26MY_CIV4D_DATA'!B:AQ,19,FALSE)</f>
        <v>•</v>
      </c>
      <c r="Q61" s="291" t="str">
        <f>IF(VLOOKUP(B61,'26MY_CIV4D_DATA'!B:AQ,20,FALSE)="","",VLOOKUP(B61,'26MY_CIV4D_DATA'!B:AQ,20,FALSE))</f>
        <v>Priced as a set of 4 wheels.  Tires sold separately. Requires 215/50/R17 95H Tires</v>
      </c>
    </row>
    <row r="62" spans="2:20" s="134" customFormat="1" ht="14.5">
      <c r="B62" s="384" t="s">
        <v>424</v>
      </c>
      <c r="C62" s="179" t="str">
        <f>VLOOKUP(B62,'26MY_CIV4D_DATA'!B:AQ,3,FALSE)</f>
        <v>18" Alloy Wheel - Black</v>
      </c>
      <c r="D62" s="79" t="str">
        <f t="shared" ref="D62" si="13">B62</f>
        <v>08W18-T20-100</v>
      </c>
      <c r="E62" s="280">
        <f>VLOOKUP(B62,'26MY_CIV4D_DATA'!B:AQ,9,FALSE)</f>
        <v>2316</v>
      </c>
      <c r="F62" s="280">
        <f>VLOOKUP(B62,'26MY_CIV4D_DATA'!B:AQ,10,FALSE)</f>
        <v>3564</v>
      </c>
      <c r="G62" s="287">
        <f>VLOOKUP(B62,'26MY_CIV4D_DATA'!B:AQ,7,FALSE)</f>
        <v>1.6</v>
      </c>
      <c r="H62" s="281">
        <f>VLOOKUP(B62,'26MY_CIV4D_DATA'!B:AQ,11,FALSE)</f>
        <v>3853.6</v>
      </c>
      <c r="I62" s="288" t="str">
        <f>VLOOKUP(B62,'26MY_CIV4D_DATA'!B:AQ,12,FALSE)</f>
        <v>N/A</v>
      </c>
      <c r="J62" s="288">
        <f>VLOOKUP(B62,'26MY_CIV4D_DATA'!B:AQ,13,FALSE)</f>
        <v>0</v>
      </c>
      <c r="K62" s="288">
        <f>VLOOKUP($B62,'26MY_CIV4D_DATA'!$B:$AQ,14,FALSE)</f>
        <v>0</v>
      </c>
      <c r="L62" s="288" t="str">
        <f>VLOOKUP(B62,'26MY_CIV4D_DATA'!B:AQ,15,FALSE)</f>
        <v>T</v>
      </c>
      <c r="M62" s="288" t="str">
        <f>VLOOKUP($B62,'26MY_CIV4D_DATA'!$B:$AQ,16,FALSE)</f>
        <v>E</v>
      </c>
      <c r="N62" s="288">
        <f>VLOOKUP($B62,'26MY_CIV4D_DATA'!$B:$AQ,17,FALSE)</f>
        <v>0</v>
      </c>
      <c r="O62" s="288" t="str">
        <f>VLOOKUP($B62,'26MY_CIV4D_DATA'!$B:$AQ,18,FALSE)</f>
        <v>E</v>
      </c>
      <c r="P62" s="288" t="str">
        <f>VLOOKUP(B62,'26MY_CIV4D_DATA'!B:AQ,19,FALSE)</f>
        <v>T</v>
      </c>
      <c r="Q62" s="291" t="str">
        <f>IF(VLOOKUP(B62,'26MY_CIV4D_DATA'!B:AQ,20,FALSE)="","",VLOOKUP(B62,'26MY_CIV4D_DATA'!B:AQ,20,FALSE))</f>
        <v>Priced as a set of 4 wheels.  Tires sold separately.</v>
      </c>
    </row>
    <row r="63" spans="2:20" s="135" customFormat="1" ht="15" customHeight="1">
      <c r="B63" s="382" t="s">
        <v>264</v>
      </c>
      <c r="C63" s="179" t="str">
        <f>VLOOKUP(B63,'26MY_CIV4D_DATA'!B:AQ,3,FALSE)</f>
        <v>Wheel Locks - Black</v>
      </c>
      <c r="D63" s="79" t="str">
        <f t="shared" si="11"/>
        <v>08W42-TGG-301</v>
      </c>
      <c r="E63" s="280">
        <f>VLOOKUP(B63,'26MY_CIV4D_DATA'!B:AQ,9,FALSE)</f>
        <v>61</v>
      </c>
      <c r="F63" s="280">
        <f>VLOOKUP(B63,'26MY_CIV4D_DATA'!B:AQ,10,FALSE)</f>
        <v>102</v>
      </c>
      <c r="G63" s="287">
        <f>VLOOKUP(B63,'26MY_CIV4D_DATA'!B:AQ,7,FALSE)</f>
        <v>0.2</v>
      </c>
      <c r="H63" s="281">
        <f>VLOOKUP(B63,'26MY_CIV4D_DATA'!B:AQ,11,FALSE)</f>
        <v>138.19999999999999</v>
      </c>
      <c r="I63" s="288" t="str">
        <f>VLOOKUP(B63,'26MY_CIV4D_DATA'!B:AQ,12,FALSE)</f>
        <v>•</v>
      </c>
      <c r="J63" s="288">
        <f>VLOOKUP(B63,'26MY_CIV4D_DATA'!B:AQ,13,FALSE)</f>
        <v>0</v>
      </c>
      <c r="K63" s="288">
        <f>VLOOKUP($B63,'26MY_CIV4D_DATA'!$B:$AQ,14,FALSE)</f>
        <v>0</v>
      </c>
      <c r="L63" s="288" t="str">
        <f>VLOOKUP(B63,'26MY_CIV4D_DATA'!B:AQ,15,FALSE)</f>
        <v>•</v>
      </c>
      <c r="M63" s="288" t="str">
        <f>VLOOKUP($B63,'26MY_CIV4D_DATA'!$B:$AQ,16,FALSE)</f>
        <v>•</v>
      </c>
      <c r="N63" s="288">
        <f>VLOOKUP($B63,'26MY_CIV4D_DATA'!$B:$AQ,17,FALSE)</f>
        <v>0</v>
      </c>
      <c r="O63" s="288" t="str">
        <f>VLOOKUP($B63,'26MY_CIV4D_DATA'!$B:$AQ,18,FALSE)</f>
        <v>•</v>
      </c>
      <c r="P63" s="288" t="str">
        <f>VLOOKUP(B63,'26MY_CIV4D_DATA'!B:AQ,19,FALSE)</f>
        <v>•</v>
      </c>
      <c r="Q63" s="291" t="str">
        <f>IF(VLOOKUP(B63,'26MY_CIV4D_DATA'!B:AQ,20,FALSE)="","",VLOOKUP(B63,'26MY_CIV4D_DATA'!B:AQ,20,FALSE))</f>
        <v/>
      </c>
    </row>
    <row r="64" spans="2:20" s="135" customFormat="1" ht="15" customHeight="1">
      <c r="B64" s="382" t="s">
        <v>265</v>
      </c>
      <c r="C64" s="179" t="str">
        <f>VLOOKUP(B64,'26MY_CIV4D_DATA'!B:AQ,3,FALSE)</f>
        <v>Wheel Locks - Chrome</v>
      </c>
      <c r="D64" s="79" t="str">
        <f t="shared" si="11"/>
        <v>08W42-SNA-301</v>
      </c>
      <c r="E64" s="280">
        <f>VLOOKUP(B64,'26MY_CIV4D_DATA'!B:AQ,9,FALSE)</f>
        <v>44</v>
      </c>
      <c r="F64" s="280">
        <f>VLOOKUP(B64,'26MY_CIV4D_DATA'!B:AQ,10,FALSE)</f>
        <v>73</v>
      </c>
      <c r="G64" s="287">
        <f>VLOOKUP(B64,'26MY_CIV4D_DATA'!B:AQ,7,FALSE)</f>
        <v>0.2</v>
      </c>
      <c r="H64" s="281">
        <f>VLOOKUP(B64,'26MY_CIV4D_DATA'!B:AQ,11,FALSE)</f>
        <v>109.2</v>
      </c>
      <c r="I64" s="288" t="str">
        <f>VLOOKUP(B64,'26MY_CIV4D_DATA'!B:AQ,12,FALSE)</f>
        <v>•</v>
      </c>
      <c r="J64" s="288">
        <f>VLOOKUP(B64,'26MY_CIV4D_DATA'!B:AQ,13,FALSE)</f>
        <v>0</v>
      </c>
      <c r="K64" s="288">
        <f>VLOOKUP($B64,'26MY_CIV4D_DATA'!$B:$AQ,14,FALSE)</f>
        <v>0</v>
      </c>
      <c r="L64" s="288" t="str">
        <f>VLOOKUP(B64,'26MY_CIV4D_DATA'!B:AQ,15,FALSE)</f>
        <v>•</v>
      </c>
      <c r="M64" s="288" t="str">
        <f>VLOOKUP($B64,'26MY_CIV4D_DATA'!$B:$AQ,16,FALSE)</f>
        <v>•</v>
      </c>
      <c r="N64" s="288">
        <f>VLOOKUP($B64,'26MY_CIV4D_DATA'!$B:$AQ,17,FALSE)</f>
        <v>0</v>
      </c>
      <c r="O64" s="288" t="str">
        <f>VLOOKUP($B64,'26MY_CIV4D_DATA'!$B:$AQ,18,FALSE)</f>
        <v>•</v>
      </c>
      <c r="P64" s="288" t="str">
        <f>VLOOKUP(B64,'26MY_CIV4D_DATA'!B:AQ,19,FALSE)</f>
        <v>•</v>
      </c>
      <c r="Q64" s="291" t="str">
        <f>IF(VLOOKUP(B64,'26MY_CIV4D_DATA'!B:AQ,20,FALSE)="","",VLOOKUP(B64,'26MY_CIV4D_DATA'!B:AQ,20,FALSE))</f>
        <v/>
      </c>
    </row>
    <row r="65" spans="2:17" s="135" customFormat="1" ht="29">
      <c r="B65" s="382" t="s">
        <v>249</v>
      </c>
      <c r="C65" s="179" t="str">
        <f>VLOOKUP(B65,'26MY_CIV4D_DATA'!B:AQ,3,FALSE)</f>
        <v>Wheel Lug Nuts - Black</v>
      </c>
      <c r="D65" s="79" t="str">
        <f t="shared" si="11"/>
        <v>08W42-TGG-100</v>
      </c>
      <c r="E65" s="280">
        <f>VLOOKUP(B65,'26MY_CIV4D_DATA'!B:AQ,9,FALSE)</f>
        <v>57</v>
      </c>
      <c r="F65" s="280">
        <f>VLOOKUP(B65,'26MY_CIV4D_DATA'!B:AQ,10,FALSE)</f>
        <v>91</v>
      </c>
      <c r="G65" s="287">
        <f>VLOOKUP(B65,'26MY_CIV4D_DATA'!B:AQ,7,FALSE)</f>
        <v>0.2</v>
      </c>
      <c r="H65" s="281">
        <f>VLOOKUP(B65,'26MY_CIV4D_DATA'!B:AQ,11,FALSE)</f>
        <v>127.2</v>
      </c>
      <c r="I65" s="288" t="str">
        <f>VLOOKUP(B65,'26MY_CIV4D_DATA'!B:AQ,12,FALSE)</f>
        <v>•</v>
      </c>
      <c r="J65" s="288">
        <f>VLOOKUP(B65,'26MY_CIV4D_DATA'!B:AQ,13,FALSE)</f>
        <v>0</v>
      </c>
      <c r="K65" s="288">
        <f>VLOOKUP($B65,'26MY_CIV4D_DATA'!$B:$AQ,14,FALSE)</f>
        <v>0</v>
      </c>
      <c r="L65" s="288" t="str">
        <f>VLOOKUP(B65,'26MY_CIV4D_DATA'!B:AQ,15,FALSE)</f>
        <v>•</v>
      </c>
      <c r="M65" s="288" t="str">
        <f>VLOOKUP($B65,'26MY_CIV4D_DATA'!$B:$AQ,16,FALSE)</f>
        <v>•</v>
      </c>
      <c r="N65" s="288">
        <f>VLOOKUP($B65,'26MY_CIV4D_DATA'!$B:$AQ,17,FALSE)</f>
        <v>0</v>
      </c>
      <c r="O65" s="288" t="str">
        <f>VLOOKUP($B65,'26MY_CIV4D_DATA'!$B:$AQ,18,FALSE)</f>
        <v>•</v>
      </c>
      <c r="P65" s="288" t="str">
        <f>VLOOKUP(B65,'26MY_CIV4D_DATA'!B:AQ,19,FALSE)</f>
        <v>•</v>
      </c>
      <c r="Q65" s="291" t="str">
        <f>IF(VLOOKUP(B65,'26MY_CIV4D_DATA'!B:AQ,20,FALSE)="","",VLOOKUP(B65,'26MY_CIV4D_DATA'!B:AQ,20,FALSE))</f>
        <v>Includes: 1 set (i.e. 4 lug nuts).
A complete install requires 5 sets (i.e. 20 lug nuts) for 4 wheels.</v>
      </c>
    </row>
    <row r="66" spans="2:17" s="135" customFormat="1" ht="10.5" customHeight="1">
      <c r="B66" s="382"/>
      <c r="C66" s="20"/>
      <c r="D66" s="182"/>
      <c r="E66" s="183"/>
      <c r="F66" s="183"/>
      <c r="G66" s="184"/>
      <c r="H66" s="185"/>
      <c r="I66" s="91"/>
      <c r="J66" s="97"/>
      <c r="K66" s="97"/>
      <c r="L66" s="91"/>
      <c r="M66" s="91"/>
      <c r="N66" s="91"/>
      <c r="O66" s="91"/>
      <c r="P66" s="91"/>
      <c r="Q66" s="186"/>
    </row>
    <row r="67" spans="2:17" s="133" customFormat="1" ht="18.5">
      <c r="B67" s="383"/>
      <c r="C67" s="152" t="s">
        <v>69</v>
      </c>
      <c r="D67" s="152"/>
      <c r="E67" s="143"/>
      <c r="F67" s="143"/>
      <c r="G67" s="143"/>
      <c r="H67" s="143"/>
      <c r="I67" s="143"/>
      <c r="J67" s="91"/>
      <c r="K67" s="91"/>
      <c r="L67" s="143"/>
      <c r="M67" s="143"/>
      <c r="N67" s="143"/>
      <c r="O67" s="143"/>
      <c r="P67" s="143"/>
      <c r="Q67" s="143"/>
    </row>
    <row r="68" spans="2:17" s="134" customFormat="1" ht="15" customHeight="1">
      <c r="B68" s="384"/>
      <c r="C68" s="346" t="s">
        <v>62</v>
      </c>
      <c r="D68" s="346" t="s">
        <v>10</v>
      </c>
      <c r="E68" s="346" t="s">
        <v>17</v>
      </c>
      <c r="F68" s="346" t="s">
        <v>11</v>
      </c>
      <c r="G68" s="346" t="s">
        <v>12</v>
      </c>
      <c r="H68" s="347" t="s">
        <v>13</v>
      </c>
      <c r="I68" s="346" t="s">
        <v>25</v>
      </c>
      <c r="J68" s="346"/>
      <c r="K68" s="346"/>
      <c r="L68" s="346"/>
      <c r="M68" s="346"/>
      <c r="N68" s="346"/>
      <c r="O68" s="346"/>
      <c r="P68" s="346"/>
      <c r="Q68" s="346" t="s">
        <v>14</v>
      </c>
    </row>
    <row r="69" spans="2:17" s="134" customFormat="1" ht="43.5">
      <c r="B69" s="384"/>
      <c r="C69" s="346"/>
      <c r="D69" s="346"/>
      <c r="E69" s="346"/>
      <c r="F69" s="346"/>
      <c r="G69" s="346"/>
      <c r="H69" s="347"/>
      <c r="I69" s="178" t="str">
        <f>'26MY_CIV4D_DATA'!M$9</f>
        <v>LX</v>
      </c>
      <c r="J69" s="178">
        <f>'26MY_CIV4D_DATA'!N$9</f>
        <v>0</v>
      </c>
      <c r="K69" s="178">
        <f>'26MY_CIV4D_DATA'!O$9</f>
        <v>0</v>
      </c>
      <c r="L69" s="178" t="str">
        <f>'26MY_CIV4D_DATA'!P$9</f>
        <v>SPORT</v>
      </c>
      <c r="M69" s="178" t="str">
        <f>'26MY_CIV4D_DATA'!Q$9</f>
        <v>SPORT 
Hybrid</v>
      </c>
      <c r="N69" s="178">
        <f>'26MY_CIV4D_DATA'!R$9</f>
        <v>0</v>
      </c>
      <c r="O69" s="178" t="str">
        <f>'26MY_CIV4D_DATA'!S$9</f>
        <v>Sport Touring Hybrid</v>
      </c>
      <c r="P69" s="178" t="str">
        <f>'26MY_CIV4D_DATA'!T$9</f>
        <v>Si</v>
      </c>
      <c r="Q69" s="346"/>
    </row>
    <row r="70" spans="2:17" s="135" customFormat="1" ht="15" customHeight="1">
      <c r="B70" s="382" t="s">
        <v>129</v>
      </c>
      <c r="C70" s="179" t="str">
        <f>VLOOKUP(B70,'26MY_CIV4D_DATA'!B:AQ,3,FALSE)</f>
        <v>Decklid Spoiler, HPD</v>
      </c>
      <c r="D70" s="79" t="str">
        <f>B70</f>
        <v>08F10-T20-110</v>
      </c>
      <c r="E70" s="280">
        <f>VLOOKUP(B70,'26MY_CIV4D_DATA'!B:AQ,9,FALSE)</f>
        <v>292</v>
      </c>
      <c r="F70" s="280">
        <f>VLOOKUP(B70,'26MY_CIV4D_DATA'!B:AQ,10,FALSE)</f>
        <v>487</v>
      </c>
      <c r="G70" s="287">
        <f>VLOOKUP(B70,'26MY_CIV4D_DATA'!B:AQ,7,FALSE)</f>
        <v>0.7</v>
      </c>
      <c r="H70" s="281">
        <f>VLOOKUP(B70,'26MY_CIV4D_DATA'!B:AQ,11,FALSE)</f>
        <v>613.70000000000005</v>
      </c>
      <c r="I70" s="288" t="str">
        <f>VLOOKUP(B70,'26MY_CIV4D_DATA'!B:AQ,12,FALSE)</f>
        <v>•</v>
      </c>
      <c r="J70" s="288">
        <f>VLOOKUP(B70,'26MY_CIV4D_DATA'!B:AQ,13,FALSE)</f>
        <v>0</v>
      </c>
      <c r="K70" s="288">
        <f>VLOOKUP($B70,'26MY_CIV4D_DATA'!$B:$AQ,14,FALSE)</f>
        <v>0</v>
      </c>
      <c r="L70" s="288" t="str">
        <f>VLOOKUP(B70,'26MY_CIV4D_DATA'!B:AQ,15,FALSE)</f>
        <v>•</v>
      </c>
      <c r="M70" s="288" t="str">
        <f>VLOOKUP($B70,'26MY_CIV4D_DATA'!$B:$AQ,16,FALSE)</f>
        <v>•</v>
      </c>
      <c r="N70" s="288">
        <f>VLOOKUP($B70,'26MY_CIV4D_DATA'!$B:$AQ,17,FALSE)</f>
        <v>0</v>
      </c>
      <c r="O70" s="288" t="str">
        <f>VLOOKUP($B70,'26MY_CIV4D_DATA'!$B:$AQ,18,FALSE)</f>
        <v>N/A</v>
      </c>
      <c r="P70" s="288" t="str">
        <f>VLOOKUP(B70,'26MY_CIV4D_DATA'!B:AQ,19,FALSE)</f>
        <v>N/A</v>
      </c>
      <c r="Q70" s="291" t="str">
        <f>IF(VLOOKUP(B70,'26MY_CIV4D_DATA'!B:AQ,20,FALSE)="","",VLOOKUP(B70,'26MY_CIV4D_DATA'!B:AQ,20,FALSE))</f>
        <v>HPD Logo.</v>
      </c>
    </row>
    <row r="71" spans="2:17" s="135" customFormat="1" ht="15" customHeight="1">
      <c r="B71" s="384" t="s">
        <v>130</v>
      </c>
      <c r="C71" s="179" t="str">
        <f>VLOOKUP(B71,'26MY_CIV4D_DATA'!B:AQ,3,FALSE)</f>
        <v>Decklid Spoiler, HPD - TOURING</v>
      </c>
      <c r="D71" s="79" t="str">
        <f t="shared" ref="D71:D75" si="14">B71</f>
        <v>08F10-T20-110A</v>
      </c>
      <c r="E71" s="280">
        <f>VLOOKUP(B71,'26MY_CIV4D_DATA'!B:AQ,9,FALSE)</f>
        <v>292</v>
      </c>
      <c r="F71" s="280">
        <f>VLOOKUP(B71,'26MY_CIV4D_DATA'!B:AQ,10,FALSE)</f>
        <v>487</v>
      </c>
      <c r="G71" s="287">
        <f>VLOOKUP(B71,'26MY_CIV4D_DATA'!B:AQ,7,FALSE)</f>
        <v>0.7</v>
      </c>
      <c r="H71" s="281">
        <f>VLOOKUP(B71,'26MY_CIV4D_DATA'!B:AQ,11,FALSE)</f>
        <v>613.70000000000005</v>
      </c>
      <c r="I71" s="288" t="str">
        <f>VLOOKUP(B71,'26MY_CIV4D_DATA'!B:AQ,12,FALSE)</f>
        <v>N/A</v>
      </c>
      <c r="J71" s="288">
        <f>VLOOKUP(B71,'26MY_CIV4D_DATA'!B:AQ,13,FALSE)</f>
        <v>0</v>
      </c>
      <c r="K71" s="288">
        <f>VLOOKUP($B71,'26MY_CIV4D_DATA'!$B:$AQ,14,FALSE)</f>
        <v>0</v>
      </c>
      <c r="L71" s="288" t="str">
        <f>VLOOKUP(B71,'26MY_CIV4D_DATA'!B:AQ,15,FALSE)</f>
        <v>N/A</v>
      </c>
      <c r="M71" s="288" t="str">
        <f>VLOOKUP($B71,'26MY_CIV4D_DATA'!$B:$AQ,16,FALSE)</f>
        <v>N/A</v>
      </c>
      <c r="N71" s="288">
        <f>VLOOKUP($B71,'26MY_CIV4D_DATA'!$B:$AQ,17,FALSE)</f>
        <v>0</v>
      </c>
      <c r="O71" s="288" t="str">
        <f>VLOOKUP($B71,'26MY_CIV4D_DATA'!$B:$AQ,18,FALSE)</f>
        <v>•</v>
      </c>
      <c r="P71" s="288" t="str">
        <f>VLOOKUP(B71,'26MY_CIV4D_DATA'!B:AQ,19,FALSE)</f>
        <v>N/A</v>
      </c>
      <c r="Q71" s="291" t="str">
        <f>IF(VLOOKUP(B71,'26MY_CIV4D_DATA'!B:AQ,20,FALSE)="","",VLOOKUP(B71,'26MY_CIV4D_DATA'!B:AQ,20,FALSE))</f>
        <v xml:space="preserve">HPD Logo. </v>
      </c>
    </row>
    <row r="72" spans="2:17" s="135" customFormat="1" ht="15" customHeight="1">
      <c r="B72" s="384" t="s">
        <v>131</v>
      </c>
      <c r="C72" s="179" t="str">
        <f>VLOOKUP(B72,'26MY_CIV4D_DATA'!B:AQ,3,FALSE)</f>
        <v>Door Edge Film</v>
      </c>
      <c r="D72" s="79" t="str">
        <f t="shared" si="14"/>
        <v>08P20-T20-100A</v>
      </c>
      <c r="E72" s="280">
        <f>VLOOKUP(B72,'26MY_CIV4D_DATA'!B:AQ,9,FALSE)</f>
        <v>67</v>
      </c>
      <c r="F72" s="280">
        <f>VLOOKUP(B72,'26MY_CIV4D_DATA'!B:AQ,10,FALSE)</f>
        <v>112</v>
      </c>
      <c r="G72" s="287">
        <f>VLOOKUP(B72,'26MY_CIV4D_DATA'!B:AQ,7,FALSE)</f>
        <v>0.5</v>
      </c>
      <c r="H72" s="281">
        <f>VLOOKUP(B72,'26MY_CIV4D_DATA'!B:AQ,11,FALSE)</f>
        <v>202.5</v>
      </c>
      <c r="I72" s="288" t="str">
        <f>VLOOKUP(B72,'26MY_CIV4D_DATA'!B:AQ,12,FALSE)</f>
        <v>•</v>
      </c>
      <c r="J72" s="288">
        <f>VLOOKUP(B72,'26MY_CIV4D_DATA'!B:AQ,13,FALSE)</f>
        <v>0</v>
      </c>
      <c r="K72" s="288">
        <f>VLOOKUP($B72,'26MY_CIV4D_DATA'!$B:$AQ,14,FALSE)</f>
        <v>0</v>
      </c>
      <c r="L72" s="288" t="str">
        <f>VLOOKUP(B72,'26MY_CIV4D_DATA'!B:AQ,15,FALSE)</f>
        <v>•</v>
      </c>
      <c r="M72" s="288" t="str">
        <f>VLOOKUP($B72,'26MY_CIV4D_DATA'!$B:$AQ,16,FALSE)</f>
        <v>•</v>
      </c>
      <c r="N72" s="288">
        <f>VLOOKUP($B72,'26MY_CIV4D_DATA'!$B:$AQ,17,FALSE)</f>
        <v>0</v>
      </c>
      <c r="O72" s="288" t="str">
        <f>VLOOKUP($B72,'26MY_CIV4D_DATA'!$B:$AQ,18,FALSE)</f>
        <v>•</v>
      </c>
      <c r="P72" s="288" t="str">
        <f>VLOOKUP(B72,'26MY_CIV4D_DATA'!B:AQ,19,FALSE)</f>
        <v>•</v>
      </c>
      <c r="Q72" s="291" t="str">
        <f>IF(VLOOKUP(B72,'26MY_CIV4D_DATA'!B:AQ,20,FALSE)="","",VLOOKUP(B72,'26MY_CIV4D_DATA'!B:AQ,20,FALSE))</f>
        <v>Cannot be installed with Door Edge Guards</v>
      </c>
    </row>
    <row r="73" spans="2:17" s="135" customFormat="1" ht="15" customHeight="1">
      <c r="B73" s="384" t="s">
        <v>132</v>
      </c>
      <c r="C73" s="179" t="str">
        <f>VLOOKUP(B73,'26MY_CIV4D_DATA'!B:AQ,3,FALSE)</f>
        <v>Door Handle Film</v>
      </c>
      <c r="D73" s="79" t="str">
        <f t="shared" ref="D73" si="15">B73</f>
        <v>08P48-T20-100</v>
      </c>
      <c r="E73" s="280">
        <f>VLOOKUP(B73,'26MY_CIV4D_DATA'!B:AQ,9,FALSE)</f>
        <v>50</v>
      </c>
      <c r="F73" s="280">
        <f>VLOOKUP(B73,'26MY_CIV4D_DATA'!B:AQ,10,FALSE)</f>
        <v>83</v>
      </c>
      <c r="G73" s="287">
        <f>VLOOKUP(B73,'26MY_CIV4D_DATA'!B:AQ,7,FALSE)</f>
        <v>0.4</v>
      </c>
      <c r="H73" s="281">
        <f>VLOOKUP(B73,'26MY_CIV4D_DATA'!B:AQ,11,FALSE)</f>
        <v>155.4</v>
      </c>
      <c r="I73" s="288" t="str">
        <f>VLOOKUP(B73,'26MY_CIV4D_DATA'!B:AQ,12,FALSE)</f>
        <v>•</v>
      </c>
      <c r="J73" s="288">
        <f>VLOOKUP(B73,'26MY_CIV4D_DATA'!B:AQ,13,FALSE)</f>
        <v>0</v>
      </c>
      <c r="K73" s="288">
        <f>VLOOKUP($B73,'26MY_CIV4D_DATA'!$B:$AQ,14,FALSE)</f>
        <v>0</v>
      </c>
      <c r="L73" s="288" t="str">
        <f>VLOOKUP(B73,'26MY_CIV4D_DATA'!B:AQ,15,FALSE)</f>
        <v>•</v>
      </c>
      <c r="M73" s="288" t="str">
        <f>VLOOKUP($B73,'26MY_CIV4D_DATA'!$B:$AQ,16,FALSE)</f>
        <v>•</v>
      </c>
      <c r="N73" s="288">
        <f>VLOOKUP($B73,'26MY_CIV4D_DATA'!$B:$AQ,17,FALSE)</f>
        <v>0</v>
      </c>
      <c r="O73" s="288" t="str">
        <f>VLOOKUP($B73,'26MY_CIV4D_DATA'!$B:$AQ,18,FALSE)</f>
        <v>•</v>
      </c>
      <c r="P73" s="288" t="str">
        <f>VLOOKUP(B73,'26MY_CIV4D_DATA'!B:AQ,19,FALSE)</f>
        <v>•</v>
      </c>
      <c r="Q73" s="291" t="str">
        <f>IF(VLOOKUP(B73,'26MY_CIV4D_DATA'!B:AQ,20,FALSE)="","",VLOOKUP(B73,'26MY_CIV4D_DATA'!B:AQ,20,FALSE))</f>
        <v/>
      </c>
    </row>
    <row r="74" spans="2:17" s="135" customFormat="1" ht="15" customHeight="1">
      <c r="B74" s="382" t="s">
        <v>133</v>
      </c>
      <c r="C74" s="179" t="str">
        <f>VLOOKUP(B74,'26MY_CIV4D_DATA'!B:AQ,3,FALSE)</f>
        <v>Door Visors - Black</v>
      </c>
      <c r="D74" s="79" t="str">
        <f t="shared" si="14"/>
        <v>08R04-T20-100A</v>
      </c>
      <c r="E74" s="280">
        <f>VLOOKUP(B74,'26MY_CIV4D_DATA'!B:AQ,9,FALSE)</f>
        <v>207</v>
      </c>
      <c r="F74" s="280">
        <f>VLOOKUP(B74,'26MY_CIV4D_DATA'!B:AQ,10,FALSE)</f>
        <v>345</v>
      </c>
      <c r="G74" s="287">
        <f>VLOOKUP(B74,'26MY_CIV4D_DATA'!B:AQ,7,FALSE)</f>
        <v>0.5</v>
      </c>
      <c r="H74" s="281">
        <f>VLOOKUP(B74,'26MY_CIV4D_DATA'!B:AQ,11,FALSE)</f>
        <v>435.5</v>
      </c>
      <c r="I74" s="288" t="str">
        <f>VLOOKUP(B74,'26MY_CIV4D_DATA'!B:AQ,12,FALSE)</f>
        <v>N/A</v>
      </c>
      <c r="J74" s="288">
        <f>VLOOKUP(B74,'26MY_CIV4D_DATA'!B:AQ,13,FALSE)</f>
        <v>0</v>
      </c>
      <c r="K74" s="288">
        <f>VLOOKUP($B74,'26MY_CIV4D_DATA'!$B:$AQ,14,FALSE)</f>
        <v>0</v>
      </c>
      <c r="L74" s="288" t="str">
        <f>VLOOKUP(B74,'26MY_CIV4D_DATA'!B:AQ,15,FALSE)</f>
        <v>•</v>
      </c>
      <c r="M74" s="288" t="str">
        <f>VLOOKUP($B74,'26MY_CIV4D_DATA'!$B:$AQ,16,FALSE)</f>
        <v>•</v>
      </c>
      <c r="N74" s="288">
        <f>VLOOKUP($B74,'26MY_CIV4D_DATA'!$B:$AQ,17,FALSE)</f>
        <v>0</v>
      </c>
      <c r="O74" s="288" t="str">
        <f>VLOOKUP($B74,'26MY_CIV4D_DATA'!$B:$AQ,18,FALSE)</f>
        <v>•</v>
      </c>
      <c r="P74" s="288" t="str">
        <f>VLOOKUP(B74,'26MY_CIV4D_DATA'!B:AQ,19,FALSE)</f>
        <v>•</v>
      </c>
      <c r="Q74" s="291" t="str">
        <f>IF(VLOOKUP(B74,'26MY_CIV4D_DATA'!B:AQ,20,FALSE)="","",VLOOKUP(B74,'26MY_CIV4D_DATA'!B:AQ,20,FALSE))</f>
        <v/>
      </c>
    </row>
    <row r="75" spans="2:17" s="135" customFormat="1" ht="15" customHeight="1">
      <c r="B75" s="382" t="s">
        <v>134</v>
      </c>
      <c r="C75" s="179" t="str">
        <f>VLOOKUP(B75,'26MY_CIV4D_DATA'!B:AQ,3,FALSE)</f>
        <v>Door Visors - Black w/ Stainless Steel Moulding</v>
      </c>
      <c r="D75" s="79" t="str">
        <f t="shared" si="14"/>
        <v>08R04-T20-100</v>
      </c>
      <c r="E75" s="280">
        <f>VLOOKUP(B75,'26MY_CIV4D_DATA'!B:AQ,9,FALSE)</f>
        <v>207</v>
      </c>
      <c r="F75" s="280">
        <f>VLOOKUP(B75,'26MY_CIV4D_DATA'!B:AQ,10,FALSE)</f>
        <v>345</v>
      </c>
      <c r="G75" s="287">
        <f>VLOOKUP(B75,'26MY_CIV4D_DATA'!B:AQ,7,FALSE)</f>
        <v>0.5</v>
      </c>
      <c r="H75" s="281">
        <f>VLOOKUP(B75,'26MY_CIV4D_DATA'!B:AQ,11,FALSE)</f>
        <v>435.5</v>
      </c>
      <c r="I75" s="288" t="str">
        <f>VLOOKUP(B75,'26MY_CIV4D_DATA'!B:AQ,12,FALSE)</f>
        <v>•</v>
      </c>
      <c r="J75" s="288">
        <f>VLOOKUP(B75,'26MY_CIV4D_DATA'!B:AQ,13,FALSE)</f>
        <v>0</v>
      </c>
      <c r="K75" s="288">
        <f>VLOOKUP($B75,'26MY_CIV4D_DATA'!$B:$AQ,14,FALSE)</f>
        <v>0</v>
      </c>
      <c r="L75" s="288" t="str">
        <f>VLOOKUP(B75,'26MY_CIV4D_DATA'!B:AQ,15,FALSE)</f>
        <v>N/A</v>
      </c>
      <c r="M75" s="288" t="str">
        <f>VLOOKUP($B75,'26MY_CIV4D_DATA'!$B:$AQ,16,FALSE)</f>
        <v>N/A</v>
      </c>
      <c r="N75" s="288">
        <f>VLOOKUP($B75,'26MY_CIV4D_DATA'!$B:$AQ,17,FALSE)</f>
        <v>0</v>
      </c>
      <c r="O75" s="288" t="str">
        <f>VLOOKUP($B75,'26MY_CIV4D_DATA'!$B:$AQ,18,FALSE)</f>
        <v>N/A</v>
      </c>
      <c r="P75" s="288" t="str">
        <f>VLOOKUP(B75,'26MY_CIV4D_DATA'!B:AQ,19,FALSE)</f>
        <v>N/A</v>
      </c>
      <c r="Q75" s="291" t="str">
        <f>IF(VLOOKUP(B75,'26MY_CIV4D_DATA'!B:AQ,20,FALSE)="","",VLOOKUP(B75,'26MY_CIV4D_DATA'!B:AQ,20,FALSE))</f>
        <v>Stainless Steel Moulding.</v>
      </c>
    </row>
    <row r="76" spans="2:17" s="135" customFormat="1" ht="15" customHeight="1">
      <c r="B76" s="382" t="s">
        <v>135</v>
      </c>
      <c r="C76" s="179" t="str">
        <f>VLOOKUP(B76,'26MY_CIV4D_DATA'!B:AQ,3,FALSE)</f>
        <v>Emblem, Gloss Black - H-Mark &amp; Civic</v>
      </c>
      <c r="D76" s="79" t="str">
        <f t="shared" ref="D76:D84" si="16">B76</f>
        <v>08F20-T20-100</v>
      </c>
      <c r="E76" s="280">
        <f>VLOOKUP(B76,'26MY_CIV4D_DATA'!B:AQ,9,FALSE)</f>
        <v>105</v>
      </c>
      <c r="F76" s="280">
        <f>VLOOKUP(B76,'26MY_CIV4D_DATA'!B:AQ,10,FALSE)</f>
        <v>175</v>
      </c>
      <c r="G76" s="287">
        <f>VLOOKUP(B76,'26MY_CIV4D_DATA'!B:AQ,7,FALSE)</f>
        <v>1.2</v>
      </c>
      <c r="H76" s="281">
        <f>VLOOKUP(B76,'26MY_CIV4D_DATA'!B:AQ,11,FALSE)</f>
        <v>392.2</v>
      </c>
      <c r="I76" s="288" t="str">
        <f>VLOOKUP(B76,'26MY_CIV4D_DATA'!B:AQ,12,FALSE)</f>
        <v>•</v>
      </c>
      <c r="J76" s="288">
        <f>VLOOKUP(B76,'26MY_CIV4D_DATA'!B:AQ,13,FALSE)</f>
        <v>0</v>
      </c>
      <c r="K76" s="288">
        <f>VLOOKUP($B76,'26MY_CIV4D_DATA'!$B:$AQ,14,FALSE)</f>
        <v>0</v>
      </c>
      <c r="L76" s="288" t="str">
        <f>VLOOKUP(B76,'26MY_CIV4D_DATA'!B:AQ,15,FALSE)</f>
        <v>N/A</v>
      </c>
      <c r="M76" s="288" t="str">
        <f>VLOOKUP($B76,'26MY_CIV4D_DATA'!$B:$AQ,16,FALSE)</f>
        <v>N/A</v>
      </c>
      <c r="N76" s="288">
        <f>VLOOKUP($B76,'26MY_CIV4D_DATA'!$B:$AQ,17,FALSE)</f>
        <v>0</v>
      </c>
      <c r="O76" s="288" t="str">
        <f>VLOOKUP($B76,'26MY_CIV4D_DATA'!$B:$AQ,18,FALSE)</f>
        <v>N/A</v>
      </c>
      <c r="P76" s="288" t="str">
        <f>VLOOKUP(B76,'26MY_CIV4D_DATA'!B:AQ,19,FALSE)</f>
        <v>N/A</v>
      </c>
      <c r="Q76" s="291" t="str">
        <f>IF(VLOOKUP(B76,'26MY_CIV4D_DATA'!B:AQ,20,FALSE)="","",VLOOKUP(B76,'26MY_CIV4D_DATA'!B:AQ,20,FALSE))</f>
        <v>Civic, Front and Rear H-Mark Logo.</v>
      </c>
    </row>
    <row r="77" spans="2:17" s="135" customFormat="1" ht="15" customHeight="1">
      <c r="B77" s="382" t="s">
        <v>541</v>
      </c>
      <c r="C77" s="179" t="str">
        <f>VLOOKUP(B77,'26MY_CIV4D_DATA'!B:AQ,3,FALSE)</f>
        <v>Emblem, Gloss Black - H-Mark</v>
      </c>
      <c r="D77" s="79" t="str">
        <f t="shared" si="16"/>
        <v>08F20-T20-100E</v>
      </c>
      <c r="E77" s="280">
        <f>VLOOKUP(B77,'26MY_CIV4D_DATA'!B:AQ,9,FALSE)</f>
        <v>86</v>
      </c>
      <c r="F77" s="280">
        <f>VLOOKUP(B77,'26MY_CIV4D_DATA'!B:AQ,10,FALSE)</f>
        <v>123</v>
      </c>
      <c r="G77" s="287">
        <f>VLOOKUP(B77,'26MY_CIV4D_DATA'!B:AQ,7,FALSE)</f>
        <v>1</v>
      </c>
      <c r="H77" s="281">
        <f>VLOOKUP(B77,'26MY_CIV4D_DATA'!B:AQ,11,FALSE)</f>
        <v>304</v>
      </c>
      <c r="I77" s="288" t="str">
        <f>VLOOKUP(B77,'26MY_CIV4D_DATA'!B:AQ,12,FALSE)</f>
        <v>•</v>
      </c>
      <c r="J77" s="288">
        <f>VLOOKUP(B77,'26MY_CIV4D_DATA'!B:AQ,13,FALSE)</f>
        <v>0</v>
      </c>
      <c r="K77" s="288">
        <f>VLOOKUP($B77,'26MY_CIV4D_DATA'!$B:$AQ,14,FALSE)</f>
        <v>0</v>
      </c>
      <c r="L77" s="288" t="str">
        <f>VLOOKUP(B77,'26MY_CIV4D_DATA'!B:AQ,15,FALSE)</f>
        <v>•</v>
      </c>
      <c r="M77" s="288" t="str">
        <f>VLOOKUP($B77,'26MY_CIV4D_DATA'!$B:$AQ,16,FALSE)</f>
        <v>•</v>
      </c>
      <c r="N77" s="288">
        <f>VLOOKUP($B77,'26MY_CIV4D_DATA'!$B:$AQ,17,FALSE)</f>
        <v>0</v>
      </c>
      <c r="O77" s="288" t="str">
        <f>VLOOKUP($B77,'26MY_CIV4D_DATA'!$B:$AQ,18,FALSE)</f>
        <v>•</v>
      </c>
      <c r="P77" s="288" t="str">
        <f>VLOOKUP(B77,'26MY_CIV4D_DATA'!B:AQ,19,FALSE)</f>
        <v>•</v>
      </c>
      <c r="Q77" s="291" t="str">
        <f>IF(VLOOKUP(B77,'26MY_CIV4D_DATA'!B:AQ,20,FALSE)="","",VLOOKUP(B77,'26MY_CIV4D_DATA'!B:AQ,20,FALSE))</f>
        <v>Front and Rear H-Mark Logo.</v>
      </c>
    </row>
    <row r="78" spans="2:17" s="135" customFormat="1" ht="15" customHeight="1">
      <c r="B78" s="382" t="s">
        <v>390</v>
      </c>
      <c r="C78" s="179" t="str">
        <f>VLOOKUP(B78,'26MY_CIV4D_DATA'!B:AQ,3,FALSE)</f>
        <v>Emblem, Hybrid</v>
      </c>
      <c r="D78" s="79" t="str">
        <f>B78</f>
        <v>08F20-T20-100B</v>
      </c>
      <c r="E78" s="280">
        <f>VLOOKUP(B78,'26MY_CIV4D_DATA'!B:AQ,9,FALSE)</f>
        <v>46</v>
      </c>
      <c r="F78" s="280">
        <f>VLOOKUP(B78,'26MY_CIV4D_DATA'!B:AQ,10,FALSE)</f>
        <v>77</v>
      </c>
      <c r="G78" s="287">
        <f>VLOOKUP(B78,'26MY_CIV4D_DATA'!B:AQ,7,FALSE)</f>
        <v>0.2</v>
      </c>
      <c r="H78" s="281">
        <f>VLOOKUP(B78,'26MY_CIV4D_DATA'!B:AQ,11,FALSE)</f>
        <v>113.2</v>
      </c>
      <c r="I78" s="288" t="str">
        <f>VLOOKUP(B78,'26MY_CIV4D_DATA'!B:AQ,12,FALSE)</f>
        <v>N/A</v>
      </c>
      <c r="J78" s="288">
        <f>VLOOKUP(B78,'26MY_CIV4D_DATA'!B:AQ,13,FALSE)</f>
        <v>0</v>
      </c>
      <c r="K78" s="288">
        <f>VLOOKUP($B78,'26MY_CIV4D_DATA'!$B:$AQ,14,FALSE)</f>
        <v>0</v>
      </c>
      <c r="L78" s="288" t="str">
        <f>VLOOKUP(B78,'26MY_CIV4D_DATA'!B:AQ,15,FALSE)</f>
        <v>N/A</v>
      </c>
      <c r="M78" s="288" t="str">
        <f>VLOOKUP($B78,'26MY_CIV4D_DATA'!$B:$AQ,16,FALSE)</f>
        <v>•</v>
      </c>
      <c r="N78" s="288">
        <f>VLOOKUP($B78,'26MY_CIV4D_DATA'!$B:$AQ,17,FALSE)</f>
        <v>0</v>
      </c>
      <c r="O78" s="288" t="str">
        <f>VLOOKUP($B78,'26MY_CIV4D_DATA'!$B:$AQ,18,FALSE)</f>
        <v>•</v>
      </c>
      <c r="P78" s="288" t="str">
        <f>VLOOKUP(B78,'26MY_CIV4D_DATA'!B:AQ,19,FALSE)</f>
        <v>N/A</v>
      </c>
      <c r="Q78" s="291" t="str">
        <f>IF(VLOOKUP(B78,'26MY_CIV4D_DATA'!B:AQ,20,FALSE)="","",VLOOKUP(B78,'26MY_CIV4D_DATA'!B:AQ,20,FALSE))</f>
        <v/>
      </c>
    </row>
    <row r="79" spans="2:17" s="135" customFormat="1" ht="15" customHeight="1">
      <c r="B79" s="384" t="s">
        <v>150</v>
      </c>
      <c r="C79" s="179" t="str">
        <f>VLOOKUP(B79,'26MY_CIV4D_DATA'!B:AQ,3,FALSE)</f>
        <v>Hood Protector</v>
      </c>
      <c r="D79" s="79" t="str">
        <f t="shared" si="16"/>
        <v>08P47-T20-300</v>
      </c>
      <c r="E79" s="280">
        <f>VLOOKUP(B79,'26MY_CIV4D_DATA'!B:AQ,9,FALSE)</f>
        <v>221</v>
      </c>
      <c r="F79" s="280">
        <f>VLOOKUP(B79,'26MY_CIV4D_DATA'!B:AQ,10,FALSE)</f>
        <v>368</v>
      </c>
      <c r="G79" s="287">
        <f>VLOOKUP(B79,'26MY_CIV4D_DATA'!B:AQ,7,FALSE)</f>
        <v>0.6</v>
      </c>
      <c r="H79" s="281">
        <f>VLOOKUP(B79,'26MY_CIV4D_DATA'!B:AQ,11,FALSE)</f>
        <v>476.6</v>
      </c>
      <c r="I79" s="288" t="str">
        <f>VLOOKUP(B79,'26MY_CIV4D_DATA'!B:AQ,12,FALSE)</f>
        <v>•</v>
      </c>
      <c r="J79" s="288">
        <f>VLOOKUP(B79,'26MY_CIV4D_DATA'!B:AQ,13,FALSE)</f>
        <v>0</v>
      </c>
      <c r="K79" s="288">
        <f>VLOOKUP($B79,'26MY_CIV4D_DATA'!$B:$AQ,14,FALSE)</f>
        <v>0</v>
      </c>
      <c r="L79" s="288" t="str">
        <f>VLOOKUP(B79,'26MY_CIV4D_DATA'!B:AQ,15,FALSE)</f>
        <v>•</v>
      </c>
      <c r="M79" s="288" t="str">
        <f>VLOOKUP($B79,'26MY_CIV4D_DATA'!$B:$AQ,16,FALSE)</f>
        <v>•</v>
      </c>
      <c r="N79" s="288">
        <f>VLOOKUP($B79,'26MY_CIV4D_DATA'!$B:$AQ,17,FALSE)</f>
        <v>0</v>
      </c>
      <c r="O79" s="288" t="str">
        <f>VLOOKUP($B79,'26MY_CIV4D_DATA'!$B:$AQ,18,FALSE)</f>
        <v>•</v>
      </c>
      <c r="P79" s="288" t="str">
        <f>VLOOKUP(B79,'26MY_CIV4D_DATA'!B:AQ,19,FALSE)</f>
        <v>•</v>
      </c>
      <c r="Q79" s="291" t="str">
        <f>IF(VLOOKUP(B79,'26MY_CIV4D_DATA'!B:AQ,20,FALSE)="","",VLOOKUP(B79,'26MY_CIV4D_DATA'!B:AQ,20,FALSE))</f>
        <v/>
      </c>
    </row>
    <row r="80" spans="2:17" s="135" customFormat="1" ht="15" customHeight="1">
      <c r="B80" s="384" t="s">
        <v>136</v>
      </c>
      <c r="C80" s="179" t="str">
        <f>VLOOKUP(B80,'26MY_CIV4D_DATA'!B:AQ,3,FALSE)</f>
        <v>Moonroof Visor</v>
      </c>
      <c r="D80" s="79" t="str">
        <f t="shared" si="16"/>
        <v>08R01-T20-300</v>
      </c>
      <c r="E80" s="280">
        <f>VLOOKUP(B80,'26MY_CIV4D_DATA'!B:AQ,9,FALSE)</f>
        <v>174</v>
      </c>
      <c r="F80" s="280">
        <f>VLOOKUP(B80,'26MY_CIV4D_DATA'!B:AQ,10,FALSE)</f>
        <v>290</v>
      </c>
      <c r="G80" s="287">
        <f>VLOOKUP(B80,'26MY_CIV4D_DATA'!B:AQ,7,FALSE)</f>
        <v>0.3</v>
      </c>
      <c r="H80" s="281">
        <f>VLOOKUP(B80,'26MY_CIV4D_DATA'!B:AQ,11,FALSE)</f>
        <v>344.3</v>
      </c>
      <c r="I80" s="288" t="str">
        <f>VLOOKUP(B80,'26MY_CIV4D_DATA'!B:AQ,12,FALSE)</f>
        <v>N/A</v>
      </c>
      <c r="J80" s="288">
        <f>VLOOKUP(B80,'26MY_CIV4D_DATA'!B:AQ,13,FALSE)</f>
        <v>0</v>
      </c>
      <c r="K80" s="288">
        <f>VLOOKUP($B80,'26MY_CIV4D_DATA'!$B:$AQ,14,FALSE)</f>
        <v>0</v>
      </c>
      <c r="L80" s="288" t="str">
        <f>VLOOKUP(B80,'26MY_CIV4D_DATA'!B:AQ,15,FALSE)</f>
        <v>•</v>
      </c>
      <c r="M80" s="288" t="str">
        <f>VLOOKUP($B80,'26MY_CIV4D_DATA'!$B:$AQ,16,FALSE)</f>
        <v>•</v>
      </c>
      <c r="N80" s="288">
        <f>VLOOKUP($B80,'26MY_CIV4D_DATA'!$B:$AQ,17,FALSE)</f>
        <v>0</v>
      </c>
      <c r="O80" s="288" t="str">
        <f>VLOOKUP($B80,'26MY_CIV4D_DATA'!$B:$AQ,18,FALSE)</f>
        <v>•</v>
      </c>
      <c r="P80" s="288" t="str">
        <f>VLOOKUP(B80,'26MY_CIV4D_DATA'!B:AQ,19,FALSE)</f>
        <v>•</v>
      </c>
      <c r="Q80" s="291" t="str">
        <f>IF(VLOOKUP(B80,'26MY_CIV4D_DATA'!B:AQ,20,FALSE)="","",VLOOKUP(B80,'26MY_CIV4D_DATA'!B:AQ,20,FALSE))</f>
        <v/>
      </c>
    </row>
    <row r="81" spans="2:17" s="135" customFormat="1" ht="15" customHeight="1">
      <c r="B81" s="384" t="s">
        <v>137</v>
      </c>
      <c r="C81" s="179" t="str">
        <f>VLOOKUP(B81,'26MY_CIV4D_DATA'!B:AQ,3,FALSE)</f>
        <v>Rear Bumper Applique</v>
      </c>
      <c r="D81" s="79" t="str">
        <f t="shared" si="16"/>
        <v>08P48-T20-100A</v>
      </c>
      <c r="E81" s="280">
        <f>VLOOKUP(B81,'26MY_CIV4D_DATA'!B:AQ,9,FALSE)</f>
        <v>68</v>
      </c>
      <c r="F81" s="280">
        <f>VLOOKUP(B81,'26MY_CIV4D_DATA'!B:AQ,10,FALSE)</f>
        <v>113</v>
      </c>
      <c r="G81" s="287">
        <f>VLOOKUP(B81,'26MY_CIV4D_DATA'!B:AQ,7,FALSE)</f>
        <v>0.3</v>
      </c>
      <c r="H81" s="281">
        <f>VLOOKUP(B81,'26MY_CIV4D_DATA'!B:AQ,11,FALSE)</f>
        <v>167.3</v>
      </c>
      <c r="I81" s="288" t="str">
        <f>VLOOKUP(B81,'26MY_CIV4D_DATA'!B:AQ,12,FALSE)</f>
        <v>•</v>
      </c>
      <c r="J81" s="288">
        <f>VLOOKUP(B81,'26MY_CIV4D_DATA'!B:AQ,13,FALSE)</f>
        <v>0</v>
      </c>
      <c r="K81" s="288">
        <f>VLOOKUP($B81,'26MY_CIV4D_DATA'!$B:$AQ,14,FALSE)</f>
        <v>0</v>
      </c>
      <c r="L81" s="288" t="str">
        <f>VLOOKUP(B81,'26MY_CIV4D_DATA'!B:AQ,15,FALSE)</f>
        <v>•</v>
      </c>
      <c r="M81" s="288" t="str">
        <f>VLOOKUP($B81,'26MY_CIV4D_DATA'!$B:$AQ,16,FALSE)</f>
        <v>•</v>
      </c>
      <c r="N81" s="288">
        <f>VLOOKUP($B81,'26MY_CIV4D_DATA'!$B:$AQ,17,FALSE)</f>
        <v>0</v>
      </c>
      <c r="O81" s="288" t="str">
        <f>VLOOKUP($B81,'26MY_CIV4D_DATA'!$B:$AQ,18,FALSE)</f>
        <v>•</v>
      </c>
      <c r="P81" s="288" t="str">
        <f>VLOOKUP(B81,'26MY_CIV4D_DATA'!B:AQ,19,FALSE)</f>
        <v>•</v>
      </c>
      <c r="Q81" s="291" t="str">
        <f>IF(VLOOKUP(B81,'26MY_CIV4D_DATA'!B:AQ,20,FALSE)="","",VLOOKUP(B81,'26MY_CIV4D_DATA'!B:AQ,20,FALSE))</f>
        <v/>
      </c>
    </row>
    <row r="82" spans="2:17" s="135" customFormat="1" ht="15" customHeight="1">
      <c r="B82" s="382" t="s">
        <v>140</v>
      </c>
      <c r="C82" s="179" t="str">
        <f>VLOOKUP(B82,'26MY_CIV4D_DATA'!B:AQ,3,FALSE)</f>
        <v>Rear Splash Guard </v>
      </c>
      <c r="D82" s="79" t="str">
        <f t="shared" si="16"/>
        <v>08P09-T20-300</v>
      </c>
      <c r="E82" s="280">
        <f>VLOOKUP(B82,'26MY_CIV4D_DATA'!B:AQ,9,FALSE)</f>
        <v>63</v>
      </c>
      <c r="F82" s="280">
        <f>VLOOKUP(B82,'26MY_CIV4D_DATA'!B:AQ,10,FALSE)</f>
        <v>105</v>
      </c>
      <c r="G82" s="287">
        <f>VLOOKUP(B82,'26MY_CIV4D_DATA'!B:AQ,7,FALSE)</f>
        <v>0.4</v>
      </c>
      <c r="H82" s="281">
        <f>VLOOKUP(B82,'26MY_CIV4D_DATA'!B:AQ,11,FALSE)</f>
        <v>177.4</v>
      </c>
      <c r="I82" s="288" t="str">
        <f>VLOOKUP(B82,'26MY_CIV4D_DATA'!B:AQ,12,FALSE)</f>
        <v>•</v>
      </c>
      <c r="J82" s="288">
        <f>VLOOKUP(B82,'26MY_CIV4D_DATA'!B:AQ,13,FALSE)</f>
        <v>0</v>
      </c>
      <c r="K82" s="288">
        <f>VLOOKUP($B82,'26MY_CIV4D_DATA'!$B:$AQ,14,FALSE)</f>
        <v>0</v>
      </c>
      <c r="L82" s="288" t="str">
        <f>VLOOKUP(B82,'26MY_CIV4D_DATA'!B:AQ,15,FALSE)</f>
        <v>•</v>
      </c>
      <c r="M82" s="288" t="str">
        <f>VLOOKUP($B82,'26MY_CIV4D_DATA'!$B:$AQ,16,FALSE)</f>
        <v>•</v>
      </c>
      <c r="N82" s="288">
        <f>VLOOKUP($B82,'26MY_CIV4D_DATA'!$B:$AQ,17,FALSE)</f>
        <v>0</v>
      </c>
      <c r="O82" s="288" t="str">
        <f>VLOOKUP($B82,'26MY_CIV4D_DATA'!$B:$AQ,18,FALSE)</f>
        <v>•</v>
      </c>
      <c r="P82" s="288" t="str">
        <f>VLOOKUP(B82,'26MY_CIV4D_DATA'!B:AQ,19,FALSE)</f>
        <v>•</v>
      </c>
      <c r="Q82" s="291" t="str">
        <f>IF(VLOOKUP(B82,'26MY_CIV4D_DATA'!B:AQ,20,FALSE)="","",VLOOKUP(B82,'26MY_CIV4D_DATA'!B:AQ,20,FALSE))</f>
        <v/>
      </c>
    </row>
    <row r="83" spans="2:17" s="135" customFormat="1" ht="15" customHeight="1">
      <c r="B83" s="382" t="s">
        <v>138</v>
      </c>
      <c r="C83" s="179" t="str">
        <f>VLOOKUP(B83,'26MY_CIV4D_DATA'!B:AQ,3,FALSE)</f>
        <v>Underbody Spoiler, HPD - Rear</v>
      </c>
      <c r="D83" s="79" t="str">
        <f t="shared" si="16"/>
        <v>08F24-T20-100</v>
      </c>
      <c r="E83" s="280">
        <f>VLOOKUP(B83,'26MY_CIV4D_DATA'!B:AQ,9,FALSE)</f>
        <v>230</v>
      </c>
      <c r="F83" s="280">
        <f>VLOOKUP(B83,'26MY_CIV4D_DATA'!B:AQ,10,FALSE)</f>
        <v>383</v>
      </c>
      <c r="G83" s="287">
        <f>VLOOKUP(B83,'26MY_CIV4D_DATA'!B:AQ,7,FALSE)</f>
        <v>1</v>
      </c>
      <c r="H83" s="281">
        <f>VLOOKUP(B83,'26MY_CIV4D_DATA'!B:AQ,11,FALSE)</f>
        <v>564</v>
      </c>
      <c r="I83" s="288" t="str">
        <f>VLOOKUP(B83,'26MY_CIV4D_DATA'!B:AQ,12,FALSE)</f>
        <v>•</v>
      </c>
      <c r="J83" s="288">
        <f>VLOOKUP(B83,'26MY_CIV4D_DATA'!B:AQ,13,FALSE)</f>
        <v>0</v>
      </c>
      <c r="K83" s="288">
        <f>VLOOKUP($B83,'26MY_CIV4D_DATA'!$B:$AQ,14,FALSE)</f>
        <v>0</v>
      </c>
      <c r="L83" s="288" t="str">
        <f>VLOOKUP(B83,'26MY_CIV4D_DATA'!B:AQ,15,FALSE)</f>
        <v>•</v>
      </c>
      <c r="M83" s="288" t="str">
        <f>VLOOKUP($B83,'26MY_CIV4D_DATA'!$B:$AQ,16,FALSE)</f>
        <v>•</v>
      </c>
      <c r="N83" s="288">
        <f>VLOOKUP($B83,'26MY_CIV4D_DATA'!$B:$AQ,17,FALSE)</f>
        <v>0</v>
      </c>
      <c r="O83" s="288" t="str">
        <f>VLOOKUP($B83,'26MY_CIV4D_DATA'!$B:$AQ,18,FALSE)</f>
        <v>•</v>
      </c>
      <c r="P83" s="288" t="str">
        <f>VLOOKUP(B83,'26MY_CIV4D_DATA'!B:AQ,19,FALSE)</f>
        <v>•</v>
      </c>
      <c r="Q83" s="291" t="str">
        <f>IF(VLOOKUP(B83,'26MY_CIV4D_DATA'!B:AQ,20,FALSE)="","",VLOOKUP(B83,'26MY_CIV4D_DATA'!B:AQ,20,FALSE))</f>
        <v>HPD Logo.</v>
      </c>
    </row>
    <row r="84" spans="2:17" s="135" customFormat="1" ht="15" customHeight="1">
      <c r="B84" s="382" t="s">
        <v>139</v>
      </c>
      <c r="C84" s="179" t="str">
        <f>VLOOKUP(B84,'26MY_CIV4D_DATA'!B:AQ,3,FALSE)</f>
        <v>Underbody Spoiler, HPD - Side</v>
      </c>
      <c r="D84" s="79" t="str">
        <f t="shared" si="16"/>
        <v>08F04-T20-100</v>
      </c>
      <c r="E84" s="280">
        <f>VLOOKUP(B84,'26MY_CIV4D_DATA'!B:AQ,9,FALSE)</f>
        <v>391</v>
      </c>
      <c r="F84" s="280">
        <f>VLOOKUP(B84,'26MY_CIV4D_DATA'!B:AQ,10,FALSE)</f>
        <v>652</v>
      </c>
      <c r="G84" s="287">
        <f>VLOOKUP(B84,'26MY_CIV4D_DATA'!B:AQ,7,FALSE)</f>
        <v>1</v>
      </c>
      <c r="H84" s="281">
        <f>VLOOKUP(B84,'26MY_CIV4D_DATA'!B:AQ,11,FALSE)</f>
        <v>833</v>
      </c>
      <c r="I84" s="288" t="str">
        <f>VLOOKUP(B84,'26MY_CIV4D_DATA'!B:AQ,12,FALSE)</f>
        <v>•</v>
      </c>
      <c r="J84" s="288">
        <f>VLOOKUP(B84,'26MY_CIV4D_DATA'!B:AQ,13,FALSE)</f>
        <v>0</v>
      </c>
      <c r="K84" s="288">
        <f>VLOOKUP($B84,'26MY_CIV4D_DATA'!$B:$AQ,14,FALSE)</f>
        <v>0</v>
      </c>
      <c r="L84" s="288" t="str">
        <f>VLOOKUP(B84,'26MY_CIV4D_DATA'!B:AQ,15,FALSE)</f>
        <v>•</v>
      </c>
      <c r="M84" s="288" t="str">
        <f>VLOOKUP($B84,'26MY_CIV4D_DATA'!$B:$AQ,16,FALSE)</f>
        <v>•</v>
      </c>
      <c r="N84" s="288">
        <f>VLOOKUP($B84,'26MY_CIV4D_DATA'!$B:$AQ,17,FALSE)</f>
        <v>0</v>
      </c>
      <c r="O84" s="288" t="str">
        <f>VLOOKUP($B84,'26MY_CIV4D_DATA'!$B:$AQ,18,FALSE)</f>
        <v>•</v>
      </c>
      <c r="P84" s="288" t="str">
        <f>VLOOKUP(B84,'26MY_CIV4D_DATA'!B:AQ,19,FALSE)</f>
        <v>N/A</v>
      </c>
      <c r="Q84" s="291" t="str">
        <f>IF(VLOOKUP(B84,'26MY_CIV4D_DATA'!B:AQ,20,FALSE)="","",VLOOKUP(B84,'26MY_CIV4D_DATA'!B:AQ,20,FALSE))</f>
        <v>HPD Logo.</v>
      </c>
    </row>
    <row r="85" spans="2:17" s="135" customFormat="1" ht="15" customHeight="1">
      <c r="B85" s="382" t="s">
        <v>368</v>
      </c>
      <c r="C85" s="198" t="str">
        <f>VLOOKUP(B85,'26MY_CIV4D_DATA'!B:AQ,3,FALSE)</f>
        <v>Front Underbody Spoiler</v>
      </c>
      <c r="D85" s="188"/>
      <c r="E85" s="188"/>
      <c r="F85" s="188"/>
      <c r="G85" s="188"/>
      <c r="H85" s="188"/>
      <c r="I85" s="188"/>
      <c r="J85" s="188"/>
      <c r="K85" s="188"/>
      <c r="L85" s="188"/>
      <c r="M85" s="188"/>
      <c r="N85" s="188"/>
      <c r="O85" s="188"/>
      <c r="P85" s="188"/>
      <c r="Q85" s="294"/>
    </row>
    <row r="86" spans="2:17" s="135" customFormat="1" ht="15" customHeight="1">
      <c r="B86" s="382" t="s">
        <v>427</v>
      </c>
      <c r="C86" s="197" t="str">
        <f>VLOOKUP(B86,'26MY_CIV4D_DATA'!B:AQ,3,FALSE)</f>
        <v>Platinum White Pearl (NH-883P)</v>
      </c>
      <c r="D86" s="79" t="str">
        <f t="shared" ref="D86" si="17">B86</f>
        <v>08F01-T20-130A</v>
      </c>
      <c r="E86" s="280">
        <f>VLOOKUP(B86,'26MY_CIV4D_DATA'!B:AQ,9,FALSE)</f>
        <v>262</v>
      </c>
      <c r="F86" s="280">
        <f>VLOOKUP(B86,'26MY_CIV4D_DATA'!B:AQ,10,FALSE)</f>
        <v>437</v>
      </c>
      <c r="G86" s="287">
        <f>VLOOKUP(B86,'26MY_CIV4D_DATA'!B:AQ,7,FALSE)</f>
        <v>1</v>
      </c>
      <c r="H86" s="281">
        <f>VLOOKUP(B86,'26MY_CIV4D_DATA'!B:AQ,11,FALSE)</f>
        <v>618</v>
      </c>
      <c r="I86" s="288" t="str">
        <f>VLOOKUP(B86,'26MY_CIV4D_DATA'!B:AQ,12,FALSE)</f>
        <v>•</v>
      </c>
      <c r="J86" s="288">
        <f>VLOOKUP(B86,'26MY_CIV4D_DATA'!B:AQ,13,FALSE)</f>
        <v>0</v>
      </c>
      <c r="K86" s="288">
        <f>VLOOKUP($B86,'26MY_CIV4D_DATA'!$B:$AQ,14,FALSE)</f>
        <v>0</v>
      </c>
      <c r="L86" s="288" t="str">
        <f>VLOOKUP(B86,'26MY_CIV4D_DATA'!B:AQ,15,FALSE)</f>
        <v>•</v>
      </c>
      <c r="M86" s="288" t="str">
        <f>VLOOKUP($B86,'26MY_CIV4D_DATA'!$B:$AQ,16,FALSE)</f>
        <v>•</v>
      </c>
      <c r="N86" s="288">
        <f>VLOOKUP($B86,'26MY_CIV4D_DATA'!$B:$AQ,17,FALSE)</f>
        <v>0</v>
      </c>
      <c r="O86" s="288" t="str">
        <f>VLOOKUP($B86,'26MY_CIV4D_DATA'!$B:$AQ,18,FALSE)</f>
        <v>•</v>
      </c>
      <c r="P86" s="288" t="str">
        <f>VLOOKUP(B86,'26MY_CIV4D_DATA'!B:AQ,19,FALSE)</f>
        <v>•</v>
      </c>
      <c r="Q86" s="334" t="str">
        <f>IF(VLOOKUP(B86,'26MY_CIV4D_DATA'!B:AQ,20,FALSE)="","",VLOOKUP(B86,'26MY_CIV4D_DATA'!B:AQ,20,FALSE))</f>
        <v/>
      </c>
    </row>
    <row r="87" spans="2:17" s="135" customFormat="1" ht="15" customHeight="1">
      <c r="B87" s="382" t="s">
        <v>428</v>
      </c>
      <c r="C87" s="197" t="str">
        <f>VLOOKUP(B87,'26MY_CIV4D_DATA'!B:AQ,3,FALSE)</f>
        <v>Meteriod Gray Pearl (NH-904M)</v>
      </c>
      <c r="D87" s="79" t="str">
        <f t="shared" ref="D87:D92" si="18">B87</f>
        <v>08F01-T20-170A</v>
      </c>
      <c r="E87" s="280">
        <f>VLOOKUP(B87,'26MY_CIV4D_DATA'!B:AQ,9,FALSE)</f>
        <v>262</v>
      </c>
      <c r="F87" s="280">
        <f>VLOOKUP(B87,'26MY_CIV4D_DATA'!B:AQ,10,FALSE)</f>
        <v>437</v>
      </c>
      <c r="G87" s="287">
        <f>VLOOKUP(B87,'26MY_CIV4D_DATA'!B:AQ,7,FALSE)</f>
        <v>1</v>
      </c>
      <c r="H87" s="281">
        <f>VLOOKUP(B87,'26MY_CIV4D_DATA'!B:AQ,11,FALSE)</f>
        <v>618</v>
      </c>
      <c r="I87" s="288" t="str">
        <f>VLOOKUP(B87,'26MY_CIV4D_DATA'!B:AQ,12,FALSE)</f>
        <v>N/A</v>
      </c>
      <c r="J87" s="288">
        <f>VLOOKUP(B87,'26MY_CIV4D_DATA'!B:AQ,13,FALSE)</f>
        <v>0</v>
      </c>
      <c r="K87" s="288">
        <f>VLOOKUP($B87,'26MY_CIV4D_DATA'!$B:$AQ,14,FALSE)</f>
        <v>0</v>
      </c>
      <c r="L87" s="288" t="str">
        <f>VLOOKUP(B87,'26MY_CIV4D_DATA'!B:AQ,15,FALSE)</f>
        <v>•</v>
      </c>
      <c r="M87" s="288" t="str">
        <f>VLOOKUP($B87,'26MY_CIV4D_DATA'!$B:$AQ,16,FALSE)</f>
        <v>N/A</v>
      </c>
      <c r="N87" s="288">
        <f>VLOOKUP($B87,'26MY_CIV4D_DATA'!$B:$AQ,17,FALSE)</f>
        <v>0</v>
      </c>
      <c r="O87" s="288" t="str">
        <f>VLOOKUP($B87,'26MY_CIV4D_DATA'!$B:$AQ,18,FALSE)</f>
        <v>N/A</v>
      </c>
      <c r="P87" s="288" t="str">
        <f>VLOOKUP(B87,'26MY_CIV4D_DATA'!B:AQ,19,FALSE)</f>
        <v>N/A</v>
      </c>
      <c r="Q87" s="335"/>
    </row>
    <row r="88" spans="2:17" s="135" customFormat="1" ht="15" customHeight="1">
      <c r="B88" s="382" t="s">
        <v>429</v>
      </c>
      <c r="C88" s="197" t="str">
        <f>VLOOKUP(B88,'26MY_CIV4D_DATA'!B:AQ,3,FALSE)</f>
        <v>Crystal Black Pearl (NH-731P)</v>
      </c>
      <c r="D88" s="79" t="str">
        <f t="shared" si="18"/>
        <v>08F01-T20-180A</v>
      </c>
      <c r="E88" s="280">
        <f>VLOOKUP(B88,'26MY_CIV4D_DATA'!B:AQ,9,FALSE)</f>
        <v>262</v>
      </c>
      <c r="F88" s="280">
        <f>VLOOKUP(B88,'26MY_CIV4D_DATA'!B:AQ,10,FALSE)</f>
        <v>437</v>
      </c>
      <c r="G88" s="287">
        <f>VLOOKUP(B88,'26MY_CIV4D_DATA'!B:AQ,7,FALSE)</f>
        <v>1</v>
      </c>
      <c r="H88" s="281">
        <f>VLOOKUP(B88,'26MY_CIV4D_DATA'!B:AQ,11,FALSE)</f>
        <v>618</v>
      </c>
      <c r="I88" s="288" t="str">
        <f>VLOOKUP(B88,'26MY_CIV4D_DATA'!B:AQ,12,FALSE)</f>
        <v>•</v>
      </c>
      <c r="J88" s="288">
        <f>VLOOKUP(B88,'26MY_CIV4D_DATA'!B:AQ,13,FALSE)</f>
        <v>0</v>
      </c>
      <c r="K88" s="288">
        <f>VLOOKUP($B88,'26MY_CIV4D_DATA'!$B:$AQ,14,FALSE)</f>
        <v>0</v>
      </c>
      <c r="L88" s="288" t="str">
        <f>VLOOKUP(B88,'26MY_CIV4D_DATA'!B:AQ,15,FALSE)</f>
        <v>•</v>
      </c>
      <c r="M88" s="288" t="str">
        <f>VLOOKUP($B88,'26MY_CIV4D_DATA'!$B:$AQ,16,FALSE)</f>
        <v>•</v>
      </c>
      <c r="N88" s="288">
        <f>VLOOKUP($B88,'26MY_CIV4D_DATA'!$B:$AQ,17,FALSE)</f>
        <v>0</v>
      </c>
      <c r="O88" s="288" t="str">
        <f>VLOOKUP($B88,'26MY_CIV4D_DATA'!$B:$AQ,18,FALSE)</f>
        <v>•</v>
      </c>
      <c r="P88" s="288" t="str">
        <f>VLOOKUP(B88,'26MY_CIV4D_DATA'!B:AQ,19,FALSE)</f>
        <v>•</v>
      </c>
      <c r="Q88" s="335"/>
    </row>
    <row r="89" spans="2:17" s="135" customFormat="1" ht="15" customHeight="1">
      <c r="B89" s="382" t="s">
        <v>430</v>
      </c>
      <c r="C89" s="197" t="str">
        <f>VLOOKUP(B89,'26MY_CIV4D_DATA'!B:AQ,3,FALSE)</f>
        <v>Rallye Red (R-513)</v>
      </c>
      <c r="D89" s="79" t="str">
        <f t="shared" si="18"/>
        <v>08F01-T20-190A</v>
      </c>
      <c r="E89" s="280">
        <f>VLOOKUP(B89,'26MY_CIV4D_DATA'!B:AQ,9,FALSE)</f>
        <v>262</v>
      </c>
      <c r="F89" s="280">
        <f>VLOOKUP(B89,'26MY_CIV4D_DATA'!B:AQ,10,FALSE)</f>
        <v>437</v>
      </c>
      <c r="G89" s="287">
        <f>VLOOKUP(B89,'26MY_CIV4D_DATA'!B:AQ,7,FALSE)</f>
        <v>1</v>
      </c>
      <c r="H89" s="281">
        <f>VLOOKUP(B89,'26MY_CIV4D_DATA'!B:AQ,11,FALSE)</f>
        <v>618</v>
      </c>
      <c r="I89" s="288" t="str">
        <f>VLOOKUP(B89,'26MY_CIV4D_DATA'!B:AQ,12,FALSE)</f>
        <v>•</v>
      </c>
      <c r="J89" s="288">
        <f>VLOOKUP(B89,'26MY_CIV4D_DATA'!B:AQ,13,FALSE)</f>
        <v>0</v>
      </c>
      <c r="K89" s="288">
        <f>VLOOKUP($B89,'26MY_CIV4D_DATA'!$B:$AQ,14,FALSE)</f>
        <v>0</v>
      </c>
      <c r="L89" s="288" t="str">
        <f>VLOOKUP(B89,'26MY_CIV4D_DATA'!B:AQ,15,FALSE)</f>
        <v>•</v>
      </c>
      <c r="M89" s="288" t="str">
        <f>VLOOKUP($B89,'26MY_CIV4D_DATA'!$B:$AQ,16,FALSE)</f>
        <v>•</v>
      </c>
      <c r="N89" s="288">
        <f>VLOOKUP($B89,'26MY_CIV4D_DATA'!$B:$AQ,17,FALSE)</f>
        <v>0</v>
      </c>
      <c r="O89" s="288" t="str">
        <f>VLOOKUP($B89,'26MY_CIV4D_DATA'!$B:$AQ,18,FALSE)</f>
        <v>•</v>
      </c>
      <c r="P89" s="288" t="str">
        <f>VLOOKUP(B89,'26MY_CIV4D_DATA'!B:AQ,19,FALSE)</f>
        <v>•</v>
      </c>
      <c r="Q89" s="335"/>
    </row>
    <row r="90" spans="2:17" s="135" customFormat="1" ht="15" customHeight="1">
      <c r="B90" s="382" t="s">
        <v>431</v>
      </c>
      <c r="C90" s="197" t="str">
        <f>VLOOKUP(B90,'26MY_CIV4D_DATA'!B:AQ,3,FALSE)</f>
        <v>Urban Grey Pearl (NH-912P)</v>
      </c>
      <c r="D90" s="79" t="str">
        <f t="shared" si="18"/>
        <v>08F01-T20-1J0A</v>
      </c>
      <c r="E90" s="280">
        <f>VLOOKUP(B90,'26MY_CIV4D_DATA'!B:AQ,9,FALSE)</f>
        <v>262</v>
      </c>
      <c r="F90" s="280">
        <f>VLOOKUP(B90,'26MY_CIV4D_DATA'!B:AQ,10,FALSE)</f>
        <v>437</v>
      </c>
      <c r="G90" s="287">
        <f>VLOOKUP(B90,'26MY_CIV4D_DATA'!B:AQ,7,FALSE)</f>
        <v>1</v>
      </c>
      <c r="H90" s="281">
        <f>VLOOKUP(B90,'26MY_CIV4D_DATA'!B:AQ,11,FALSE)</f>
        <v>618</v>
      </c>
      <c r="I90" s="288" t="str">
        <f>VLOOKUP(B90,'26MY_CIV4D_DATA'!B:AQ,12,FALSE)</f>
        <v>N/A</v>
      </c>
      <c r="J90" s="288">
        <f>VLOOKUP(B90,'26MY_CIV4D_DATA'!B:AQ,13,FALSE)</f>
        <v>0</v>
      </c>
      <c r="K90" s="288">
        <f>VLOOKUP($B90,'26MY_CIV4D_DATA'!$B:$AQ,14,FALSE)</f>
        <v>0</v>
      </c>
      <c r="L90" s="288" t="str">
        <f>VLOOKUP(B90,'26MY_CIV4D_DATA'!B:AQ,15,FALSE)</f>
        <v>N/A</v>
      </c>
      <c r="M90" s="288" t="str">
        <f>VLOOKUP($B90,'26MY_CIV4D_DATA'!$B:$AQ,16,FALSE)</f>
        <v>N/A</v>
      </c>
      <c r="N90" s="288">
        <f>VLOOKUP($B90,'26MY_CIV4D_DATA'!$B:$AQ,17,FALSE)</f>
        <v>0</v>
      </c>
      <c r="O90" s="288" t="str">
        <f>VLOOKUP($B90,'26MY_CIV4D_DATA'!$B:$AQ,18,FALSE)</f>
        <v>•</v>
      </c>
      <c r="P90" s="288" t="str">
        <f>VLOOKUP(B90,'26MY_CIV4D_DATA'!B:AQ,19,FALSE)</f>
        <v>•</v>
      </c>
      <c r="Q90" s="335"/>
    </row>
    <row r="91" spans="2:17" s="135" customFormat="1" ht="15" customHeight="1">
      <c r="B91" s="382" t="s">
        <v>432</v>
      </c>
      <c r="C91" s="197" t="str">
        <f>VLOOKUP(B91,'26MY_CIV4D_DATA'!B:AQ,3,FALSE)</f>
        <v>Blue Lagoon Pearl (B-645P)</v>
      </c>
      <c r="D91" s="79" t="str">
        <f t="shared" si="18"/>
        <v>08F01-T20-1P0A</v>
      </c>
      <c r="E91" s="280">
        <f>VLOOKUP(B91,'26MY_CIV4D_DATA'!B:AQ,9,FALSE)</f>
        <v>262</v>
      </c>
      <c r="F91" s="280">
        <f>VLOOKUP(B91,'26MY_CIV4D_DATA'!B:AQ,10,FALSE)</f>
        <v>437</v>
      </c>
      <c r="G91" s="287">
        <f>VLOOKUP(B91,'26MY_CIV4D_DATA'!B:AQ,7,FALSE)</f>
        <v>1</v>
      </c>
      <c r="H91" s="281">
        <f>VLOOKUP(B91,'26MY_CIV4D_DATA'!B:AQ,11,FALSE)</f>
        <v>618</v>
      </c>
      <c r="I91" s="288" t="str">
        <f>VLOOKUP(B91,'26MY_CIV4D_DATA'!B:AQ,12,FALSE)</f>
        <v>N/A</v>
      </c>
      <c r="J91" s="288">
        <f>VLOOKUP(B91,'26MY_CIV4D_DATA'!B:AQ,13,FALSE)</f>
        <v>0</v>
      </c>
      <c r="K91" s="288">
        <f>VLOOKUP($B91,'26MY_CIV4D_DATA'!$B:$AQ,14,FALSE)</f>
        <v>0</v>
      </c>
      <c r="L91" s="288" t="str">
        <f>VLOOKUP(B91,'26MY_CIV4D_DATA'!B:AQ,15,FALSE)</f>
        <v>N/A</v>
      </c>
      <c r="M91" s="288" t="str">
        <f>VLOOKUP($B91,'26MY_CIV4D_DATA'!$B:$AQ,16,FALSE)</f>
        <v>N/A</v>
      </c>
      <c r="N91" s="288">
        <f>VLOOKUP($B91,'26MY_CIV4D_DATA'!$B:$AQ,17,FALSE)</f>
        <v>0</v>
      </c>
      <c r="O91" s="288" t="str">
        <f>VLOOKUP($B91,'26MY_CIV4D_DATA'!$B:$AQ,18,FALSE)</f>
        <v>•</v>
      </c>
      <c r="P91" s="288" t="str">
        <f>VLOOKUP(B91,'26MY_CIV4D_DATA'!B:AQ,19,FALSE)</f>
        <v>N/A</v>
      </c>
      <c r="Q91" s="335"/>
    </row>
    <row r="92" spans="2:17" s="135" customFormat="1" ht="15" customHeight="1">
      <c r="B92" s="382" t="s">
        <v>433</v>
      </c>
      <c r="C92" s="197" t="str">
        <f>VLOOKUP(B92,'26MY_CIV4D_DATA'!B:AQ,3,FALSE)</f>
        <v>Solar Reflection Silver (NH-932M)</v>
      </c>
      <c r="D92" s="79" t="str">
        <f t="shared" si="18"/>
        <v>08F01-T20-1Z0A</v>
      </c>
      <c r="E92" s="280">
        <f>VLOOKUP(B92,'26MY_CIV4D_DATA'!B:AQ,9,FALSE)</f>
        <v>262</v>
      </c>
      <c r="F92" s="280">
        <f>VLOOKUP(B92,'26MY_CIV4D_DATA'!B:AQ,10,FALSE)</f>
        <v>437</v>
      </c>
      <c r="G92" s="287">
        <f>VLOOKUP(B92,'26MY_CIV4D_DATA'!B:AQ,7,FALSE)</f>
        <v>1</v>
      </c>
      <c r="H92" s="281">
        <f>VLOOKUP(B92,'26MY_CIV4D_DATA'!B:AQ,11,FALSE)</f>
        <v>618</v>
      </c>
      <c r="I92" s="288" t="str">
        <f>VLOOKUP(B92,'26MY_CIV4D_DATA'!B:AQ,12,FALSE)</f>
        <v>•</v>
      </c>
      <c r="J92" s="288">
        <f>VLOOKUP(B92,'26MY_CIV4D_DATA'!B:AQ,13,FALSE)</f>
        <v>0</v>
      </c>
      <c r="K92" s="288">
        <f>VLOOKUP($B92,'26MY_CIV4D_DATA'!$B:$AQ,14,FALSE)</f>
        <v>0</v>
      </c>
      <c r="L92" s="288" t="str">
        <f>VLOOKUP(B92,'26MY_CIV4D_DATA'!B:AQ,15,FALSE)</f>
        <v>•</v>
      </c>
      <c r="M92" s="288" t="str">
        <f>VLOOKUP($B92,'26MY_CIV4D_DATA'!$B:$AQ,16,FALSE)</f>
        <v>•</v>
      </c>
      <c r="N92" s="288">
        <f>VLOOKUP($B92,'26MY_CIV4D_DATA'!$B:$AQ,17,FALSE)</f>
        <v>0</v>
      </c>
      <c r="O92" s="288" t="str">
        <f>VLOOKUP($B92,'26MY_CIV4D_DATA'!$B:$AQ,18,FALSE)</f>
        <v>•</v>
      </c>
      <c r="P92" s="288" t="str">
        <f>VLOOKUP(B92,'26MY_CIV4D_DATA'!B:AQ,19,FALSE)</f>
        <v>N/A</v>
      </c>
      <c r="Q92" s="335"/>
    </row>
    <row r="93" spans="2:17" s="135" customFormat="1" ht="15" customHeight="1">
      <c r="B93" s="382" t="s">
        <v>309</v>
      </c>
      <c r="C93" s="198" t="str">
        <f>VLOOKUP(B93,'26MY_CIV4D_DATA'!B:AQ,3,FALSE)</f>
        <v>Body Side Molding</v>
      </c>
      <c r="D93" s="188"/>
      <c r="E93" s="188"/>
      <c r="F93" s="188"/>
      <c r="G93" s="188"/>
      <c r="H93" s="188"/>
      <c r="I93" s="188"/>
      <c r="J93" s="188"/>
      <c r="K93" s="188"/>
      <c r="L93" s="188"/>
      <c r="M93" s="188"/>
      <c r="N93" s="188"/>
      <c r="O93" s="188"/>
      <c r="P93" s="188"/>
      <c r="Q93" s="294"/>
    </row>
    <row r="94" spans="2:17" s="135" customFormat="1" ht="15" customHeight="1">
      <c r="B94" s="382" t="s">
        <v>124</v>
      </c>
      <c r="C94" s="197" t="str">
        <f>VLOOKUP(B94,'26MY_CIV4D_DATA'!B:AQ,3,FALSE)</f>
        <v>Platinum White Pearl (NH-883P)</v>
      </c>
      <c r="D94" s="79" t="str">
        <f t="shared" ref="D94" si="19">B94</f>
        <v>08P05-T20-130</v>
      </c>
      <c r="E94" s="280">
        <f>VLOOKUP(B94,'26MY_CIV4D_DATA'!B:AQ,9,FALSE)</f>
        <v>215</v>
      </c>
      <c r="F94" s="280">
        <f>VLOOKUP(B94,'26MY_CIV4D_DATA'!B:AQ,10,FALSE)</f>
        <v>358</v>
      </c>
      <c r="G94" s="287">
        <f>VLOOKUP(B94,'26MY_CIV4D_DATA'!B:AQ,7,FALSE)</f>
        <v>0.4</v>
      </c>
      <c r="H94" s="281">
        <f>VLOOKUP(B94,'26MY_CIV4D_DATA'!B:AQ,11,FALSE)</f>
        <v>430.4</v>
      </c>
      <c r="I94" s="288" t="str">
        <f>VLOOKUP(B94,'26MY_CIV4D_DATA'!B:AQ,12,FALSE)</f>
        <v>•</v>
      </c>
      <c r="J94" s="288">
        <f>VLOOKUP(B94,'26MY_CIV4D_DATA'!B:AQ,13,FALSE)</f>
        <v>0</v>
      </c>
      <c r="K94" s="288">
        <f>VLOOKUP($B94,'26MY_CIV4D_DATA'!$B:$AQ,14,FALSE)</f>
        <v>0</v>
      </c>
      <c r="L94" s="288" t="str">
        <f>VLOOKUP(B94,'26MY_CIV4D_DATA'!B:AQ,15,FALSE)</f>
        <v>•</v>
      </c>
      <c r="M94" s="288" t="str">
        <f>VLOOKUP($B94,'26MY_CIV4D_DATA'!$B:$AQ,16,FALSE)</f>
        <v>•</v>
      </c>
      <c r="N94" s="288">
        <f>VLOOKUP($B94,'26MY_CIV4D_DATA'!$B:$AQ,17,FALSE)</f>
        <v>0</v>
      </c>
      <c r="O94" s="288" t="str">
        <f>VLOOKUP($B94,'26MY_CIV4D_DATA'!$B:$AQ,18,FALSE)</f>
        <v>•</v>
      </c>
      <c r="P94" s="288" t="str">
        <f>VLOOKUP(B94,'26MY_CIV4D_DATA'!B:AQ,19,FALSE)</f>
        <v>•</v>
      </c>
      <c r="Q94" s="334" t="str">
        <f>IF(VLOOKUP(B94,'26MY_CIV4D_DATA'!B:AQ,20,FALSE)="","",VLOOKUP(B94,'26MY_CIV4D_DATA'!B:AQ,20,FALSE))</f>
        <v/>
      </c>
    </row>
    <row r="95" spans="2:17" s="135" customFormat="1" ht="15" customHeight="1">
      <c r="B95" s="382" t="s">
        <v>123</v>
      </c>
      <c r="C95" s="197" t="str">
        <f>VLOOKUP(B95,'26MY_CIV4D_DATA'!B:AQ,3,FALSE)</f>
        <v>Meteriod Gray Pearl (NH-904M)</v>
      </c>
      <c r="D95" s="79" t="str">
        <f t="shared" ref="D95:D100" si="20">B95</f>
        <v>08P05-T20-170</v>
      </c>
      <c r="E95" s="280">
        <f>VLOOKUP(B95,'26MY_CIV4D_DATA'!B:AQ,9,FALSE)</f>
        <v>215</v>
      </c>
      <c r="F95" s="280">
        <f>VLOOKUP(B95,'26MY_CIV4D_DATA'!B:AQ,10,FALSE)</f>
        <v>358</v>
      </c>
      <c r="G95" s="287">
        <f>VLOOKUP(B95,'26MY_CIV4D_DATA'!B:AQ,7,FALSE)</f>
        <v>0.4</v>
      </c>
      <c r="H95" s="281">
        <f>VLOOKUP(B95,'26MY_CIV4D_DATA'!B:AQ,11,FALSE)</f>
        <v>430.4</v>
      </c>
      <c r="I95" s="288" t="str">
        <f>VLOOKUP(B95,'26MY_CIV4D_DATA'!B:AQ,12,FALSE)</f>
        <v>N/A</v>
      </c>
      <c r="J95" s="288">
        <f>VLOOKUP(B95,'26MY_CIV4D_DATA'!B:AQ,13,FALSE)</f>
        <v>0</v>
      </c>
      <c r="K95" s="288">
        <f>VLOOKUP($B95,'26MY_CIV4D_DATA'!$B:$AQ,14,FALSE)</f>
        <v>0</v>
      </c>
      <c r="L95" s="288" t="str">
        <f>VLOOKUP(B95,'26MY_CIV4D_DATA'!B:AQ,15,FALSE)</f>
        <v>•</v>
      </c>
      <c r="M95" s="288" t="str">
        <f>VLOOKUP($B95,'26MY_CIV4D_DATA'!$B:$AQ,16,FALSE)</f>
        <v>N/A</v>
      </c>
      <c r="N95" s="288">
        <f>VLOOKUP($B95,'26MY_CIV4D_DATA'!$B:$AQ,17,FALSE)</f>
        <v>0</v>
      </c>
      <c r="O95" s="288" t="str">
        <f>VLOOKUP($B95,'26MY_CIV4D_DATA'!$B:$AQ,18,FALSE)</f>
        <v>N/A</v>
      </c>
      <c r="P95" s="288" t="str">
        <f>VLOOKUP(B95,'26MY_CIV4D_DATA'!B:AQ,19,FALSE)</f>
        <v>N/A</v>
      </c>
      <c r="Q95" s="335"/>
    </row>
    <row r="96" spans="2:17" s="135" customFormat="1" ht="15" customHeight="1">
      <c r="B96" s="382" t="s">
        <v>122</v>
      </c>
      <c r="C96" s="197" t="str">
        <f>VLOOKUP(B96,'26MY_CIV4D_DATA'!B:AQ,3,FALSE)</f>
        <v>Crystal Black Pearl (NH-731P)</v>
      </c>
      <c r="D96" s="79" t="str">
        <f t="shared" si="20"/>
        <v>08P05-T20-180</v>
      </c>
      <c r="E96" s="280">
        <f>VLOOKUP(B96,'26MY_CIV4D_DATA'!B:AQ,9,FALSE)</f>
        <v>215</v>
      </c>
      <c r="F96" s="280">
        <f>VLOOKUP(B96,'26MY_CIV4D_DATA'!B:AQ,10,FALSE)</f>
        <v>358</v>
      </c>
      <c r="G96" s="287">
        <f>VLOOKUP(B96,'26MY_CIV4D_DATA'!B:AQ,7,FALSE)</f>
        <v>0.4</v>
      </c>
      <c r="H96" s="281">
        <f>VLOOKUP(B96,'26MY_CIV4D_DATA'!B:AQ,11,FALSE)</f>
        <v>430.4</v>
      </c>
      <c r="I96" s="288" t="str">
        <f>VLOOKUP(B96,'26MY_CIV4D_DATA'!B:AQ,12,FALSE)</f>
        <v>•</v>
      </c>
      <c r="J96" s="288">
        <f>VLOOKUP(B96,'26MY_CIV4D_DATA'!B:AQ,13,FALSE)</f>
        <v>0</v>
      </c>
      <c r="K96" s="288">
        <f>VLOOKUP($B96,'26MY_CIV4D_DATA'!$B:$AQ,14,FALSE)</f>
        <v>0</v>
      </c>
      <c r="L96" s="288" t="str">
        <f>VLOOKUP(B96,'26MY_CIV4D_DATA'!B:AQ,15,FALSE)</f>
        <v>•</v>
      </c>
      <c r="M96" s="288" t="str">
        <f>VLOOKUP($B96,'26MY_CIV4D_DATA'!$B:$AQ,16,FALSE)</f>
        <v>•</v>
      </c>
      <c r="N96" s="288">
        <f>VLOOKUP($B96,'26MY_CIV4D_DATA'!$B:$AQ,17,FALSE)</f>
        <v>0</v>
      </c>
      <c r="O96" s="288" t="str">
        <f>VLOOKUP($B96,'26MY_CIV4D_DATA'!$B:$AQ,18,FALSE)</f>
        <v>•</v>
      </c>
      <c r="P96" s="288" t="str">
        <f>VLOOKUP(B96,'26MY_CIV4D_DATA'!B:AQ,19,FALSE)</f>
        <v>•</v>
      </c>
      <c r="Q96" s="335"/>
    </row>
    <row r="97" spans="2:17" s="135" customFormat="1" ht="15" customHeight="1">
      <c r="B97" s="382" t="s">
        <v>125</v>
      </c>
      <c r="C97" s="197" t="str">
        <f>VLOOKUP(B97,'26MY_CIV4D_DATA'!B:AQ,3,FALSE)</f>
        <v>Rallye Red (R-513)</v>
      </c>
      <c r="D97" s="79" t="str">
        <f t="shared" si="20"/>
        <v>08P05-T20-190</v>
      </c>
      <c r="E97" s="280">
        <f>VLOOKUP(B97,'26MY_CIV4D_DATA'!B:AQ,9,FALSE)</f>
        <v>215</v>
      </c>
      <c r="F97" s="280">
        <f>VLOOKUP(B97,'26MY_CIV4D_DATA'!B:AQ,10,FALSE)</f>
        <v>358</v>
      </c>
      <c r="G97" s="287">
        <f>VLOOKUP(B97,'26MY_CIV4D_DATA'!B:AQ,7,FALSE)</f>
        <v>0.4</v>
      </c>
      <c r="H97" s="281">
        <f>VLOOKUP(B97,'26MY_CIV4D_DATA'!B:AQ,11,FALSE)</f>
        <v>430.4</v>
      </c>
      <c r="I97" s="288" t="str">
        <f>VLOOKUP(B97,'26MY_CIV4D_DATA'!B:AQ,12,FALSE)</f>
        <v>•</v>
      </c>
      <c r="J97" s="288">
        <f>VLOOKUP(B97,'26MY_CIV4D_DATA'!B:AQ,13,FALSE)</f>
        <v>0</v>
      </c>
      <c r="K97" s="288">
        <f>VLOOKUP($B97,'26MY_CIV4D_DATA'!$B:$AQ,14,FALSE)</f>
        <v>0</v>
      </c>
      <c r="L97" s="288" t="str">
        <f>VLOOKUP(B97,'26MY_CIV4D_DATA'!B:AQ,15,FALSE)</f>
        <v>•</v>
      </c>
      <c r="M97" s="288" t="str">
        <f>VLOOKUP($B97,'26MY_CIV4D_DATA'!$B:$AQ,16,FALSE)</f>
        <v>•</v>
      </c>
      <c r="N97" s="288">
        <f>VLOOKUP($B97,'26MY_CIV4D_DATA'!$B:$AQ,17,FALSE)</f>
        <v>0</v>
      </c>
      <c r="O97" s="288" t="str">
        <f>VLOOKUP($B97,'26MY_CIV4D_DATA'!$B:$AQ,18,FALSE)</f>
        <v>•</v>
      </c>
      <c r="P97" s="288" t="str">
        <f>VLOOKUP(B97,'26MY_CIV4D_DATA'!B:AQ,19,FALSE)</f>
        <v>•</v>
      </c>
      <c r="Q97" s="335"/>
    </row>
    <row r="98" spans="2:17" ht="14.5">
      <c r="B98" s="379" t="s">
        <v>421</v>
      </c>
      <c r="C98" s="197" t="str">
        <f>VLOOKUP(B98,'26MY_CIV4D_DATA'!B:AQ,3,FALSE)</f>
        <v>Urban Grey Pearl (NH-912P)</v>
      </c>
      <c r="D98" s="79" t="str">
        <f t="shared" si="20"/>
        <v>08P05-T20-1F0</v>
      </c>
      <c r="E98" s="280">
        <f>VLOOKUP(B98,'26MY_CIV4D_DATA'!B:AQ,9,FALSE)</f>
        <v>215</v>
      </c>
      <c r="F98" s="280">
        <f>VLOOKUP(B98,'26MY_CIV4D_DATA'!B:AQ,10,FALSE)</f>
        <v>358</v>
      </c>
      <c r="G98" s="287">
        <f>VLOOKUP(B98,'26MY_CIV4D_DATA'!B:AQ,7,FALSE)</f>
        <v>0.4</v>
      </c>
      <c r="H98" s="281">
        <f>VLOOKUP(B98,'26MY_CIV4D_DATA'!B:AQ,11,FALSE)</f>
        <v>430.4</v>
      </c>
      <c r="I98" s="288" t="str">
        <f>VLOOKUP(B98,'26MY_CIV4D_DATA'!B:AQ,12,FALSE)</f>
        <v>N/A</v>
      </c>
      <c r="J98" s="288">
        <f>VLOOKUP(B98,'26MY_CIV4D_DATA'!B:AQ,13,FALSE)</f>
        <v>0</v>
      </c>
      <c r="K98" s="288">
        <f>VLOOKUP($B98,'26MY_CIV4D_DATA'!$B:$AQ,14,FALSE)</f>
        <v>0</v>
      </c>
      <c r="L98" s="288" t="str">
        <f>VLOOKUP(B98,'26MY_CIV4D_DATA'!B:AQ,15,FALSE)</f>
        <v>N/A</v>
      </c>
      <c r="M98" s="288" t="str">
        <f>VLOOKUP($B98,'26MY_CIV4D_DATA'!$B:$AQ,16,FALSE)</f>
        <v>N/A</v>
      </c>
      <c r="N98" s="288">
        <f>VLOOKUP($B98,'26MY_CIV4D_DATA'!$B:$AQ,17,FALSE)</f>
        <v>0</v>
      </c>
      <c r="O98" s="288" t="str">
        <f>VLOOKUP($B98,'26MY_CIV4D_DATA'!$B:$AQ,18,FALSE)</f>
        <v>•</v>
      </c>
      <c r="P98" s="288" t="str">
        <f>VLOOKUP(B98,'26MY_CIV4D_DATA'!B:AQ,19,FALSE)</f>
        <v>•</v>
      </c>
      <c r="Q98" s="335"/>
    </row>
    <row r="99" spans="2:17" ht="14.5">
      <c r="B99" s="379" t="s">
        <v>419</v>
      </c>
      <c r="C99" s="197" t="str">
        <f>VLOOKUP(B99,'26MY_CIV4D_DATA'!B:AQ,3,FALSE)</f>
        <v>Blue Lagoon Pearl (B-645P)</v>
      </c>
      <c r="D99" s="79" t="str">
        <f t="shared" si="20"/>
        <v>08P05-T20-1G0</v>
      </c>
      <c r="E99" s="280">
        <f>VLOOKUP(B99,'26MY_CIV4D_DATA'!B:AQ,9,FALSE)</f>
        <v>215</v>
      </c>
      <c r="F99" s="280">
        <f>VLOOKUP(B99,'26MY_CIV4D_DATA'!B:AQ,10,FALSE)</f>
        <v>358</v>
      </c>
      <c r="G99" s="287">
        <f>VLOOKUP(B99,'26MY_CIV4D_DATA'!B:AQ,7,FALSE)</f>
        <v>0.4</v>
      </c>
      <c r="H99" s="281">
        <f>VLOOKUP(B99,'26MY_CIV4D_DATA'!B:AQ,11,FALSE)</f>
        <v>430.4</v>
      </c>
      <c r="I99" s="288" t="str">
        <f>VLOOKUP(B99,'26MY_CIV4D_DATA'!B:AQ,12,FALSE)</f>
        <v>N/A</v>
      </c>
      <c r="J99" s="288">
        <f>VLOOKUP(B99,'26MY_CIV4D_DATA'!B:AQ,13,FALSE)</f>
        <v>0</v>
      </c>
      <c r="K99" s="288">
        <f>VLOOKUP($B99,'26MY_CIV4D_DATA'!$B:$AQ,14,FALSE)</f>
        <v>0</v>
      </c>
      <c r="L99" s="288" t="str">
        <f>VLOOKUP(B99,'26MY_CIV4D_DATA'!B:AQ,15,FALSE)</f>
        <v>N/A</v>
      </c>
      <c r="M99" s="288" t="str">
        <f>VLOOKUP($B99,'26MY_CIV4D_DATA'!$B:$AQ,16,FALSE)</f>
        <v>N/A</v>
      </c>
      <c r="N99" s="288">
        <f>VLOOKUP($B99,'26MY_CIV4D_DATA'!$B:$AQ,17,FALSE)</f>
        <v>0</v>
      </c>
      <c r="O99" s="288" t="str">
        <f>VLOOKUP($B99,'26MY_CIV4D_DATA'!$B:$AQ,18,FALSE)</f>
        <v>•</v>
      </c>
      <c r="P99" s="288" t="str">
        <f>VLOOKUP(B99,'26MY_CIV4D_DATA'!B:AQ,19,FALSE)</f>
        <v>N/A</v>
      </c>
      <c r="Q99" s="335"/>
    </row>
    <row r="100" spans="2:17" s="135" customFormat="1" ht="15" customHeight="1">
      <c r="B100" s="382" t="s">
        <v>420</v>
      </c>
      <c r="C100" s="197" t="str">
        <f>VLOOKUP(B100,'26MY_CIV4D_DATA'!B:AQ,3,FALSE)</f>
        <v>Solar Reflection Silver (NH-932M)</v>
      </c>
      <c r="D100" s="79" t="str">
        <f t="shared" si="20"/>
        <v>08P05-T20-1Z0</v>
      </c>
      <c r="E100" s="280">
        <f>VLOOKUP(B100,'26MY_CIV4D_DATA'!B:AQ,9,FALSE)</f>
        <v>215</v>
      </c>
      <c r="F100" s="280">
        <f>VLOOKUP(B100,'26MY_CIV4D_DATA'!B:AQ,10,FALSE)</f>
        <v>358</v>
      </c>
      <c r="G100" s="287">
        <f>VLOOKUP(B100,'26MY_CIV4D_DATA'!B:AQ,7,FALSE)</f>
        <v>0.4</v>
      </c>
      <c r="H100" s="281">
        <f>VLOOKUP(B100,'26MY_CIV4D_DATA'!B:AQ,11,FALSE)</f>
        <v>430.4</v>
      </c>
      <c r="I100" s="288" t="str">
        <f>VLOOKUP(B100,'26MY_CIV4D_DATA'!B:AQ,12,FALSE)</f>
        <v>•</v>
      </c>
      <c r="J100" s="288">
        <f>VLOOKUP(B100,'26MY_CIV4D_DATA'!B:AQ,13,FALSE)</f>
        <v>0</v>
      </c>
      <c r="K100" s="288">
        <f>VLOOKUP($B100,'26MY_CIV4D_DATA'!$B:$AQ,14,FALSE)</f>
        <v>0</v>
      </c>
      <c r="L100" s="288" t="str">
        <f>VLOOKUP(B100,'26MY_CIV4D_DATA'!B:AQ,15,FALSE)</f>
        <v>•</v>
      </c>
      <c r="M100" s="288" t="str">
        <f>VLOOKUP($B100,'26MY_CIV4D_DATA'!$B:$AQ,16,FALSE)</f>
        <v>•</v>
      </c>
      <c r="N100" s="288">
        <f>VLOOKUP($B100,'26MY_CIV4D_DATA'!$B:$AQ,17,FALSE)</f>
        <v>0</v>
      </c>
      <c r="O100" s="288" t="str">
        <f>VLOOKUP($B100,'26MY_CIV4D_DATA'!$B:$AQ,18,FALSE)</f>
        <v>•</v>
      </c>
      <c r="P100" s="288" t="str">
        <f>VLOOKUP(B100,'26MY_CIV4D_DATA'!B:AQ,19,FALSE)</f>
        <v>N/A</v>
      </c>
      <c r="Q100" s="335"/>
    </row>
    <row r="101" spans="2:17" s="135" customFormat="1" ht="15" customHeight="1">
      <c r="B101" s="382" t="s">
        <v>308</v>
      </c>
      <c r="C101" s="198" t="str">
        <f>VLOOKUP(B101,'26MY_CIV4D_DATA'!B:AQ,3,FALSE)</f>
        <v>Door Edge Guards</v>
      </c>
      <c r="D101" s="188"/>
      <c r="E101" s="188"/>
      <c r="F101" s="188"/>
      <c r="G101" s="188"/>
      <c r="H101" s="188"/>
      <c r="I101" s="188"/>
      <c r="J101" s="188"/>
      <c r="K101" s="188"/>
      <c r="L101" s="188"/>
      <c r="M101" s="188"/>
      <c r="N101" s="188"/>
      <c r="O101" s="188"/>
      <c r="P101" s="188"/>
      <c r="Q101" s="294"/>
    </row>
    <row r="102" spans="2:17" s="135" customFormat="1" ht="15" customHeight="1">
      <c r="B102" s="382" t="s">
        <v>148</v>
      </c>
      <c r="C102" s="197" t="str">
        <f>VLOOKUP(B102,'26MY_CIV4D_DATA'!B:AQ,3,FALSE)</f>
        <v>Platinum White Pearl (NH-883P)</v>
      </c>
      <c r="D102" s="79" t="str">
        <f t="shared" ref="D102" si="21">B102</f>
        <v>08P20-T20-130</v>
      </c>
      <c r="E102" s="280">
        <f>VLOOKUP(B102,'26MY_CIV4D_DATA'!B:AQ,9,FALSE)</f>
        <v>140</v>
      </c>
      <c r="F102" s="280">
        <f>VLOOKUP(B102,'26MY_CIV4D_DATA'!B:AQ,10,FALSE)</f>
        <v>200</v>
      </c>
      <c r="G102" s="287">
        <f>VLOOKUP(B102,'26MY_CIV4D_DATA'!B:AQ,7,FALSE)</f>
        <v>0.4</v>
      </c>
      <c r="H102" s="281">
        <f>VLOOKUP(B102,'26MY_CIV4D_DATA'!B:AQ,11,FALSE)</f>
        <v>272.39999999999998</v>
      </c>
      <c r="I102" s="288" t="str">
        <f>VLOOKUP(B102,'26MY_CIV4D_DATA'!B:AQ,12,FALSE)</f>
        <v>•</v>
      </c>
      <c r="J102" s="288">
        <f>VLOOKUP(B102,'26MY_CIV4D_DATA'!B:AQ,13,FALSE)</f>
        <v>0</v>
      </c>
      <c r="K102" s="288">
        <f>VLOOKUP($B102,'26MY_CIV4D_DATA'!$B:$AQ,14,FALSE)</f>
        <v>0</v>
      </c>
      <c r="L102" s="288" t="str">
        <f>VLOOKUP(B102,'26MY_CIV4D_DATA'!B:AQ,15,FALSE)</f>
        <v>•</v>
      </c>
      <c r="M102" s="288" t="str">
        <f>VLOOKUP($B102,'26MY_CIV4D_DATA'!$B:$AQ,16,FALSE)</f>
        <v>•</v>
      </c>
      <c r="N102" s="288">
        <f>VLOOKUP($B102,'26MY_CIV4D_DATA'!$B:$AQ,17,FALSE)</f>
        <v>0</v>
      </c>
      <c r="O102" s="288" t="str">
        <f>VLOOKUP($B102,'26MY_CIV4D_DATA'!$B:$AQ,18,FALSE)</f>
        <v>•</v>
      </c>
      <c r="P102" s="288" t="str">
        <f>VLOOKUP(B102,'26MY_CIV4D_DATA'!B:AQ,19,FALSE)</f>
        <v>•</v>
      </c>
      <c r="Q102" s="334" t="str">
        <f>IF(VLOOKUP(B102,'26MY_CIV4D_DATA'!B:AQ,20,FALSE)="","",VLOOKUP(B102,'26MY_CIV4D_DATA'!B:AQ,20,FALSE))</f>
        <v/>
      </c>
    </row>
    <row r="103" spans="2:17" s="135" customFormat="1" ht="15" customHeight="1">
      <c r="B103" s="382" t="s">
        <v>147</v>
      </c>
      <c r="C103" s="197" t="str">
        <f>VLOOKUP(B103,'26MY_CIV4D_DATA'!B:AQ,3,FALSE)</f>
        <v>Meteriod Gray Pearl (NH-904M)</v>
      </c>
      <c r="D103" s="79" t="str">
        <f t="shared" ref="D103:D108" si="22">B103</f>
        <v>08P20-T20-170</v>
      </c>
      <c r="E103" s="280">
        <f>VLOOKUP(B103,'26MY_CIV4D_DATA'!B:AQ,9,FALSE)</f>
        <v>115</v>
      </c>
      <c r="F103" s="280">
        <f>VLOOKUP(B103,'26MY_CIV4D_DATA'!B:AQ,10,FALSE)</f>
        <v>195</v>
      </c>
      <c r="G103" s="287">
        <f>VLOOKUP(B103,'26MY_CIV4D_DATA'!B:AQ,7,FALSE)</f>
        <v>0.4</v>
      </c>
      <c r="H103" s="281">
        <f>VLOOKUP(B103,'26MY_CIV4D_DATA'!B:AQ,11,FALSE)</f>
        <v>267.39999999999998</v>
      </c>
      <c r="I103" s="288" t="str">
        <f>VLOOKUP(B103,'26MY_CIV4D_DATA'!B:AQ,12,FALSE)</f>
        <v>N/A</v>
      </c>
      <c r="J103" s="288">
        <f>VLOOKUP(B103,'26MY_CIV4D_DATA'!B:AQ,13,FALSE)</f>
        <v>0</v>
      </c>
      <c r="K103" s="288">
        <f>VLOOKUP($B103,'26MY_CIV4D_DATA'!$B:$AQ,14,FALSE)</f>
        <v>0</v>
      </c>
      <c r="L103" s="288" t="str">
        <f>VLOOKUP(B103,'26MY_CIV4D_DATA'!B:AQ,15,FALSE)</f>
        <v>•</v>
      </c>
      <c r="M103" s="288" t="str">
        <f>VLOOKUP($B103,'26MY_CIV4D_DATA'!$B:$AQ,16,FALSE)</f>
        <v>N/A</v>
      </c>
      <c r="N103" s="288">
        <f>VLOOKUP($B103,'26MY_CIV4D_DATA'!$B:$AQ,17,FALSE)</f>
        <v>0</v>
      </c>
      <c r="O103" s="288" t="str">
        <f>VLOOKUP($B103,'26MY_CIV4D_DATA'!$B:$AQ,18,FALSE)</f>
        <v>N/A</v>
      </c>
      <c r="P103" s="288" t="str">
        <f>VLOOKUP(B103,'26MY_CIV4D_DATA'!B:AQ,19,FALSE)</f>
        <v>N/A</v>
      </c>
      <c r="Q103" s="335"/>
    </row>
    <row r="104" spans="2:17" s="135" customFormat="1" ht="15" customHeight="1">
      <c r="B104" s="382" t="s">
        <v>146</v>
      </c>
      <c r="C104" s="197" t="str">
        <f>VLOOKUP(B104,'26MY_CIV4D_DATA'!B:AQ,3,FALSE)</f>
        <v>Crystal Black Pearl (NH-731P)</v>
      </c>
      <c r="D104" s="79" t="str">
        <f t="shared" si="22"/>
        <v>08P20-T20-180</v>
      </c>
      <c r="E104" s="280">
        <f>VLOOKUP(B104,'26MY_CIV4D_DATA'!B:AQ,9,FALSE)</f>
        <v>140</v>
      </c>
      <c r="F104" s="280">
        <f>VLOOKUP(B104,'26MY_CIV4D_DATA'!B:AQ,10,FALSE)</f>
        <v>200</v>
      </c>
      <c r="G104" s="287">
        <f>VLOOKUP(B104,'26MY_CIV4D_DATA'!B:AQ,7,FALSE)</f>
        <v>0.4</v>
      </c>
      <c r="H104" s="281">
        <f>VLOOKUP(B104,'26MY_CIV4D_DATA'!B:AQ,11,FALSE)</f>
        <v>272.39999999999998</v>
      </c>
      <c r="I104" s="288" t="str">
        <f>VLOOKUP(B104,'26MY_CIV4D_DATA'!B:AQ,12,FALSE)</f>
        <v>•</v>
      </c>
      <c r="J104" s="288">
        <f>VLOOKUP(B104,'26MY_CIV4D_DATA'!B:AQ,13,FALSE)</f>
        <v>0</v>
      </c>
      <c r="K104" s="288">
        <f>VLOOKUP($B104,'26MY_CIV4D_DATA'!$B:$AQ,14,FALSE)</f>
        <v>0</v>
      </c>
      <c r="L104" s="288" t="str">
        <f>VLOOKUP(B104,'26MY_CIV4D_DATA'!B:AQ,15,FALSE)</f>
        <v>•</v>
      </c>
      <c r="M104" s="288" t="str">
        <f>VLOOKUP($B104,'26MY_CIV4D_DATA'!$B:$AQ,16,FALSE)</f>
        <v>•</v>
      </c>
      <c r="N104" s="288">
        <f>VLOOKUP($B104,'26MY_CIV4D_DATA'!$B:$AQ,17,FALSE)</f>
        <v>0</v>
      </c>
      <c r="O104" s="288" t="str">
        <f>VLOOKUP($B104,'26MY_CIV4D_DATA'!$B:$AQ,18,FALSE)</f>
        <v>•</v>
      </c>
      <c r="P104" s="288" t="str">
        <f>VLOOKUP(B104,'26MY_CIV4D_DATA'!B:AQ,19,FALSE)</f>
        <v>•</v>
      </c>
      <c r="Q104" s="335"/>
    </row>
    <row r="105" spans="2:17" s="135" customFormat="1" ht="15" customHeight="1">
      <c r="B105" s="382" t="s">
        <v>149</v>
      </c>
      <c r="C105" s="197" t="str">
        <f>VLOOKUP(B105,'26MY_CIV4D_DATA'!B:AQ,3,FALSE)</f>
        <v>Rallye Red (R-513)</v>
      </c>
      <c r="D105" s="79" t="str">
        <f t="shared" si="22"/>
        <v>08P20-T20-190</v>
      </c>
      <c r="E105" s="280">
        <f>VLOOKUP(B105,'26MY_CIV4D_DATA'!B:AQ,9,FALSE)</f>
        <v>140</v>
      </c>
      <c r="F105" s="280">
        <f>VLOOKUP(B105,'26MY_CIV4D_DATA'!B:AQ,10,FALSE)</f>
        <v>200</v>
      </c>
      <c r="G105" s="287">
        <f>VLOOKUP(B105,'26MY_CIV4D_DATA'!B:AQ,7,FALSE)</f>
        <v>0.4</v>
      </c>
      <c r="H105" s="281">
        <f>VLOOKUP(B105,'26MY_CIV4D_DATA'!B:AQ,11,FALSE)</f>
        <v>272.39999999999998</v>
      </c>
      <c r="I105" s="288" t="str">
        <f>VLOOKUP(B105,'26MY_CIV4D_DATA'!B:AQ,12,FALSE)</f>
        <v>•</v>
      </c>
      <c r="J105" s="288">
        <f>VLOOKUP(B105,'26MY_CIV4D_DATA'!B:AQ,13,FALSE)</f>
        <v>0</v>
      </c>
      <c r="K105" s="288">
        <f>VLOOKUP($B105,'26MY_CIV4D_DATA'!$B:$AQ,14,FALSE)</f>
        <v>0</v>
      </c>
      <c r="L105" s="288" t="str">
        <f>VLOOKUP(B105,'26MY_CIV4D_DATA'!B:AQ,15,FALSE)</f>
        <v>•</v>
      </c>
      <c r="M105" s="288" t="str">
        <f>VLOOKUP($B105,'26MY_CIV4D_DATA'!$B:$AQ,16,FALSE)</f>
        <v>•</v>
      </c>
      <c r="N105" s="288">
        <f>VLOOKUP($B105,'26MY_CIV4D_DATA'!$B:$AQ,17,FALSE)</f>
        <v>0</v>
      </c>
      <c r="O105" s="288" t="str">
        <f>VLOOKUP($B105,'26MY_CIV4D_DATA'!$B:$AQ,18,FALSE)</f>
        <v>•</v>
      </c>
      <c r="P105" s="288" t="str">
        <f>VLOOKUP(B105,'26MY_CIV4D_DATA'!B:AQ,19,FALSE)</f>
        <v>•</v>
      </c>
      <c r="Q105" s="335"/>
    </row>
    <row r="106" spans="2:17" ht="14.5">
      <c r="B106" s="379" t="s">
        <v>422</v>
      </c>
      <c r="C106" s="197" t="str">
        <f>VLOOKUP(B106,'26MY_CIV4D_DATA'!B:AQ,3,FALSE)</f>
        <v>Urban Grey Pearl (NH-912P)</v>
      </c>
      <c r="D106" s="79" t="str">
        <f t="shared" si="22"/>
        <v>08P20-T20-1J0</v>
      </c>
      <c r="E106" s="280">
        <f>VLOOKUP(B106,'26MY_CIV4D_DATA'!B:AQ,9,FALSE)</f>
        <v>140</v>
      </c>
      <c r="F106" s="280">
        <f>VLOOKUP(B106,'26MY_CIV4D_DATA'!B:AQ,10,FALSE)</f>
        <v>200</v>
      </c>
      <c r="G106" s="287">
        <f>VLOOKUP(B106,'26MY_CIV4D_DATA'!B:AQ,7,FALSE)</f>
        <v>0.4</v>
      </c>
      <c r="H106" s="281">
        <f>VLOOKUP(B106,'26MY_CIV4D_DATA'!B:AQ,11,FALSE)</f>
        <v>272.39999999999998</v>
      </c>
      <c r="I106" s="288" t="str">
        <f>VLOOKUP(B106,'26MY_CIV4D_DATA'!B:AQ,12,FALSE)</f>
        <v>N/A</v>
      </c>
      <c r="J106" s="288">
        <f>VLOOKUP(B106,'26MY_CIV4D_DATA'!B:AQ,13,FALSE)</f>
        <v>0</v>
      </c>
      <c r="K106" s="288">
        <f>VLOOKUP($B106,'26MY_CIV4D_DATA'!$B:$AQ,14,FALSE)</f>
        <v>0</v>
      </c>
      <c r="L106" s="288" t="str">
        <f>VLOOKUP(B106,'26MY_CIV4D_DATA'!B:AQ,15,FALSE)</f>
        <v>N/A</v>
      </c>
      <c r="M106" s="288" t="str">
        <f>VLOOKUP($B106,'26MY_CIV4D_DATA'!$B:$AQ,16,FALSE)</f>
        <v>N/A</v>
      </c>
      <c r="N106" s="288">
        <f>VLOOKUP($B106,'26MY_CIV4D_DATA'!$B:$AQ,17,FALSE)</f>
        <v>0</v>
      </c>
      <c r="O106" s="288" t="str">
        <f>VLOOKUP($B106,'26MY_CIV4D_DATA'!$B:$AQ,18,FALSE)</f>
        <v>•</v>
      </c>
      <c r="P106" s="288" t="str">
        <f>VLOOKUP(B106,'26MY_CIV4D_DATA'!B:AQ,19,FALSE)</f>
        <v>•</v>
      </c>
      <c r="Q106" s="335"/>
    </row>
    <row r="107" spans="2:17" ht="14.5">
      <c r="B107" s="379" t="s">
        <v>423</v>
      </c>
      <c r="C107" s="197" t="str">
        <f>VLOOKUP(B107,'26MY_CIV4D_DATA'!B:AQ,3,FALSE)</f>
        <v>Blue Lagoon Pearl (B-645P)</v>
      </c>
      <c r="D107" s="79" t="str">
        <f t="shared" si="22"/>
        <v>08P20-T20-1P0</v>
      </c>
      <c r="E107" s="280">
        <f>VLOOKUP(B107,'26MY_CIV4D_DATA'!B:AQ,9,FALSE)</f>
        <v>140</v>
      </c>
      <c r="F107" s="280">
        <f>VLOOKUP(B107,'26MY_CIV4D_DATA'!B:AQ,10,FALSE)</f>
        <v>200</v>
      </c>
      <c r="G107" s="287">
        <f>VLOOKUP(B107,'26MY_CIV4D_DATA'!B:AQ,7,FALSE)</f>
        <v>0.4</v>
      </c>
      <c r="H107" s="281">
        <f>VLOOKUP(B107,'26MY_CIV4D_DATA'!B:AQ,11,FALSE)</f>
        <v>272.39999999999998</v>
      </c>
      <c r="I107" s="288" t="str">
        <f>VLOOKUP(B107,'26MY_CIV4D_DATA'!B:AQ,12,FALSE)</f>
        <v>N/A</v>
      </c>
      <c r="J107" s="288">
        <f>VLOOKUP(B107,'26MY_CIV4D_DATA'!B:AQ,13,FALSE)</f>
        <v>0</v>
      </c>
      <c r="K107" s="288">
        <f>VLOOKUP($B107,'26MY_CIV4D_DATA'!$B:$AQ,14,FALSE)</f>
        <v>0</v>
      </c>
      <c r="L107" s="288" t="str">
        <f>VLOOKUP(B107,'26MY_CIV4D_DATA'!B:AQ,15,FALSE)</f>
        <v>N/A</v>
      </c>
      <c r="M107" s="288" t="str">
        <f>VLOOKUP($B107,'26MY_CIV4D_DATA'!$B:$AQ,16,FALSE)</f>
        <v>N/A</v>
      </c>
      <c r="N107" s="288">
        <f>VLOOKUP($B107,'26MY_CIV4D_DATA'!$B:$AQ,17,FALSE)</f>
        <v>0</v>
      </c>
      <c r="O107" s="288" t="str">
        <f>VLOOKUP($B107,'26MY_CIV4D_DATA'!$B:$AQ,18,FALSE)</f>
        <v>•</v>
      </c>
      <c r="P107" s="288" t="str">
        <f>VLOOKUP(B107,'26MY_CIV4D_DATA'!B:AQ,19,FALSE)</f>
        <v>N/A</v>
      </c>
      <c r="Q107" s="335"/>
    </row>
    <row r="108" spans="2:17" ht="14.5">
      <c r="B108" s="379" t="s">
        <v>411</v>
      </c>
      <c r="C108" s="197" t="str">
        <f>VLOOKUP(B108,'26MY_CIV4D_DATA'!B:AQ,3,FALSE)</f>
        <v>Solar Reflection Silver (NH-932M)</v>
      </c>
      <c r="D108" s="79" t="str">
        <f t="shared" si="22"/>
        <v>08P20-T20-1Z0</v>
      </c>
      <c r="E108" s="280">
        <f>VLOOKUP(B108,'26MY_CIV4D_DATA'!B:AQ,9,FALSE)</f>
        <v>140</v>
      </c>
      <c r="F108" s="280">
        <f>VLOOKUP(B108,'26MY_CIV4D_DATA'!B:AQ,10,FALSE)</f>
        <v>200</v>
      </c>
      <c r="G108" s="287">
        <f>VLOOKUP(B108,'26MY_CIV4D_DATA'!B:AQ,7,FALSE)</f>
        <v>0.4</v>
      </c>
      <c r="H108" s="281">
        <f>VLOOKUP(B108,'26MY_CIV4D_DATA'!B:AQ,11,FALSE)</f>
        <v>272.39999999999998</v>
      </c>
      <c r="I108" s="288" t="str">
        <f>VLOOKUP(B108,'26MY_CIV4D_DATA'!B:AQ,12,FALSE)</f>
        <v>•</v>
      </c>
      <c r="J108" s="288">
        <f>VLOOKUP(B108,'26MY_CIV4D_DATA'!B:AQ,13,FALSE)</f>
        <v>0</v>
      </c>
      <c r="K108" s="288">
        <f>VLOOKUP($B108,'26MY_CIV4D_DATA'!$B:$AQ,14,FALSE)</f>
        <v>0</v>
      </c>
      <c r="L108" s="288" t="str">
        <f>VLOOKUP(B108,'26MY_CIV4D_DATA'!B:AQ,15,FALSE)</f>
        <v>•</v>
      </c>
      <c r="M108" s="288" t="str">
        <f>VLOOKUP($B108,'26MY_CIV4D_DATA'!$B:$AQ,16,FALSE)</f>
        <v>•</v>
      </c>
      <c r="N108" s="288">
        <f>VLOOKUP($B108,'26MY_CIV4D_DATA'!$B:$AQ,17,FALSE)</f>
        <v>0</v>
      </c>
      <c r="O108" s="288" t="str">
        <f>VLOOKUP($B108,'26MY_CIV4D_DATA'!$B:$AQ,18,FALSE)</f>
        <v>•</v>
      </c>
      <c r="P108" s="288" t="str">
        <f>VLOOKUP(B108,'26MY_CIV4D_DATA'!B:AQ,19,FALSE)</f>
        <v>N/A</v>
      </c>
      <c r="Q108" s="335"/>
    </row>
    <row r="109" spans="2:17" s="135" customFormat="1" ht="15" customHeight="1">
      <c r="B109" s="382"/>
      <c r="C109" s="130"/>
      <c r="D109" s="130"/>
      <c r="E109" s="140"/>
      <c r="F109" s="140"/>
      <c r="G109" s="192"/>
      <c r="H109" s="140"/>
      <c r="I109" s="140"/>
      <c r="J109" s="140"/>
      <c r="K109" s="140"/>
      <c r="L109" s="140"/>
      <c r="M109" s="140"/>
      <c r="N109" s="140"/>
      <c r="O109" s="140"/>
      <c r="P109" s="140"/>
      <c r="Q109" s="295"/>
    </row>
    <row r="110" spans="2:17" s="133" customFormat="1" ht="18.5">
      <c r="B110" s="383"/>
      <c r="C110" s="152" t="s">
        <v>68</v>
      </c>
      <c r="D110" s="152"/>
      <c r="E110" s="193"/>
      <c r="F110" s="193"/>
      <c r="G110" s="193"/>
      <c r="H110" s="193"/>
      <c r="I110" s="193"/>
      <c r="J110" s="193"/>
      <c r="K110" s="193"/>
      <c r="L110" s="193"/>
      <c r="M110" s="193"/>
      <c r="N110" s="193"/>
      <c r="O110" s="193"/>
      <c r="P110" s="193"/>
      <c r="Q110" s="193"/>
    </row>
    <row r="111" spans="2:17" s="134" customFormat="1" ht="15" customHeight="1">
      <c r="B111" s="384"/>
      <c r="C111" s="346" t="s">
        <v>62</v>
      </c>
      <c r="D111" s="346" t="s">
        <v>10</v>
      </c>
      <c r="E111" s="346" t="s">
        <v>17</v>
      </c>
      <c r="F111" s="346" t="s">
        <v>11</v>
      </c>
      <c r="G111" s="346" t="s">
        <v>12</v>
      </c>
      <c r="H111" s="347" t="s">
        <v>13</v>
      </c>
      <c r="I111" s="346" t="s">
        <v>25</v>
      </c>
      <c r="J111" s="346"/>
      <c r="K111" s="346"/>
      <c r="L111" s="346"/>
      <c r="M111" s="346"/>
      <c r="N111" s="346"/>
      <c r="O111" s="346"/>
      <c r="P111" s="346"/>
      <c r="Q111" s="346" t="s">
        <v>14</v>
      </c>
    </row>
    <row r="112" spans="2:17" s="134" customFormat="1" ht="43.5">
      <c r="B112" s="384"/>
      <c r="C112" s="346"/>
      <c r="D112" s="346"/>
      <c r="E112" s="346"/>
      <c r="F112" s="346"/>
      <c r="G112" s="346"/>
      <c r="H112" s="347"/>
      <c r="I112" s="178" t="str">
        <f>'26MY_CIV4D_DATA'!M$9</f>
        <v>LX</v>
      </c>
      <c r="J112" s="178">
        <f>'26MY_CIV4D_DATA'!N$9</f>
        <v>0</v>
      </c>
      <c r="K112" s="178">
        <f>'26MY_CIV4D_DATA'!O$9</f>
        <v>0</v>
      </c>
      <c r="L112" s="178" t="str">
        <f>'26MY_CIV4D_DATA'!P$9</f>
        <v>SPORT</v>
      </c>
      <c r="M112" s="178" t="str">
        <f>'26MY_CIV4D_DATA'!Q$9</f>
        <v>SPORT 
Hybrid</v>
      </c>
      <c r="N112" s="178">
        <f>'26MY_CIV4D_DATA'!R$9</f>
        <v>0</v>
      </c>
      <c r="O112" s="178" t="str">
        <f>'26MY_CIV4D_DATA'!S$9</f>
        <v>Sport Touring Hybrid</v>
      </c>
      <c r="P112" s="178" t="str">
        <f>'26MY_CIV4D_DATA'!T$9</f>
        <v>Si</v>
      </c>
      <c r="Q112" s="346"/>
    </row>
    <row r="113" spans="2:17" s="135" customFormat="1" ht="15" customHeight="1">
      <c r="B113" s="382" t="s">
        <v>213</v>
      </c>
      <c r="C113" s="179" t="str">
        <f>VLOOKUP(B113,'26MY_CIV4D_DATA'!B:AQ,3,FALSE)</f>
        <v>Ashtray</v>
      </c>
      <c r="D113" s="79" t="str">
        <f t="shared" ref="D113" si="23">B113</f>
        <v>08U25-S3Y-305</v>
      </c>
      <c r="E113" s="280">
        <f>VLOOKUP(B113,'26MY_CIV4D_DATA'!B:AQ,9,FALSE)</f>
        <v>40.01</v>
      </c>
      <c r="F113" s="280">
        <f>VLOOKUP(B113,'26MY_CIV4D_DATA'!B:AQ,10,FALSE)</f>
        <v>66.69</v>
      </c>
      <c r="G113" s="287">
        <f>VLOOKUP(B113,'26MY_CIV4D_DATA'!B:AQ,7,FALSE)</f>
        <v>0</v>
      </c>
      <c r="H113" s="281">
        <f>VLOOKUP(B113,'26MY_CIV4D_DATA'!B:AQ,11,FALSE)</f>
        <v>66.69</v>
      </c>
      <c r="I113" s="288" t="str">
        <f>VLOOKUP(B113,'26MY_CIV4D_DATA'!B:AQ,12,FALSE)</f>
        <v>•</v>
      </c>
      <c r="J113" s="288">
        <f>VLOOKUP(B113,'26MY_CIV4D_DATA'!B:AQ,13,FALSE)</f>
        <v>0</v>
      </c>
      <c r="K113" s="288">
        <f>VLOOKUP($B113,'26MY_CIV4D_DATA'!$B:$AQ,14,FALSE)</f>
        <v>0</v>
      </c>
      <c r="L113" s="288" t="str">
        <f>VLOOKUP(B113,'26MY_CIV4D_DATA'!B:AQ,15,FALSE)</f>
        <v>•</v>
      </c>
      <c r="M113" s="288" t="str">
        <f>VLOOKUP($B113,'26MY_CIV4D_DATA'!$B:$AQ,16,FALSE)</f>
        <v>•</v>
      </c>
      <c r="N113" s="288">
        <f>VLOOKUP($B113,'26MY_CIV4D_DATA'!$B:$AQ,17,FALSE)</f>
        <v>0</v>
      </c>
      <c r="O113" s="288" t="str">
        <f>VLOOKUP($B113,'26MY_CIV4D_DATA'!$B:$AQ,18,FALSE)</f>
        <v>•</v>
      </c>
      <c r="P113" s="288" t="str">
        <f>VLOOKUP(B113,'26MY_CIV4D_DATA'!B:AQ,19,FALSE)</f>
        <v>•</v>
      </c>
      <c r="Q113" s="291" t="str">
        <f>IF(VLOOKUP(B113,'26MY_CIV4D_DATA'!B:AQ,20,FALSE)="","",VLOOKUP(B113,'26MY_CIV4D_DATA'!B:AQ,20,FALSE))</f>
        <v/>
      </c>
    </row>
    <row r="114" spans="2:17" s="135" customFormat="1" ht="15" customHeight="1">
      <c r="B114" s="382" t="s">
        <v>211</v>
      </c>
      <c r="C114" s="179" t="str">
        <f>VLOOKUP(B114,'26MY_CIV4D_DATA'!B:AQ,3,FALSE)</f>
        <v>Cargo Hook</v>
      </c>
      <c r="D114" s="79" t="str">
        <f t="shared" ref="D114:D122" si="24">B114</f>
        <v>08L96-TA0-301A</v>
      </c>
      <c r="E114" s="280">
        <f>VLOOKUP(B114,'26MY_CIV4D_DATA'!B:AQ,9,FALSE)</f>
        <v>17</v>
      </c>
      <c r="F114" s="280">
        <f>VLOOKUP(B114,'26MY_CIV4D_DATA'!B:AQ,10,FALSE)</f>
        <v>28</v>
      </c>
      <c r="G114" s="287">
        <f>VLOOKUP(B114,'26MY_CIV4D_DATA'!B:AQ,7,FALSE)</f>
        <v>0.2</v>
      </c>
      <c r="H114" s="281">
        <f>VLOOKUP(B114,'26MY_CIV4D_DATA'!B:AQ,11,FALSE)</f>
        <v>64.2</v>
      </c>
      <c r="I114" s="288" t="str">
        <f>VLOOKUP(B114,'26MY_CIV4D_DATA'!B:AQ,12,FALSE)</f>
        <v>•</v>
      </c>
      <c r="J114" s="288">
        <f>VLOOKUP(B114,'26MY_CIV4D_DATA'!B:AQ,13,FALSE)</f>
        <v>0</v>
      </c>
      <c r="K114" s="288">
        <f>VLOOKUP($B114,'26MY_CIV4D_DATA'!$B:$AQ,14,FALSE)</f>
        <v>0</v>
      </c>
      <c r="L114" s="288" t="str">
        <f>VLOOKUP(B114,'26MY_CIV4D_DATA'!B:AQ,15,FALSE)</f>
        <v>•</v>
      </c>
      <c r="M114" s="288" t="str">
        <f>VLOOKUP($B114,'26MY_CIV4D_DATA'!$B:$AQ,16,FALSE)</f>
        <v>•</v>
      </c>
      <c r="N114" s="288">
        <f>VLOOKUP($B114,'26MY_CIV4D_DATA'!$B:$AQ,17,FALSE)</f>
        <v>0</v>
      </c>
      <c r="O114" s="288" t="str">
        <f>VLOOKUP($B114,'26MY_CIV4D_DATA'!$B:$AQ,18,FALSE)</f>
        <v>•</v>
      </c>
      <c r="P114" s="288" t="str">
        <f>VLOOKUP(B114,'26MY_CIV4D_DATA'!B:AQ,19,FALSE)</f>
        <v>•</v>
      </c>
      <c r="Q114" s="291" t="str">
        <f>IF(VLOOKUP(B114,'26MY_CIV4D_DATA'!B:AQ,20,FALSE)="","",VLOOKUP(B114,'26MY_CIV4D_DATA'!B:AQ,20,FALSE))</f>
        <v>1  Hook.</v>
      </c>
    </row>
    <row r="115" spans="2:17" s="135" customFormat="1" ht="15" customHeight="1">
      <c r="B115" s="382" t="s">
        <v>110</v>
      </c>
      <c r="C115" s="179" t="str">
        <f>VLOOKUP(B115,'26MY_CIV4D_DATA'!B:AQ,3,FALSE)</f>
        <v>Cargo Net</v>
      </c>
      <c r="D115" s="79" t="str">
        <f t="shared" si="24"/>
        <v>08L96-T20-300</v>
      </c>
      <c r="E115" s="280">
        <f>VLOOKUP(B115,'26MY_CIV4D_DATA'!B:AQ,9,FALSE)</f>
        <v>59</v>
      </c>
      <c r="F115" s="280">
        <f>VLOOKUP(B115,'26MY_CIV4D_DATA'!B:AQ,10,FALSE)</f>
        <v>98</v>
      </c>
      <c r="G115" s="287">
        <f>VLOOKUP(B115,'26MY_CIV4D_DATA'!B:AQ,7,FALSE)</f>
        <v>0.4</v>
      </c>
      <c r="H115" s="281">
        <f>VLOOKUP(B115,'26MY_CIV4D_DATA'!B:AQ,11,FALSE)</f>
        <v>170.4</v>
      </c>
      <c r="I115" s="288" t="str">
        <f>VLOOKUP(B115,'26MY_CIV4D_DATA'!B:AQ,12,FALSE)</f>
        <v>•</v>
      </c>
      <c r="J115" s="288">
        <f>VLOOKUP(B115,'26MY_CIV4D_DATA'!B:AQ,13,FALSE)</f>
        <v>0</v>
      </c>
      <c r="K115" s="288">
        <f>VLOOKUP($B115,'26MY_CIV4D_DATA'!$B:$AQ,14,FALSE)</f>
        <v>0</v>
      </c>
      <c r="L115" s="288" t="str">
        <f>VLOOKUP(B115,'26MY_CIV4D_DATA'!B:AQ,15,FALSE)</f>
        <v>•</v>
      </c>
      <c r="M115" s="288" t="str">
        <f>VLOOKUP($B115,'26MY_CIV4D_DATA'!$B:$AQ,16,FALSE)</f>
        <v>•</v>
      </c>
      <c r="N115" s="288">
        <f>VLOOKUP($B115,'26MY_CIV4D_DATA'!$B:$AQ,17,FALSE)</f>
        <v>0</v>
      </c>
      <c r="O115" s="288" t="str">
        <f>VLOOKUP($B115,'26MY_CIV4D_DATA'!$B:$AQ,18,FALSE)</f>
        <v>•</v>
      </c>
      <c r="P115" s="288" t="str">
        <f>VLOOKUP(B115,'26MY_CIV4D_DATA'!B:AQ,19,FALSE)</f>
        <v>•</v>
      </c>
      <c r="Q115" s="291" t="str">
        <f>IF(VLOOKUP(B115,'26MY_CIV4D_DATA'!B:AQ,20,FALSE)="","",VLOOKUP(B115,'26MY_CIV4D_DATA'!B:AQ,20,FALSE))</f>
        <v/>
      </c>
    </row>
    <row r="116" spans="2:17" s="135" customFormat="1" ht="15" customHeight="1">
      <c r="B116" s="382" t="s">
        <v>111</v>
      </c>
      <c r="C116" s="179" t="str">
        <f>VLOOKUP(B116,'26MY_CIV4D_DATA'!B:AQ,3,FALSE)</f>
        <v>Door Sill Protection Film</v>
      </c>
      <c r="D116" s="79" t="str">
        <f t="shared" si="24"/>
        <v>08P04-T20-100</v>
      </c>
      <c r="E116" s="280">
        <f>VLOOKUP(B116,'26MY_CIV4D_DATA'!B:AQ,9,FALSE)</f>
        <v>103</v>
      </c>
      <c r="F116" s="280">
        <f>VLOOKUP(B116,'26MY_CIV4D_DATA'!B:AQ,10,FALSE)</f>
        <v>172</v>
      </c>
      <c r="G116" s="287">
        <f>VLOOKUP(B116,'26MY_CIV4D_DATA'!B:AQ,7,FALSE)</f>
        <v>0.4</v>
      </c>
      <c r="H116" s="281">
        <f>VLOOKUP(B116,'26MY_CIV4D_DATA'!B:AQ,11,FALSE)</f>
        <v>244.4</v>
      </c>
      <c r="I116" s="288" t="str">
        <f>VLOOKUP(B116,'26MY_CIV4D_DATA'!B:AQ,12,FALSE)</f>
        <v>•</v>
      </c>
      <c r="J116" s="288">
        <f>VLOOKUP(B116,'26MY_CIV4D_DATA'!B:AQ,13,FALSE)</f>
        <v>0</v>
      </c>
      <c r="K116" s="288">
        <f>VLOOKUP($B116,'26MY_CIV4D_DATA'!$B:$AQ,14,FALSE)</f>
        <v>0</v>
      </c>
      <c r="L116" s="288" t="str">
        <f>VLOOKUP(B116,'26MY_CIV4D_DATA'!B:AQ,15,FALSE)</f>
        <v>•</v>
      </c>
      <c r="M116" s="288" t="str">
        <f>VLOOKUP($B116,'26MY_CIV4D_DATA'!$B:$AQ,16,FALSE)</f>
        <v>•</v>
      </c>
      <c r="N116" s="288">
        <f>VLOOKUP($B116,'26MY_CIV4D_DATA'!$B:$AQ,17,FALSE)</f>
        <v>0</v>
      </c>
      <c r="O116" s="288" t="str">
        <f>VLOOKUP($B116,'26MY_CIV4D_DATA'!$B:$AQ,18,FALSE)</f>
        <v>•</v>
      </c>
      <c r="P116" s="288" t="str">
        <f>VLOOKUP(B116,'26MY_CIV4D_DATA'!B:AQ,19,FALSE)</f>
        <v>•</v>
      </c>
      <c r="Q116" s="291" t="str">
        <f>IF(VLOOKUP(B116,'26MY_CIV4D_DATA'!B:AQ,20,FALSE)="","",VLOOKUP(B116,'26MY_CIV4D_DATA'!B:AQ,20,FALSE))</f>
        <v/>
      </c>
    </row>
    <row r="117" spans="2:17" s="135" customFormat="1" ht="15" customHeight="1">
      <c r="B117" s="382" t="s">
        <v>242</v>
      </c>
      <c r="C117" s="179" t="str">
        <f>VLOOKUP(B117,'26MY_CIV4D_DATA'!B:AQ,3,FALSE)</f>
        <v>All-Season Floor Mats</v>
      </c>
      <c r="D117" s="79" t="str">
        <f t="shared" si="24"/>
        <v>08P17-T20-110</v>
      </c>
      <c r="E117" s="280">
        <f>VLOOKUP(B117,'26MY_CIV4D_DATA'!B:AQ,9,FALSE)</f>
        <v>149</v>
      </c>
      <c r="F117" s="280">
        <f>VLOOKUP(B117,'26MY_CIV4D_DATA'!B:AQ,10,FALSE)</f>
        <v>248</v>
      </c>
      <c r="G117" s="287">
        <f>VLOOKUP(B117,'26MY_CIV4D_DATA'!B:AQ,7,FALSE)</f>
        <v>0.1</v>
      </c>
      <c r="H117" s="281">
        <f>VLOOKUP(B117,'26MY_CIV4D_DATA'!B:AQ,11,FALSE)</f>
        <v>266.10000000000002</v>
      </c>
      <c r="I117" s="288" t="str">
        <f>VLOOKUP(B117,'26MY_CIV4D_DATA'!B:AQ,12,FALSE)</f>
        <v>•</v>
      </c>
      <c r="J117" s="288">
        <f>VLOOKUP(B117,'26MY_CIV4D_DATA'!B:AQ,13,FALSE)</f>
        <v>0</v>
      </c>
      <c r="K117" s="288">
        <f>VLOOKUP($B117,'26MY_CIV4D_DATA'!$B:$AQ,14,FALSE)</f>
        <v>0</v>
      </c>
      <c r="L117" s="288" t="str">
        <f>VLOOKUP(B117,'26MY_CIV4D_DATA'!B:AQ,15,FALSE)</f>
        <v>•</v>
      </c>
      <c r="M117" s="288" t="str">
        <f>VLOOKUP($B117,'26MY_CIV4D_DATA'!$B:$AQ,16,FALSE)</f>
        <v>N/A</v>
      </c>
      <c r="N117" s="288">
        <f>VLOOKUP($B117,'26MY_CIV4D_DATA'!$B:$AQ,17,FALSE)</f>
        <v>0</v>
      </c>
      <c r="O117" s="288" t="str">
        <f>VLOOKUP($B117,'26MY_CIV4D_DATA'!$B:$AQ,18,FALSE)</f>
        <v>N/A</v>
      </c>
      <c r="P117" s="288" t="str">
        <f>VLOOKUP(B117,'26MY_CIV4D_DATA'!B:AQ,19,FALSE)</f>
        <v>•</v>
      </c>
      <c r="Q117" s="291" t="str">
        <f>IF(VLOOKUP(B117,'26MY_CIV4D_DATA'!B:AQ,20,FALSE)="","",VLOOKUP(B117,'26MY_CIV4D_DATA'!B:AQ,20,FALSE))</f>
        <v>Includes Front and Rear.</v>
      </c>
    </row>
    <row r="118" spans="2:17" s="135" customFormat="1" ht="15" customHeight="1">
      <c r="B118" s="382" t="s">
        <v>389</v>
      </c>
      <c r="C118" s="179" t="str">
        <f>VLOOKUP(B118,'26MY_CIV4D_DATA'!B:AQ,3,FALSE)</f>
        <v>Floor Mats Hybrid - All-Season</v>
      </c>
      <c r="D118" s="79" t="str">
        <f t="shared" ref="D118" si="25">B118</f>
        <v>08P17-T20-110A</v>
      </c>
      <c r="E118" s="280">
        <f>VLOOKUP(B118,'26MY_CIV4D_DATA'!B:AQ,9,FALSE)</f>
        <v>149</v>
      </c>
      <c r="F118" s="280">
        <f>VLOOKUP(B118,'26MY_CIV4D_DATA'!B:AQ,10,FALSE)</f>
        <v>248</v>
      </c>
      <c r="G118" s="287">
        <f>VLOOKUP(B118,'26MY_CIV4D_DATA'!B:AQ,7,FALSE)</f>
        <v>0.1</v>
      </c>
      <c r="H118" s="281">
        <f>VLOOKUP(B118,'26MY_CIV4D_DATA'!B:AQ,11,FALSE)</f>
        <v>266.10000000000002</v>
      </c>
      <c r="I118" s="288" t="str">
        <f>VLOOKUP(B118,'26MY_CIV4D_DATA'!B:AQ,12,FALSE)</f>
        <v>N/A</v>
      </c>
      <c r="J118" s="288">
        <f>VLOOKUP(B118,'26MY_CIV4D_DATA'!B:AQ,13,FALSE)</f>
        <v>0</v>
      </c>
      <c r="K118" s="288">
        <f>VLOOKUP($B118,'26MY_CIV4D_DATA'!$B:$AQ,14,FALSE)</f>
        <v>0</v>
      </c>
      <c r="L118" s="288" t="str">
        <f>VLOOKUP(B118,'26MY_CIV4D_DATA'!B:AQ,15,FALSE)</f>
        <v>N/A</v>
      </c>
      <c r="M118" s="288" t="str">
        <f>VLOOKUP($B118,'26MY_CIV4D_DATA'!$B:$AQ,16,FALSE)</f>
        <v>•</v>
      </c>
      <c r="N118" s="288">
        <f>VLOOKUP($B118,'26MY_CIV4D_DATA'!$B:$AQ,17,FALSE)</f>
        <v>0</v>
      </c>
      <c r="O118" s="288" t="str">
        <f>VLOOKUP($B118,'26MY_CIV4D_DATA'!$B:$AQ,18,FALSE)</f>
        <v>•</v>
      </c>
      <c r="P118" s="288" t="str">
        <f>VLOOKUP(B118,'26MY_CIV4D_DATA'!B:AQ,19,FALSE)</f>
        <v>N/A</v>
      </c>
      <c r="Q118" s="291" t="str">
        <f>IF(VLOOKUP(B118,'26MY_CIV4D_DATA'!B:AQ,20,FALSE)="","",VLOOKUP(B118,'26MY_CIV4D_DATA'!B:AQ,20,FALSE))</f>
        <v/>
      </c>
    </row>
    <row r="119" spans="2:17" s="135" customFormat="1" ht="15" customHeight="1">
      <c r="B119" s="382" t="s">
        <v>243</v>
      </c>
      <c r="C119" s="179" t="str">
        <f>VLOOKUP(B119,'26MY_CIV4D_DATA'!B:AQ,3,FALSE)</f>
        <v>Carpet Floor Mats - Contoured High-Wall </v>
      </c>
      <c r="D119" s="79" t="str">
        <f t="shared" si="24"/>
        <v>08P15-T20-110</v>
      </c>
      <c r="E119" s="280">
        <f>VLOOKUP(B119,'26MY_CIV4D_DATA'!B:AQ,9,FALSE)</f>
        <v>238</v>
      </c>
      <c r="F119" s="280">
        <f>VLOOKUP(B119,'26MY_CIV4D_DATA'!B:AQ,10,FALSE)</f>
        <v>397</v>
      </c>
      <c r="G119" s="287">
        <f>VLOOKUP(B119,'26MY_CIV4D_DATA'!B:AQ,7,FALSE)</f>
        <v>0.1</v>
      </c>
      <c r="H119" s="281">
        <f>VLOOKUP(B119,'26MY_CIV4D_DATA'!B:AQ,11,FALSE)</f>
        <v>415.1</v>
      </c>
      <c r="I119" s="288" t="str">
        <f>VLOOKUP(B119,'26MY_CIV4D_DATA'!B:AQ,12,FALSE)</f>
        <v>•</v>
      </c>
      <c r="J119" s="288">
        <f>VLOOKUP(B119,'26MY_CIV4D_DATA'!B:AQ,13,FALSE)</f>
        <v>0</v>
      </c>
      <c r="K119" s="288">
        <f>VLOOKUP($B119,'26MY_CIV4D_DATA'!$B:$AQ,14,FALSE)</f>
        <v>0</v>
      </c>
      <c r="L119" s="288" t="str">
        <f>VLOOKUP(B119,'26MY_CIV4D_DATA'!B:AQ,15,FALSE)</f>
        <v>•</v>
      </c>
      <c r="M119" s="288" t="str">
        <f>VLOOKUP($B119,'26MY_CIV4D_DATA'!$B:$AQ,16,FALSE)</f>
        <v>•</v>
      </c>
      <c r="N119" s="288">
        <f>VLOOKUP($B119,'26MY_CIV4D_DATA'!$B:$AQ,17,FALSE)</f>
        <v>0</v>
      </c>
      <c r="O119" s="288" t="str">
        <f>VLOOKUP($B119,'26MY_CIV4D_DATA'!$B:$AQ,18,FALSE)</f>
        <v>•</v>
      </c>
      <c r="P119" s="288" t="str">
        <f>VLOOKUP(B119,'26MY_CIV4D_DATA'!B:AQ,19,FALSE)</f>
        <v>•</v>
      </c>
      <c r="Q119" s="291" t="str">
        <f>IF(VLOOKUP(B119,'26MY_CIV4D_DATA'!B:AQ,20,FALSE)="","",VLOOKUP(B119,'26MY_CIV4D_DATA'!B:AQ,20,FALSE))</f>
        <v>Includes Front and Rear.</v>
      </c>
    </row>
    <row r="120" spans="2:17" s="135" customFormat="1" ht="15" customHeight="1">
      <c r="B120" s="382" t="s">
        <v>113</v>
      </c>
      <c r="C120" s="179" t="str">
        <f>VLOOKUP(B120,'26MY_CIV4D_DATA'!B:AQ,3,FALSE)</f>
        <v>Rear Passenger Window Shade</v>
      </c>
      <c r="D120" s="79" t="str">
        <f t="shared" si="24"/>
        <v>08R13-T20-300</v>
      </c>
      <c r="E120" s="280">
        <f>VLOOKUP(B120,'26MY_CIV4D_DATA'!B:AQ,9,FALSE)</f>
        <v>168</v>
      </c>
      <c r="F120" s="280">
        <f>VLOOKUP(B120,'26MY_CIV4D_DATA'!B:AQ,10,FALSE)</f>
        <v>280</v>
      </c>
      <c r="G120" s="287">
        <f>VLOOKUP(B120,'26MY_CIV4D_DATA'!B:AQ,7,FALSE)</f>
        <v>0.5</v>
      </c>
      <c r="H120" s="281">
        <f>VLOOKUP(B120,'26MY_CIV4D_DATA'!B:AQ,11,FALSE)</f>
        <v>370.5</v>
      </c>
      <c r="I120" s="288" t="str">
        <f>VLOOKUP(B120,'26MY_CIV4D_DATA'!B:AQ,12,FALSE)</f>
        <v>•</v>
      </c>
      <c r="J120" s="288">
        <f>VLOOKUP(B120,'26MY_CIV4D_DATA'!B:AQ,13,FALSE)</f>
        <v>0</v>
      </c>
      <c r="K120" s="288">
        <f>VLOOKUP($B120,'26MY_CIV4D_DATA'!$B:$AQ,14,FALSE)</f>
        <v>0</v>
      </c>
      <c r="L120" s="288" t="str">
        <f>VLOOKUP(B120,'26MY_CIV4D_DATA'!B:AQ,15,FALSE)</f>
        <v>•</v>
      </c>
      <c r="M120" s="288" t="str">
        <f>VLOOKUP($B120,'26MY_CIV4D_DATA'!$B:$AQ,16,FALSE)</f>
        <v>•</v>
      </c>
      <c r="N120" s="288">
        <f>VLOOKUP($B120,'26MY_CIV4D_DATA'!$B:$AQ,17,FALSE)</f>
        <v>0</v>
      </c>
      <c r="O120" s="288" t="str">
        <f>VLOOKUP($B120,'26MY_CIV4D_DATA'!$B:$AQ,18,FALSE)</f>
        <v>•</v>
      </c>
      <c r="P120" s="288" t="str">
        <f>VLOOKUP(B120,'26MY_CIV4D_DATA'!B:AQ,19,FALSE)</f>
        <v>•</v>
      </c>
      <c r="Q120" s="291" t="str">
        <f>IF(VLOOKUP(B120,'26MY_CIV4D_DATA'!B:AQ,20,FALSE)="","",VLOOKUP(B120,'26MY_CIV4D_DATA'!B:AQ,20,FALSE))</f>
        <v>Includes Left and Right Side.</v>
      </c>
    </row>
    <row r="121" spans="2:17" s="135" customFormat="1" ht="15" customHeight="1">
      <c r="B121" s="382" t="s">
        <v>114</v>
      </c>
      <c r="C121" s="179" t="str">
        <f>VLOOKUP(B121,'26MY_CIV4D_DATA'!B:AQ,3,FALSE)</f>
        <v>Trunk Tray</v>
      </c>
      <c r="D121" s="79" t="str">
        <f t="shared" si="24"/>
        <v>08U45-T20-100</v>
      </c>
      <c r="E121" s="280">
        <f>VLOOKUP(B121,'26MY_CIV4D_DATA'!B:AQ,9,FALSE)</f>
        <v>118</v>
      </c>
      <c r="F121" s="280">
        <f>VLOOKUP(B121,'26MY_CIV4D_DATA'!B:AQ,10,FALSE)</f>
        <v>197</v>
      </c>
      <c r="G121" s="287">
        <f>VLOOKUP(B121,'26MY_CIV4D_DATA'!B:AQ,7,FALSE)</f>
        <v>0.1</v>
      </c>
      <c r="H121" s="281">
        <f>VLOOKUP(B121,'26MY_CIV4D_DATA'!B:AQ,11,FALSE)</f>
        <v>215.1</v>
      </c>
      <c r="I121" s="288" t="str">
        <f>VLOOKUP(B121,'26MY_CIV4D_DATA'!B:AQ,12,FALSE)</f>
        <v>•</v>
      </c>
      <c r="J121" s="288">
        <f>VLOOKUP(B121,'26MY_CIV4D_DATA'!B:AQ,13,FALSE)</f>
        <v>0</v>
      </c>
      <c r="K121" s="288">
        <f>VLOOKUP($B121,'26MY_CIV4D_DATA'!$B:$AQ,14,FALSE)</f>
        <v>0</v>
      </c>
      <c r="L121" s="288" t="str">
        <f>VLOOKUP(B121,'26MY_CIV4D_DATA'!B:AQ,15,FALSE)</f>
        <v>•</v>
      </c>
      <c r="M121" s="288" t="str">
        <f>VLOOKUP($B121,'26MY_CIV4D_DATA'!$B:$AQ,16,FALSE)</f>
        <v>•</v>
      </c>
      <c r="N121" s="288">
        <f>VLOOKUP($B121,'26MY_CIV4D_DATA'!$B:$AQ,17,FALSE)</f>
        <v>0</v>
      </c>
      <c r="O121" s="288" t="str">
        <f>VLOOKUP($B121,'26MY_CIV4D_DATA'!$B:$AQ,18,FALSE)</f>
        <v>•</v>
      </c>
      <c r="P121" s="288" t="str">
        <f>VLOOKUP(B121,'26MY_CIV4D_DATA'!B:AQ,19,FALSE)</f>
        <v>•</v>
      </c>
      <c r="Q121" s="291" t="str">
        <f>IF(VLOOKUP(B121,'26MY_CIV4D_DATA'!B:AQ,20,FALSE)="","",VLOOKUP(B121,'26MY_CIV4D_DATA'!B:AQ,20,FALSE))</f>
        <v/>
      </c>
    </row>
    <row r="122" spans="2:17" s="135" customFormat="1" ht="15" customHeight="1">
      <c r="B122" s="382" t="s">
        <v>115</v>
      </c>
      <c r="C122" s="179" t="str">
        <f>VLOOKUP(B122,'26MY_CIV4D_DATA'!B:AQ,3,FALSE)</f>
        <v>Trunk Tray Dividers</v>
      </c>
      <c r="D122" s="79" t="str">
        <f t="shared" si="24"/>
        <v>08U45-T20-300A</v>
      </c>
      <c r="E122" s="280">
        <f>VLOOKUP(B122,'26MY_CIV4D_DATA'!B:AQ,9,FALSE)</f>
        <v>77</v>
      </c>
      <c r="F122" s="280">
        <f>VLOOKUP(B122,'26MY_CIV4D_DATA'!B:AQ,10,FALSE)</f>
        <v>128</v>
      </c>
      <c r="G122" s="287">
        <f>VLOOKUP(B122,'26MY_CIV4D_DATA'!B:AQ,7,FALSE)</f>
        <v>0.1</v>
      </c>
      <c r="H122" s="281">
        <f>VLOOKUP(B122,'26MY_CIV4D_DATA'!B:AQ,11,FALSE)</f>
        <v>146.1</v>
      </c>
      <c r="I122" s="288" t="str">
        <f>VLOOKUP(B122,'26MY_CIV4D_DATA'!B:AQ,12,FALSE)</f>
        <v>•</v>
      </c>
      <c r="J122" s="288">
        <f>VLOOKUP(B122,'26MY_CIV4D_DATA'!B:AQ,13,FALSE)</f>
        <v>0</v>
      </c>
      <c r="K122" s="288">
        <f>VLOOKUP($B122,'26MY_CIV4D_DATA'!$B:$AQ,14,FALSE)</f>
        <v>0</v>
      </c>
      <c r="L122" s="288" t="str">
        <f>VLOOKUP(B122,'26MY_CIV4D_DATA'!B:AQ,15,FALSE)</f>
        <v>•</v>
      </c>
      <c r="M122" s="288" t="str">
        <f>VLOOKUP($B122,'26MY_CIV4D_DATA'!$B:$AQ,16,FALSE)</f>
        <v>•</v>
      </c>
      <c r="N122" s="288">
        <f>VLOOKUP($B122,'26MY_CIV4D_DATA'!$B:$AQ,17,FALSE)</f>
        <v>0</v>
      </c>
      <c r="O122" s="288" t="str">
        <f>VLOOKUP($B122,'26MY_CIV4D_DATA'!$B:$AQ,18,FALSE)</f>
        <v>•</v>
      </c>
      <c r="P122" s="288" t="str">
        <f>VLOOKUP(B122,'26MY_CIV4D_DATA'!B:AQ,19,FALSE)</f>
        <v>•</v>
      </c>
      <c r="Q122" s="291" t="str">
        <f>IF(VLOOKUP(B122,'26MY_CIV4D_DATA'!B:AQ,20,FALSE)="","",VLOOKUP(B122,'26MY_CIV4D_DATA'!B:AQ,20,FALSE))</f>
        <v>Dividers Only.</v>
      </c>
    </row>
    <row r="123" spans="2:17" s="135" customFormat="1" ht="12" customHeight="1">
      <c r="B123" s="382"/>
      <c r="C123" s="19"/>
      <c r="D123" s="27"/>
      <c r="E123" s="21"/>
      <c r="F123" s="21"/>
      <c r="G123" s="22"/>
      <c r="H123" s="23"/>
      <c r="I123" s="24"/>
      <c r="J123" s="24"/>
      <c r="K123" s="24"/>
      <c r="L123" s="24"/>
      <c r="M123" s="24"/>
      <c r="N123" s="24"/>
      <c r="O123" s="24"/>
      <c r="P123" s="24"/>
      <c r="Q123" s="25"/>
    </row>
    <row r="124" spans="2:17" s="133" customFormat="1" ht="18.5">
      <c r="B124" s="383"/>
      <c r="C124" s="152" t="s">
        <v>67</v>
      </c>
      <c r="D124" s="152"/>
      <c r="E124" s="48"/>
      <c r="F124" s="49"/>
      <c r="G124" s="49"/>
      <c r="H124" s="49"/>
      <c r="I124" s="49"/>
      <c r="J124" s="49"/>
      <c r="K124" s="49"/>
      <c r="L124" s="49"/>
      <c r="M124" s="49"/>
      <c r="N124" s="49"/>
      <c r="O124" s="49"/>
      <c r="P124" s="49"/>
      <c r="Q124" s="49"/>
    </row>
    <row r="125" spans="2:17" s="134" customFormat="1" ht="15" customHeight="1">
      <c r="B125" s="384"/>
      <c r="C125" s="346" t="s">
        <v>62</v>
      </c>
      <c r="D125" s="346" t="s">
        <v>10</v>
      </c>
      <c r="E125" s="346" t="s">
        <v>17</v>
      </c>
      <c r="F125" s="346" t="s">
        <v>11</v>
      </c>
      <c r="G125" s="346" t="s">
        <v>12</v>
      </c>
      <c r="H125" s="347" t="s">
        <v>13</v>
      </c>
      <c r="I125" s="346" t="s">
        <v>25</v>
      </c>
      <c r="J125" s="346"/>
      <c r="K125" s="346"/>
      <c r="L125" s="346"/>
      <c r="M125" s="346"/>
      <c r="N125" s="346"/>
      <c r="O125" s="346"/>
      <c r="P125" s="346"/>
      <c r="Q125" s="346" t="s">
        <v>14</v>
      </c>
    </row>
    <row r="126" spans="2:17" s="134" customFormat="1" ht="43.5">
      <c r="B126" s="384"/>
      <c r="C126" s="346"/>
      <c r="D126" s="346"/>
      <c r="E126" s="346"/>
      <c r="F126" s="346"/>
      <c r="G126" s="346"/>
      <c r="H126" s="347"/>
      <c r="I126" s="178" t="str">
        <f>'26MY_CIV4D_DATA'!M$9</f>
        <v>LX</v>
      </c>
      <c r="J126" s="178">
        <f>'26MY_CIV4D_DATA'!N$9</f>
        <v>0</v>
      </c>
      <c r="K126" s="178">
        <f>'26MY_CIV4D_DATA'!O$9</f>
        <v>0</v>
      </c>
      <c r="L126" s="178" t="str">
        <f>'26MY_CIV4D_DATA'!P$9</f>
        <v>SPORT</v>
      </c>
      <c r="M126" s="178" t="str">
        <f>'26MY_CIV4D_DATA'!Q$9</f>
        <v>SPORT 
Hybrid</v>
      </c>
      <c r="N126" s="178">
        <f>'26MY_CIV4D_DATA'!R$9</f>
        <v>0</v>
      </c>
      <c r="O126" s="178" t="str">
        <f>'26MY_CIV4D_DATA'!S$9</f>
        <v>Sport Touring Hybrid</v>
      </c>
      <c r="P126" s="178" t="str">
        <f>'26MY_CIV4D_DATA'!T$9</f>
        <v>Si</v>
      </c>
      <c r="Q126" s="346"/>
    </row>
    <row r="127" spans="2:17" s="135" customFormat="1" ht="15" customHeight="1">
      <c r="B127" s="382" t="s">
        <v>225</v>
      </c>
      <c r="C127" s="179" t="str">
        <f>VLOOKUP(B127,'26MY_CIV4D_DATA'!B:AQ,3,FALSE)</f>
        <v>Engine Block Heater - 1.5L</v>
      </c>
      <c r="D127" s="79" t="str">
        <f t="shared" ref="D127" si="26">B127</f>
        <v>08T44-TLA-300A</v>
      </c>
      <c r="E127" s="280">
        <f>VLOOKUP(B127,'26MY_CIV4D_DATA'!B:AQ,9,FALSE)</f>
        <v>134</v>
      </c>
      <c r="F127" s="280">
        <f>VLOOKUP(B127,'26MY_CIV4D_DATA'!B:AQ,10,FALSE)</f>
        <v>223</v>
      </c>
      <c r="G127" s="287">
        <f>VLOOKUP(B127,'26MY_CIV4D_DATA'!B:AQ,7,FALSE)</f>
        <v>1.4</v>
      </c>
      <c r="H127" s="281">
        <f>VLOOKUP(B127,'26MY_CIV4D_DATA'!B:AQ,11,FALSE)</f>
        <v>476.4</v>
      </c>
      <c r="I127" s="288" t="str">
        <f>VLOOKUP(B127,'26MY_CIV4D_DATA'!B:AQ,12,FALSE)</f>
        <v>N/A</v>
      </c>
      <c r="J127" s="288">
        <f>VLOOKUP(B127,'26MY_CIV4D_DATA'!B:AQ,13,FALSE)</f>
        <v>0</v>
      </c>
      <c r="K127" s="288">
        <f>VLOOKUP($B127,'26MY_CIV4D_DATA'!$B:$AQ,14,FALSE)</f>
        <v>0</v>
      </c>
      <c r="L127" s="288" t="str">
        <f>VLOOKUP(B127,'26MY_CIV4D_DATA'!B:AQ,15,FALSE)</f>
        <v>N/A</v>
      </c>
      <c r="M127" s="288" t="str">
        <f>VLOOKUP($B127,'26MY_CIV4D_DATA'!$B:$AQ,16,FALSE)</f>
        <v>N/A</v>
      </c>
      <c r="N127" s="288">
        <f>VLOOKUP($B127,'26MY_CIV4D_DATA'!$B:$AQ,17,FALSE)</f>
        <v>0</v>
      </c>
      <c r="O127" s="288" t="str">
        <f>VLOOKUP($B127,'26MY_CIV4D_DATA'!$B:$AQ,18,FALSE)</f>
        <v>N/A</v>
      </c>
      <c r="P127" s="288" t="str">
        <f>VLOOKUP(B127,'26MY_CIV4D_DATA'!B:AQ,19,FALSE)</f>
        <v>•</v>
      </c>
      <c r="Q127" s="291" t="str">
        <f>IF(VLOOKUP(B127,'26MY_CIV4D_DATA'!B:AQ,20,FALSE)="","",VLOOKUP(B127,'26MY_CIV4D_DATA'!B:AQ,20,FALSE))</f>
        <v/>
      </c>
    </row>
    <row r="128" spans="2:17" s="135" customFormat="1" ht="15" customHeight="1">
      <c r="B128" s="382" t="s">
        <v>226</v>
      </c>
      <c r="C128" s="179" t="str">
        <f>VLOOKUP(B128,'26MY_CIV4D_DATA'!B:AQ,3,FALSE)</f>
        <v>Engine Block Heater - 2.0L</v>
      </c>
      <c r="D128" s="79" t="str">
        <f t="shared" ref="D128:D130" si="27">B128</f>
        <v>08T44-SNA-302</v>
      </c>
      <c r="E128" s="280">
        <f>VLOOKUP(B128,'26MY_CIV4D_DATA'!B:AQ,9,FALSE)</f>
        <v>149</v>
      </c>
      <c r="F128" s="280">
        <f>VLOOKUP(B128,'26MY_CIV4D_DATA'!B:AQ,10,FALSE)</f>
        <v>248</v>
      </c>
      <c r="G128" s="287">
        <f>VLOOKUP(B128,'26MY_CIV4D_DATA'!B:AQ,7,FALSE)</f>
        <v>1.4</v>
      </c>
      <c r="H128" s="281">
        <f>VLOOKUP(B128,'26MY_CIV4D_DATA'!B:AQ,11,FALSE)</f>
        <v>501.4</v>
      </c>
      <c r="I128" s="288" t="str">
        <f>VLOOKUP(B128,'26MY_CIV4D_DATA'!B:AQ,12,FALSE)</f>
        <v>•</v>
      </c>
      <c r="J128" s="288">
        <f>VLOOKUP(B128,'26MY_CIV4D_DATA'!B:AQ,13,FALSE)</f>
        <v>0</v>
      </c>
      <c r="K128" s="288">
        <f>VLOOKUP($B128,'26MY_CIV4D_DATA'!$B:$AQ,14,FALSE)</f>
        <v>0</v>
      </c>
      <c r="L128" s="288" t="str">
        <f>VLOOKUP(B128,'26MY_CIV4D_DATA'!B:AQ,15,FALSE)</f>
        <v>•</v>
      </c>
      <c r="M128" s="288" t="str">
        <f>VLOOKUP($B128,'26MY_CIV4D_DATA'!$B:$AQ,16,FALSE)</f>
        <v>•</v>
      </c>
      <c r="N128" s="288">
        <f>VLOOKUP($B128,'26MY_CIV4D_DATA'!$B:$AQ,17,FALSE)</f>
        <v>0</v>
      </c>
      <c r="O128" s="288" t="str">
        <f>VLOOKUP($B128,'26MY_CIV4D_DATA'!$B:$AQ,18,FALSE)</f>
        <v>•</v>
      </c>
      <c r="P128" s="288" t="str">
        <f>VLOOKUP(B128,'26MY_CIV4D_DATA'!B:AQ,19,FALSE)</f>
        <v>N/A</v>
      </c>
      <c r="Q128" s="291" t="str">
        <f>IF(VLOOKUP(B128,'26MY_CIV4D_DATA'!B:AQ,20,FALSE)="","",VLOOKUP(B128,'26MY_CIV4D_DATA'!B:AQ,20,FALSE))</f>
        <v/>
      </c>
    </row>
    <row r="129" spans="2:17" s="135" customFormat="1" ht="14.5">
      <c r="B129" s="382" t="s">
        <v>112</v>
      </c>
      <c r="C129" s="179" t="str">
        <f>VLOOKUP(B129,'26MY_CIV4D_DATA'!B:AQ,3,FALSE)</f>
        <v>Illuminated Door Sill Trim</v>
      </c>
      <c r="D129" s="79" t="str">
        <f t="shared" si="27"/>
        <v>08E12-T20-100B</v>
      </c>
      <c r="E129" s="280">
        <f>VLOOKUP(B129,'26MY_CIV4D_DATA'!B:AQ,9,FALSE)</f>
        <v>256</v>
      </c>
      <c r="F129" s="280">
        <f>VLOOKUP(B129,'26MY_CIV4D_DATA'!B:AQ,10,FALSE)</f>
        <v>427</v>
      </c>
      <c r="G129" s="287">
        <f>VLOOKUP(B129,'26MY_CIV4D_DATA'!B:AQ,7,FALSE)</f>
        <v>1.1000000000000001</v>
      </c>
      <c r="H129" s="281">
        <f>VLOOKUP(B129,'26MY_CIV4D_DATA'!B:AQ,11,FALSE)</f>
        <v>626.1</v>
      </c>
      <c r="I129" s="288" t="str">
        <f>VLOOKUP(B129,'26MY_CIV4D_DATA'!B:AQ,12,FALSE)</f>
        <v>•</v>
      </c>
      <c r="J129" s="288">
        <f>VLOOKUP(B129,'26MY_CIV4D_DATA'!B:AQ,13,FALSE)</f>
        <v>0</v>
      </c>
      <c r="K129" s="288">
        <f>VLOOKUP($B129,'26MY_CIV4D_DATA'!$B:$AQ,14,FALSE)</f>
        <v>0</v>
      </c>
      <c r="L129" s="288" t="str">
        <f>VLOOKUP(B129,'26MY_CIV4D_DATA'!B:AQ,15,FALSE)</f>
        <v>•</v>
      </c>
      <c r="M129" s="288" t="str">
        <f>VLOOKUP($B129,'26MY_CIV4D_DATA'!$B:$AQ,16,FALSE)</f>
        <v>•</v>
      </c>
      <c r="N129" s="288">
        <f>VLOOKUP($B129,'26MY_CIV4D_DATA'!$B:$AQ,17,FALSE)</f>
        <v>0</v>
      </c>
      <c r="O129" s="288" t="str">
        <f>VLOOKUP($B129,'26MY_CIV4D_DATA'!$B:$AQ,18,FALSE)</f>
        <v>•</v>
      </c>
      <c r="P129" s="288" t="str">
        <f>VLOOKUP(B129,'26MY_CIV4D_DATA'!B:AQ,19,FALSE)</f>
        <v>•</v>
      </c>
      <c r="Q129" s="291" t="str">
        <f>IF(VLOOKUP(B129,'26MY_CIV4D_DATA'!B:AQ,20,FALSE)="","",VLOOKUP(B129,'26MY_CIV4D_DATA'!B:AQ,20,FALSE))</f>
        <v xml:space="preserve">Includes Front and Rear trims. Front illumination only.  </v>
      </c>
    </row>
    <row r="130" spans="2:17" s="135" customFormat="1" ht="15" customHeight="1">
      <c r="B130" s="382" t="s">
        <v>27</v>
      </c>
      <c r="C130" s="179" t="str">
        <f>VLOOKUP(B130,'26MY_CIV4D_DATA'!B:AQ,3,FALSE)</f>
        <v>Optimate 12V Auto Battery Charger/Maintainer</v>
      </c>
      <c r="D130" s="79" t="str">
        <f t="shared" si="27"/>
        <v>31670-BMS-004H</v>
      </c>
      <c r="E130" s="280">
        <f>VLOOKUP(B130,'26MY_CIV4D_DATA'!B:AQ,9,FALSE)</f>
        <v>94</v>
      </c>
      <c r="F130" s="280">
        <f>VLOOKUP(B130,'26MY_CIV4D_DATA'!B:AQ,10,FALSE)</f>
        <v>157</v>
      </c>
      <c r="G130" s="287">
        <f>VLOOKUP(B130,'26MY_CIV4D_DATA'!B:AQ,7,FALSE)</f>
        <v>0</v>
      </c>
      <c r="H130" s="281">
        <f>VLOOKUP(B130,'26MY_CIV4D_DATA'!B:AQ,11,FALSE)</f>
        <v>157</v>
      </c>
      <c r="I130" s="288" t="str">
        <f>VLOOKUP(B130,'26MY_CIV4D_DATA'!B:AQ,12,FALSE)</f>
        <v>•</v>
      </c>
      <c r="J130" s="288">
        <f>VLOOKUP(B130,'26MY_CIV4D_DATA'!B:AQ,13,FALSE)</f>
        <v>0</v>
      </c>
      <c r="K130" s="288">
        <f>VLOOKUP($B130,'26MY_CIV4D_DATA'!$B:$AQ,14,FALSE)</f>
        <v>0</v>
      </c>
      <c r="L130" s="288" t="str">
        <f>VLOOKUP(B130,'26MY_CIV4D_DATA'!B:AQ,15,FALSE)</f>
        <v>•</v>
      </c>
      <c r="M130" s="288" t="str">
        <f>VLOOKUP($B130,'26MY_CIV4D_DATA'!$B:$AQ,16,FALSE)</f>
        <v>•</v>
      </c>
      <c r="N130" s="288">
        <f>VLOOKUP($B130,'26MY_CIV4D_DATA'!$B:$AQ,17,FALSE)</f>
        <v>0</v>
      </c>
      <c r="O130" s="288" t="str">
        <f>VLOOKUP($B130,'26MY_CIV4D_DATA'!$B:$AQ,18,FALSE)</f>
        <v>•</v>
      </c>
      <c r="P130" s="288" t="str">
        <f>VLOOKUP(B130,'26MY_CIV4D_DATA'!B:AQ,19,FALSE)</f>
        <v>•</v>
      </c>
      <c r="Q130" s="291" t="str">
        <f>IF(VLOOKUP(B130,'26MY_CIV4D_DATA'!B:AQ,20,FALSE)="","",VLOOKUP(B130,'26MY_CIV4D_DATA'!B:AQ,20,FALSE))</f>
        <v/>
      </c>
    </row>
    <row r="131" spans="2:17" s="135" customFormat="1" ht="15" customHeight="1">
      <c r="B131" s="382" t="s">
        <v>495</v>
      </c>
      <c r="C131" s="179" t="str">
        <f>VLOOKUP(B131,'26MY_CIV4D_DATA'!B:AQ,3,FALSE)</f>
        <v>Battery Lead</v>
      </c>
      <c r="D131" s="79" t="str">
        <f t="shared" ref="D131" si="28">B131</f>
        <v>31670-BMS-LEAD</v>
      </c>
      <c r="E131" s="280">
        <f>VLOOKUP(B131,'26MY_CIV4D_DATA'!B:AQ,9,FALSE)</f>
        <v>20</v>
      </c>
      <c r="F131" s="280">
        <f>VLOOKUP(B131,'26MY_CIV4D_DATA'!B:AQ,10,FALSE)</f>
        <v>28</v>
      </c>
      <c r="G131" s="287">
        <f>VLOOKUP(B131,'26MY_CIV4D_DATA'!B:AQ,7,FALSE)</f>
        <v>0</v>
      </c>
      <c r="H131" s="281">
        <f>VLOOKUP(B131,'26MY_CIV4D_DATA'!B:AQ,11,FALSE)</f>
        <v>28</v>
      </c>
      <c r="I131" s="288" t="str">
        <f>VLOOKUP(B131,'26MY_CIV4D_DATA'!B:AQ,12,FALSE)</f>
        <v>•</v>
      </c>
      <c r="J131" s="288">
        <f>VLOOKUP(B131,'26MY_CIV4D_DATA'!B:AQ,13,FALSE)</f>
        <v>0</v>
      </c>
      <c r="K131" s="288">
        <f>VLOOKUP($B131,'26MY_CIV4D_DATA'!$B:$AQ,14,FALSE)</f>
        <v>0</v>
      </c>
      <c r="L131" s="288" t="str">
        <f>VLOOKUP(B131,'26MY_CIV4D_DATA'!B:AQ,15,FALSE)</f>
        <v>•</v>
      </c>
      <c r="M131" s="288" t="str">
        <f>VLOOKUP($B131,'26MY_CIV4D_DATA'!$B:$AQ,16,FALSE)</f>
        <v>•</v>
      </c>
      <c r="N131" s="288">
        <f>VLOOKUP($B131,'26MY_CIV4D_DATA'!$B:$AQ,17,FALSE)</f>
        <v>0</v>
      </c>
      <c r="O131" s="288" t="str">
        <f>VLOOKUP($B131,'26MY_CIV4D_DATA'!$B:$AQ,18,FALSE)</f>
        <v>•</v>
      </c>
      <c r="P131" s="288" t="str">
        <f>VLOOKUP(B131,'26MY_CIV4D_DATA'!B:AQ,19,FALSE)</f>
        <v>•</v>
      </c>
      <c r="Q131" s="291" t="str">
        <f>IF(VLOOKUP(B131,'26MY_CIV4D_DATA'!B:AQ,20,FALSE)="","",VLOOKUP(B131,'26MY_CIV4D_DATA'!B:AQ,20,FALSE))</f>
        <v/>
      </c>
    </row>
    <row r="132" spans="2:17" s="135" customFormat="1" ht="15" customHeight="1">
      <c r="B132" s="382"/>
      <c r="C132" s="136"/>
      <c r="D132" s="199"/>
      <c r="E132" s="132"/>
      <c r="F132" s="132"/>
      <c r="G132" s="200"/>
      <c r="H132" s="132"/>
      <c r="I132" s="132"/>
      <c r="J132" s="132"/>
      <c r="K132" s="132"/>
      <c r="L132" s="132"/>
      <c r="M132" s="132"/>
      <c r="N132" s="132"/>
      <c r="O132" s="132"/>
      <c r="P132" s="132"/>
      <c r="Q132" s="293"/>
    </row>
    <row r="133" spans="2:17" s="133" customFormat="1" ht="18.5">
      <c r="B133" s="382" t="s">
        <v>311</v>
      </c>
      <c r="C133" s="152" t="s">
        <v>66</v>
      </c>
      <c r="D133" s="152"/>
      <c r="E133" s="143"/>
      <c r="F133" s="143"/>
      <c r="G133" s="143"/>
      <c r="H133" s="143"/>
      <c r="I133" s="143"/>
      <c r="J133" s="143"/>
      <c r="K133" s="143"/>
      <c r="L133" s="143"/>
      <c r="M133" s="143"/>
      <c r="N133" s="143"/>
      <c r="O133" s="143"/>
      <c r="P133" s="143"/>
      <c r="Q133" s="143"/>
    </row>
    <row r="134" spans="2:17" s="134" customFormat="1" ht="15" customHeight="1">
      <c r="B134" s="384"/>
      <c r="C134" s="346" t="s">
        <v>62</v>
      </c>
      <c r="D134" s="346" t="s">
        <v>10</v>
      </c>
      <c r="E134" s="346" t="s">
        <v>17</v>
      </c>
      <c r="F134" s="346" t="s">
        <v>11</v>
      </c>
      <c r="G134" s="346" t="s">
        <v>12</v>
      </c>
      <c r="H134" s="347" t="s">
        <v>13</v>
      </c>
      <c r="I134" s="346" t="s">
        <v>25</v>
      </c>
      <c r="J134" s="346"/>
      <c r="K134" s="346"/>
      <c r="L134" s="346"/>
      <c r="M134" s="346"/>
      <c r="N134" s="346"/>
      <c r="O134" s="346"/>
      <c r="P134" s="346"/>
      <c r="Q134" s="346" t="s">
        <v>14</v>
      </c>
    </row>
    <row r="135" spans="2:17" s="134" customFormat="1" ht="43.5">
      <c r="B135" s="384"/>
      <c r="C135" s="346"/>
      <c r="D135" s="346"/>
      <c r="E135" s="346"/>
      <c r="F135" s="346"/>
      <c r="G135" s="346"/>
      <c r="H135" s="347"/>
      <c r="I135" s="178" t="str">
        <f>'26MY_CIV4D_DATA'!M$9</f>
        <v>LX</v>
      </c>
      <c r="J135" s="178">
        <f>'26MY_CIV4D_DATA'!N$9</f>
        <v>0</v>
      </c>
      <c r="K135" s="178">
        <f>'26MY_CIV4D_DATA'!O$9</f>
        <v>0</v>
      </c>
      <c r="L135" s="178" t="str">
        <f>'26MY_CIV4D_DATA'!P$9</f>
        <v>SPORT</v>
      </c>
      <c r="M135" s="178" t="str">
        <f>'26MY_CIV4D_DATA'!Q$9</f>
        <v>SPORT 
Hybrid</v>
      </c>
      <c r="N135" s="178">
        <f>'26MY_CIV4D_DATA'!R$9</f>
        <v>0</v>
      </c>
      <c r="O135" s="178" t="str">
        <f>'26MY_CIV4D_DATA'!S$9</f>
        <v>Sport Touring Hybrid</v>
      </c>
      <c r="P135" s="178" t="str">
        <f>'26MY_CIV4D_DATA'!T$9</f>
        <v>Si</v>
      </c>
      <c r="Q135" s="346"/>
    </row>
    <row r="136" spans="2:17" s="135" customFormat="1" ht="15" customHeight="1">
      <c r="B136" s="382" t="s">
        <v>426</v>
      </c>
      <c r="C136" s="179" t="str">
        <f>VLOOKUP(B136,'26MY_CIV4D_DATA'!B:AQ,3,FALSE)</f>
        <v>Platinum White Pearl (NH-883P)</v>
      </c>
      <c r="D136" s="79" t="str">
        <f t="shared" ref="D136" si="29">B136</f>
        <v>TUCH-NH883P-A1</v>
      </c>
      <c r="E136" s="337">
        <f>VLOOKUP(B136,'26MY_CIV4D_DATA'!B:AQ,9,FALSE)</f>
        <v>13.25</v>
      </c>
      <c r="F136" s="337">
        <f>VLOOKUP(B136,'26MY_CIV4D_DATA'!B:AQ,10,FALSE)</f>
        <v>22</v>
      </c>
      <c r="G136" s="340">
        <f>VLOOKUP(B136,'26MY_CIV4D_DATA'!B:AQ,7,FALSE)</f>
        <v>0</v>
      </c>
      <c r="H136" s="343">
        <f>VLOOKUP(B136,'26MY_CIV4D_DATA'!B:AQ,11,FALSE)</f>
        <v>22</v>
      </c>
      <c r="I136" s="288" t="str">
        <f>VLOOKUP(B136,'26MY_CIV4D_DATA'!B:AQ,12,FALSE)</f>
        <v>•</v>
      </c>
      <c r="J136" s="288">
        <f>VLOOKUP(B136,'26MY_CIV4D_DATA'!B:AQ,13,FALSE)</f>
        <v>0</v>
      </c>
      <c r="K136" s="288">
        <f>VLOOKUP($B136,'26MY_CIV4D_DATA'!$B:$AQ,14,FALSE)</f>
        <v>0</v>
      </c>
      <c r="L136" s="288" t="str">
        <f>VLOOKUP(B136,'26MY_CIV4D_DATA'!B:AQ,15,FALSE)</f>
        <v>•</v>
      </c>
      <c r="M136" s="288" t="str">
        <f>VLOOKUP($B136,'26MY_CIV4D_DATA'!$B:$AQ,16,FALSE)</f>
        <v>•</v>
      </c>
      <c r="N136" s="288">
        <f>VLOOKUP($B136,'26MY_CIV4D_DATA'!$B:$AQ,17,FALSE)</f>
        <v>0</v>
      </c>
      <c r="O136" s="288" t="str">
        <f>VLOOKUP($B136,'26MY_CIV4D_DATA'!$B:$AQ,18,FALSE)</f>
        <v>•</v>
      </c>
      <c r="P136" s="288" t="str">
        <f>VLOOKUP(B136,'26MY_CIV4D_DATA'!B:AQ,19,FALSE)</f>
        <v>•</v>
      </c>
      <c r="Q136" s="334" t="str">
        <f>IF(VLOOKUP(B136,'26MY_CIV4D_DATA'!B:AQ,20,FALSE)="","",VLOOKUP(B136,'26MY_CIV4D_DATA'!B:AQ,20,FALSE))</f>
        <v/>
      </c>
    </row>
    <row r="137" spans="2:17" s="135" customFormat="1" ht="15" customHeight="1">
      <c r="B137" s="382" t="s">
        <v>262</v>
      </c>
      <c r="C137" s="179" t="str">
        <f>VLOOKUP(B137,'26MY_CIV4D_DATA'!B:AQ,3,FALSE)</f>
        <v>Meteoroid Gray Pearl (NH-904M)</v>
      </c>
      <c r="D137" s="79" t="str">
        <f t="shared" ref="D137:D142" si="30">B137</f>
        <v>TUCHNH904MA1</v>
      </c>
      <c r="E137" s="338"/>
      <c r="F137" s="338"/>
      <c r="G137" s="341"/>
      <c r="H137" s="344"/>
      <c r="I137" s="288" t="str">
        <f>VLOOKUP(B137,'26MY_CIV4D_DATA'!B:AQ,12,FALSE)</f>
        <v>N/A</v>
      </c>
      <c r="J137" s="288">
        <f>VLOOKUP(B137,'26MY_CIV4D_DATA'!B:AQ,13,FALSE)</f>
        <v>0</v>
      </c>
      <c r="K137" s="288">
        <f>VLOOKUP($B137,'26MY_CIV4D_DATA'!$B:$AQ,14,FALSE)</f>
        <v>0</v>
      </c>
      <c r="L137" s="288" t="str">
        <f>VLOOKUP(B137,'26MY_CIV4D_DATA'!B:AQ,15,FALSE)</f>
        <v>•</v>
      </c>
      <c r="M137" s="288" t="str">
        <f>VLOOKUP($B137,'26MY_CIV4D_DATA'!$B:$AQ,16,FALSE)</f>
        <v>N/A</v>
      </c>
      <c r="N137" s="288">
        <f>VLOOKUP($B137,'26MY_CIV4D_DATA'!$B:$AQ,17,FALSE)</f>
        <v>0</v>
      </c>
      <c r="O137" s="288" t="str">
        <f>VLOOKUP($B137,'26MY_CIV4D_DATA'!$B:$AQ,18,FALSE)</f>
        <v>N/A</v>
      </c>
      <c r="P137" s="288" t="str">
        <f>VLOOKUP(B137,'26MY_CIV4D_DATA'!B:AQ,19,FALSE)</f>
        <v>N/A</v>
      </c>
      <c r="Q137" s="335"/>
    </row>
    <row r="138" spans="2:17" s="135" customFormat="1" ht="15" customHeight="1">
      <c r="B138" s="382" t="s">
        <v>425</v>
      </c>
      <c r="C138" s="179" t="str">
        <f>VLOOKUP(B138,'26MY_CIV4D_DATA'!B:AQ,3,FALSE)</f>
        <v>Crystal Black Pearl (NH-731P)</v>
      </c>
      <c r="D138" s="79" t="str">
        <f t="shared" si="30"/>
        <v>TUCH-NH731P-A1</v>
      </c>
      <c r="E138" s="338"/>
      <c r="F138" s="338"/>
      <c r="G138" s="341"/>
      <c r="H138" s="344"/>
      <c r="I138" s="288" t="str">
        <f>VLOOKUP(B138,'26MY_CIV4D_DATA'!B:AQ,12,FALSE)</f>
        <v>•</v>
      </c>
      <c r="J138" s="288">
        <f>VLOOKUP(B138,'26MY_CIV4D_DATA'!B:AQ,13,FALSE)</f>
        <v>0</v>
      </c>
      <c r="K138" s="288">
        <f>VLOOKUP($B138,'26MY_CIV4D_DATA'!$B:$AQ,14,FALSE)</f>
        <v>0</v>
      </c>
      <c r="L138" s="288" t="str">
        <f>VLOOKUP(B138,'26MY_CIV4D_DATA'!B:AQ,15,FALSE)</f>
        <v>•</v>
      </c>
      <c r="M138" s="288" t="str">
        <f>VLOOKUP($B138,'26MY_CIV4D_DATA'!$B:$AQ,16,FALSE)</f>
        <v>•</v>
      </c>
      <c r="N138" s="288">
        <f>VLOOKUP($B138,'26MY_CIV4D_DATA'!$B:$AQ,17,FALSE)</f>
        <v>0</v>
      </c>
      <c r="O138" s="288" t="str">
        <f>VLOOKUP($B138,'26MY_CIV4D_DATA'!$B:$AQ,18,FALSE)</f>
        <v>•</v>
      </c>
      <c r="P138" s="288" t="str">
        <f>VLOOKUP(B138,'26MY_CIV4D_DATA'!B:AQ,19,FALSE)</f>
        <v>•</v>
      </c>
      <c r="Q138" s="335"/>
    </row>
    <row r="139" spans="2:17" s="135" customFormat="1" ht="15" customHeight="1">
      <c r="B139" s="382" t="s">
        <v>263</v>
      </c>
      <c r="C139" s="179" t="str">
        <f>VLOOKUP(B139,'26MY_CIV4D_DATA'!B:AQ,3,FALSE)</f>
        <v>Rallye Red (R-513)</v>
      </c>
      <c r="D139" s="79" t="str">
        <f t="shared" si="30"/>
        <v>TUCHR513A1</v>
      </c>
      <c r="E139" s="338"/>
      <c r="F139" s="338"/>
      <c r="G139" s="341"/>
      <c r="H139" s="344"/>
      <c r="I139" s="288" t="str">
        <f>VLOOKUP(B139,'26MY_CIV4D_DATA'!B:AQ,12,FALSE)</f>
        <v>•</v>
      </c>
      <c r="J139" s="288">
        <f>VLOOKUP(B139,'26MY_CIV4D_DATA'!B:AQ,13,FALSE)</f>
        <v>0</v>
      </c>
      <c r="K139" s="288">
        <f>VLOOKUP($B139,'26MY_CIV4D_DATA'!$B:$AQ,14,FALSE)</f>
        <v>0</v>
      </c>
      <c r="L139" s="288" t="str">
        <f>VLOOKUP(B139,'26MY_CIV4D_DATA'!B:AQ,15,FALSE)</f>
        <v>•</v>
      </c>
      <c r="M139" s="288" t="str">
        <f>VLOOKUP($B139,'26MY_CIV4D_DATA'!$B:$AQ,16,FALSE)</f>
        <v>•</v>
      </c>
      <c r="N139" s="288">
        <f>VLOOKUP($B139,'26MY_CIV4D_DATA'!$B:$AQ,17,FALSE)</f>
        <v>0</v>
      </c>
      <c r="O139" s="288" t="str">
        <f>VLOOKUP($B139,'26MY_CIV4D_DATA'!$B:$AQ,18,FALSE)</f>
        <v>•</v>
      </c>
      <c r="P139" s="288" t="str">
        <f>VLOOKUP(B139,'26MY_CIV4D_DATA'!B:AQ,19,FALSE)</f>
        <v>•</v>
      </c>
      <c r="Q139" s="335"/>
    </row>
    <row r="140" spans="2:17" s="135" customFormat="1" ht="15" customHeight="1">
      <c r="B140" s="382" t="s">
        <v>415</v>
      </c>
      <c r="C140" s="179" t="str">
        <f>VLOOKUP(B140,'26MY_CIV4D_DATA'!B:AQ,3,FALSE)</f>
        <v>Urban Grey Pearl (NH-912P)</v>
      </c>
      <c r="D140" s="79" t="str">
        <f t="shared" si="30"/>
        <v>TUCHNH912PA1</v>
      </c>
      <c r="E140" s="338"/>
      <c r="F140" s="338"/>
      <c r="G140" s="341"/>
      <c r="H140" s="344"/>
      <c r="I140" s="288" t="str">
        <f>VLOOKUP(B140,'26MY_CIV4D_DATA'!B:AQ,12,FALSE)</f>
        <v>N/A</v>
      </c>
      <c r="J140" s="288">
        <f>VLOOKUP(B140,'26MY_CIV4D_DATA'!B:AQ,13,FALSE)</f>
        <v>0</v>
      </c>
      <c r="K140" s="288">
        <f>VLOOKUP($B140,'26MY_CIV4D_DATA'!$B:$AQ,14,FALSE)</f>
        <v>0</v>
      </c>
      <c r="L140" s="288" t="str">
        <f>VLOOKUP(B140,'26MY_CIV4D_DATA'!B:AQ,15,FALSE)</f>
        <v>N/A</v>
      </c>
      <c r="M140" s="288" t="str">
        <f>VLOOKUP($B140,'26MY_CIV4D_DATA'!$B:$AQ,16,FALSE)</f>
        <v>N/A</v>
      </c>
      <c r="N140" s="288">
        <f>VLOOKUP($B140,'26MY_CIV4D_DATA'!$B:$AQ,17,FALSE)</f>
        <v>0</v>
      </c>
      <c r="O140" s="288" t="str">
        <f>VLOOKUP($B140,'26MY_CIV4D_DATA'!$B:$AQ,18,FALSE)</f>
        <v>•</v>
      </c>
      <c r="P140" s="288" t="str">
        <f>VLOOKUP(B140,'26MY_CIV4D_DATA'!B:AQ,19,FALSE)</f>
        <v>•</v>
      </c>
      <c r="Q140" s="335"/>
    </row>
    <row r="141" spans="2:17" s="135" customFormat="1" ht="15" customHeight="1">
      <c r="B141" s="382" t="s">
        <v>418</v>
      </c>
      <c r="C141" s="179" t="str">
        <f>VLOOKUP(B141,'26MY_CIV4D_DATA'!B:AQ,3,FALSE)</f>
        <v>Blue Lagoon Pearl (B-645P)</v>
      </c>
      <c r="D141" s="79" t="str">
        <f t="shared" si="30"/>
        <v>TUCHB645PA1</v>
      </c>
      <c r="E141" s="338"/>
      <c r="F141" s="338"/>
      <c r="G141" s="341"/>
      <c r="H141" s="344"/>
      <c r="I141" s="288" t="str">
        <f>VLOOKUP(B141,'26MY_CIV4D_DATA'!B:AQ,12,FALSE)</f>
        <v>N/A</v>
      </c>
      <c r="J141" s="288">
        <f>VLOOKUP(B141,'26MY_CIV4D_DATA'!B:AQ,13,FALSE)</f>
        <v>0</v>
      </c>
      <c r="K141" s="288">
        <f>VLOOKUP($B141,'26MY_CIV4D_DATA'!$B:$AQ,14,FALSE)</f>
        <v>0</v>
      </c>
      <c r="L141" s="288" t="str">
        <f>VLOOKUP(B141,'26MY_CIV4D_DATA'!B:AQ,15,FALSE)</f>
        <v>N/A</v>
      </c>
      <c r="M141" s="288" t="str">
        <f>VLOOKUP($B141,'26MY_CIV4D_DATA'!$B:$AQ,16,FALSE)</f>
        <v>N/A</v>
      </c>
      <c r="N141" s="288">
        <f>VLOOKUP($B141,'26MY_CIV4D_DATA'!$B:$AQ,17,FALSE)</f>
        <v>0</v>
      </c>
      <c r="O141" s="288" t="str">
        <f>VLOOKUP($B141,'26MY_CIV4D_DATA'!$B:$AQ,18,FALSE)</f>
        <v>•</v>
      </c>
      <c r="P141" s="288" t="str">
        <f>VLOOKUP(B141,'26MY_CIV4D_DATA'!B:AQ,19,FALSE)</f>
        <v>N/A</v>
      </c>
      <c r="Q141" s="335"/>
    </row>
    <row r="142" spans="2:17" s="135" customFormat="1" ht="15" customHeight="1">
      <c r="B142" s="382" t="s">
        <v>412</v>
      </c>
      <c r="C142" s="179" t="str">
        <f>VLOOKUP(B142,'26MY_CIV4D_DATA'!B:AQ,3,FALSE)</f>
        <v>Solar Reflection Silver (NH-932M)</v>
      </c>
      <c r="D142" s="79" t="str">
        <f t="shared" si="30"/>
        <v>TUCHNH932MA1</v>
      </c>
      <c r="E142" s="339"/>
      <c r="F142" s="339"/>
      <c r="G142" s="342"/>
      <c r="H142" s="345"/>
      <c r="I142" s="288" t="str">
        <f>VLOOKUP(B142,'26MY_CIV4D_DATA'!B:AQ,12,FALSE)</f>
        <v>•</v>
      </c>
      <c r="J142" s="288">
        <f>VLOOKUP(B142,'26MY_CIV4D_DATA'!B:AQ,13,FALSE)</f>
        <v>0</v>
      </c>
      <c r="K142" s="288">
        <f>VLOOKUP($B142,'26MY_CIV4D_DATA'!$B:$AQ,14,FALSE)</f>
        <v>0</v>
      </c>
      <c r="L142" s="288" t="str">
        <f>VLOOKUP(B142,'26MY_CIV4D_DATA'!B:AQ,15,FALSE)</f>
        <v>•</v>
      </c>
      <c r="M142" s="288" t="str">
        <f>VLOOKUP($B142,'26MY_CIV4D_DATA'!$B:$AQ,16,FALSE)</f>
        <v>•</v>
      </c>
      <c r="N142" s="288">
        <f>VLOOKUP($B142,'26MY_CIV4D_DATA'!$B:$AQ,17,FALSE)</f>
        <v>0</v>
      </c>
      <c r="O142" s="288" t="str">
        <f>VLOOKUP($B142,'26MY_CIV4D_DATA'!$B:$AQ,18,FALSE)</f>
        <v>•</v>
      </c>
      <c r="P142" s="288" t="str">
        <f>VLOOKUP(B142,'26MY_CIV4D_DATA'!B:AQ,19,FALSE)</f>
        <v>N/A</v>
      </c>
      <c r="Q142" s="336"/>
    </row>
    <row r="143" spans="2:17" s="134" customFormat="1" ht="7" customHeight="1">
      <c r="B143" s="384"/>
      <c r="C143" s="198"/>
      <c r="D143" s="188"/>
      <c r="E143" s="188"/>
      <c r="F143" s="188"/>
      <c r="G143" s="188"/>
      <c r="H143" s="188"/>
      <c r="I143" s="188"/>
      <c r="J143" s="188"/>
      <c r="K143" s="188"/>
      <c r="L143" s="188"/>
      <c r="M143" s="188"/>
      <c r="N143" s="188"/>
      <c r="O143" s="188"/>
      <c r="P143" s="188"/>
      <c r="Q143" s="194"/>
    </row>
    <row r="144" spans="2:17" s="135" customFormat="1" ht="15" customHeight="1">
      <c r="B144" s="382" t="s">
        <v>65</v>
      </c>
      <c r="C144" s="179" t="str">
        <f>VLOOKUP(B144,'26MY_CIV4D_DATA'!B:AQ,3,FALSE)</f>
        <v>Fine Sanding Needles</v>
      </c>
      <c r="D144" s="79" t="str">
        <f t="shared" ref="D144" si="31">B144</f>
        <v>TUCH-NEEDLES</v>
      </c>
      <c r="E144" s="280">
        <f>VLOOKUP(B144,'26MY_CIV4D_DATA'!B:AQ,9,FALSE)</f>
        <v>9.5</v>
      </c>
      <c r="F144" s="280">
        <f>VLOOKUP(B144,'26MY_CIV4D_DATA'!B:AQ,10,FALSE)</f>
        <v>15.75</v>
      </c>
      <c r="G144" s="287">
        <f>VLOOKUP(B144,'26MY_CIV4D_DATA'!B:AQ,7,FALSE)</f>
        <v>0</v>
      </c>
      <c r="H144" s="281">
        <f>VLOOKUP(B144,'26MY_CIV4D_DATA'!B:AQ,11,FALSE)</f>
        <v>15.75</v>
      </c>
      <c r="I144" s="288" t="str">
        <f>VLOOKUP(B144,'26MY_CIV4D_DATA'!B:AQ,12,FALSE)</f>
        <v>•</v>
      </c>
      <c r="J144" s="288">
        <f>VLOOKUP(B144,'26MY_CIV4D_DATA'!B:AQ,13,FALSE)</f>
        <v>0</v>
      </c>
      <c r="K144" s="288">
        <f>VLOOKUP($B144,'26MY_CIV4D_DATA'!$B:$AQ,14,FALSE)</f>
        <v>0</v>
      </c>
      <c r="L144" s="288" t="str">
        <f>VLOOKUP(B144,'26MY_CIV4D_DATA'!B:AQ,15,FALSE)</f>
        <v>•</v>
      </c>
      <c r="M144" s="288" t="str">
        <f>VLOOKUP($B144,'26MY_CIV4D_DATA'!$B:$AQ,16,FALSE)</f>
        <v>•</v>
      </c>
      <c r="N144" s="288">
        <f>VLOOKUP($B144,'26MY_CIV4D_DATA'!$B:$AQ,17,FALSE)</f>
        <v>0</v>
      </c>
      <c r="O144" s="288" t="str">
        <f>VLOOKUP($B144,'26MY_CIV4D_DATA'!$B:$AQ,18,FALSE)</f>
        <v>•</v>
      </c>
      <c r="P144" s="288" t="str">
        <f>VLOOKUP(B144,'26MY_CIV4D_DATA'!B:AQ,19,FALSE)</f>
        <v>•</v>
      </c>
      <c r="Q144" s="291" t="str">
        <f>IF(VLOOKUP(B144,'26MY_CIV4D_DATA'!B:AQ,20,FALSE)="","",VLOOKUP(B144,'26MY_CIV4D_DATA'!B:AQ,20,FALSE))</f>
        <v>Quantity of 5.</v>
      </c>
    </row>
    <row r="145" spans="2:17" s="135" customFormat="1" ht="15" customHeight="1">
      <c r="B145" s="382" t="s">
        <v>64</v>
      </c>
      <c r="C145" s="179" t="str">
        <f>VLOOKUP(B145,'26MY_CIV4D_DATA'!B:AQ,3,FALSE)</f>
        <v>Fine Sanding Sticks</v>
      </c>
      <c r="D145" s="79" t="str">
        <f t="shared" ref="D145:D146" si="32">B145</f>
        <v>TUCH-STICKS</v>
      </c>
      <c r="E145" s="280">
        <f>VLOOKUP(B145,'26MY_CIV4D_DATA'!B:AQ,9,FALSE)</f>
        <v>2.4500000000000002</v>
      </c>
      <c r="F145" s="280">
        <f>VLOOKUP(B145,'26MY_CIV4D_DATA'!B:AQ,10,FALSE)</f>
        <v>4</v>
      </c>
      <c r="G145" s="287">
        <f>VLOOKUP(B145,'26MY_CIV4D_DATA'!B:AQ,7,FALSE)</f>
        <v>0</v>
      </c>
      <c r="H145" s="281">
        <f>VLOOKUP(B145,'26MY_CIV4D_DATA'!B:AQ,11,FALSE)</f>
        <v>4</v>
      </c>
      <c r="I145" s="288" t="str">
        <f>VLOOKUP(B145,'26MY_CIV4D_DATA'!B:AQ,12,FALSE)</f>
        <v>•</v>
      </c>
      <c r="J145" s="288">
        <f>VLOOKUP(B145,'26MY_CIV4D_DATA'!B:AQ,13,FALSE)</f>
        <v>0</v>
      </c>
      <c r="K145" s="288">
        <f>VLOOKUP($B145,'26MY_CIV4D_DATA'!$B:$AQ,14,FALSE)</f>
        <v>0</v>
      </c>
      <c r="L145" s="288" t="str">
        <f>VLOOKUP(B145,'26MY_CIV4D_DATA'!B:AQ,15,FALSE)</f>
        <v>•</v>
      </c>
      <c r="M145" s="288" t="str">
        <f>VLOOKUP($B145,'26MY_CIV4D_DATA'!$B:$AQ,16,FALSE)</f>
        <v>•</v>
      </c>
      <c r="N145" s="288">
        <f>VLOOKUP($B145,'26MY_CIV4D_DATA'!$B:$AQ,17,FALSE)</f>
        <v>0</v>
      </c>
      <c r="O145" s="288" t="str">
        <f>VLOOKUP($B145,'26MY_CIV4D_DATA'!$B:$AQ,18,FALSE)</f>
        <v>•</v>
      </c>
      <c r="P145" s="288" t="str">
        <f>VLOOKUP(B145,'26MY_CIV4D_DATA'!B:AQ,19,FALSE)</f>
        <v>•</v>
      </c>
      <c r="Q145" s="291" t="str">
        <f>IF(VLOOKUP(B145,'26MY_CIV4D_DATA'!B:AQ,20,FALSE)="","",VLOOKUP(B145,'26MY_CIV4D_DATA'!B:AQ,20,FALSE))</f>
        <v>Quantity of 5.</v>
      </c>
    </row>
    <row r="146" spans="2:17" s="135" customFormat="1" ht="15" customHeight="1">
      <c r="B146" s="382" t="s">
        <v>63</v>
      </c>
      <c r="C146" s="179" t="str">
        <f>VLOOKUP(B146,'26MY_CIV4D_DATA'!B:AQ,3,FALSE)</f>
        <v>Paint Pen Replacement Tips</v>
      </c>
      <c r="D146" s="79" t="str">
        <f t="shared" si="32"/>
        <v>TUCH-TIPS</v>
      </c>
      <c r="E146" s="280">
        <f>VLOOKUP(B146,'26MY_CIV4D_DATA'!B:AQ,9,FALSE)</f>
        <v>6.25</v>
      </c>
      <c r="F146" s="280">
        <f>VLOOKUP(B146,'26MY_CIV4D_DATA'!B:AQ,10,FALSE)</f>
        <v>13.75</v>
      </c>
      <c r="G146" s="287">
        <f>VLOOKUP(B146,'26MY_CIV4D_DATA'!B:AQ,7,FALSE)</f>
        <v>0</v>
      </c>
      <c r="H146" s="281">
        <f>VLOOKUP(B146,'26MY_CIV4D_DATA'!B:AQ,11,FALSE)</f>
        <v>13.75</v>
      </c>
      <c r="I146" s="288" t="str">
        <f>VLOOKUP(B146,'26MY_CIV4D_DATA'!B:AQ,12,FALSE)</f>
        <v>•</v>
      </c>
      <c r="J146" s="288">
        <f>VLOOKUP(B146,'26MY_CIV4D_DATA'!B:AQ,13,FALSE)</f>
        <v>0</v>
      </c>
      <c r="K146" s="288">
        <f>VLOOKUP($B146,'26MY_CIV4D_DATA'!$B:$AQ,14,FALSE)</f>
        <v>0</v>
      </c>
      <c r="L146" s="288" t="str">
        <f>VLOOKUP(B146,'26MY_CIV4D_DATA'!B:AQ,15,FALSE)</f>
        <v>•</v>
      </c>
      <c r="M146" s="288" t="str">
        <f>VLOOKUP($B146,'26MY_CIV4D_DATA'!$B:$AQ,16,FALSE)</f>
        <v>•</v>
      </c>
      <c r="N146" s="288">
        <f>VLOOKUP($B146,'26MY_CIV4D_DATA'!$B:$AQ,17,FALSE)</f>
        <v>0</v>
      </c>
      <c r="O146" s="288" t="str">
        <f>VLOOKUP($B146,'26MY_CIV4D_DATA'!$B:$AQ,18,FALSE)</f>
        <v>•</v>
      </c>
      <c r="P146" s="288" t="str">
        <f>VLOOKUP(B146,'26MY_CIV4D_DATA'!B:AQ,19,FALSE)</f>
        <v>•</v>
      </c>
      <c r="Q146" s="291" t="str">
        <f>IF(VLOOKUP(B146,'26MY_CIV4D_DATA'!B:AQ,20,FALSE)="","",VLOOKUP(B146,'26MY_CIV4D_DATA'!B:AQ,20,FALSE))</f>
        <v>Quantity of 25.</v>
      </c>
    </row>
    <row r="147" spans="2:17" s="135" customFormat="1" ht="15" customHeight="1">
      <c r="B147" s="385"/>
      <c r="C147" s="20"/>
      <c r="D147" s="26"/>
      <c r="E147" s="18"/>
      <c r="F147" s="18"/>
      <c r="G147" s="16"/>
      <c r="H147" s="17"/>
      <c r="I147" s="16"/>
      <c r="J147" s="16"/>
      <c r="K147" s="16"/>
      <c r="L147" s="16"/>
      <c r="M147" s="16"/>
      <c r="N147" s="16"/>
      <c r="O147" s="16"/>
      <c r="P147" s="16"/>
      <c r="Q147" s="16"/>
    </row>
    <row r="148" spans="2:17" s="135" customFormat="1" ht="15" customHeight="1">
      <c r="B148" s="385"/>
      <c r="C148" s="44" t="s">
        <v>268</v>
      </c>
      <c r="D148" s="43" t="s">
        <v>30</v>
      </c>
      <c r="E148" s="129"/>
      <c r="F148" s="129"/>
      <c r="G148" s="129"/>
      <c r="H148" s="129"/>
      <c r="I148" s="129"/>
      <c r="J148" s="129"/>
      <c r="K148" s="129"/>
      <c r="L148" s="129"/>
      <c r="M148" s="129"/>
      <c r="N148" s="129"/>
      <c r="O148" s="129"/>
      <c r="P148" s="129"/>
      <c r="Q148" s="129"/>
    </row>
    <row r="149" spans="2:17" ht="14.25" customHeight="1">
      <c r="C149" s="137">
        <f>'26MY_CIV4D_DATA'!$C$5</f>
        <v>46113</v>
      </c>
      <c r="D149" s="43" t="s">
        <v>408</v>
      </c>
      <c r="E149" s="51"/>
      <c r="F149" s="51"/>
      <c r="G149" s="51"/>
      <c r="H149" s="51"/>
      <c r="I149" s="51"/>
      <c r="J149" s="51"/>
      <c r="K149" s="51"/>
      <c r="L149" s="51"/>
      <c r="M149" s="51"/>
      <c r="N149" s="51"/>
      <c r="O149" s="51"/>
      <c r="P149" s="51"/>
      <c r="Q149" s="51"/>
    </row>
    <row r="150" spans="2:17" ht="14.25" customHeight="1">
      <c r="C150" s="51"/>
      <c r="D150" s="51"/>
      <c r="E150" s="51"/>
      <c r="F150" s="51"/>
      <c r="G150" s="51"/>
      <c r="H150" s="51"/>
      <c r="I150" s="51"/>
      <c r="J150" s="51"/>
      <c r="K150" s="51"/>
      <c r="L150" s="51"/>
      <c r="M150" s="51"/>
      <c r="N150" s="51"/>
      <c r="O150" s="51"/>
      <c r="P150" s="51"/>
      <c r="Q150" s="51"/>
    </row>
    <row r="151" spans="2:17" ht="14.25" customHeight="1">
      <c r="C151" s="51"/>
      <c r="D151" s="51"/>
      <c r="E151" s="51"/>
      <c r="F151" s="51"/>
      <c r="G151" s="51"/>
      <c r="H151" s="51"/>
      <c r="I151" s="51"/>
      <c r="J151" s="51"/>
      <c r="K151" s="51"/>
      <c r="L151" s="51"/>
      <c r="M151" s="51"/>
      <c r="N151" s="51"/>
      <c r="O151" s="51"/>
      <c r="P151" s="51"/>
      <c r="Q151" s="51"/>
    </row>
    <row r="152" spans="2:17" ht="14.25" customHeight="1">
      <c r="C152" s="51"/>
      <c r="D152" s="51"/>
      <c r="E152" s="51"/>
      <c r="F152" s="51"/>
      <c r="G152" s="51"/>
      <c r="H152" s="51"/>
      <c r="I152" s="51"/>
      <c r="J152" s="51"/>
      <c r="K152" s="51"/>
      <c r="L152" s="51"/>
      <c r="M152" s="51"/>
      <c r="N152" s="51"/>
      <c r="O152" s="51"/>
      <c r="P152" s="51"/>
      <c r="Q152" s="51"/>
    </row>
    <row r="153" spans="2:17" ht="14.25" customHeight="1">
      <c r="C153" s="51"/>
      <c r="D153" s="51"/>
      <c r="E153" s="51"/>
      <c r="F153" s="51"/>
      <c r="G153" s="51"/>
      <c r="H153" s="51"/>
      <c r="I153" s="51"/>
      <c r="J153" s="51"/>
      <c r="K153" s="51"/>
      <c r="L153" s="51"/>
      <c r="M153" s="51"/>
      <c r="N153" s="51"/>
      <c r="O153" s="51"/>
      <c r="P153" s="51"/>
      <c r="Q153" s="51"/>
    </row>
    <row r="154" spans="2:17" ht="14.25" customHeight="1">
      <c r="C154" s="51"/>
      <c r="D154" s="51"/>
      <c r="E154" s="51"/>
      <c r="F154" s="51"/>
      <c r="G154" s="51"/>
      <c r="H154" s="51"/>
      <c r="I154" s="51"/>
      <c r="J154" s="51"/>
      <c r="K154" s="51"/>
      <c r="L154" s="51"/>
      <c r="M154" s="51"/>
      <c r="N154" s="51"/>
      <c r="O154" s="51"/>
      <c r="P154" s="51"/>
      <c r="Q154" s="51"/>
    </row>
    <row r="155" spans="2:17" ht="14.25" customHeight="1">
      <c r="C155" s="51"/>
      <c r="D155" s="51"/>
      <c r="E155" s="51"/>
      <c r="F155" s="51"/>
      <c r="G155" s="51"/>
      <c r="H155" s="51"/>
      <c r="I155" s="51"/>
      <c r="J155" s="51"/>
      <c r="K155" s="51"/>
      <c r="L155" s="51"/>
      <c r="M155" s="51"/>
      <c r="N155" s="51"/>
      <c r="O155" s="51"/>
      <c r="P155" s="51"/>
      <c r="Q155" s="51"/>
    </row>
    <row r="156" spans="2:17" ht="14.25" customHeight="1">
      <c r="C156" s="51"/>
      <c r="D156" s="51"/>
      <c r="E156" s="51"/>
      <c r="F156" s="51"/>
      <c r="G156" s="51"/>
      <c r="H156" s="51"/>
      <c r="I156" s="51"/>
      <c r="J156" s="51"/>
      <c r="K156" s="51"/>
      <c r="L156" s="51"/>
      <c r="M156" s="51"/>
      <c r="N156" s="51"/>
      <c r="O156" s="51"/>
      <c r="P156" s="51"/>
      <c r="Q156" s="51"/>
    </row>
    <row r="157" spans="2:17" ht="14.25" customHeight="1">
      <c r="C157" s="51"/>
      <c r="D157" s="51"/>
      <c r="E157" s="51"/>
      <c r="F157" s="51"/>
      <c r="G157" s="51"/>
      <c r="H157" s="51"/>
      <c r="I157" s="51"/>
      <c r="J157" s="51"/>
      <c r="K157" s="51"/>
      <c r="L157" s="51"/>
      <c r="M157" s="51"/>
      <c r="N157" s="51"/>
      <c r="O157" s="51"/>
      <c r="P157" s="51"/>
      <c r="Q157" s="51"/>
    </row>
    <row r="158" spans="2:17" ht="14.25" customHeight="1">
      <c r="C158" s="51"/>
      <c r="D158" s="51"/>
      <c r="E158" s="51"/>
      <c r="F158" s="51"/>
      <c r="G158" s="51"/>
      <c r="H158" s="51"/>
      <c r="I158" s="51"/>
      <c r="J158" s="51"/>
      <c r="K158" s="51"/>
      <c r="L158" s="51"/>
      <c r="M158" s="51"/>
      <c r="N158" s="51"/>
      <c r="O158" s="51"/>
      <c r="P158" s="51"/>
      <c r="Q158" s="51"/>
    </row>
    <row r="159" spans="2:17" ht="14.25" customHeight="1">
      <c r="C159" s="51"/>
      <c r="D159" s="51"/>
      <c r="E159" s="51"/>
      <c r="F159" s="51"/>
      <c r="G159" s="51"/>
      <c r="H159" s="51"/>
      <c r="I159" s="51"/>
      <c r="J159" s="51"/>
      <c r="K159" s="51"/>
      <c r="L159" s="51"/>
      <c r="M159" s="51"/>
      <c r="N159" s="51"/>
      <c r="O159" s="51"/>
      <c r="P159" s="51"/>
      <c r="Q159" s="51"/>
    </row>
    <row r="160" spans="2:17" ht="14.25" customHeight="1">
      <c r="C160" s="51"/>
      <c r="D160" s="51"/>
      <c r="E160" s="51"/>
      <c r="F160" s="51"/>
      <c r="G160" s="51"/>
      <c r="H160" s="51"/>
      <c r="I160" s="51"/>
      <c r="J160" s="51"/>
      <c r="K160" s="51"/>
      <c r="L160" s="51"/>
      <c r="M160" s="51"/>
      <c r="N160" s="51"/>
      <c r="O160" s="51"/>
      <c r="P160" s="51"/>
      <c r="Q160" s="51"/>
    </row>
    <row r="161" spans="3:17" ht="14.25" customHeight="1">
      <c r="C161" s="51"/>
      <c r="D161" s="51"/>
      <c r="E161" s="51"/>
      <c r="F161" s="51"/>
      <c r="G161" s="51"/>
      <c r="H161" s="51"/>
      <c r="I161" s="51"/>
      <c r="J161" s="51"/>
      <c r="K161" s="51"/>
      <c r="L161" s="51"/>
      <c r="M161" s="51"/>
      <c r="N161" s="51"/>
      <c r="O161" s="51"/>
      <c r="P161" s="51"/>
      <c r="Q161" s="51"/>
    </row>
    <row r="162" spans="3:17" ht="14.25" customHeight="1">
      <c r="C162" s="51"/>
      <c r="D162" s="51"/>
      <c r="E162" s="51"/>
      <c r="F162" s="51"/>
      <c r="G162" s="51"/>
      <c r="H162" s="51"/>
      <c r="I162" s="51"/>
      <c r="J162" s="51"/>
      <c r="K162" s="51"/>
      <c r="L162" s="51"/>
      <c r="M162" s="51"/>
      <c r="N162" s="51"/>
      <c r="O162" s="51"/>
      <c r="P162" s="51"/>
      <c r="Q162" s="51"/>
    </row>
    <row r="163" spans="3:17" ht="14.25" customHeight="1">
      <c r="C163" s="51"/>
      <c r="D163" s="51"/>
      <c r="E163" s="51"/>
      <c r="F163" s="51"/>
      <c r="G163" s="51"/>
      <c r="H163" s="51"/>
      <c r="I163" s="51"/>
      <c r="J163" s="51"/>
      <c r="K163" s="51"/>
      <c r="L163" s="51"/>
      <c r="M163" s="51"/>
      <c r="N163" s="51"/>
      <c r="O163" s="51"/>
      <c r="P163" s="51"/>
      <c r="Q163" s="51"/>
    </row>
    <row r="164" spans="3:17" ht="14.25" customHeight="1">
      <c r="C164" s="51"/>
      <c r="D164" s="51"/>
      <c r="E164" s="51"/>
      <c r="F164" s="51"/>
      <c r="G164" s="51"/>
      <c r="H164" s="51"/>
      <c r="I164" s="51"/>
      <c r="J164" s="51"/>
      <c r="K164" s="51"/>
      <c r="L164" s="51"/>
      <c r="M164" s="51"/>
      <c r="N164" s="51"/>
      <c r="O164" s="51"/>
      <c r="P164" s="51"/>
      <c r="Q164" s="51"/>
    </row>
    <row r="165" spans="3:17" ht="14.25" customHeight="1">
      <c r="C165" s="51"/>
      <c r="D165" s="51"/>
      <c r="E165" s="51"/>
      <c r="F165" s="51"/>
      <c r="G165" s="51"/>
      <c r="H165" s="51"/>
      <c r="I165" s="51"/>
      <c r="J165" s="51"/>
      <c r="K165" s="51"/>
      <c r="L165" s="51"/>
      <c r="M165" s="51"/>
      <c r="N165" s="51"/>
      <c r="O165" s="51"/>
      <c r="P165" s="51"/>
      <c r="Q165" s="51"/>
    </row>
    <row r="166" spans="3:17" ht="14.25" customHeight="1">
      <c r="C166" s="51"/>
      <c r="D166" s="51"/>
      <c r="E166" s="51"/>
      <c r="F166" s="51"/>
      <c r="G166" s="51"/>
      <c r="H166" s="51"/>
      <c r="I166" s="51"/>
      <c r="J166" s="51"/>
      <c r="K166" s="51"/>
      <c r="L166" s="51"/>
      <c r="M166" s="51"/>
      <c r="N166" s="51"/>
      <c r="O166" s="51"/>
      <c r="P166" s="51"/>
      <c r="Q166" s="51"/>
    </row>
    <row r="167" spans="3:17" ht="14.25" customHeight="1">
      <c r="C167" s="51"/>
      <c r="D167" s="51"/>
      <c r="E167" s="51"/>
      <c r="F167" s="51"/>
      <c r="G167" s="51"/>
      <c r="H167" s="51"/>
      <c r="I167" s="51"/>
      <c r="J167" s="51"/>
      <c r="K167" s="51"/>
      <c r="L167" s="51"/>
      <c r="M167" s="51"/>
      <c r="N167" s="51"/>
      <c r="O167" s="51"/>
      <c r="P167" s="51"/>
      <c r="Q167" s="51"/>
    </row>
    <row r="168" spans="3:17" ht="14.25" customHeight="1">
      <c r="C168" s="51"/>
      <c r="D168" s="51"/>
      <c r="E168" s="51"/>
      <c r="F168" s="51"/>
      <c r="G168" s="51"/>
      <c r="H168" s="51"/>
      <c r="I168" s="51"/>
      <c r="J168" s="51"/>
      <c r="K168" s="51"/>
      <c r="L168" s="51"/>
      <c r="M168" s="51"/>
      <c r="N168" s="51"/>
      <c r="O168" s="51"/>
      <c r="P168" s="51"/>
      <c r="Q168" s="51"/>
    </row>
    <row r="169" spans="3:17">
      <c r="C169" s="51"/>
      <c r="D169" s="51"/>
      <c r="E169" s="51"/>
      <c r="F169" s="51"/>
      <c r="G169" s="51"/>
      <c r="H169" s="51"/>
      <c r="I169" s="51"/>
      <c r="J169" s="51"/>
      <c r="K169" s="51"/>
      <c r="L169" s="51"/>
      <c r="M169" s="51"/>
      <c r="N169" s="51"/>
      <c r="O169" s="51"/>
      <c r="P169" s="51"/>
      <c r="Q169" s="51"/>
    </row>
  </sheetData>
  <mergeCells count="160">
    <mergeCell ref="E44:E47"/>
    <mergeCell ref="F44:F47"/>
    <mergeCell ref="G44:G47"/>
    <mergeCell ref="H44:H47"/>
    <mergeCell ref="I44:I47"/>
    <mergeCell ref="J44:J47"/>
    <mergeCell ref="L44:L47"/>
    <mergeCell ref="M44:M47"/>
    <mergeCell ref="O44:O47"/>
    <mergeCell ref="K44:K47"/>
    <mergeCell ref="N44:N47"/>
    <mergeCell ref="E49:E52"/>
    <mergeCell ref="F49:F52"/>
    <mergeCell ref="G49:G52"/>
    <mergeCell ref="H49:H52"/>
    <mergeCell ref="I49:I52"/>
    <mergeCell ref="J49:J52"/>
    <mergeCell ref="L49:L52"/>
    <mergeCell ref="M49:M52"/>
    <mergeCell ref="O49:O52"/>
    <mergeCell ref="K49:K52"/>
    <mergeCell ref="N49:N52"/>
    <mergeCell ref="E39:E42"/>
    <mergeCell ref="F39:F42"/>
    <mergeCell ref="G39:G42"/>
    <mergeCell ref="H39:H42"/>
    <mergeCell ref="I39:I42"/>
    <mergeCell ref="J39:J42"/>
    <mergeCell ref="L39:L42"/>
    <mergeCell ref="M39:M42"/>
    <mergeCell ref="O39:O42"/>
    <mergeCell ref="E35:E37"/>
    <mergeCell ref="F35:F37"/>
    <mergeCell ref="G35:G37"/>
    <mergeCell ref="H35:H37"/>
    <mergeCell ref="I35:I37"/>
    <mergeCell ref="J35:J37"/>
    <mergeCell ref="L35:L37"/>
    <mergeCell ref="M35:M37"/>
    <mergeCell ref="O35:O37"/>
    <mergeCell ref="E22:E29"/>
    <mergeCell ref="F22:F29"/>
    <mergeCell ref="G22:G29"/>
    <mergeCell ref="H12:H13"/>
    <mergeCell ref="Q12:Q13"/>
    <mergeCell ref="G12:G13"/>
    <mergeCell ref="I12:P12"/>
    <mergeCell ref="C12:C13"/>
    <mergeCell ref="D12:D13"/>
    <mergeCell ref="E12:E13"/>
    <mergeCell ref="F12:F13"/>
    <mergeCell ref="O14:O16"/>
    <mergeCell ref="H14:H16"/>
    <mergeCell ref="I14:I16"/>
    <mergeCell ref="J14:J16"/>
    <mergeCell ref="K14:K16"/>
    <mergeCell ref="L14:L16"/>
    <mergeCell ref="M14:M16"/>
    <mergeCell ref="N14:N16"/>
    <mergeCell ref="E14:E16"/>
    <mergeCell ref="F14:F16"/>
    <mergeCell ref="G14:G16"/>
    <mergeCell ref="E18:E20"/>
    <mergeCell ref="F18:F20"/>
    <mergeCell ref="Q102:Q108"/>
    <mergeCell ref="Q94:Q100"/>
    <mergeCell ref="Q86:Q92"/>
    <mergeCell ref="I55:P55"/>
    <mergeCell ref="Q55:Q56"/>
    <mergeCell ref="C68:C69"/>
    <mergeCell ref="D68:D69"/>
    <mergeCell ref="E68:E69"/>
    <mergeCell ref="F68:F69"/>
    <mergeCell ref="G68:G69"/>
    <mergeCell ref="H68:H69"/>
    <mergeCell ref="I68:P68"/>
    <mergeCell ref="Q68:Q69"/>
    <mergeCell ref="C55:C56"/>
    <mergeCell ref="D55:D56"/>
    <mergeCell ref="E55:E56"/>
    <mergeCell ref="F55:F56"/>
    <mergeCell ref="G55:G56"/>
    <mergeCell ref="H55:H56"/>
    <mergeCell ref="I111:P111"/>
    <mergeCell ref="Q111:Q112"/>
    <mergeCell ref="C125:C126"/>
    <mergeCell ref="D125:D126"/>
    <mergeCell ref="E125:E126"/>
    <mergeCell ref="F125:F126"/>
    <mergeCell ref="G125:G126"/>
    <mergeCell ref="H125:H126"/>
    <mergeCell ref="I125:P125"/>
    <mergeCell ref="Q125:Q126"/>
    <mergeCell ref="C111:C112"/>
    <mergeCell ref="D111:D112"/>
    <mergeCell ref="E111:E112"/>
    <mergeCell ref="F111:F112"/>
    <mergeCell ref="G111:G112"/>
    <mergeCell ref="H111:H112"/>
    <mergeCell ref="I134:P134"/>
    <mergeCell ref="Q134:Q135"/>
    <mergeCell ref="E136:E142"/>
    <mergeCell ref="F136:F142"/>
    <mergeCell ref="G136:G142"/>
    <mergeCell ref="H136:H142"/>
    <mergeCell ref="Q136:Q142"/>
    <mergeCell ref="C134:C135"/>
    <mergeCell ref="D134:D135"/>
    <mergeCell ref="E134:E135"/>
    <mergeCell ref="F134:F135"/>
    <mergeCell ref="G134:G135"/>
    <mergeCell ref="H134:H135"/>
    <mergeCell ref="G18:G20"/>
    <mergeCell ref="H18:H20"/>
    <mergeCell ref="I18:I20"/>
    <mergeCell ref="J18:J20"/>
    <mergeCell ref="L18:L20"/>
    <mergeCell ref="M18:M20"/>
    <mergeCell ref="O18:O20"/>
    <mergeCell ref="P18:P20"/>
    <mergeCell ref="H22:H29"/>
    <mergeCell ref="I22:I29"/>
    <mergeCell ref="J22:J29"/>
    <mergeCell ref="K22:K29"/>
    <mergeCell ref="L22:L29"/>
    <mergeCell ref="M22:M29"/>
    <mergeCell ref="N22:N29"/>
    <mergeCell ref="K18:K20"/>
    <mergeCell ref="N18:N20"/>
    <mergeCell ref="E31:E33"/>
    <mergeCell ref="F31:F33"/>
    <mergeCell ref="G31:G33"/>
    <mergeCell ref="H31:H33"/>
    <mergeCell ref="I31:I33"/>
    <mergeCell ref="J31:J33"/>
    <mergeCell ref="L31:L33"/>
    <mergeCell ref="M31:M33"/>
    <mergeCell ref="O31:O33"/>
    <mergeCell ref="P39:P42"/>
    <mergeCell ref="Q39:Q42"/>
    <mergeCell ref="K39:K42"/>
    <mergeCell ref="N39:N42"/>
    <mergeCell ref="P44:P47"/>
    <mergeCell ref="Q44:Q47"/>
    <mergeCell ref="P49:P52"/>
    <mergeCell ref="Q49:Q52"/>
    <mergeCell ref="P14:P16"/>
    <mergeCell ref="Q14:Q16"/>
    <mergeCell ref="K31:K33"/>
    <mergeCell ref="N31:N33"/>
    <mergeCell ref="K35:K37"/>
    <mergeCell ref="N35:N37"/>
    <mergeCell ref="P22:P29"/>
    <mergeCell ref="Q22:Q29"/>
    <mergeCell ref="P31:P33"/>
    <mergeCell ref="Q31:Q33"/>
    <mergeCell ref="O22:O29"/>
    <mergeCell ref="Q18:Q20"/>
    <mergeCell ref="P35:P37"/>
    <mergeCell ref="Q35:Q37"/>
  </mergeCells>
  <conditionalFormatting sqref="E1:F14 E17:F18 E34:F35 E21:F22 E30:F31 E38:F39 E43:F44 E48:F49 E143:F1048576 E53:F136">
    <cfRule type="containsText" dxfId="17"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47" fitToHeight="0" orientation="portrait" horizontalDpi="1200" verticalDpi="1200" r:id="rId1"/>
  <headerFooter>
    <oddFooter>&amp;CPage &amp;P of &amp;N</oddFooter>
  </headerFooter>
  <rowBreaks count="1" manualBreakCount="1">
    <brk id="84"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topLeftCell="A13" zoomScaleNormal="100" zoomScaleSheetLayoutView="100" workbookViewId="0">
      <selection activeCell="B1" sqref="B1:B1048576"/>
    </sheetView>
  </sheetViews>
  <sheetFormatPr defaultColWidth="8.81640625" defaultRowHeight="13"/>
  <cols>
    <col min="1" max="1" width="8.81640625" style="46"/>
    <col min="2" max="2" width="9.1796875" style="70" customWidth="1"/>
    <col min="3" max="3" width="12.54296875" style="46" customWidth="1"/>
    <col min="4" max="5" width="8.54296875" style="46" customWidth="1"/>
    <col min="6" max="6" width="10.54296875" style="46" customWidth="1"/>
    <col min="7"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5" width="8.54296875" style="46" customWidth="1"/>
    <col min="16" max="16" width="10.54296875" style="46" customWidth="1"/>
    <col min="17" max="17" width="9.453125" style="46" customWidth="1"/>
    <col min="18" max="16384" width="8.81640625" style="46"/>
  </cols>
  <sheetData>
    <row r="2" spans="2:22" ht="18" customHeight="1">
      <c r="B2" s="50"/>
      <c r="C2" s="51"/>
      <c r="D2" s="51"/>
      <c r="E2" s="51"/>
      <c r="F2" s="51"/>
      <c r="G2" s="51"/>
      <c r="H2" s="51"/>
      <c r="I2" s="51"/>
      <c r="J2" s="51"/>
      <c r="K2" s="51"/>
      <c r="L2" s="51"/>
      <c r="M2" s="51"/>
      <c r="N2" s="51"/>
      <c r="O2" s="51"/>
      <c r="R2" s="47"/>
    </row>
    <row r="3" spans="2:22" ht="25" customHeight="1">
      <c r="B3" s="351" t="s">
        <v>534</v>
      </c>
      <c r="C3" s="351"/>
      <c r="D3" s="351"/>
      <c r="E3" s="351"/>
      <c r="F3" s="351"/>
      <c r="G3" s="351"/>
      <c r="H3" s="351"/>
      <c r="I3" s="351"/>
      <c r="J3" s="351"/>
      <c r="K3" s="351"/>
      <c r="L3" s="351"/>
      <c r="M3" s="351"/>
      <c r="N3" s="351"/>
      <c r="O3" s="351"/>
      <c r="P3" s="351"/>
      <c r="Q3" s="351"/>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52" t="s">
        <v>31</v>
      </c>
      <c r="C6" s="352"/>
      <c r="D6" s="352"/>
      <c r="E6" s="352"/>
      <c r="F6" s="352"/>
      <c r="G6" s="352"/>
      <c r="H6" s="352"/>
      <c r="I6" s="352"/>
      <c r="J6" s="352"/>
      <c r="K6" s="352"/>
      <c r="L6" s="352"/>
      <c r="M6" s="352"/>
      <c r="N6" s="352"/>
      <c r="O6" s="352"/>
      <c r="P6" s="352"/>
      <c r="Q6" s="352"/>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53"/>
      <c r="D8" s="353"/>
      <c r="E8" s="353"/>
      <c r="F8" s="353"/>
      <c r="G8" s="51"/>
      <c r="H8" s="353"/>
      <c r="I8" s="353"/>
      <c r="J8" s="353"/>
      <c r="K8" s="353"/>
      <c r="L8" s="51"/>
      <c r="M8" s="353"/>
      <c r="N8" s="353"/>
      <c r="O8" s="353"/>
      <c r="P8" s="353"/>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48" t="str">
        <f>'26MY_CIV4D_DATA'!$D$84</f>
        <v>All-Season Floor Mats</v>
      </c>
      <c r="D10" s="349"/>
      <c r="E10" s="349"/>
      <c r="F10" s="350"/>
      <c r="G10" s="55"/>
      <c r="H10" s="348" t="str">
        <f>'26MY_CIV4D_DATA'!$D$88</f>
        <v>Trunk Tray</v>
      </c>
      <c r="I10" s="349"/>
      <c r="J10" s="349"/>
      <c r="K10" s="350"/>
      <c r="L10" s="55"/>
      <c r="M10" s="348" t="str">
        <f>'26MY_CIV4D_DATA'!$D$53</f>
        <v>Rear Splash Guard </v>
      </c>
      <c r="N10" s="349"/>
      <c r="O10" s="349"/>
      <c r="P10" s="350"/>
      <c r="Q10" s="51"/>
      <c r="R10" s="47"/>
    </row>
    <row r="11" spans="2:22" ht="15" customHeight="1">
      <c r="B11" s="53">
        <v>20</v>
      </c>
      <c r="C11" s="73">
        <f>'26MY_CIV4D_DATA'!$L$84</f>
        <v>266.10000000000002</v>
      </c>
      <c r="D11" s="57">
        <f>-PMT($D$29/52,5*52,C11)</f>
        <v>1.2133890782288268</v>
      </c>
      <c r="E11" s="58" t="s">
        <v>32</v>
      </c>
      <c r="F11" s="75" t="str">
        <f>$C$29</f>
        <v>(6.99%)</v>
      </c>
      <c r="G11" s="51"/>
      <c r="H11" s="73">
        <f>'26MY_CIV4D_DATA'!$L$88</f>
        <v>215.1</v>
      </c>
      <c r="I11" s="57">
        <f>-PMT($D$29/52,5*52,H11)</f>
        <v>0.98083423798203917</v>
      </c>
      <c r="J11" s="58" t="s">
        <v>32</v>
      </c>
      <c r="K11" s="75" t="str">
        <f>$C$29</f>
        <v>(6.99%)</v>
      </c>
      <c r="L11" s="51"/>
      <c r="M11" s="73">
        <f>'26MY_CIV4D_DATA'!$L$53</f>
        <v>177.4</v>
      </c>
      <c r="N11" s="57">
        <f>-PMT($D$29/52,5*52,M11)</f>
        <v>0.80892605215255109</v>
      </c>
      <c r="O11" s="58" t="s">
        <v>32</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53"/>
      <c r="D13" s="353"/>
      <c r="E13" s="353"/>
      <c r="F13" s="353"/>
      <c r="G13" s="51"/>
      <c r="H13" s="353"/>
      <c r="I13" s="353"/>
      <c r="J13" s="353"/>
      <c r="K13" s="353"/>
      <c r="L13" s="51"/>
      <c r="M13" s="353"/>
      <c r="N13" s="353"/>
      <c r="O13" s="353"/>
      <c r="P13" s="353"/>
      <c r="Q13" s="51"/>
      <c r="R13" s="47"/>
    </row>
    <row r="14" spans="2:22" ht="9" customHeight="1">
      <c r="B14" s="52"/>
      <c r="C14" s="80"/>
      <c r="D14" s="80"/>
      <c r="E14" s="80"/>
      <c r="F14" s="80"/>
      <c r="G14" s="51"/>
      <c r="H14" s="80"/>
      <c r="I14" s="80"/>
      <c r="J14" s="80"/>
      <c r="K14" s="80"/>
      <c r="L14" s="51"/>
      <c r="M14" s="80"/>
      <c r="N14" s="80"/>
      <c r="O14" s="80"/>
      <c r="P14" s="80"/>
      <c r="Q14" s="51"/>
      <c r="R14" s="47"/>
    </row>
    <row r="15" spans="2:22" ht="22" customHeight="1">
      <c r="B15" s="52">
        <v>20</v>
      </c>
      <c r="C15" s="354" t="str">
        <f>'26MY_CIV4D_DATA'!$D$45</f>
        <v>Door Visors - Black</v>
      </c>
      <c r="D15" s="355"/>
      <c r="E15" s="355"/>
      <c r="F15" s="356"/>
      <c r="G15" s="64"/>
      <c r="H15" s="348" t="str">
        <f>'26MY_CIV4D_DATA'!$D$64</f>
        <v>Body Side Molding</v>
      </c>
      <c r="I15" s="349"/>
      <c r="J15" s="349"/>
      <c r="K15" s="350"/>
      <c r="L15" s="64"/>
      <c r="M15" s="348" t="str">
        <f>'26MY_CIV4D_DATA'!$D$92</f>
        <v>Illuminated Door Sill Trim</v>
      </c>
      <c r="N15" s="349" t="s">
        <v>238</v>
      </c>
      <c r="O15" s="349" t="s">
        <v>238</v>
      </c>
      <c r="P15" s="350" t="s">
        <v>238</v>
      </c>
      <c r="Q15" s="51"/>
      <c r="R15" s="47"/>
    </row>
    <row r="16" spans="2:22" s="63" customFormat="1" ht="15.5">
      <c r="B16" s="56">
        <v>50</v>
      </c>
      <c r="C16" s="73">
        <f>'26MY_CIV4D_DATA'!$L$45</f>
        <v>435.5</v>
      </c>
      <c r="D16" s="57">
        <f>-PMT($D$29/52,5*52,C16)</f>
        <v>1.9858359397544305</v>
      </c>
      <c r="E16" s="58" t="s">
        <v>32</v>
      </c>
      <c r="F16" s="75" t="str">
        <f>$C$29</f>
        <v>(6.99%)</v>
      </c>
      <c r="G16" s="60"/>
      <c r="H16" s="73">
        <f>'26MY_CIV4D_DATA'!$L$64</f>
        <v>430.4</v>
      </c>
      <c r="I16" s="57">
        <f>-PMT($D$29/52,5*52,H16)</f>
        <v>1.9625804557297519</v>
      </c>
      <c r="J16" s="58" t="s">
        <v>32</v>
      </c>
      <c r="K16" s="75" t="str">
        <f>$C$29</f>
        <v>(6.99%)</v>
      </c>
      <c r="L16" s="60"/>
      <c r="M16" s="73">
        <f>'26MY_CIV4D_DATA'!$L$92</f>
        <v>626.1</v>
      </c>
      <c r="N16" s="57">
        <f>-PMT($D$29/52,5*52,M16)</f>
        <v>2.8549526564414447</v>
      </c>
      <c r="O16" s="58" t="s">
        <v>32</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53"/>
      <c r="D18" s="353"/>
      <c r="E18" s="353"/>
      <c r="F18" s="353"/>
      <c r="G18" s="51"/>
      <c r="H18" s="353"/>
      <c r="I18" s="353"/>
      <c r="J18" s="353"/>
      <c r="K18" s="353"/>
      <c r="L18" s="51"/>
      <c r="M18" s="353"/>
      <c r="N18" s="353"/>
      <c r="O18" s="353"/>
      <c r="P18" s="353"/>
      <c r="Q18" s="51"/>
    </row>
    <row r="19" spans="1:20" ht="9.75" customHeight="1">
      <c r="B19" s="52"/>
      <c r="C19" s="80"/>
      <c r="D19" s="80"/>
      <c r="E19" s="80"/>
      <c r="F19" s="80"/>
      <c r="G19" s="51"/>
      <c r="H19" s="80"/>
      <c r="I19" s="80"/>
      <c r="J19" s="80"/>
      <c r="K19" s="80"/>
      <c r="L19" s="51"/>
      <c r="M19" s="80"/>
      <c r="N19" s="80"/>
      <c r="O19" s="80"/>
      <c r="P19" s="80"/>
      <c r="Q19" s="51"/>
    </row>
    <row r="20" spans="1:20" ht="22" customHeight="1">
      <c r="B20" s="52">
        <v>20</v>
      </c>
      <c r="C20" s="348" t="str">
        <f>'26MY_CIV4D_DATA'!$D$42</f>
        <v>Decklid Spoiler, HPD - TOURING</v>
      </c>
      <c r="D20" s="349"/>
      <c r="E20" s="349"/>
      <c r="F20" s="350"/>
      <c r="G20" s="64"/>
      <c r="H20" s="359" t="str">
        <f>'26MY_CIV4D_DATA'!$D$15</f>
        <v xml:space="preserve">Aero Kit </v>
      </c>
      <c r="I20" s="349"/>
      <c r="J20" s="349"/>
      <c r="K20" s="350"/>
      <c r="L20" s="64"/>
      <c r="M20" s="360" t="str">
        <f>'26MY_CIV4D_DATA'!$D$10</f>
        <v>16” Enkei M52 Wheels &amp; Michelin X-ICE Snow Tire Package</v>
      </c>
      <c r="N20" s="361"/>
      <c r="O20" s="361"/>
      <c r="P20" s="362"/>
      <c r="Q20" s="51"/>
    </row>
    <row r="21" spans="1:20" ht="15.5">
      <c r="B21" s="52">
        <v>50</v>
      </c>
      <c r="C21" s="73">
        <f>'26MY_CIV4D_DATA'!$L$42</f>
        <v>613.70000000000005</v>
      </c>
      <c r="D21" s="57">
        <f>-PMT($D$29/52,5*52,C21)</f>
        <v>2.798409910969677</v>
      </c>
      <c r="E21" s="58" t="s">
        <v>32</v>
      </c>
      <c r="F21" s="76" t="str">
        <f>$C$29</f>
        <v>(6.99%)</v>
      </c>
      <c r="G21" s="60"/>
      <c r="H21" s="73">
        <f>'26MY_CIV4D_DATA'!$L$15</f>
        <v>1867.8</v>
      </c>
      <c r="I21" s="57">
        <f>-PMT($D$29/52,5*52,H21)</f>
        <v>8.5169790316264642</v>
      </c>
      <c r="J21" s="58" t="s">
        <v>32</v>
      </c>
      <c r="K21" s="76" t="str">
        <f>$C$29</f>
        <v>(6.99%)</v>
      </c>
      <c r="L21" s="60"/>
      <c r="M21" s="73">
        <f>'26MY_CIV4D_DATA'!$L$10</f>
        <v>2245.1999999999998</v>
      </c>
      <c r="N21" s="57">
        <f>-PMT($D$29/52,5*52,M21)</f>
        <v>10.237884849452692</v>
      </c>
      <c r="O21" s="58" t="s">
        <v>32</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34</v>
      </c>
      <c r="D23" s="51"/>
      <c r="E23" s="51"/>
      <c r="F23" s="51"/>
      <c r="G23" s="51"/>
      <c r="H23" s="51"/>
      <c r="I23" s="51"/>
      <c r="J23" s="51"/>
      <c r="K23" s="51"/>
      <c r="L23" s="51"/>
      <c r="M23" s="51"/>
      <c r="N23" s="51"/>
      <c r="O23" s="51"/>
      <c r="P23" s="51"/>
      <c r="Q23" s="51"/>
    </row>
    <row r="24" spans="1:20" ht="15" customHeight="1">
      <c r="B24" s="65"/>
      <c r="C24" s="66" t="s">
        <v>35</v>
      </c>
      <c r="D24" s="51"/>
      <c r="E24" s="51"/>
      <c r="F24" s="51"/>
      <c r="G24" s="67"/>
      <c r="H24" s="67"/>
      <c r="I24" s="67"/>
      <c r="J24" s="67"/>
      <c r="K24" s="67"/>
      <c r="L24" s="67"/>
      <c r="M24" s="67"/>
      <c r="N24" s="67"/>
      <c r="O24" s="67"/>
      <c r="P24" s="67"/>
      <c r="Q24" s="51"/>
    </row>
    <row r="25" spans="1:20" ht="15" customHeight="1">
      <c r="B25" s="65">
        <v>20</v>
      </c>
      <c r="C25" s="66" t="s">
        <v>48</v>
      </c>
      <c r="D25" s="51"/>
      <c r="E25" s="51"/>
      <c r="F25" s="51"/>
      <c r="G25" s="67"/>
      <c r="H25" s="67"/>
      <c r="I25" s="67"/>
      <c r="J25" s="67"/>
      <c r="K25" s="67"/>
      <c r="L25" s="67"/>
      <c r="M25" s="67"/>
      <c r="N25" s="67"/>
      <c r="O25" s="67"/>
      <c r="P25" s="67"/>
      <c r="Q25" s="51"/>
    </row>
    <row r="26" spans="1:20" ht="60" customHeight="1">
      <c r="B26" s="52">
        <v>60</v>
      </c>
      <c r="C26" s="357" t="s">
        <v>269</v>
      </c>
      <c r="D26" s="357"/>
      <c r="E26" s="357"/>
      <c r="F26" s="357"/>
      <c r="G26" s="357"/>
      <c r="H26" s="357"/>
      <c r="I26" s="357"/>
      <c r="J26" s="357"/>
      <c r="K26" s="357"/>
      <c r="L26" s="357"/>
      <c r="M26" s="357"/>
      <c r="N26" s="357"/>
      <c r="O26" s="357"/>
      <c r="P26" s="357"/>
      <c r="Q26" s="51"/>
    </row>
    <row r="27" spans="1:20" ht="20.25" customHeight="1" thickBot="1">
      <c r="B27" s="245"/>
      <c r="C27" s="246" t="s">
        <v>33</v>
      </c>
      <c r="D27" s="247"/>
      <c r="E27" s="248"/>
      <c r="F27" s="247"/>
      <c r="G27" s="249"/>
      <c r="H27" s="249"/>
      <c r="I27" s="249"/>
      <c r="J27" s="249"/>
      <c r="K27" s="250"/>
      <c r="L27" s="250"/>
      <c r="M27" s="250"/>
      <c r="N27" s="251"/>
      <c r="O27" s="358"/>
      <c r="P27" s="358"/>
      <c r="Q27" s="252"/>
    </row>
    <row r="28" spans="1:20" ht="20.25" customHeight="1">
      <c r="A28" s="68"/>
      <c r="B28" s="240">
        <v>20</v>
      </c>
      <c r="C28" s="242"/>
      <c r="D28" s="240"/>
      <c r="E28" s="239"/>
      <c r="F28" s="240"/>
      <c r="G28" s="241"/>
      <c r="H28" s="241"/>
      <c r="I28" s="241"/>
      <c r="J28" s="241"/>
      <c r="K28" s="242"/>
      <c r="L28" s="242"/>
      <c r="M28" s="242"/>
      <c r="N28" s="242"/>
      <c r="O28" s="242"/>
      <c r="P28" s="77"/>
      <c r="Q28" s="51"/>
    </row>
    <row r="29" spans="1:20" ht="18" customHeight="1">
      <c r="A29" s="68"/>
      <c r="B29" s="240">
        <v>18</v>
      </c>
      <c r="C29" s="238" t="s">
        <v>272</v>
      </c>
      <c r="D29" s="239">
        <v>6.9900000000000004E-2</v>
      </c>
      <c r="E29" s="239"/>
      <c r="F29" s="240"/>
      <c r="G29" s="241"/>
      <c r="H29" s="241"/>
      <c r="I29" s="241"/>
      <c r="J29" s="241"/>
      <c r="K29" s="242"/>
      <c r="L29" s="242"/>
      <c r="M29" s="242"/>
      <c r="N29" s="242"/>
      <c r="O29" s="242"/>
      <c r="P29" s="77"/>
      <c r="Q29" s="51"/>
    </row>
    <row r="30" spans="1:20" s="51" customFormat="1" ht="15" customHeight="1">
      <c r="A30" s="69"/>
      <c r="B30" s="243">
        <v>7.5</v>
      </c>
      <c r="C30" s="243">
        <v>12</v>
      </c>
      <c r="D30" s="243">
        <v>8</v>
      </c>
      <c r="E30" s="243">
        <v>8</v>
      </c>
      <c r="F30" s="243">
        <v>10</v>
      </c>
      <c r="G30" s="243">
        <v>8.5</v>
      </c>
      <c r="H30" s="243">
        <v>12</v>
      </c>
      <c r="I30" s="243">
        <v>8</v>
      </c>
      <c r="J30" s="243">
        <v>8</v>
      </c>
      <c r="K30" s="243">
        <v>10</v>
      </c>
      <c r="L30" s="243">
        <v>8.5</v>
      </c>
      <c r="M30" s="243">
        <v>12</v>
      </c>
      <c r="N30" s="243">
        <v>8</v>
      </c>
      <c r="O30" s="243">
        <v>8</v>
      </c>
      <c r="P30" s="52">
        <v>10</v>
      </c>
      <c r="Q30" s="52">
        <v>7.5</v>
      </c>
    </row>
    <row r="31" spans="1:20" s="51" customFormat="1" ht="22" customHeight="1">
      <c r="A31" s="69"/>
      <c r="B31" s="244" t="s">
        <v>410</v>
      </c>
      <c r="C31" s="237">
        <f>'26MY_CIV4D_DATA'!$C$5</f>
        <v>46113</v>
      </c>
      <c r="D31" s="67" t="str">
        <f>'SELECT PROVINCE'!$A$23</f>
        <v>All published prices, trim specifications, and availability are subject to change without prior notice.</v>
      </c>
      <c r="E31" s="234"/>
      <c r="F31" s="234"/>
      <c r="G31" s="234"/>
      <c r="H31" s="234"/>
      <c r="I31" s="234"/>
      <c r="J31" s="234"/>
      <c r="K31" s="234"/>
      <c r="L31" s="234"/>
      <c r="M31" s="234"/>
      <c r="N31" s="234"/>
      <c r="O31" s="65"/>
      <c r="P31" s="236" t="s">
        <v>61</v>
      </c>
      <c r="Q31" s="235">
        <f>'26MY_CIV4D_DATA'!L7</f>
        <v>0</v>
      </c>
    </row>
    <row r="32" spans="1:20" ht="15.5">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70"/>
  <sheetViews>
    <sheetView view="pageBreakPreview" topLeftCell="A71" zoomScaleNormal="60" zoomScaleSheetLayoutView="100" workbookViewId="0">
      <selection activeCell="D96" sqref="D96"/>
    </sheetView>
  </sheetViews>
  <sheetFormatPr defaultColWidth="9.1796875" defaultRowHeight="13" outlineLevelCol="1"/>
  <cols>
    <col min="1" max="1" width="9.1796875" style="46"/>
    <col min="2" max="2" width="15.453125" style="275" hidden="1" customWidth="1"/>
    <col min="3" max="3" width="51.1796875" style="46" customWidth="1"/>
    <col min="4" max="4" width="24.453125" style="46" customWidth="1"/>
    <col min="5" max="5" width="11.54296875" style="46" customWidth="1" outlineLevel="1"/>
    <col min="6" max="6" width="11.7265625" style="46" customWidth="1"/>
    <col min="7" max="7" width="8.54296875" style="46" customWidth="1"/>
    <col min="8" max="8" width="13.54296875" style="46" customWidth="1"/>
    <col min="9" max="9" width="10.54296875" style="46" customWidth="1"/>
    <col min="10" max="11" width="10.54296875" style="46" hidden="1" customWidth="1"/>
    <col min="12" max="13" width="10.54296875" style="46" customWidth="1"/>
    <col min="14" max="14" width="10.54296875" style="46" hidden="1" customWidth="1"/>
    <col min="15" max="16" width="10.54296875" style="46" customWidth="1"/>
    <col min="17" max="17" width="62" style="46" customWidth="1"/>
    <col min="18" max="16384" width="9.1796875" style="46"/>
  </cols>
  <sheetData>
    <row r="2" spans="2:20" ht="35.25" customHeight="1">
      <c r="B2" s="268" t="s">
        <v>380</v>
      </c>
      <c r="C2" s="157" t="s">
        <v>73</v>
      </c>
      <c r="D2" s="157"/>
      <c r="E2" s="154"/>
      <c r="F2" s="15"/>
      <c r="G2" s="128"/>
      <c r="H2" s="129"/>
      <c r="I2" s="129"/>
      <c r="J2" s="129"/>
      <c r="K2" s="129"/>
      <c r="L2" s="144"/>
      <c r="M2" s="145"/>
      <c r="N2" s="145"/>
      <c r="O2" s="144"/>
      <c r="P2" s="144"/>
      <c r="Q2" s="144"/>
    </row>
    <row r="3" spans="2:20" ht="30" customHeight="1">
      <c r="B3" s="268"/>
      <c r="C3" s="158" t="s">
        <v>74</v>
      </c>
      <c r="D3" s="159" t="s">
        <v>401</v>
      </c>
      <c r="E3" s="155"/>
      <c r="F3" s="2"/>
      <c r="G3" s="128"/>
      <c r="H3" s="129"/>
      <c r="I3" s="129"/>
      <c r="J3" s="129"/>
      <c r="K3" s="129"/>
      <c r="L3" s="146"/>
      <c r="O3" s="147"/>
      <c r="P3" s="144"/>
      <c r="Q3" s="144"/>
    </row>
    <row r="4" spans="2:20" ht="30" customHeight="1">
      <c r="B4" s="268"/>
      <c r="C4" s="158" t="s">
        <v>75</v>
      </c>
      <c r="D4" s="159">
        <f>'26MY_CIV4D_DATA'!C4</f>
        <v>2026</v>
      </c>
      <c r="E4" s="155"/>
      <c r="F4" s="2"/>
      <c r="G4" s="128"/>
      <c r="H4" s="129"/>
      <c r="I4" s="129"/>
      <c r="J4" s="129"/>
      <c r="K4" s="129"/>
      <c r="L4" s="144"/>
      <c r="M4" s="148"/>
      <c r="N4" s="148"/>
      <c r="O4" s="144"/>
      <c r="P4" s="144"/>
      <c r="Q4" s="144"/>
    </row>
    <row r="5" spans="2:20">
      <c r="B5" s="268"/>
      <c r="C5" s="366" t="s">
        <v>76</v>
      </c>
      <c r="D5" s="367"/>
      <c r="E5" s="367"/>
      <c r="F5" s="367"/>
      <c r="G5" s="367"/>
      <c r="H5" s="367"/>
      <c r="I5" s="367"/>
      <c r="J5" s="367"/>
      <c r="K5" s="367"/>
      <c r="L5" s="367"/>
      <c r="M5" s="367"/>
      <c r="N5" s="367"/>
      <c r="O5" s="368"/>
      <c r="P5" s="121"/>
      <c r="Q5" s="149"/>
    </row>
    <row r="6" spans="2:20">
      <c r="B6" s="268"/>
      <c r="C6" s="369" t="s">
        <v>77</v>
      </c>
      <c r="D6" s="370"/>
      <c r="E6" s="370"/>
      <c r="F6" s="370"/>
      <c r="G6" s="370"/>
      <c r="H6" s="370"/>
      <c r="I6" s="370"/>
      <c r="J6" s="370"/>
      <c r="K6" s="370"/>
      <c r="L6" s="370"/>
      <c r="M6" s="370"/>
      <c r="N6" s="370"/>
      <c r="O6" s="371"/>
      <c r="P6" s="121"/>
      <c r="Q6" s="149"/>
    </row>
    <row r="7" spans="2:20">
      <c r="B7" s="268"/>
      <c r="C7" s="369" t="s">
        <v>78</v>
      </c>
      <c r="D7" s="370"/>
      <c r="E7" s="370"/>
      <c r="F7" s="370"/>
      <c r="G7" s="370"/>
      <c r="H7" s="370"/>
      <c r="I7" s="370"/>
      <c r="J7" s="370"/>
      <c r="K7" s="370"/>
      <c r="L7" s="370"/>
      <c r="M7" s="370"/>
      <c r="N7" s="370"/>
      <c r="O7" s="371"/>
      <c r="P7" s="121"/>
      <c r="Q7" s="149"/>
    </row>
    <row r="8" spans="2:20">
      <c r="B8" s="268"/>
      <c r="C8" s="372" t="s">
        <v>79</v>
      </c>
      <c r="D8" s="373"/>
      <c r="E8" s="373"/>
      <c r="F8" s="373"/>
      <c r="G8" s="373"/>
      <c r="H8" s="373"/>
      <c r="I8" s="373"/>
      <c r="J8" s="373"/>
      <c r="K8" s="373"/>
      <c r="L8" s="373"/>
      <c r="M8" s="373"/>
      <c r="N8" s="373"/>
      <c r="O8" s="374"/>
      <c r="P8" s="121"/>
      <c r="Q8" s="149"/>
    </row>
    <row r="9" spans="2:20">
      <c r="B9" s="268"/>
      <c r="C9" s="141"/>
      <c r="D9" s="141"/>
      <c r="E9" s="141"/>
      <c r="F9" s="141"/>
      <c r="G9" s="141"/>
      <c r="H9" s="141"/>
      <c r="I9" s="141"/>
      <c r="J9" s="141"/>
      <c r="K9" s="141"/>
      <c r="L9" s="141"/>
      <c r="M9" s="141"/>
      <c r="N9" s="141"/>
      <c r="O9" s="141"/>
      <c r="P9" s="142"/>
      <c r="Q9" s="160"/>
    </row>
    <row r="10" spans="2:20" ht="14.5">
      <c r="B10" s="268"/>
      <c r="C10" s="51"/>
      <c r="D10" s="51"/>
      <c r="E10" s="51"/>
      <c r="F10" s="51"/>
      <c r="G10" s="51"/>
      <c r="H10" s="151" t="s">
        <v>61</v>
      </c>
      <c r="I10" s="51"/>
      <c r="J10" s="51"/>
      <c r="K10" s="51"/>
      <c r="L10" s="51"/>
      <c r="M10" s="51"/>
      <c r="N10" s="51"/>
      <c r="O10" s="51"/>
      <c r="P10" s="51"/>
      <c r="Q10" s="150"/>
    </row>
    <row r="11" spans="2:20" ht="18.5">
      <c r="B11" s="268"/>
      <c r="C11" s="152" t="s">
        <v>80</v>
      </c>
      <c r="D11" s="153"/>
      <c r="E11" s="132"/>
      <c r="F11" s="132"/>
      <c r="G11" s="131"/>
      <c r="H11" s="181" t="str">
        <f>prov_cd</f>
        <v>YT</v>
      </c>
      <c r="I11" s="180"/>
      <c r="J11" s="51"/>
      <c r="K11" s="51"/>
      <c r="L11" s="51"/>
      <c r="M11" s="51"/>
      <c r="N11" s="51"/>
      <c r="O11" s="51"/>
      <c r="P11" s="51"/>
      <c r="Q11" s="51"/>
    </row>
    <row r="12" spans="2:20" ht="14.5">
      <c r="B12" s="268"/>
      <c r="C12" s="346" t="s">
        <v>81</v>
      </c>
      <c r="D12" s="346" t="s">
        <v>82</v>
      </c>
      <c r="E12" s="346" t="s">
        <v>83</v>
      </c>
      <c r="F12" s="346" t="s">
        <v>84</v>
      </c>
      <c r="G12" s="346" t="s">
        <v>85</v>
      </c>
      <c r="H12" s="347" t="s">
        <v>86</v>
      </c>
      <c r="I12" s="346" t="s">
        <v>25</v>
      </c>
      <c r="J12" s="346"/>
      <c r="K12" s="346"/>
      <c r="L12" s="346"/>
      <c r="M12" s="346"/>
      <c r="N12" s="346"/>
      <c r="O12" s="346"/>
      <c r="P12" s="346"/>
      <c r="Q12" s="346" t="s">
        <v>87</v>
      </c>
    </row>
    <row r="13" spans="2:20" ht="29.15" customHeight="1">
      <c r="B13" s="268"/>
      <c r="C13" s="346"/>
      <c r="D13" s="346"/>
      <c r="E13" s="346"/>
      <c r="F13" s="346"/>
      <c r="G13" s="346"/>
      <c r="H13" s="347"/>
      <c r="I13" s="178" t="str">
        <f>'26MY_CIV4D_DATA'!M$8</f>
        <v>LX</v>
      </c>
      <c r="J13" s="178">
        <f>'26MY_CIV4D_DATA'!N$8</f>
        <v>0</v>
      </c>
      <c r="K13" s="178">
        <f>'26MY_CIV4D_DATA'!O$8</f>
        <v>0</v>
      </c>
      <c r="L13" s="178" t="str">
        <f>'26MY_CIV4D_DATA'!P$8</f>
        <v>SPORT</v>
      </c>
      <c r="M13" s="178" t="str">
        <f>'26MY_CIV4D_DATA'!Q$8</f>
        <v>SPORT 
Hybride</v>
      </c>
      <c r="N13" s="178">
        <f>'26MY_CIV4D_DATA'!R$8</f>
        <v>0</v>
      </c>
      <c r="O13" s="178" t="str">
        <f>'26MY_CIV4D_DATA'!S$8</f>
        <v>Sport Touring Hybride</v>
      </c>
      <c r="P13" s="178" t="str">
        <f>'26MY_CIV4D_DATA'!T$8</f>
        <v>Si</v>
      </c>
      <c r="Q13" s="346"/>
    </row>
    <row r="14" spans="2:20" s="133" customFormat="1" ht="30" customHeight="1">
      <c r="B14" s="269" t="s">
        <v>297</v>
      </c>
      <c r="C14" s="195" t="str">
        <f>VLOOKUP(B14,'26MY_CIV4D_DATA'!B:AQ,4,FALSE)</f>
        <v>Ensemble de roues Enkei M52 de 16 po et de pneus Michelin X-ICE Snow</v>
      </c>
      <c r="D14" s="204"/>
      <c r="E14" s="337">
        <f>VLOOKUP(B14,'26MY_CIV4D_DATA'!B:AQ,9,FALSE)</f>
        <v>1596.56</v>
      </c>
      <c r="F14" s="337">
        <f>VLOOKUP(B14,'26MY_CIV4D_DATA'!B:AQ,10,FALSE)</f>
        <v>2028</v>
      </c>
      <c r="G14" s="340">
        <f>VLOOKUP(B14,'26MY_CIV4D_DATA'!B:AQ,7,FALSE)</f>
        <v>1.2</v>
      </c>
      <c r="H14" s="343">
        <f>VLOOKUP(B14,'26MY_CIV4D_DATA'!B:AQ,11,FALSE)</f>
        <v>2245.1999999999998</v>
      </c>
      <c r="I14" s="331" t="str">
        <f>VLOOKUP(B14,'26MY_CIV4D_DATA'!B:AQ,12,FALSE)</f>
        <v>•</v>
      </c>
      <c r="J14" s="331">
        <f>VLOOKUP(B14,'26MY_CIV4D_DATA'!B:AQ,13,FALSE)</f>
        <v>0</v>
      </c>
      <c r="K14" s="331">
        <f>VLOOKUP($B14,'26MY_CIV4D_DATA'!$B:$AQ,14,FALSE)</f>
        <v>0</v>
      </c>
      <c r="L14" s="331" t="str">
        <f>VLOOKUP(B14,'26MY_CIV4D_DATA'!B:AQ,15,FALSE)</f>
        <v>•</v>
      </c>
      <c r="M14" s="331" t="str">
        <f>VLOOKUP($B14,'26MY_CIV4D_DATA'!$B:$AQ,16,FALSE)</f>
        <v>N/A</v>
      </c>
      <c r="N14" s="331">
        <f>VLOOKUP($B14,'26MY_CIV4D_DATA'!$B:$AQ,17,FALSE)</f>
        <v>0</v>
      </c>
      <c r="O14" s="331" t="str">
        <f>VLOOKUP($B14,'26MY_CIV4D_DATA'!$B:$AQ,18,FALSE)</f>
        <v>N/A</v>
      </c>
      <c r="P14" s="331" t="str">
        <f>VLOOKUP(B14,'26MY_CIV4D_DATA'!B:AQ,19,FALSE)</f>
        <v>N/A</v>
      </c>
      <c r="Q14" s="363" t="str">
        <f>IF(VLOOKUP(B14,'26MY_CIV4D_DATA'!B:AQ,21,FALSE)="","",VLOOKUP(B14,'26MY_CIV4D_DATA'!B:AQ,21,FALSE))</f>
        <v>Prix établi pour ensemble de 4 pneus.</v>
      </c>
      <c r="R14" s="95"/>
      <c r="S14" s="95"/>
      <c r="T14" s="95"/>
    </row>
    <row r="15" spans="2:20" s="134" customFormat="1" ht="29.15" customHeight="1">
      <c r="B15" s="270" t="s">
        <v>407</v>
      </c>
      <c r="C15" s="191" t="str">
        <f>VLOOKUP(B15,'26MY_CIV4D_DATA'!B:AQ,4,FALSE)</f>
        <v>Roues Enkei M52 de 16 po - argent ou noir brillant</v>
      </c>
      <c r="D15" s="230" t="str">
        <f t="shared" ref="D15" si="0">B15</f>
        <v>480-670-6545-SP ou 480-670-6545-GB</v>
      </c>
      <c r="E15" s="338"/>
      <c r="F15" s="338"/>
      <c r="G15" s="341"/>
      <c r="H15" s="344"/>
      <c r="I15" s="332"/>
      <c r="J15" s="332"/>
      <c r="K15" s="332"/>
      <c r="L15" s="332"/>
      <c r="M15" s="332"/>
      <c r="N15" s="332"/>
      <c r="O15" s="332"/>
      <c r="P15" s="332"/>
      <c r="Q15" s="364"/>
      <c r="R15" s="97"/>
      <c r="S15" s="97"/>
      <c r="T15" s="97"/>
    </row>
    <row r="16" spans="2:20" s="134" customFormat="1" ht="15" customHeight="1">
      <c r="B16" s="276">
        <v>34417</v>
      </c>
      <c r="C16" s="191" t="str">
        <f>VLOOKUP(B16,'26MY_CIV4D_DATA'!B:AQ,4,FALSE)</f>
        <v>Pneus Michelin X-ICE Snow - 215/55/16</v>
      </c>
      <c r="D16" s="205">
        <f t="shared" ref="D16" si="1">B16</f>
        <v>34417</v>
      </c>
      <c r="E16" s="339"/>
      <c r="F16" s="339"/>
      <c r="G16" s="342"/>
      <c r="H16" s="345"/>
      <c r="I16" s="333"/>
      <c r="J16" s="333"/>
      <c r="K16" s="333"/>
      <c r="L16" s="333"/>
      <c r="M16" s="333"/>
      <c r="N16" s="333"/>
      <c r="O16" s="333"/>
      <c r="P16" s="333"/>
      <c r="Q16" s="365"/>
      <c r="R16" s="97"/>
      <c r="S16" s="97"/>
      <c r="T16" s="97"/>
    </row>
    <row r="17" spans="2:20" s="134" customFormat="1" ht="7" customHeight="1">
      <c r="B17" s="269"/>
      <c r="C17" s="206"/>
      <c r="D17" s="207"/>
      <c r="E17" s="207"/>
      <c r="F17" s="207"/>
      <c r="G17" s="207"/>
      <c r="H17" s="207"/>
      <c r="I17" s="207"/>
      <c r="J17" s="207"/>
      <c r="K17" s="207"/>
      <c r="L17" s="207"/>
      <c r="M17" s="207"/>
      <c r="N17" s="207"/>
      <c r="O17" s="207"/>
      <c r="P17" s="207"/>
      <c r="Q17" s="208"/>
      <c r="R17" s="97"/>
      <c r="S17" s="97"/>
      <c r="T17" s="97"/>
    </row>
    <row r="18" spans="2:20" s="134" customFormat="1" ht="15" customHeight="1">
      <c r="B18" s="269" t="s">
        <v>298</v>
      </c>
      <c r="C18" s="195" t="str">
        <f>VLOOKUP(B18,'26MY_CIV4D_DATA'!B:AQ,4,FALSE)</f>
        <v>Ensemble de roues d’hiver de 16 po en acier et de pneus Michelin X-ICE Snow</v>
      </c>
      <c r="D18" s="204"/>
      <c r="E18" s="337">
        <f>VLOOKUP(B18,'26MY_CIV4D_DATA'!B:AQ,9,FALSE)</f>
        <v>1150.3999999999999</v>
      </c>
      <c r="F18" s="337">
        <f>VLOOKUP(B18,'26MY_CIV4D_DATA'!B:AQ,10,FALSE)</f>
        <v>1522.72</v>
      </c>
      <c r="G18" s="340">
        <f>VLOOKUP(B18,'26MY_CIV4D_DATA'!B:AQ,7,FALSE)</f>
        <v>1.2</v>
      </c>
      <c r="H18" s="343">
        <f>VLOOKUP(B18,'26MY_CIV4D_DATA'!B:AQ,11,FALSE)</f>
        <v>1739.92</v>
      </c>
      <c r="I18" s="331" t="str">
        <f>VLOOKUP(B18,'26MY_CIV4D_DATA'!B:AQ,12,FALSE)</f>
        <v>•</v>
      </c>
      <c r="J18" s="331">
        <f>VLOOKUP(B18,'26MY_CIV4D_DATA'!B:AQ,13,FALSE)</f>
        <v>0</v>
      </c>
      <c r="K18" s="331">
        <f>VLOOKUP($B18,'26MY_CIV4D_DATA'!$B:$AQ,14,FALSE)</f>
        <v>0</v>
      </c>
      <c r="L18" s="331" t="str">
        <f>VLOOKUP(B18,'26MY_CIV4D_DATA'!B:AQ,15,FALSE)</f>
        <v>•</v>
      </c>
      <c r="M18" s="331" t="str">
        <f>VLOOKUP($B18,'26MY_CIV4D_DATA'!$B:$AQ,16,FALSE)</f>
        <v>N/A</v>
      </c>
      <c r="N18" s="331">
        <f>VLOOKUP($B18,'26MY_CIV4D_DATA'!$B:$AQ,17,FALSE)</f>
        <v>0</v>
      </c>
      <c r="O18" s="331" t="str">
        <f>VLOOKUP($B18,'26MY_CIV4D_DATA'!$B:$AQ,18,FALSE)</f>
        <v>N/A</v>
      </c>
      <c r="P18" s="331" t="str">
        <f>VLOOKUP(B18,'26MY_CIV4D_DATA'!B:AQ,19,FALSE)</f>
        <v>N/A</v>
      </c>
      <c r="Q18" s="363" t="str">
        <f>IF(VLOOKUP(B18,'26MY_CIV4D_DATA'!B:AQ,21,FALSE)="","",VLOOKUP(B18,'26MY_CIV4D_DATA'!B:AQ,21,FALSE))</f>
        <v>Prix établi pour ensemble de 4 pneus.</v>
      </c>
      <c r="R18" s="97"/>
      <c r="S18" s="97"/>
      <c r="T18" s="97"/>
    </row>
    <row r="19" spans="2:20" s="134" customFormat="1" ht="14.5">
      <c r="B19" s="269" t="s">
        <v>223</v>
      </c>
      <c r="C19" s="191" t="str">
        <f>VLOOKUP(B19,'26MY_CIV4D_DATA'!B:AQ,4,FALSE)</f>
        <v>Roues d’hiver de 16 po en acier</v>
      </c>
      <c r="D19" s="205" t="str">
        <f t="shared" ref="D19:D20" si="2">B19</f>
        <v>42700-TBA-A12</v>
      </c>
      <c r="E19" s="338"/>
      <c r="F19" s="338"/>
      <c r="G19" s="341"/>
      <c r="H19" s="344"/>
      <c r="I19" s="332"/>
      <c r="J19" s="332"/>
      <c r="K19" s="332"/>
      <c r="L19" s="332"/>
      <c r="M19" s="332"/>
      <c r="N19" s="332"/>
      <c r="O19" s="332"/>
      <c r="P19" s="332"/>
      <c r="Q19" s="364"/>
      <c r="R19" s="97"/>
      <c r="S19" s="97"/>
      <c r="T19" s="97"/>
    </row>
    <row r="20" spans="2:20" s="134" customFormat="1" ht="14.5">
      <c r="B20" s="269">
        <v>34417</v>
      </c>
      <c r="C20" s="191" t="str">
        <f>VLOOKUP(B20,'26MY_CIV4D_DATA'!B:AQ,4,FALSE)</f>
        <v>Pneus Michelin X-ICE Snow - 215/55/16</v>
      </c>
      <c r="D20" s="205">
        <f t="shared" si="2"/>
        <v>34417</v>
      </c>
      <c r="E20" s="339"/>
      <c r="F20" s="339"/>
      <c r="G20" s="342"/>
      <c r="H20" s="345"/>
      <c r="I20" s="333"/>
      <c r="J20" s="333"/>
      <c r="K20" s="333"/>
      <c r="L20" s="333"/>
      <c r="M20" s="333"/>
      <c r="N20" s="333"/>
      <c r="O20" s="333"/>
      <c r="P20" s="333"/>
      <c r="Q20" s="365"/>
      <c r="R20" s="97"/>
      <c r="S20" s="97"/>
      <c r="T20" s="97"/>
    </row>
    <row r="21" spans="2:20" s="134" customFormat="1" ht="7" customHeight="1">
      <c r="B21" s="269"/>
      <c r="C21" s="206"/>
      <c r="D21" s="207"/>
      <c r="E21" s="207"/>
      <c r="F21" s="207"/>
      <c r="G21" s="207"/>
      <c r="H21" s="207"/>
      <c r="I21" s="207"/>
      <c r="J21" s="207"/>
      <c r="K21" s="207"/>
      <c r="L21" s="207"/>
      <c r="M21" s="207"/>
      <c r="N21" s="207"/>
      <c r="O21" s="207"/>
      <c r="P21" s="207"/>
      <c r="Q21" s="208"/>
      <c r="R21" s="97"/>
      <c r="S21" s="97"/>
      <c r="T21" s="97"/>
    </row>
    <row r="22" spans="2:20" s="134" customFormat="1" ht="14.5">
      <c r="B22" s="269" t="s">
        <v>387</v>
      </c>
      <c r="C22" s="195" t="str">
        <f>VLOOKUP(B22,'26MY_CIV4D_DATA'!B:AQ,4,FALSE)</f>
        <v>Ensemble Aero</v>
      </c>
      <c r="D22" s="78"/>
      <c r="E22" s="337">
        <f>VLOOKUP(B22,'26MY_CIV4D_DATA'!B:AQ,9,FALSE)</f>
        <v>794.7</v>
      </c>
      <c r="F22" s="337">
        <f>VLOOKUP(B22,'26MY_CIV4D_DATA'!B:AQ,10,FALSE)</f>
        <v>1324.8</v>
      </c>
      <c r="G22" s="340">
        <f>VLOOKUP(B22,'26MY_CIV4D_DATA'!B:AQ,7,FALSE)</f>
        <v>3</v>
      </c>
      <c r="H22" s="343">
        <f>VLOOKUP(B22,'26MY_CIV4D_DATA'!B:AQ,11,FALSE)</f>
        <v>1867.8</v>
      </c>
      <c r="I22" s="331" t="str">
        <f>VLOOKUP(B22,'26MY_CIV4D_DATA'!B:AQ,12,FALSE)</f>
        <v>•</v>
      </c>
      <c r="J22" s="331">
        <f>VLOOKUP(B22,'26MY_CIV4D_DATA'!B:AQ,13,FALSE)</f>
        <v>0</v>
      </c>
      <c r="K22" s="331">
        <f>VLOOKUP($B22,'26MY_CIV4D_DATA'!$B:$AQ,14,FALSE)</f>
        <v>0</v>
      </c>
      <c r="L22" s="331" t="str">
        <f>VLOOKUP(B22,'26MY_CIV4D_DATA'!B:AQ,15,FALSE)</f>
        <v>•</v>
      </c>
      <c r="M22" s="331" t="str">
        <f>VLOOKUP($B22,'26MY_CIV4D_DATA'!$B:$AQ,16,FALSE)</f>
        <v>•</v>
      </c>
      <c r="N22" s="331">
        <f>VLOOKUP($B22,'26MY_CIV4D_DATA'!$B:$AQ,17,FALSE)</f>
        <v>0</v>
      </c>
      <c r="O22" s="331" t="str">
        <f>VLOOKUP($B22,'26MY_CIV4D_DATA'!$B:$AQ,18,FALSE)</f>
        <v>•</v>
      </c>
      <c r="P22" s="331" t="str">
        <f>VLOOKUP(B22,'26MY_CIV4D_DATA'!B:AQ,19,FALSE)</f>
        <v>•</v>
      </c>
      <c r="Q22" s="363" t="str">
        <f>IF(VLOOKUP(B22,'26MY_CIV4D_DATA'!B:AQ,21,FALSE)="","",VLOOKUP(B22,'26MY_CIV4D_DATA'!B:AQ,21,FALSE))</f>
        <v>Rabais de 10 % appliqué.
Comprend un déflecteur de bas de caisse avant de couleur assortie à la carrosserie, ainsi que des déflecteurs de bas de caisse HPD latéraux et arrière noirs.
Arrivée estimée juillet 2024</v>
      </c>
      <c r="R22" s="97"/>
      <c r="S22" s="97"/>
      <c r="T22" s="97"/>
    </row>
    <row r="23" spans="2:20" s="134" customFormat="1" ht="14.15" customHeight="1">
      <c r="B23" s="269" t="s">
        <v>434</v>
      </c>
      <c r="C23" s="191" t="str">
        <f>VLOOKUP(B23,'26MY_CIV4D_DATA'!B:AQ,4,FALSE)</f>
        <v>Blanc platine nacré (NH-883P)</v>
      </c>
      <c r="D23" s="205" t="str">
        <f t="shared" ref="D23:D29" si="3">B23</f>
        <v>25CIV-ARO-NH883</v>
      </c>
      <c r="E23" s="338"/>
      <c r="F23" s="338"/>
      <c r="G23" s="341"/>
      <c r="H23" s="344"/>
      <c r="I23" s="332"/>
      <c r="J23" s="332"/>
      <c r="K23" s="332"/>
      <c r="L23" s="332"/>
      <c r="M23" s="332"/>
      <c r="N23" s="332"/>
      <c r="O23" s="332"/>
      <c r="P23" s="332"/>
      <c r="Q23" s="364"/>
      <c r="R23" s="97"/>
      <c r="S23" s="97"/>
      <c r="T23" s="97"/>
    </row>
    <row r="24" spans="2:20" s="134" customFormat="1" ht="14.15" customHeight="1">
      <c r="B24" s="269" t="s">
        <v>440</v>
      </c>
      <c r="C24" s="191" t="str">
        <f>VLOOKUP(B24,'26MY_CIV4D_DATA'!B:AQ,4,FALSE)</f>
        <v>Gris météore nacré (NH-904M)</v>
      </c>
      <c r="D24" s="205" t="str">
        <f t="shared" si="3"/>
        <v>25CIV-ARO-NH904</v>
      </c>
      <c r="E24" s="338"/>
      <c r="F24" s="338"/>
      <c r="G24" s="341"/>
      <c r="H24" s="344"/>
      <c r="I24" s="332"/>
      <c r="J24" s="332"/>
      <c r="K24" s="332"/>
      <c r="L24" s="332"/>
      <c r="M24" s="332"/>
      <c r="N24" s="332"/>
      <c r="O24" s="332"/>
      <c r="P24" s="332"/>
      <c r="Q24" s="364"/>
      <c r="R24" s="97"/>
      <c r="S24" s="97"/>
      <c r="T24" s="97"/>
    </row>
    <row r="25" spans="2:20" s="134" customFormat="1" ht="14.15" customHeight="1">
      <c r="B25" s="269" t="s">
        <v>435</v>
      </c>
      <c r="C25" s="191" t="str">
        <f>VLOOKUP(B25,'26MY_CIV4D_DATA'!B:AQ,4,FALSE)</f>
        <v>Noir cristal nacré (NH-731P)</v>
      </c>
      <c r="D25" s="205" t="str">
        <f t="shared" si="3"/>
        <v>25CIV-ARO-NH731</v>
      </c>
      <c r="E25" s="338"/>
      <c r="F25" s="338"/>
      <c r="G25" s="341"/>
      <c r="H25" s="344"/>
      <c r="I25" s="332"/>
      <c r="J25" s="332"/>
      <c r="K25" s="332"/>
      <c r="L25" s="332"/>
      <c r="M25" s="332"/>
      <c r="N25" s="332"/>
      <c r="O25" s="332"/>
      <c r="P25" s="332"/>
      <c r="Q25" s="364"/>
      <c r="R25" s="97"/>
      <c r="S25" s="97"/>
      <c r="T25" s="97"/>
    </row>
    <row r="26" spans="2:20" s="134" customFormat="1" ht="14.15" customHeight="1">
      <c r="B26" s="269" t="s">
        <v>436</v>
      </c>
      <c r="C26" s="191" t="str">
        <f>VLOOKUP(B26,'26MY_CIV4D_DATA'!B:AQ,4,FALSE)</f>
        <v>Rouge rallye (R-513)</v>
      </c>
      <c r="D26" s="205" t="str">
        <f t="shared" si="3"/>
        <v>25CIV-ARO-R513</v>
      </c>
      <c r="E26" s="338"/>
      <c r="F26" s="338"/>
      <c r="G26" s="341"/>
      <c r="H26" s="344"/>
      <c r="I26" s="332"/>
      <c r="J26" s="332"/>
      <c r="K26" s="332"/>
      <c r="L26" s="332"/>
      <c r="M26" s="332"/>
      <c r="N26" s="332"/>
      <c r="O26" s="332"/>
      <c r="P26" s="332"/>
      <c r="Q26" s="364"/>
      <c r="R26" s="97"/>
      <c r="S26" s="97"/>
      <c r="T26" s="97"/>
    </row>
    <row r="27" spans="2:20" s="134" customFormat="1" ht="14.15" customHeight="1">
      <c r="B27" s="269" t="s">
        <v>437</v>
      </c>
      <c r="C27" s="191" t="str">
        <f>VLOOKUP(B27,'26MY_CIV4D_DATA'!B:AQ,4,FALSE)</f>
        <v>Gris urbain nacré  (NH-912P)</v>
      </c>
      <c r="D27" s="205" t="str">
        <f t="shared" si="3"/>
        <v>25CIV-ARO-NH912</v>
      </c>
      <c r="E27" s="338"/>
      <c r="F27" s="338"/>
      <c r="G27" s="341"/>
      <c r="H27" s="344"/>
      <c r="I27" s="332"/>
      <c r="J27" s="332"/>
      <c r="K27" s="332"/>
      <c r="L27" s="332"/>
      <c r="M27" s="332"/>
      <c r="N27" s="332"/>
      <c r="O27" s="332"/>
      <c r="P27" s="332"/>
      <c r="Q27" s="364"/>
      <c r="R27" s="97"/>
      <c r="S27" s="97"/>
      <c r="T27" s="97"/>
    </row>
    <row r="28" spans="2:20" s="134" customFormat="1" ht="14.5">
      <c r="B28" s="269" t="s">
        <v>438</v>
      </c>
      <c r="C28" s="191" t="str">
        <f>VLOOKUP(B28,'26MY_CIV4D_DATA'!B:AQ,4,FALSE)</f>
        <v>Bleu océanique nacré (B-645P)</v>
      </c>
      <c r="D28" s="205" t="str">
        <f t="shared" si="3"/>
        <v>25CIV-ARO-B645</v>
      </c>
      <c r="E28" s="338"/>
      <c r="F28" s="338"/>
      <c r="G28" s="341"/>
      <c r="H28" s="344"/>
      <c r="I28" s="332"/>
      <c r="J28" s="332"/>
      <c r="K28" s="332"/>
      <c r="L28" s="332"/>
      <c r="M28" s="332"/>
      <c r="N28" s="332"/>
      <c r="O28" s="332"/>
      <c r="P28" s="332"/>
      <c r="Q28" s="364"/>
      <c r="R28" s="97"/>
      <c r="S28" s="97"/>
      <c r="T28" s="97"/>
    </row>
    <row r="29" spans="2:20" s="134" customFormat="1" ht="14.5">
      <c r="B29" s="269" t="s">
        <v>439</v>
      </c>
      <c r="C29" s="191" t="str">
        <f>VLOOKUP(B29,'26MY_CIV4D_DATA'!B:AQ,4,FALSE)</f>
        <v>Refl et solaire argent métallisé (NH-932M)</v>
      </c>
      <c r="D29" s="205" t="str">
        <f t="shared" si="3"/>
        <v>25CIV-ARO-NH932</v>
      </c>
      <c r="E29" s="339"/>
      <c r="F29" s="339"/>
      <c r="G29" s="342"/>
      <c r="H29" s="345"/>
      <c r="I29" s="333"/>
      <c r="J29" s="333"/>
      <c r="K29" s="333"/>
      <c r="L29" s="333"/>
      <c r="M29" s="333"/>
      <c r="N29" s="333"/>
      <c r="O29" s="333"/>
      <c r="P29" s="333"/>
      <c r="Q29" s="365"/>
      <c r="R29" s="97"/>
      <c r="S29" s="97"/>
      <c r="T29" s="97"/>
    </row>
    <row r="30" spans="2:20" s="134" customFormat="1" ht="7" customHeight="1">
      <c r="B30" s="269"/>
      <c r="C30" s="206"/>
      <c r="D30" s="207"/>
      <c r="E30" s="207"/>
      <c r="F30" s="207"/>
      <c r="G30" s="207"/>
      <c r="H30" s="207"/>
      <c r="I30" s="207"/>
      <c r="J30" s="207"/>
      <c r="K30" s="207"/>
      <c r="L30" s="207"/>
      <c r="M30" s="207"/>
      <c r="N30" s="207"/>
      <c r="O30" s="207"/>
      <c r="P30" s="207"/>
      <c r="Q30" s="208"/>
      <c r="R30" s="97"/>
      <c r="S30" s="97"/>
      <c r="T30" s="97"/>
    </row>
    <row r="31" spans="2:20" s="134" customFormat="1" ht="14.5">
      <c r="B31" s="269" t="s">
        <v>227</v>
      </c>
      <c r="C31" s="195" t="str">
        <f>VLOOKUP(B31,'26MY_CIV4D_DATA'!B:AQ,4,FALSE)</f>
        <v>Ensemble de temps froid - 1,5 L</v>
      </c>
      <c r="D31" s="78" t="str">
        <f>B31</f>
        <v>22CIV-COLD-PK15</v>
      </c>
      <c r="E31" s="337">
        <f>VLOOKUP(B31,'26MY_CIV4D_DATA'!B:AQ,9,FALSE)</f>
        <v>216.6</v>
      </c>
      <c r="F31" s="337">
        <f>VLOOKUP(B31,'26MY_CIV4D_DATA'!B:AQ,10,FALSE)</f>
        <v>361</v>
      </c>
      <c r="G31" s="340">
        <f>VLOOKUP(B31,'26MY_CIV4D_DATA'!B:AQ,7,FALSE)</f>
        <v>1.4</v>
      </c>
      <c r="H31" s="343">
        <f>VLOOKUP(B31,'26MY_CIV4D_DATA'!B:AQ,11,FALSE)</f>
        <v>614.4</v>
      </c>
      <c r="I31" s="331" t="str">
        <f>VLOOKUP(B31,'26MY_CIV4D_DATA'!B:AQ,12,FALSE)</f>
        <v>N/A</v>
      </c>
      <c r="J31" s="331">
        <f>VLOOKUP(B31,'26MY_CIV4D_DATA'!B:AQ,13,FALSE)</f>
        <v>0</v>
      </c>
      <c r="K31" s="331">
        <f>VLOOKUP($B31,'26MY_CIV4D_DATA'!$B:$AQ,14,FALSE)</f>
        <v>0</v>
      </c>
      <c r="L31" s="331" t="str">
        <f>VLOOKUP(B31,'26MY_CIV4D_DATA'!B:AQ,15,FALSE)</f>
        <v>N/A</v>
      </c>
      <c r="M31" s="331" t="str">
        <f>VLOOKUP($B31,'26MY_CIV4D_DATA'!$B:$AQ,16,FALSE)</f>
        <v>N/A</v>
      </c>
      <c r="N31" s="331">
        <f>VLOOKUP($B31,'26MY_CIV4D_DATA'!$B:$AQ,17,FALSE)</f>
        <v>0</v>
      </c>
      <c r="O31" s="331" t="str">
        <f>VLOOKUP($B31,'26MY_CIV4D_DATA'!$B:$AQ,18,FALSE)</f>
        <v>N/A</v>
      </c>
      <c r="P31" s="331" t="str">
        <f>VLOOKUP(B31,'26MY_CIV4D_DATA'!B:AQ,19,FALSE)</f>
        <v>•</v>
      </c>
      <c r="Q31" s="363" t="str">
        <f>IF(VLOOKUP(B31,'26MY_CIV4D_DATA'!B:AQ,21,FALSE)="","",VLOOKUP(B31,'26MY_CIV4D_DATA'!B:AQ,21,FALSE))</f>
        <v>Rabais de 5 % appliqué.</v>
      </c>
      <c r="R31" s="97"/>
      <c r="S31" s="97"/>
      <c r="T31" s="97"/>
    </row>
    <row r="32" spans="2:20" s="134" customFormat="1" ht="14.5">
      <c r="B32" s="269" t="s">
        <v>225</v>
      </c>
      <c r="C32" s="191" t="str">
        <f>VLOOKUP(B32,'26MY_CIV4D_DATA'!B:AQ,4,FALSE)</f>
        <v>Chauffe-moteur - 1,5 L</v>
      </c>
      <c r="D32" s="205" t="str">
        <f t="shared" ref="D32:D33" si="4">B32</f>
        <v>08T44-TLA-300A</v>
      </c>
      <c r="E32" s="338"/>
      <c r="F32" s="338"/>
      <c r="G32" s="341"/>
      <c r="H32" s="344"/>
      <c r="I32" s="332"/>
      <c r="J32" s="332"/>
      <c r="K32" s="332"/>
      <c r="L32" s="332"/>
      <c r="M32" s="332"/>
      <c r="N32" s="332"/>
      <c r="O32" s="332"/>
      <c r="P32" s="332"/>
      <c r="Q32" s="364"/>
      <c r="R32" s="97"/>
      <c r="S32" s="97"/>
      <c r="T32" s="97"/>
    </row>
    <row r="33" spans="2:20" s="134" customFormat="1" ht="14.5">
      <c r="B33" s="269" t="s">
        <v>27</v>
      </c>
      <c r="C33" s="191" t="str">
        <f>VLOOKUP(B33,'26MY_CIV4D_DATA'!B:AQ,4,FALSE)</f>
        <v>Chargeur/mainteneur de batterie automobile 12 V Optimate</v>
      </c>
      <c r="D33" s="205" t="str">
        <f t="shared" si="4"/>
        <v>31670-BMS-004H</v>
      </c>
      <c r="E33" s="339"/>
      <c r="F33" s="339"/>
      <c r="G33" s="342"/>
      <c r="H33" s="345"/>
      <c r="I33" s="333"/>
      <c r="J33" s="333"/>
      <c r="K33" s="333"/>
      <c r="L33" s="333"/>
      <c r="M33" s="333"/>
      <c r="N33" s="333"/>
      <c r="O33" s="333"/>
      <c r="P33" s="333"/>
      <c r="Q33" s="365"/>
      <c r="R33" s="97"/>
      <c r="S33" s="97"/>
      <c r="T33" s="97"/>
    </row>
    <row r="34" spans="2:20" s="134" customFormat="1" ht="7" customHeight="1">
      <c r="B34" s="269"/>
      <c r="C34" s="206"/>
      <c r="D34" s="207"/>
      <c r="E34" s="207"/>
      <c r="F34" s="207"/>
      <c r="G34" s="207"/>
      <c r="H34" s="207"/>
      <c r="I34" s="207"/>
      <c r="J34" s="207"/>
      <c r="K34" s="207"/>
      <c r="L34" s="207"/>
      <c r="M34" s="207"/>
      <c r="N34" s="207"/>
      <c r="O34" s="207"/>
      <c r="P34" s="207"/>
      <c r="Q34" s="208"/>
      <c r="R34" s="97"/>
      <c r="S34" s="97"/>
      <c r="T34" s="97"/>
    </row>
    <row r="35" spans="2:20" s="134" customFormat="1" ht="14.5">
      <c r="B35" s="269" t="s">
        <v>228</v>
      </c>
      <c r="C35" s="195" t="str">
        <f>VLOOKUP(B35,'26MY_CIV4D_DATA'!B:AQ,4,FALSE)</f>
        <v>Ensemble de temps froid - 2,0 L</v>
      </c>
      <c r="D35" s="78" t="str">
        <f>B35</f>
        <v>22CIV-COLD-PK20</v>
      </c>
      <c r="E35" s="337">
        <f>VLOOKUP(B35,'26MY_CIV4D_DATA'!B:AQ,9,FALSE)</f>
        <v>230.85</v>
      </c>
      <c r="F35" s="337">
        <f>VLOOKUP(B35,'26MY_CIV4D_DATA'!B:AQ,10,FALSE)</f>
        <v>384.75</v>
      </c>
      <c r="G35" s="340">
        <f>VLOOKUP(B35,'26MY_CIV4D_DATA'!B:AQ,7,FALSE)</f>
        <v>1.4</v>
      </c>
      <c r="H35" s="343">
        <f>VLOOKUP(B35,'26MY_CIV4D_DATA'!B:AQ,11,FALSE)</f>
        <v>638.15</v>
      </c>
      <c r="I35" s="331" t="str">
        <f>VLOOKUP(B35,'26MY_CIV4D_DATA'!B:AQ,12,FALSE)</f>
        <v>•</v>
      </c>
      <c r="J35" s="331">
        <f>VLOOKUP(B35,'26MY_CIV4D_DATA'!B:AQ,13,FALSE)</f>
        <v>0</v>
      </c>
      <c r="K35" s="331">
        <f>VLOOKUP($B35,'26MY_CIV4D_DATA'!$B:$AQ,14,FALSE)</f>
        <v>0</v>
      </c>
      <c r="L35" s="331" t="str">
        <f>VLOOKUP(B35,'26MY_CIV4D_DATA'!B:AQ,15,FALSE)</f>
        <v>•</v>
      </c>
      <c r="M35" s="331" t="str">
        <f>VLOOKUP($B35,'26MY_CIV4D_DATA'!$B:$AQ,16,FALSE)</f>
        <v>•</v>
      </c>
      <c r="N35" s="331">
        <f>VLOOKUP($B35,'26MY_CIV4D_DATA'!$B:$AQ,17,FALSE)</f>
        <v>0</v>
      </c>
      <c r="O35" s="331" t="str">
        <f>VLOOKUP($B35,'26MY_CIV4D_DATA'!$B:$AQ,18,FALSE)</f>
        <v>•</v>
      </c>
      <c r="P35" s="331" t="str">
        <f>VLOOKUP(B35,'26MY_CIV4D_DATA'!B:AQ,19,FALSE)</f>
        <v>N/A</v>
      </c>
      <c r="Q35" s="363" t="str">
        <f>IF(VLOOKUP(B35,'26MY_CIV4D_DATA'!B:AQ,21,FALSE)="","",VLOOKUP(B35,'26MY_CIV4D_DATA'!B:AQ,21,FALSE))</f>
        <v>Rabais de 5 % appliqué.</v>
      </c>
      <c r="R35" s="97"/>
      <c r="S35" s="97"/>
      <c r="T35" s="97"/>
    </row>
    <row r="36" spans="2:20" s="134" customFormat="1" ht="14.5">
      <c r="B36" s="269" t="s">
        <v>226</v>
      </c>
      <c r="C36" s="191" t="str">
        <f>VLOOKUP(B36,'26MY_CIV4D_DATA'!B:AQ,4,FALSE)</f>
        <v>Chauffe-moteur - 2,0 L</v>
      </c>
      <c r="D36" s="205" t="str">
        <f t="shared" ref="D36:D37" si="5">B36</f>
        <v>08T44-SNA-302</v>
      </c>
      <c r="E36" s="338"/>
      <c r="F36" s="338"/>
      <c r="G36" s="341"/>
      <c r="H36" s="344"/>
      <c r="I36" s="332"/>
      <c r="J36" s="332"/>
      <c r="K36" s="332"/>
      <c r="L36" s="332"/>
      <c r="M36" s="332"/>
      <c r="N36" s="332"/>
      <c r="O36" s="332"/>
      <c r="P36" s="332"/>
      <c r="Q36" s="364"/>
      <c r="R36" s="97"/>
      <c r="S36" s="97"/>
      <c r="T36" s="97"/>
    </row>
    <row r="37" spans="2:20" s="134" customFormat="1" ht="14.5">
      <c r="B37" s="269" t="s">
        <v>27</v>
      </c>
      <c r="C37" s="191" t="str">
        <f>VLOOKUP(B37,'26MY_CIV4D_DATA'!B:AQ,4,FALSE)</f>
        <v>Chargeur/mainteneur de batterie automobile 12 V Optimate</v>
      </c>
      <c r="D37" s="205" t="str">
        <f t="shared" si="5"/>
        <v>31670-BMS-004H</v>
      </c>
      <c r="E37" s="339"/>
      <c r="F37" s="339"/>
      <c r="G37" s="342"/>
      <c r="H37" s="345"/>
      <c r="I37" s="333"/>
      <c r="J37" s="333"/>
      <c r="K37" s="333"/>
      <c r="L37" s="333"/>
      <c r="M37" s="333"/>
      <c r="N37" s="333"/>
      <c r="O37" s="333"/>
      <c r="P37" s="333"/>
      <c r="Q37" s="365"/>
      <c r="R37" s="97"/>
      <c r="S37" s="97"/>
      <c r="T37" s="97"/>
    </row>
    <row r="38" spans="2:20" s="134" customFormat="1" ht="7" customHeight="1">
      <c r="B38" s="269"/>
      <c r="C38" s="206"/>
      <c r="D38" s="207"/>
      <c r="E38" s="207"/>
      <c r="F38" s="207"/>
      <c r="G38" s="207"/>
      <c r="H38" s="207"/>
      <c r="I38" s="207"/>
      <c r="J38" s="207"/>
      <c r="K38" s="207"/>
      <c r="L38" s="207"/>
      <c r="M38" s="207"/>
      <c r="N38" s="207"/>
      <c r="O38" s="207"/>
      <c r="P38" s="207"/>
      <c r="Q38" s="208"/>
      <c r="R38" s="97"/>
      <c r="S38" s="97"/>
      <c r="T38" s="97"/>
    </row>
    <row r="39" spans="2:20" s="134" customFormat="1" ht="14.5">
      <c r="B39" s="269" t="s">
        <v>229</v>
      </c>
      <c r="C39" s="195" t="str">
        <f>VLOOKUP(B39,'26MY_CIV4D_DATA'!B:AQ,4,FALSE)</f>
        <v xml:space="preserve">Ensemble de protection </v>
      </c>
      <c r="D39" s="78" t="str">
        <f>B39</f>
        <v>22CIV-PRO-ALL</v>
      </c>
      <c r="E39" s="337">
        <f>VLOOKUP(B39,'26MY_CIV4D_DATA'!B:AQ,9,FALSE)</f>
        <v>297</v>
      </c>
      <c r="F39" s="337">
        <f>VLOOKUP(B39,'26MY_CIV4D_DATA'!B:AQ,10,FALSE)</f>
        <v>550</v>
      </c>
      <c r="G39" s="340">
        <f>VLOOKUP(B39,'26MY_CIV4D_DATA'!B:AQ,7,FALSE)</f>
        <v>0.60000000000000009</v>
      </c>
      <c r="H39" s="343">
        <f>VLOOKUP(B39,'26MY_CIV4D_DATA'!B:AQ,11,FALSE)</f>
        <v>658.6</v>
      </c>
      <c r="I39" s="331" t="str">
        <f>VLOOKUP(B39,'26MY_CIV4D_DATA'!B:AQ,12,FALSE)</f>
        <v>•</v>
      </c>
      <c r="J39" s="331">
        <f>VLOOKUP(B39,'26MY_CIV4D_DATA'!B:AQ,13,FALSE)</f>
        <v>0</v>
      </c>
      <c r="K39" s="331">
        <f>VLOOKUP($B39,'26MY_CIV4D_DATA'!$B:$AQ,14,FALSE)</f>
        <v>0</v>
      </c>
      <c r="L39" s="331" t="str">
        <f>VLOOKUP(B39,'26MY_CIV4D_DATA'!B:AQ,15,FALSE)</f>
        <v>•</v>
      </c>
      <c r="M39" s="331" t="str">
        <f>VLOOKUP($B39,'26MY_CIV4D_DATA'!$B:$AQ,16,FALSE)</f>
        <v>N/A</v>
      </c>
      <c r="N39" s="331">
        <f>VLOOKUP($B39,'26MY_CIV4D_DATA'!$B:$AQ,17,FALSE)</f>
        <v>0</v>
      </c>
      <c r="O39" s="331" t="str">
        <f>VLOOKUP($B39,'26MY_CIV4D_DATA'!$B:$AQ,18,FALSE)</f>
        <v>N/A</v>
      </c>
      <c r="P39" s="331" t="str">
        <f>VLOOKUP(B39,'26MY_CIV4D_DATA'!B:AQ,19,FALSE)</f>
        <v>•</v>
      </c>
      <c r="Q39" s="363" t="str">
        <f>IF(VLOOKUP(B39,'26MY_CIV4D_DATA'!B:AQ,21,FALSE)="","",VLOOKUP(B39,'26MY_CIV4D_DATA'!B:AQ,21,FALSE))</f>
        <v/>
      </c>
      <c r="R39" s="97"/>
      <c r="S39" s="97"/>
      <c r="T39" s="97"/>
    </row>
    <row r="40" spans="2:20" s="134" customFormat="1" ht="14.5">
      <c r="B40" s="269" t="s">
        <v>242</v>
      </c>
      <c r="C40" s="191" t="str">
        <f>VLOOKUP(B40,'26MY_CIV4D_DATA'!B:AQ,4,FALSE)</f>
        <v>Tapis toutes saisons</v>
      </c>
      <c r="D40" s="205" t="str">
        <f t="shared" ref="D40:D41" si="6">B40</f>
        <v>08P17-T20-110</v>
      </c>
      <c r="E40" s="338"/>
      <c r="F40" s="338"/>
      <c r="G40" s="341"/>
      <c r="H40" s="344"/>
      <c r="I40" s="332"/>
      <c r="J40" s="332"/>
      <c r="K40" s="332"/>
      <c r="L40" s="332"/>
      <c r="M40" s="332"/>
      <c r="N40" s="332"/>
      <c r="O40" s="332"/>
      <c r="P40" s="332"/>
      <c r="Q40" s="364"/>
      <c r="R40" s="97"/>
      <c r="S40" s="97"/>
      <c r="T40" s="97"/>
    </row>
    <row r="41" spans="2:20" s="134" customFormat="1" ht="14.5">
      <c r="B41" s="269" t="s">
        <v>114</v>
      </c>
      <c r="C41" s="191" t="str">
        <f>VLOOKUP(B41,'26MY_CIV4D_DATA'!B:AQ,4,FALSE)</f>
        <v>Plateau de coffre</v>
      </c>
      <c r="D41" s="205" t="str">
        <f t="shared" si="6"/>
        <v>08U45-T20-100</v>
      </c>
      <c r="E41" s="338"/>
      <c r="F41" s="338"/>
      <c r="G41" s="341"/>
      <c r="H41" s="344"/>
      <c r="I41" s="332"/>
      <c r="J41" s="332"/>
      <c r="K41" s="332"/>
      <c r="L41" s="332"/>
      <c r="M41" s="332"/>
      <c r="N41" s="332"/>
      <c r="O41" s="332"/>
      <c r="P41" s="332"/>
      <c r="Q41" s="364"/>
      <c r="R41" s="97"/>
      <c r="S41" s="97"/>
      <c r="T41" s="97"/>
    </row>
    <row r="42" spans="2:20" s="134" customFormat="1" ht="14.5">
      <c r="B42" s="269" t="s">
        <v>140</v>
      </c>
      <c r="C42" s="191" t="str">
        <f>VLOOKUP(B42,'26MY_CIV4D_DATA'!B:AQ,4,FALSE)</f>
        <v>Garde-boue arrière</v>
      </c>
      <c r="D42" s="205" t="str">
        <f t="shared" ref="D42" si="7">B42</f>
        <v>08P09-T20-300</v>
      </c>
      <c r="E42" s="339"/>
      <c r="F42" s="339"/>
      <c r="G42" s="342"/>
      <c r="H42" s="345"/>
      <c r="I42" s="333"/>
      <c r="J42" s="333"/>
      <c r="K42" s="333"/>
      <c r="L42" s="333"/>
      <c r="M42" s="333"/>
      <c r="N42" s="333"/>
      <c r="O42" s="333"/>
      <c r="P42" s="333"/>
      <c r="Q42" s="365"/>
      <c r="R42" s="97"/>
      <c r="S42" s="97"/>
      <c r="T42" s="97"/>
    </row>
    <row r="43" spans="2:20" s="134" customFormat="1" ht="7" customHeight="1">
      <c r="B43" s="269"/>
      <c r="C43" s="206"/>
      <c r="D43" s="207"/>
      <c r="E43" s="207"/>
      <c r="F43" s="207"/>
      <c r="G43" s="207"/>
      <c r="H43" s="207"/>
      <c r="I43" s="207"/>
      <c r="J43" s="207"/>
      <c r="K43" s="207"/>
      <c r="L43" s="207"/>
      <c r="M43" s="207"/>
      <c r="N43" s="207"/>
      <c r="O43" s="207"/>
      <c r="P43" s="207"/>
      <c r="Q43" s="208"/>
      <c r="R43" s="97"/>
      <c r="S43" s="97"/>
      <c r="T43" s="97"/>
    </row>
    <row r="44" spans="2:20" s="134" customFormat="1" ht="14.5">
      <c r="B44" s="269" t="s">
        <v>391</v>
      </c>
      <c r="C44" s="195" t="str">
        <f>VLOOKUP(B44,'26MY_CIV4D_DATA'!B:AQ,4,FALSE)</f>
        <v>Ensemble de protection - Hybrid</v>
      </c>
      <c r="D44" s="78" t="str">
        <f>B44</f>
        <v>25CIV-PRO-HYB</v>
      </c>
      <c r="E44" s="337">
        <f>VLOOKUP(B44,'26MY_CIV4D_DATA'!B:AQ,9,FALSE)</f>
        <v>297</v>
      </c>
      <c r="F44" s="337">
        <f>VLOOKUP(B44,'26MY_CIV4D_DATA'!B:AQ,10,FALSE)</f>
        <v>550</v>
      </c>
      <c r="G44" s="340">
        <f>VLOOKUP(B44,'26MY_CIV4D_DATA'!B:AQ,7,FALSE)</f>
        <v>0.60000000000000009</v>
      </c>
      <c r="H44" s="343">
        <f>VLOOKUP(B44,'26MY_CIV4D_DATA'!B:AQ,11,FALSE)</f>
        <v>658.6</v>
      </c>
      <c r="I44" s="331" t="str">
        <f>VLOOKUP(B44,'26MY_CIV4D_DATA'!B:AQ,12,FALSE)</f>
        <v>N/A</v>
      </c>
      <c r="J44" s="331">
        <f>VLOOKUP(B44,'26MY_CIV4D_DATA'!B:AQ,13,FALSE)</f>
        <v>0</v>
      </c>
      <c r="K44" s="331">
        <f>VLOOKUP($B44,'26MY_CIV4D_DATA'!$B:$AQ,14,FALSE)</f>
        <v>0</v>
      </c>
      <c r="L44" s="331" t="str">
        <f>VLOOKUP(B44,'26MY_CIV4D_DATA'!B:AQ,15,FALSE)</f>
        <v>N/A</v>
      </c>
      <c r="M44" s="331" t="str">
        <f>VLOOKUP($B44,'26MY_CIV4D_DATA'!$B:$AQ,16,FALSE)</f>
        <v>•</v>
      </c>
      <c r="N44" s="331">
        <f>VLOOKUP($B44,'26MY_CIV4D_DATA'!$B:$AQ,17,FALSE)</f>
        <v>0</v>
      </c>
      <c r="O44" s="331" t="str">
        <f>VLOOKUP($B44,'26MY_CIV4D_DATA'!$B:$AQ,18,FALSE)</f>
        <v>•</v>
      </c>
      <c r="P44" s="331" t="str">
        <f>VLOOKUP(B44,'26MY_CIV4D_DATA'!B:AQ,19,FALSE)</f>
        <v>N/A</v>
      </c>
      <c r="Q44" s="363" t="str">
        <f>IF(VLOOKUP(B44,'26MY_CIV4D_DATA'!B:AQ,21,FALSE)="","",VLOOKUP(B44,'26MY_CIV4D_DATA'!B:AQ,21,FALSE))</f>
        <v/>
      </c>
      <c r="R44" s="97"/>
      <c r="S44" s="97"/>
      <c r="T44" s="97"/>
    </row>
    <row r="45" spans="2:20" s="134" customFormat="1" ht="14.5">
      <c r="B45" s="269" t="s">
        <v>389</v>
      </c>
      <c r="C45" s="191" t="str">
        <f>VLOOKUP(B45,'26MY_CIV4D_DATA'!B:AQ,4,FALSE)</f>
        <v>Tapis toutes saisons - Hybrid</v>
      </c>
      <c r="D45" s="205" t="str">
        <f t="shared" ref="D45:D47" si="8">B45</f>
        <v>08P17-T20-110A</v>
      </c>
      <c r="E45" s="338"/>
      <c r="F45" s="338"/>
      <c r="G45" s="341"/>
      <c r="H45" s="344"/>
      <c r="I45" s="332"/>
      <c r="J45" s="332"/>
      <c r="K45" s="332"/>
      <c r="L45" s="332"/>
      <c r="M45" s="332"/>
      <c r="N45" s="332"/>
      <c r="O45" s="332"/>
      <c r="P45" s="332"/>
      <c r="Q45" s="364"/>
      <c r="R45" s="97"/>
      <c r="S45" s="97"/>
      <c r="T45" s="97"/>
    </row>
    <row r="46" spans="2:20" s="134" customFormat="1" ht="14.5">
      <c r="B46" s="269" t="s">
        <v>114</v>
      </c>
      <c r="C46" s="191" t="str">
        <f>VLOOKUP(B46,'26MY_CIV4D_DATA'!B:AQ,4,FALSE)</f>
        <v>Plateau de coffre</v>
      </c>
      <c r="D46" s="205" t="str">
        <f t="shared" si="8"/>
        <v>08U45-T20-100</v>
      </c>
      <c r="E46" s="338"/>
      <c r="F46" s="338"/>
      <c r="G46" s="341"/>
      <c r="H46" s="344"/>
      <c r="I46" s="332"/>
      <c r="J46" s="332"/>
      <c r="K46" s="332"/>
      <c r="L46" s="332"/>
      <c r="M46" s="332"/>
      <c r="N46" s="332"/>
      <c r="O46" s="332"/>
      <c r="P46" s="332"/>
      <c r="Q46" s="364"/>
      <c r="R46" s="97"/>
      <c r="S46" s="97"/>
      <c r="T46" s="97"/>
    </row>
    <row r="47" spans="2:20" s="134" customFormat="1" ht="14.5">
      <c r="B47" s="269" t="s">
        <v>140</v>
      </c>
      <c r="C47" s="191" t="str">
        <f>VLOOKUP(B47,'26MY_CIV4D_DATA'!B:AQ,4,FALSE)</f>
        <v>Garde-boue arrière</v>
      </c>
      <c r="D47" s="205" t="str">
        <f t="shared" si="8"/>
        <v>08P09-T20-300</v>
      </c>
      <c r="E47" s="339"/>
      <c r="F47" s="339"/>
      <c r="G47" s="342"/>
      <c r="H47" s="345"/>
      <c r="I47" s="333"/>
      <c r="J47" s="333"/>
      <c r="K47" s="333"/>
      <c r="L47" s="333"/>
      <c r="M47" s="333"/>
      <c r="N47" s="333"/>
      <c r="O47" s="333"/>
      <c r="P47" s="333"/>
      <c r="Q47" s="365"/>
      <c r="R47" s="97"/>
      <c r="S47" s="97"/>
      <c r="T47" s="97"/>
    </row>
    <row r="48" spans="2:20" s="134" customFormat="1" ht="7" customHeight="1">
      <c r="B48" s="269"/>
      <c r="C48" s="206"/>
      <c r="D48" s="207"/>
      <c r="E48" s="207"/>
      <c r="F48" s="207"/>
      <c r="G48" s="207"/>
      <c r="H48" s="207"/>
      <c r="I48" s="207"/>
      <c r="J48" s="207"/>
      <c r="K48" s="207"/>
      <c r="L48" s="207"/>
      <c r="M48" s="207"/>
      <c r="N48" s="207"/>
      <c r="O48" s="207"/>
      <c r="P48" s="207"/>
      <c r="Q48" s="208"/>
      <c r="R48" s="97"/>
      <c r="S48" s="97"/>
      <c r="T48" s="97"/>
    </row>
    <row r="49" spans="2:20" s="134" customFormat="1" ht="14.5">
      <c r="B49" s="269" t="s">
        <v>304</v>
      </c>
      <c r="C49" s="195" t="str">
        <f>VLOOKUP(B49,'26MY_CIV4D_DATA'!B:AQ,4,FALSE)</f>
        <v>Ensemble de protection - Film</v>
      </c>
      <c r="D49" s="78" t="str">
        <f>B49</f>
        <v>25CIV-PRO-FLM</v>
      </c>
      <c r="E49" s="337">
        <f>VLOOKUP(B49,'26MY_CIV4D_DATA'!B:AQ,9,FALSE)</f>
        <v>214.20000000000002</v>
      </c>
      <c r="F49" s="337">
        <f>VLOOKUP(B49,'26MY_CIV4D_DATA'!B:AQ,10,FALSE)</f>
        <v>357.3</v>
      </c>
      <c r="G49" s="340">
        <f>VLOOKUP(B49,'26MY_CIV4D_DATA'!B:AQ,7,FALSE)</f>
        <v>1.2000000000000002</v>
      </c>
      <c r="H49" s="343">
        <f>VLOOKUP(B49,'26MY_CIV4D_DATA'!B:AQ,11,FALSE)</f>
        <v>574.5</v>
      </c>
      <c r="I49" s="331" t="str">
        <f>VLOOKUP(B49,'26MY_CIV4D_DATA'!B:AQ,12,FALSE)</f>
        <v>•</v>
      </c>
      <c r="J49" s="331">
        <f>VLOOKUP(B49,'26MY_CIV4D_DATA'!B:AQ,13,FALSE)</f>
        <v>0</v>
      </c>
      <c r="K49" s="331">
        <f>VLOOKUP($B49,'26MY_CIV4D_DATA'!$B:$AQ,14,FALSE)</f>
        <v>0</v>
      </c>
      <c r="L49" s="331" t="str">
        <f>VLOOKUP(B49,'26MY_CIV4D_DATA'!B:AQ,15,FALSE)</f>
        <v>•</v>
      </c>
      <c r="M49" s="331" t="str">
        <f>VLOOKUP($B49,'26MY_CIV4D_DATA'!$B:$AQ,16,FALSE)</f>
        <v>•</v>
      </c>
      <c r="N49" s="331">
        <f>VLOOKUP($B49,'26MY_CIV4D_DATA'!$B:$AQ,17,FALSE)</f>
        <v>0</v>
      </c>
      <c r="O49" s="331" t="str">
        <f>VLOOKUP($B49,'26MY_CIV4D_DATA'!$B:$AQ,18,FALSE)</f>
        <v>•</v>
      </c>
      <c r="P49" s="331" t="str">
        <f>VLOOKUP(B49,'26MY_CIV4D_DATA'!B:AQ,19,FALSE)</f>
        <v>•</v>
      </c>
      <c r="Q49" s="363" t="str">
        <f>IF(VLOOKUP(B49,'26MY_CIV4D_DATA'!B:AQ,21,FALSE)="","",VLOOKUP(B49,'26MY_CIV4D_DATA'!B:AQ,21,FALSE))</f>
        <v>Rabais de 10 % appliqué.
Ne peut être installé simultanément avec protecteurs de bordure de porte.</v>
      </c>
      <c r="R49" s="97"/>
      <c r="S49" s="97"/>
      <c r="T49" s="97"/>
    </row>
    <row r="50" spans="2:20" s="134" customFormat="1" ht="14.5">
      <c r="B50" s="269" t="s">
        <v>131</v>
      </c>
      <c r="C50" s="191" t="str">
        <f>VLOOKUP(B50,'26MY_CIV4D_DATA'!B:AQ,4,FALSE)</f>
        <v>Pellicule pour rebord de portière</v>
      </c>
      <c r="D50" s="205" t="str">
        <f t="shared" ref="D50:D52" si="9">B50</f>
        <v>08P20-T20-100A</v>
      </c>
      <c r="E50" s="338"/>
      <c r="F50" s="338"/>
      <c r="G50" s="341"/>
      <c r="H50" s="344"/>
      <c r="I50" s="332"/>
      <c r="J50" s="332"/>
      <c r="K50" s="332"/>
      <c r="L50" s="332"/>
      <c r="M50" s="332"/>
      <c r="N50" s="332"/>
      <c r="O50" s="332"/>
      <c r="P50" s="332"/>
      <c r="Q50" s="364"/>
      <c r="R50" s="97"/>
      <c r="S50" s="97"/>
      <c r="T50" s="97"/>
    </row>
    <row r="51" spans="2:20" s="134" customFormat="1" ht="14.5">
      <c r="B51" s="269" t="s">
        <v>111</v>
      </c>
      <c r="C51" s="191" t="str">
        <f>VLOOKUP(B51,'26MY_CIV4D_DATA'!B:AQ,4,FALSE)</f>
        <v>Pellicule de protection de seuil de portière</v>
      </c>
      <c r="D51" s="205" t="str">
        <f t="shared" si="9"/>
        <v>08P04-T20-100</v>
      </c>
      <c r="E51" s="338"/>
      <c r="F51" s="338"/>
      <c r="G51" s="341"/>
      <c r="H51" s="344"/>
      <c r="I51" s="332"/>
      <c r="J51" s="332"/>
      <c r="K51" s="332"/>
      <c r="L51" s="332"/>
      <c r="M51" s="332"/>
      <c r="N51" s="332"/>
      <c r="O51" s="332"/>
      <c r="P51" s="332"/>
      <c r="Q51" s="364"/>
      <c r="R51" s="97"/>
      <c r="S51" s="97"/>
      <c r="T51" s="97"/>
    </row>
    <row r="52" spans="2:20" s="134" customFormat="1" ht="14.5">
      <c r="B52" s="269" t="s">
        <v>137</v>
      </c>
      <c r="C52" s="191" t="str">
        <f>VLOOKUP(B52,'26MY_CIV4D_DATA'!B:AQ,4,FALSE)</f>
        <v>Pellicule pour pare-chocs arrière</v>
      </c>
      <c r="D52" s="205" t="str">
        <f t="shared" si="9"/>
        <v>08P48-T20-100A</v>
      </c>
      <c r="E52" s="339"/>
      <c r="F52" s="339"/>
      <c r="G52" s="342"/>
      <c r="H52" s="345"/>
      <c r="I52" s="333"/>
      <c r="J52" s="333"/>
      <c r="K52" s="333"/>
      <c r="L52" s="333"/>
      <c r="M52" s="333"/>
      <c r="N52" s="333"/>
      <c r="O52" s="333"/>
      <c r="P52" s="333"/>
      <c r="Q52" s="365"/>
      <c r="R52" s="97"/>
      <c r="S52" s="97"/>
      <c r="T52" s="97"/>
    </row>
    <row r="53" spans="2:20" s="135" customFormat="1" ht="15" customHeight="1">
      <c r="B53" s="271"/>
      <c r="C53" s="132"/>
      <c r="D53" s="132"/>
      <c r="E53" s="132"/>
      <c r="F53" s="132"/>
      <c r="G53" s="131"/>
      <c r="H53" s="132"/>
      <c r="I53" s="132"/>
      <c r="J53" s="132"/>
      <c r="K53" s="132"/>
      <c r="L53" s="132"/>
      <c r="M53" s="132"/>
      <c r="N53" s="132"/>
      <c r="O53" s="132"/>
      <c r="P53" s="132"/>
      <c r="Q53" s="132"/>
    </row>
    <row r="54" spans="2:20" s="133" customFormat="1" ht="18.5">
      <c r="B54" s="272"/>
      <c r="C54" s="152" t="s">
        <v>88</v>
      </c>
      <c r="D54" s="152"/>
      <c r="E54" s="143"/>
      <c r="F54" s="143"/>
      <c r="G54" s="143"/>
      <c r="H54" s="143"/>
      <c r="I54" s="143"/>
      <c r="J54" s="143"/>
      <c r="K54" s="143"/>
      <c r="L54" s="143"/>
      <c r="M54" s="143"/>
      <c r="N54" s="143"/>
      <c r="O54" s="143"/>
      <c r="P54" s="143"/>
      <c r="Q54" s="143"/>
    </row>
    <row r="55" spans="2:20" s="134" customFormat="1" ht="15" customHeight="1">
      <c r="B55" s="273"/>
      <c r="C55" s="346" t="s">
        <v>81</v>
      </c>
      <c r="D55" s="346" t="s">
        <v>82</v>
      </c>
      <c r="E55" s="346" t="s">
        <v>83</v>
      </c>
      <c r="F55" s="346" t="s">
        <v>84</v>
      </c>
      <c r="G55" s="346" t="s">
        <v>85</v>
      </c>
      <c r="H55" s="347" t="s">
        <v>86</v>
      </c>
      <c r="I55" s="346" t="s">
        <v>25</v>
      </c>
      <c r="J55" s="346"/>
      <c r="K55" s="346"/>
      <c r="L55" s="346"/>
      <c r="M55" s="346"/>
      <c r="N55" s="346"/>
      <c r="O55" s="346"/>
      <c r="P55" s="346"/>
      <c r="Q55" s="346" t="s">
        <v>87</v>
      </c>
    </row>
    <row r="56" spans="2:20" s="134" customFormat="1" ht="29.15" customHeight="1">
      <c r="B56" s="273"/>
      <c r="C56" s="346"/>
      <c r="D56" s="346"/>
      <c r="E56" s="346"/>
      <c r="F56" s="346"/>
      <c r="G56" s="346"/>
      <c r="H56" s="347"/>
      <c r="I56" s="178" t="str">
        <f>'26MY_CIV4D_DATA'!M$8</f>
        <v>LX</v>
      </c>
      <c r="J56" s="178">
        <f>'26MY_CIV4D_DATA'!N$8</f>
        <v>0</v>
      </c>
      <c r="K56" s="178">
        <f>'26MY_CIV4D_DATA'!O$8</f>
        <v>0</v>
      </c>
      <c r="L56" s="178" t="str">
        <f>'26MY_CIV4D_DATA'!P$8</f>
        <v>SPORT</v>
      </c>
      <c r="M56" s="178" t="str">
        <f>'26MY_CIV4D_DATA'!Q$8</f>
        <v>SPORT 
Hybride</v>
      </c>
      <c r="N56" s="178">
        <f>'26MY_CIV4D_DATA'!R$8</f>
        <v>0</v>
      </c>
      <c r="O56" s="178" t="str">
        <f>'26MY_CIV4D_DATA'!S$8</f>
        <v>Sport Touring Hybride</v>
      </c>
      <c r="P56" s="178" t="str">
        <f>'26MY_CIV4D_DATA'!T$8</f>
        <v>Si</v>
      </c>
      <c r="Q56" s="346"/>
    </row>
    <row r="57" spans="2:20" s="135" customFormat="1" ht="15" customHeight="1">
      <c r="B57" s="271" t="s">
        <v>215</v>
      </c>
      <c r="C57" s="233" t="str">
        <f>VLOOKUP(B57,'26MY_CIV4D_DATA'!B:AQ,4,FALSE)</f>
        <v xml:space="preserve">Jantes Enkei M52 de 16 po noir lustré </v>
      </c>
      <c r="D57" s="79" t="str">
        <f>B57</f>
        <v>480-670-6545GB</v>
      </c>
      <c r="E57" s="280">
        <f>VLOOKUP(B57,'26MY_CIV4D_DATA'!B:AQ,9,FALSE)</f>
        <v>764</v>
      </c>
      <c r="F57" s="280">
        <f>VLOOKUP(B57,'26MY_CIV4D_DATA'!B:AQ,10,FALSE)</f>
        <v>1028</v>
      </c>
      <c r="G57" s="287">
        <f>VLOOKUP(B57,'26MY_CIV4D_DATA'!B:AQ,7,FALSE)</f>
        <v>1.6</v>
      </c>
      <c r="H57" s="281">
        <f>VLOOKUP(B57,'26MY_CIV4D_DATA'!B:AQ,11,FALSE)</f>
        <v>1317.6</v>
      </c>
      <c r="I57" s="288" t="str">
        <f>VLOOKUP(B57,'26MY_CIV4D_DATA'!B:AQ,12,FALSE)</f>
        <v>E</v>
      </c>
      <c r="J57" s="288">
        <f>VLOOKUP(B57,'26MY_CIV4D_DATA'!B:AQ,13,FALSE)</f>
        <v>0</v>
      </c>
      <c r="K57" s="288">
        <f>VLOOKUP($B57,'26MY_CIV4D_DATA'!$B:$AQ,14,FALSE)</f>
        <v>0</v>
      </c>
      <c r="L57" s="288" t="str">
        <f>VLOOKUP(B57,'26MY_CIV4D_DATA'!B:AQ,15,FALSE)</f>
        <v>T</v>
      </c>
      <c r="M57" s="288" t="str">
        <f>VLOOKUP($B57,'26MY_CIV4D_DATA'!$B:$AQ,16,FALSE)</f>
        <v>N/A</v>
      </c>
      <c r="N57" s="288">
        <f>VLOOKUP($B57,'26MY_CIV4D_DATA'!$B:$AQ,17,FALSE)</f>
        <v>0</v>
      </c>
      <c r="O57" s="288" t="str">
        <f>VLOOKUP($B57,'26MY_CIV4D_DATA'!$B:$AQ,18,FALSE)</f>
        <v>N/A</v>
      </c>
      <c r="P57" s="288" t="str">
        <f>VLOOKUP(B57,'26MY_CIV4D_DATA'!B:AQ,19,FALSE)</f>
        <v>N/A</v>
      </c>
      <c r="Q57" s="289" t="str">
        <f>IF(VLOOKUP(B57,'26MY_CIV4D_DATA'!B:AQ,21,FALSE)="","",VLOOKUP(B57,'26MY_CIV4D_DATA'!B:AQ,21,FALSE))</f>
        <v>Prix pour un ensemble de 4 roues.  Pneus vendus séparément.</v>
      </c>
    </row>
    <row r="58" spans="2:20" s="134" customFormat="1" ht="14.5">
      <c r="B58" s="273" t="s">
        <v>217</v>
      </c>
      <c r="C58" s="233" t="str">
        <f>VLOOKUP(B58,'26MY_CIV4D_DATA'!B:AQ,4,FALSE)</f>
        <v xml:space="preserve">Jantes Enkei M52 de 16 po argent </v>
      </c>
      <c r="D58" s="79" t="str">
        <f t="shared" ref="D58:D66" si="10">B58</f>
        <v>480-670-6545SP</v>
      </c>
      <c r="E58" s="280">
        <f>VLOOKUP(B58,'26MY_CIV4D_DATA'!B:AQ,9,FALSE)</f>
        <v>764</v>
      </c>
      <c r="F58" s="280">
        <f>VLOOKUP(B58,'26MY_CIV4D_DATA'!B:AQ,10,FALSE)</f>
        <v>1028</v>
      </c>
      <c r="G58" s="287">
        <f>VLOOKUP(B58,'26MY_CIV4D_DATA'!B:AQ,7,FALSE)</f>
        <v>1.6</v>
      </c>
      <c r="H58" s="281">
        <f>VLOOKUP(B58,'26MY_CIV4D_DATA'!B:AQ,11,FALSE)</f>
        <v>1317.6</v>
      </c>
      <c r="I58" s="288" t="str">
        <f>VLOOKUP(B58,'26MY_CIV4D_DATA'!B:AQ,12,FALSE)</f>
        <v>E</v>
      </c>
      <c r="J58" s="288">
        <f>VLOOKUP(B58,'26MY_CIV4D_DATA'!B:AQ,13,FALSE)</f>
        <v>0</v>
      </c>
      <c r="K58" s="288">
        <f>VLOOKUP($B58,'26MY_CIV4D_DATA'!$B:$AQ,14,FALSE)</f>
        <v>0</v>
      </c>
      <c r="L58" s="288" t="str">
        <f>VLOOKUP(B58,'26MY_CIV4D_DATA'!B:AQ,15,FALSE)</f>
        <v>T</v>
      </c>
      <c r="M58" s="288" t="str">
        <f>VLOOKUP($B58,'26MY_CIV4D_DATA'!$B:$AQ,16,FALSE)</f>
        <v>N/A</v>
      </c>
      <c r="N58" s="288">
        <f>VLOOKUP($B58,'26MY_CIV4D_DATA'!$B:$AQ,17,FALSE)</f>
        <v>0</v>
      </c>
      <c r="O58" s="288" t="str">
        <f>VLOOKUP($B58,'26MY_CIV4D_DATA'!$B:$AQ,18,FALSE)</f>
        <v>N/A</v>
      </c>
      <c r="P58" s="288" t="str">
        <f>VLOOKUP(B58,'26MY_CIV4D_DATA'!B:AQ,19,FALSE)</f>
        <v>N/A</v>
      </c>
      <c r="Q58" s="289" t="str">
        <f>IF(VLOOKUP(B58,'26MY_CIV4D_DATA'!B:AQ,21,FALSE)="","",VLOOKUP(B58,'26MY_CIV4D_DATA'!B:AQ,21,FALSE))</f>
        <v>Prix pour un ensemble de 4 roues.  Pneus vendus séparément.</v>
      </c>
    </row>
    <row r="59" spans="2:20" s="134" customFormat="1" ht="14.5">
      <c r="B59" s="273" t="s">
        <v>254</v>
      </c>
      <c r="C59" s="233" t="str">
        <f>VLOOKUP(B59,'26MY_CIV4D_DATA'!B:AQ,4,FALSE)</f>
        <v>Jantes Enkei de 17 po noir lustré</v>
      </c>
      <c r="D59" s="79" t="str">
        <f t="shared" si="10"/>
        <v>509-775-6545BH</v>
      </c>
      <c r="E59" s="280">
        <f>VLOOKUP(B59,'26MY_CIV4D_DATA'!B:AQ,9,FALSE)</f>
        <v>856</v>
      </c>
      <c r="F59" s="280">
        <f>VLOOKUP(B59,'26MY_CIV4D_DATA'!B:AQ,10,FALSE)</f>
        <v>1148</v>
      </c>
      <c r="G59" s="287">
        <f>VLOOKUP(B59,'26MY_CIV4D_DATA'!B:AQ,7,FALSE)</f>
        <v>1.6</v>
      </c>
      <c r="H59" s="281">
        <f>VLOOKUP(B59,'26MY_CIV4D_DATA'!B:AQ,11,FALSE)</f>
        <v>1437.6</v>
      </c>
      <c r="I59" s="288" t="str">
        <f>VLOOKUP(B59,'26MY_CIV4D_DATA'!B:AQ,12,FALSE)</f>
        <v>N/A</v>
      </c>
      <c r="J59" s="288">
        <f>VLOOKUP(B59,'26MY_CIV4D_DATA'!B:AQ,13,FALSE)</f>
        <v>0</v>
      </c>
      <c r="K59" s="288">
        <f>VLOOKUP($B59,'26MY_CIV4D_DATA'!$B:$AQ,14,FALSE)</f>
        <v>0</v>
      </c>
      <c r="L59" s="288" t="str">
        <f>VLOOKUP(B59,'26MY_CIV4D_DATA'!B:AQ,15,FALSE)</f>
        <v>N/A</v>
      </c>
      <c r="M59" s="288" t="str">
        <f>VLOOKUP($B59,'26MY_CIV4D_DATA'!$B:$AQ,16,FALSE)</f>
        <v>T</v>
      </c>
      <c r="N59" s="288">
        <f>VLOOKUP($B59,'26MY_CIV4D_DATA'!$B:$AQ,17,FALSE)</f>
        <v>0</v>
      </c>
      <c r="O59" s="288" t="str">
        <f>VLOOKUP($B59,'26MY_CIV4D_DATA'!$B:$AQ,18,FALSE)</f>
        <v>T</v>
      </c>
      <c r="P59" s="288" t="str">
        <f>VLOOKUP(B59,'26MY_CIV4D_DATA'!B:AQ,19,FALSE)</f>
        <v>E</v>
      </c>
      <c r="Q59" s="289" t="str">
        <f>IF(VLOOKUP(B59,'26MY_CIV4D_DATA'!B:AQ,21,FALSE)="","",VLOOKUP(B59,'26MY_CIV4D_DATA'!B:AQ,21,FALSE))</f>
        <v>Prix pour un ensemble de 4 roues.  Pneus vendus séparément.</v>
      </c>
    </row>
    <row r="60" spans="2:20" s="134" customFormat="1" ht="14.5">
      <c r="B60" s="273" t="s">
        <v>255</v>
      </c>
      <c r="C60" s="233" t="str">
        <f>VLOOKUP(B60,'26MY_CIV4D_DATA'!B:AQ,4,FALSE)</f>
        <v>Jantes Enkei de 17 po argent</v>
      </c>
      <c r="D60" s="79" t="str">
        <f t="shared" si="10"/>
        <v>509-775-6545SH</v>
      </c>
      <c r="E60" s="280">
        <f>VLOOKUP(B60,'26MY_CIV4D_DATA'!B:AQ,9,FALSE)</f>
        <v>856</v>
      </c>
      <c r="F60" s="280">
        <f>VLOOKUP(B60,'26MY_CIV4D_DATA'!B:AQ,10,FALSE)</f>
        <v>1148</v>
      </c>
      <c r="G60" s="287">
        <f>VLOOKUP(B60,'26MY_CIV4D_DATA'!B:AQ,7,FALSE)</f>
        <v>1.6</v>
      </c>
      <c r="H60" s="281">
        <f>VLOOKUP(B60,'26MY_CIV4D_DATA'!B:AQ,11,FALSE)</f>
        <v>1437.6</v>
      </c>
      <c r="I60" s="288" t="str">
        <f>VLOOKUP(B60,'26MY_CIV4D_DATA'!B:AQ,12,FALSE)</f>
        <v>N/A</v>
      </c>
      <c r="J60" s="288">
        <f>VLOOKUP(B60,'26MY_CIV4D_DATA'!B:AQ,13,FALSE)</f>
        <v>0</v>
      </c>
      <c r="K60" s="288">
        <f>VLOOKUP($B60,'26MY_CIV4D_DATA'!$B:$AQ,14,FALSE)</f>
        <v>0</v>
      </c>
      <c r="L60" s="288" t="str">
        <f>VLOOKUP(B60,'26MY_CIV4D_DATA'!B:AQ,15,FALSE)</f>
        <v>N/A</v>
      </c>
      <c r="M60" s="288" t="str">
        <f>VLOOKUP($B60,'26MY_CIV4D_DATA'!$B:$AQ,16,FALSE)</f>
        <v>T</v>
      </c>
      <c r="N60" s="288">
        <f>VLOOKUP($B60,'26MY_CIV4D_DATA'!$B:$AQ,17,FALSE)</f>
        <v>0</v>
      </c>
      <c r="O60" s="288" t="str">
        <f>VLOOKUP($B60,'26MY_CIV4D_DATA'!$B:$AQ,18,FALSE)</f>
        <v>T</v>
      </c>
      <c r="P60" s="288" t="str">
        <f>VLOOKUP(B60,'26MY_CIV4D_DATA'!B:AQ,19,FALSE)</f>
        <v>E</v>
      </c>
      <c r="Q60" s="289" t="str">
        <f>IF(VLOOKUP(B60,'26MY_CIV4D_DATA'!B:AQ,21,FALSE)="","",VLOOKUP(B60,'26MY_CIV4D_DATA'!B:AQ,21,FALSE))</f>
        <v>Prix pour un ensemble de 4 roues.  Pneus vendus séparément.</v>
      </c>
    </row>
    <row r="61" spans="2:20" s="135" customFormat="1" ht="14.5" hidden="1">
      <c r="B61" s="271" t="s">
        <v>158</v>
      </c>
      <c r="C61" s="233" t="e">
        <f>VLOOKUP(B61,'26MY_CIV4D_DATA'!B:AQ,4,FALSE)</f>
        <v>#N/A</v>
      </c>
      <c r="D61" s="79" t="str">
        <f t="shared" si="10"/>
        <v>08W18-TBA-100B</v>
      </c>
      <c r="E61" s="280" t="e">
        <f>VLOOKUP(B61,'26MY_CIV4D_DATA'!B:AQ,9,FALSE)</f>
        <v>#N/A</v>
      </c>
      <c r="F61" s="280" t="e">
        <f>VLOOKUP(B61,'26MY_CIV4D_DATA'!B:AQ,10,FALSE)</f>
        <v>#N/A</v>
      </c>
      <c r="G61" s="287" t="e">
        <f>VLOOKUP(B61,'26MY_CIV4D_DATA'!B:AQ,7,FALSE)</f>
        <v>#N/A</v>
      </c>
      <c r="H61" s="281" t="e">
        <f>VLOOKUP(B61,'26MY_CIV4D_DATA'!B:AQ,11,FALSE)</f>
        <v>#N/A</v>
      </c>
      <c r="I61" s="288" t="e">
        <f>VLOOKUP(B61,'26MY_CIV4D_DATA'!B:AQ,12,FALSE)</f>
        <v>#N/A</v>
      </c>
      <c r="J61" s="288" t="e">
        <f>VLOOKUP(B61,'26MY_CIV4D_DATA'!B:AQ,13,FALSE)</f>
        <v>#N/A</v>
      </c>
      <c r="K61" s="288" t="e">
        <f>VLOOKUP($B61,'26MY_CIV4D_DATA'!$B:$AQ,14,FALSE)</f>
        <v>#N/A</v>
      </c>
      <c r="L61" s="288" t="e">
        <f>VLOOKUP(B61,'26MY_CIV4D_DATA'!B:AQ,15,FALSE)</f>
        <v>#N/A</v>
      </c>
      <c r="M61" s="288" t="e">
        <f>VLOOKUP($B61,'26MY_CIV4D_DATA'!$B:$AQ,16,FALSE)</f>
        <v>#N/A</v>
      </c>
      <c r="N61" s="288" t="e">
        <f>VLOOKUP($B61,'26MY_CIV4D_DATA'!$B:$AQ,17,FALSE)</f>
        <v>#N/A</v>
      </c>
      <c r="O61" s="288" t="e">
        <f>VLOOKUP($B61,'26MY_CIV4D_DATA'!$B:$AQ,18,FALSE)</f>
        <v>#N/A</v>
      </c>
      <c r="P61" s="288" t="e">
        <f>VLOOKUP(B61,'26MY_CIV4D_DATA'!B:AQ,19,FALSE)</f>
        <v>#N/A</v>
      </c>
      <c r="Q61" s="289" t="e">
        <f>IF(VLOOKUP(B61,'26MY_CIV4D_DATA'!B:AQ,21,FALSE)="","",VLOOKUP(B61,'26MY_CIV4D_DATA'!B:AQ,21,FALSE))</f>
        <v>#N/A</v>
      </c>
    </row>
    <row r="62" spans="2:20" s="135" customFormat="1" ht="29">
      <c r="B62" s="273" t="s">
        <v>499</v>
      </c>
      <c r="C62" s="233" t="str">
        <f>VLOOKUP(B62,'26MY_CIV4D_DATA'!B:AQ,4,FALSE)</f>
        <v>Roues d’hiver de 17 po en acier</v>
      </c>
      <c r="D62" s="79" t="str">
        <f t="shared" ref="D62" si="11">B62</f>
        <v>08W17-PC4-300</v>
      </c>
      <c r="E62" s="280">
        <f>VLOOKUP(B62,'26MY_CIV4D_DATA'!B:AQ,9,FALSE)</f>
        <v>376.4</v>
      </c>
      <c r="F62" s="280">
        <f>VLOOKUP(B62,'26MY_CIV4D_DATA'!B:AQ,10,FALSE)</f>
        <v>627.28</v>
      </c>
      <c r="G62" s="287">
        <f>VLOOKUP(B62,'26MY_CIV4D_DATA'!B:AQ,7,FALSE)</f>
        <v>1.6</v>
      </c>
      <c r="H62" s="281">
        <f>VLOOKUP(B62,'26MY_CIV4D_DATA'!B:AQ,11,FALSE)</f>
        <v>916.88</v>
      </c>
      <c r="I62" s="288" t="str">
        <f>VLOOKUP(B62,'26MY_CIV4D_DATA'!B:AQ,12,FALSE)</f>
        <v>N/A</v>
      </c>
      <c r="J62" s="288">
        <f>VLOOKUP(B62,'26MY_CIV4D_DATA'!B:AQ,13,FALSE)</f>
        <v>0</v>
      </c>
      <c r="K62" s="288">
        <f>VLOOKUP($B62,'26MY_CIV4D_DATA'!$B:$AQ,14,FALSE)</f>
        <v>0</v>
      </c>
      <c r="L62" s="288" t="str">
        <f>VLOOKUP(B62,'26MY_CIV4D_DATA'!B:AQ,15,FALSE)</f>
        <v>N/A</v>
      </c>
      <c r="M62" s="288" t="str">
        <f>VLOOKUP($B62,'26MY_CIV4D_DATA'!$B:$AQ,16,FALSE)</f>
        <v>•</v>
      </c>
      <c r="N62" s="288">
        <f>VLOOKUP($B62,'26MY_CIV4D_DATA'!$B:$AQ,17,FALSE)</f>
        <v>0</v>
      </c>
      <c r="O62" s="288" t="str">
        <f>VLOOKUP($B62,'26MY_CIV4D_DATA'!$B:$AQ,18,FALSE)</f>
        <v>•</v>
      </c>
      <c r="P62" s="288" t="str">
        <f>VLOOKUP(B62,'26MY_CIV4D_DATA'!B:AQ,19,FALSE)</f>
        <v>•</v>
      </c>
      <c r="Q62" s="291" t="str">
        <f>IF(VLOOKUP(B62,'26MY_CIV4D_DATA'!B:AQ,21,FALSE)="","",VLOOKUP(B62,'26MY_CIV4D_DATA'!B:AQ,21,FALSE))</f>
        <v>Prix pour un ensemble de 4 roues.  Pneus vendus séparément.  Nécessite des pneus 215/50/R17 95H</v>
      </c>
    </row>
    <row r="63" spans="2:20" s="135" customFormat="1" ht="14.5">
      <c r="B63" s="273" t="s">
        <v>424</v>
      </c>
      <c r="C63" s="233" t="str">
        <f>VLOOKUP(B63,'26MY_CIV4D_DATA'!B:AQ,4,FALSE)</f>
        <v>Jantes de 18 pouces noir</v>
      </c>
      <c r="D63" s="79" t="str">
        <f t="shared" ref="D63" si="12">B63</f>
        <v>08W18-T20-100</v>
      </c>
      <c r="E63" s="280">
        <f>VLOOKUP(B63,'26MY_CIV4D_DATA'!B:AQ,9,FALSE)</f>
        <v>2316</v>
      </c>
      <c r="F63" s="280">
        <f>VLOOKUP(B63,'26MY_CIV4D_DATA'!B:AQ,10,FALSE)</f>
        <v>3564</v>
      </c>
      <c r="G63" s="287">
        <f>VLOOKUP(B63,'26MY_CIV4D_DATA'!B:AQ,7,FALSE)</f>
        <v>1.6</v>
      </c>
      <c r="H63" s="281">
        <f>VLOOKUP(B63,'26MY_CIV4D_DATA'!B:AQ,11,FALSE)</f>
        <v>3853.6</v>
      </c>
      <c r="I63" s="288" t="str">
        <f>VLOOKUP(B63,'26MY_CIV4D_DATA'!B:AQ,12,FALSE)</f>
        <v>N/A</v>
      </c>
      <c r="J63" s="288">
        <f>VLOOKUP(B63,'26MY_CIV4D_DATA'!B:AQ,13,FALSE)</f>
        <v>0</v>
      </c>
      <c r="K63" s="288">
        <f>VLOOKUP($B63,'26MY_CIV4D_DATA'!$B:$AQ,14,FALSE)</f>
        <v>0</v>
      </c>
      <c r="L63" s="288" t="str">
        <f>VLOOKUP(B63,'26MY_CIV4D_DATA'!B:AQ,15,FALSE)</f>
        <v>T</v>
      </c>
      <c r="M63" s="288" t="str">
        <f>VLOOKUP($B63,'26MY_CIV4D_DATA'!$B:$AQ,16,FALSE)</f>
        <v>E</v>
      </c>
      <c r="N63" s="288">
        <f>VLOOKUP($B63,'26MY_CIV4D_DATA'!$B:$AQ,17,FALSE)</f>
        <v>0</v>
      </c>
      <c r="O63" s="288" t="str">
        <f>VLOOKUP($B63,'26MY_CIV4D_DATA'!$B:$AQ,18,FALSE)</f>
        <v>E</v>
      </c>
      <c r="P63" s="288" t="str">
        <f>VLOOKUP(B63,'26MY_CIV4D_DATA'!B:AQ,19,FALSE)</f>
        <v>T</v>
      </c>
      <c r="Q63" s="291" t="str">
        <f>IF(VLOOKUP(B63,'26MY_CIV4D_DATA'!B:AQ,21,FALSE)="","",VLOOKUP(B63,'26MY_CIV4D_DATA'!B:AQ,21,FALSE))</f>
        <v>Prix pour un ensemble de 4 roues.  Pneus vendus séparément.</v>
      </c>
    </row>
    <row r="64" spans="2:20" s="135" customFormat="1" ht="15" customHeight="1">
      <c r="B64" s="271" t="s">
        <v>264</v>
      </c>
      <c r="C64" s="233" t="str">
        <f>VLOOKUP(B64,'26MY_CIV4D_DATA'!B:AQ,4,FALSE)</f>
        <v>Écrous de roue antivols - Noirs</v>
      </c>
      <c r="D64" s="79" t="str">
        <f t="shared" si="10"/>
        <v>08W42-TGG-301</v>
      </c>
      <c r="E64" s="280">
        <f>VLOOKUP(B64,'26MY_CIV4D_DATA'!B:AQ,9,FALSE)</f>
        <v>61</v>
      </c>
      <c r="F64" s="280">
        <f>VLOOKUP(B64,'26MY_CIV4D_DATA'!B:AQ,10,FALSE)</f>
        <v>102</v>
      </c>
      <c r="G64" s="287">
        <f>VLOOKUP(B64,'26MY_CIV4D_DATA'!B:AQ,7,FALSE)</f>
        <v>0.2</v>
      </c>
      <c r="H64" s="281">
        <f>VLOOKUP(B64,'26MY_CIV4D_DATA'!B:AQ,11,FALSE)</f>
        <v>138.19999999999999</v>
      </c>
      <c r="I64" s="288" t="str">
        <f>VLOOKUP(B64,'26MY_CIV4D_DATA'!B:AQ,12,FALSE)</f>
        <v>•</v>
      </c>
      <c r="J64" s="288">
        <f>VLOOKUP(B64,'26MY_CIV4D_DATA'!B:AQ,13,FALSE)</f>
        <v>0</v>
      </c>
      <c r="K64" s="288">
        <f>VLOOKUP($B64,'26MY_CIV4D_DATA'!$B:$AQ,14,FALSE)</f>
        <v>0</v>
      </c>
      <c r="L64" s="288" t="str">
        <f>VLOOKUP(B64,'26MY_CIV4D_DATA'!B:AQ,15,FALSE)</f>
        <v>•</v>
      </c>
      <c r="M64" s="288" t="str">
        <f>VLOOKUP($B64,'26MY_CIV4D_DATA'!$B:$AQ,16,FALSE)</f>
        <v>•</v>
      </c>
      <c r="N64" s="288">
        <f>VLOOKUP($B64,'26MY_CIV4D_DATA'!$B:$AQ,17,FALSE)</f>
        <v>0</v>
      </c>
      <c r="O64" s="288" t="str">
        <f>VLOOKUP($B64,'26MY_CIV4D_DATA'!$B:$AQ,18,FALSE)</f>
        <v>•</v>
      </c>
      <c r="P64" s="288" t="str">
        <f>VLOOKUP(B64,'26MY_CIV4D_DATA'!B:AQ,19,FALSE)</f>
        <v>•</v>
      </c>
      <c r="Q64" s="289" t="str">
        <f>IF(VLOOKUP(B64,'26MY_CIV4D_DATA'!B:AQ,21,FALSE)="","",VLOOKUP(B64,'26MY_CIV4D_DATA'!B:AQ,21,FALSE))</f>
        <v/>
      </c>
    </row>
    <row r="65" spans="2:17" s="135" customFormat="1" ht="15" customHeight="1">
      <c r="B65" s="271" t="s">
        <v>265</v>
      </c>
      <c r="C65" s="233" t="str">
        <f>VLOOKUP(B65,'26MY_CIV4D_DATA'!B:AQ,4,FALSE)</f>
        <v>Écrous de roue antivols - Chromés</v>
      </c>
      <c r="D65" s="79" t="str">
        <f t="shared" si="10"/>
        <v>08W42-SNA-301</v>
      </c>
      <c r="E65" s="280">
        <f>VLOOKUP(B65,'26MY_CIV4D_DATA'!B:AQ,9,FALSE)</f>
        <v>44</v>
      </c>
      <c r="F65" s="280">
        <f>VLOOKUP(B65,'26MY_CIV4D_DATA'!B:AQ,10,FALSE)</f>
        <v>73</v>
      </c>
      <c r="G65" s="287">
        <f>VLOOKUP(B65,'26MY_CIV4D_DATA'!B:AQ,7,FALSE)</f>
        <v>0.2</v>
      </c>
      <c r="H65" s="281">
        <f>VLOOKUP(B65,'26MY_CIV4D_DATA'!B:AQ,11,FALSE)</f>
        <v>109.2</v>
      </c>
      <c r="I65" s="288" t="str">
        <f>VLOOKUP(B65,'26MY_CIV4D_DATA'!B:AQ,12,FALSE)</f>
        <v>•</v>
      </c>
      <c r="J65" s="288">
        <f>VLOOKUP(B65,'26MY_CIV4D_DATA'!B:AQ,13,FALSE)</f>
        <v>0</v>
      </c>
      <c r="K65" s="288">
        <f>VLOOKUP($B65,'26MY_CIV4D_DATA'!$B:$AQ,14,FALSE)</f>
        <v>0</v>
      </c>
      <c r="L65" s="288" t="str">
        <f>VLOOKUP(B65,'26MY_CIV4D_DATA'!B:AQ,15,FALSE)</f>
        <v>•</v>
      </c>
      <c r="M65" s="288" t="str">
        <f>VLOOKUP($B65,'26MY_CIV4D_DATA'!$B:$AQ,16,FALSE)</f>
        <v>•</v>
      </c>
      <c r="N65" s="288">
        <f>VLOOKUP($B65,'26MY_CIV4D_DATA'!$B:$AQ,17,FALSE)</f>
        <v>0</v>
      </c>
      <c r="O65" s="288" t="str">
        <f>VLOOKUP($B65,'26MY_CIV4D_DATA'!$B:$AQ,18,FALSE)</f>
        <v>•</v>
      </c>
      <c r="P65" s="288" t="str">
        <f>VLOOKUP(B65,'26MY_CIV4D_DATA'!B:AQ,19,FALSE)</f>
        <v>•</v>
      </c>
      <c r="Q65" s="289" t="str">
        <f>IF(VLOOKUP(B65,'26MY_CIV4D_DATA'!B:AQ,21,FALSE)="","",VLOOKUP(B65,'26MY_CIV4D_DATA'!B:AQ,21,FALSE))</f>
        <v/>
      </c>
    </row>
    <row r="66" spans="2:17" s="135" customFormat="1" ht="43.5">
      <c r="B66" s="271" t="s">
        <v>249</v>
      </c>
      <c r="C66" s="233" t="str">
        <f>VLOOKUP(B66,'26MY_CIV4D_DATA'!B:AQ,4,FALSE)</f>
        <v>Écrous de roue - Noir</v>
      </c>
      <c r="D66" s="79" t="str">
        <f t="shared" si="10"/>
        <v>08W42-TGG-100</v>
      </c>
      <c r="E66" s="280">
        <f>VLOOKUP(B66,'26MY_CIV4D_DATA'!B:AQ,9,FALSE)</f>
        <v>57</v>
      </c>
      <c r="F66" s="280">
        <f>VLOOKUP(B66,'26MY_CIV4D_DATA'!B:AQ,10,FALSE)</f>
        <v>91</v>
      </c>
      <c r="G66" s="287">
        <f>VLOOKUP(B66,'26MY_CIV4D_DATA'!B:AQ,7,FALSE)</f>
        <v>0.2</v>
      </c>
      <c r="H66" s="281">
        <f>VLOOKUP(B66,'26MY_CIV4D_DATA'!B:AQ,11,FALSE)</f>
        <v>127.2</v>
      </c>
      <c r="I66" s="288" t="str">
        <f>VLOOKUP(B66,'26MY_CIV4D_DATA'!B:AQ,12,FALSE)</f>
        <v>•</v>
      </c>
      <c r="J66" s="288">
        <f>VLOOKUP(B66,'26MY_CIV4D_DATA'!B:AQ,13,FALSE)</f>
        <v>0</v>
      </c>
      <c r="K66" s="288">
        <f>VLOOKUP($B66,'26MY_CIV4D_DATA'!$B:$AQ,14,FALSE)</f>
        <v>0</v>
      </c>
      <c r="L66" s="288" t="str">
        <f>VLOOKUP(B66,'26MY_CIV4D_DATA'!B:AQ,15,FALSE)</f>
        <v>•</v>
      </c>
      <c r="M66" s="288" t="str">
        <f>VLOOKUP($B66,'26MY_CIV4D_DATA'!$B:$AQ,16,FALSE)</f>
        <v>•</v>
      </c>
      <c r="N66" s="288">
        <f>VLOOKUP($B66,'26MY_CIV4D_DATA'!$B:$AQ,17,FALSE)</f>
        <v>0</v>
      </c>
      <c r="O66" s="288" t="str">
        <f>VLOOKUP($B66,'26MY_CIV4D_DATA'!$B:$AQ,18,FALSE)</f>
        <v>•</v>
      </c>
      <c r="P66" s="288" t="str">
        <f>VLOOKUP(B66,'26MY_CIV4D_DATA'!B:AQ,19,FALSE)</f>
        <v>•</v>
      </c>
      <c r="Q66" s="289" t="str">
        <f>IF(VLOOKUP(B66,'26MY_CIV4D_DATA'!B:AQ,21,FALSE)="","",VLOOKUP(B66,'26MY_CIV4D_DATA'!B:AQ,21,FALSE))</f>
        <v>Inclut 4 écrous de roue en 1 jeu.
L'installation complète nécessite 5 jeux pour 4 roues (20 écrous de roue).</v>
      </c>
    </row>
    <row r="67" spans="2:17" s="135" customFormat="1" ht="10.5" customHeight="1">
      <c r="B67" s="271"/>
      <c r="C67" s="20"/>
      <c r="D67" s="182"/>
      <c r="E67" s="183"/>
      <c r="F67" s="183"/>
      <c r="G67" s="184"/>
      <c r="H67" s="185"/>
      <c r="I67" s="91"/>
      <c r="J67" s="91"/>
      <c r="K67" s="97"/>
      <c r="L67" s="91"/>
      <c r="M67" s="91"/>
      <c r="N67" s="91"/>
      <c r="O67" s="91"/>
      <c r="P67" s="91"/>
      <c r="Q67" s="186"/>
    </row>
    <row r="68" spans="2:17" s="133" customFormat="1" ht="18.5">
      <c r="B68" s="272"/>
      <c r="C68" s="152" t="s">
        <v>91</v>
      </c>
      <c r="D68" s="152"/>
      <c r="E68" s="143"/>
      <c r="F68" s="143"/>
      <c r="G68" s="143"/>
      <c r="H68" s="143"/>
      <c r="I68" s="143"/>
      <c r="J68" s="143"/>
      <c r="K68" s="91"/>
      <c r="L68" s="143"/>
      <c r="M68" s="143"/>
      <c r="N68" s="143"/>
      <c r="O68" s="143"/>
      <c r="P68" s="143"/>
      <c r="Q68" s="143"/>
    </row>
    <row r="69" spans="2:17" s="134" customFormat="1" ht="15" customHeight="1">
      <c r="B69" s="273"/>
      <c r="C69" s="346" t="s">
        <v>81</v>
      </c>
      <c r="D69" s="346" t="s">
        <v>82</v>
      </c>
      <c r="E69" s="346" t="s">
        <v>83</v>
      </c>
      <c r="F69" s="346" t="s">
        <v>84</v>
      </c>
      <c r="G69" s="346" t="s">
        <v>85</v>
      </c>
      <c r="H69" s="347" t="s">
        <v>86</v>
      </c>
      <c r="I69" s="346" t="s">
        <v>25</v>
      </c>
      <c r="J69" s="346"/>
      <c r="K69" s="346"/>
      <c r="L69" s="346"/>
      <c r="M69" s="346"/>
      <c r="N69" s="346"/>
      <c r="O69" s="346"/>
      <c r="P69" s="346"/>
      <c r="Q69" s="346" t="s">
        <v>87</v>
      </c>
    </row>
    <row r="70" spans="2:17" s="134" customFormat="1" ht="43.5">
      <c r="B70" s="273"/>
      <c r="C70" s="346"/>
      <c r="D70" s="346"/>
      <c r="E70" s="346"/>
      <c r="F70" s="346"/>
      <c r="G70" s="346"/>
      <c r="H70" s="347"/>
      <c r="I70" s="178" t="str">
        <f>'26MY_CIV4D_DATA'!M$8</f>
        <v>LX</v>
      </c>
      <c r="J70" s="178">
        <f>'26MY_CIV4D_DATA'!N$8</f>
        <v>0</v>
      </c>
      <c r="K70" s="178">
        <f>'26MY_CIV4D_DATA'!O$8</f>
        <v>0</v>
      </c>
      <c r="L70" s="178" t="str">
        <f>'26MY_CIV4D_DATA'!P$8</f>
        <v>SPORT</v>
      </c>
      <c r="M70" s="178" t="str">
        <f>'26MY_CIV4D_DATA'!Q$8</f>
        <v>SPORT 
Hybride</v>
      </c>
      <c r="N70" s="178">
        <f>'26MY_CIV4D_DATA'!R$8</f>
        <v>0</v>
      </c>
      <c r="O70" s="178" t="str">
        <f>'26MY_CIV4D_DATA'!S$8</f>
        <v>Sport Touring Hybride</v>
      </c>
      <c r="P70" s="178" t="str">
        <f>'26MY_CIV4D_DATA'!T$8</f>
        <v>Si</v>
      </c>
      <c r="Q70" s="346"/>
    </row>
    <row r="71" spans="2:17" s="135" customFormat="1" ht="15" customHeight="1">
      <c r="B71" s="271" t="s">
        <v>129</v>
      </c>
      <c r="C71" s="233" t="str">
        <f>VLOOKUP(B71,'26MY_CIV4D_DATA'!B:AQ,4,FALSE)</f>
        <v>Déflecteur de coffre - LX, EX, SPORT</v>
      </c>
      <c r="D71" s="79" t="str">
        <f>B71</f>
        <v>08F10-T20-110</v>
      </c>
      <c r="E71" s="280">
        <f>VLOOKUP(B71,'26MY_CIV4D_DATA'!B:AQ,9,FALSE)</f>
        <v>292</v>
      </c>
      <c r="F71" s="280">
        <f>VLOOKUP(B71,'26MY_CIV4D_DATA'!B:AQ,10,FALSE)</f>
        <v>487</v>
      </c>
      <c r="G71" s="287">
        <f>VLOOKUP(B71,'26MY_CIV4D_DATA'!B:AQ,7,FALSE)</f>
        <v>0.7</v>
      </c>
      <c r="H71" s="281">
        <f>VLOOKUP(B71,'26MY_CIV4D_DATA'!B:AQ,11,FALSE)</f>
        <v>613.70000000000005</v>
      </c>
      <c r="I71" s="288" t="str">
        <f>VLOOKUP(B71,'26MY_CIV4D_DATA'!B:AQ,12,FALSE)</f>
        <v>•</v>
      </c>
      <c r="J71" s="288">
        <f>VLOOKUP(B71,'26MY_CIV4D_DATA'!B:AQ,13,FALSE)</f>
        <v>0</v>
      </c>
      <c r="K71" s="288">
        <f>VLOOKUP($B71,'26MY_CIV4D_DATA'!$B:$AQ,14,FALSE)</f>
        <v>0</v>
      </c>
      <c r="L71" s="288" t="str">
        <f>VLOOKUP(B71,'26MY_CIV4D_DATA'!B:AQ,15,FALSE)</f>
        <v>•</v>
      </c>
      <c r="M71" s="288" t="str">
        <f>VLOOKUP($B71,'26MY_CIV4D_DATA'!$B:$AQ,16,FALSE)</f>
        <v>•</v>
      </c>
      <c r="N71" s="288">
        <f>VLOOKUP($B71,'26MY_CIV4D_DATA'!$B:$AQ,17,FALSE)</f>
        <v>0</v>
      </c>
      <c r="O71" s="288" t="str">
        <f>VLOOKUP($B71,'26MY_CIV4D_DATA'!$B:$AQ,18,FALSE)</f>
        <v>N/A</v>
      </c>
      <c r="P71" s="288" t="str">
        <f>VLOOKUP(B71,'26MY_CIV4D_DATA'!B:AQ,19,FALSE)</f>
        <v>N/A</v>
      </c>
      <c r="Q71" s="291" t="str">
        <f>IF(VLOOKUP(B71,'26MY_CIV4D_DATA'!B:AQ,21,FALSE)="","",VLOOKUP(B71,'26MY_CIV4D_DATA'!B:AQ,21,FALSE))</f>
        <v>Logo HPD.</v>
      </c>
    </row>
    <row r="72" spans="2:17" s="135" customFormat="1" ht="15" customHeight="1">
      <c r="B72" s="273" t="s">
        <v>130</v>
      </c>
      <c r="C72" s="233" t="str">
        <f>VLOOKUP(B72,'26MY_CIV4D_DATA'!B:AQ,4,FALSE)</f>
        <v>Déflecteur de coffre - TOURING</v>
      </c>
      <c r="D72" s="79" t="str">
        <f t="shared" ref="D72:D86" si="13">B72</f>
        <v>08F10-T20-110A</v>
      </c>
      <c r="E72" s="280">
        <f>VLOOKUP(B72,'26MY_CIV4D_DATA'!B:AQ,9,FALSE)</f>
        <v>292</v>
      </c>
      <c r="F72" s="280">
        <f>VLOOKUP(B72,'26MY_CIV4D_DATA'!B:AQ,10,FALSE)</f>
        <v>487</v>
      </c>
      <c r="G72" s="287">
        <f>VLOOKUP(B72,'26MY_CIV4D_DATA'!B:AQ,7,FALSE)</f>
        <v>0.7</v>
      </c>
      <c r="H72" s="281">
        <f>VLOOKUP(B72,'26MY_CIV4D_DATA'!B:AQ,11,FALSE)</f>
        <v>613.70000000000005</v>
      </c>
      <c r="I72" s="288" t="str">
        <f>VLOOKUP(B72,'26MY_CIV4D_DATA'!B:AQ,12,FALSE)</f>
        <v>N/A</v>
      </c>
      <c r="J72" s="288">
        <f>VLOOKUP(B72,'26MY_CIV4D_DATA'!B:AQ,13,FALSE)</f>
        <v>0</v>
      </c>
      <c r="K72" s="288">
        <f>VLOOKUP($B72,'26MY_CIV4D_DATA'!$B:$AQ,14,FALSE)</f>
        <v>0</v>
      </c>
      <c r="L72" s="288" t="str">
        <f>VLOOKUP(B72,'26MY_CIV4D_DATA'!B:AQ,15,FALSE)</f>
        <v>N/A</v>
      </c>
      <c r="M72" s="288" t="str">
        <f>VLOOKUP($B72,'26MY_CIV4D_DATA'!$B:$AQ,16,FALSE)</f>
        <v>N/A</v>
      </c>
      <c r="N72" s="288">
        <f>VLOOKUP($B72,'26MY_CIV4D_DATA'!$B:$AQ,17,FALSE)</f>
        <v>0</v>
      </c>
      <c r="O72" s="288" t="str">
        <f>VLOOKUP($B72,'26MY_CIV4D_DATA'!$B:$AQ,18,FALSE)</f>
        <v>•</v>
      </c>
      <c r="P72" s="288" t="str">
        <f>VLOOKUP(B72,'26MY_CIV4D_DATA'!B:AQ,19,FALSE)</f>
        <v>N/A</v>
      </c>
      <c r="Q72" s="291" t="str">
        <f>IF(VLOOKUP(B72,'26MY_CIV4D_DATA'!B:AQ,21,FALSE)="","",VLOOKUP(B72,'26MY_CIV4D_DATA'!B:AQ,21,FALSE))</f>
        <v>Logo HPD.</v>
      </c>
    </row>
    <row r="73" spans="2:17" s="135" customFormat="1" ht="29">
      <c r="B73" s="273" t="s">
        <v>131</v>
      </c>
      <c r="C73" s="233" t="str">
        <f>VLOOKUP(B73,'26MY_CIV4D_DATA'!B:AQ,4,FALSE)</f>
        <v>Pellicule pour rebord de portière</v>
      </c>
      <c r="D73" s="79" t="str">
        <f t="shared" si="13"/>
        <v>08P20-T20-100A</v>
      </c>
      <c r="E73" s="280">
        <f>VLOOKUP(B73,'26MY_CIV4D_DATA'!B:AQ,9,FALSE)</f>
        <v>67</v>
      </c>
      <c r="F73" s="280">
        <f>VLOOKUP(B73,'26MY_CIV4D_DATA'!B:AQ,10,FALSE)</f>
        <v>112</v>
      </c>
      <c r="G73" s="287">
        <f>VLOOKUP(B73,'26MY_CIV4D_DATA'!B:AQ,7,FALSE)</f>
        <v>0.5</v>
      </c>
      <c r="H73" s="281">
        <f>VLOOKUP(B73,'26MY_CIV4D_DATA'!B:AQ,11,FALSE)</f>
        <v>202.5</v>
      </c>
      <c r="I73" s="288" t="str">
        <f>VLOOKUP(B73,'26MY_CIV4D_DATA'!B:AQ,12,FALSE)</f>
        <v>•</v>
      </c>
      <c r="J73" s="288">
        <f>VLOOKUP(B73,'26MY_CIV4D_DATA'!B:AQ,13,FALSE)</f>
        <v>0</v>
      </c>
      <c r="K73" s="288">
        <f>VLOOKUP($B73,'26MY_CIV4D_DATA'!$B:$AQ,14,FALSE)</f>
        <v>0</v>
      </c>
      <c r="L73" s="288" t="str">
        <f>VLOOKUP(B73,'26MY_CIV4D_DATA'!B:AQ,15,FALSE)</f>
        <v>•</v>
      </c>
      <c r="M73" s="288" t="str">
        <f>VLOOKUP($B73,'26MY_CIV4D_DATA'!$B:$AQ,16,FALSE)</f>
        <v>•</v>
      </c>
      <c r="N73" s="288">
        <f>VLOOKUP($B73,'26MY_CIV4D_DATA'!$B:$AQ,17,FALSE)</f>
        <v>0</v>
      </c>
      <c r="O73" s="288" t="str">
        <f>VLOOKUP($B73,'26MY_CIV4D_DATA'!$B:$AQ,18,FALSE)</f>
        <v>•</v>
      </c>
      <c r="P73" s="288" t="str">
        <f>VLOOKUP(B73,'26MY_CIV4D_DATA'!B:AQ,19,FALSE)</f>
        <v>•</v>
      </c>
      <c r="Q73" s="291" t="str">
        <f>IF(VLOOKUP(B73,'26MY_CIV4D_DATA'!B:AQ,21,FALSE)="","",VLOOKUP(B73,'26MY_CIV4D_DATA'!B:AQ,21,FALSE))</f>
        <v>Ne peut être installé simultanément avec protecteurs de bordure de porte.</v>
      </c>
    </row>
    <row r="74" spans="2:17" s="135" customFormat="1" ht="14.5">
      <c r="B74" s="273" t="s">
        <v>132</v>
      </c>
      <c r="C74" s="233" t="str">
        <f>VLOOKUP(B74,'26MY_CIV4D_DATA'!B:AQ,4,FALSE)</f>
        <v>Pellicule pour poignée de portière</v>
      </c>
      <c r="D74" s="79" t="str">
        <f t="shared" ref="D74" si="14">B74</f>
        <v>08P48-T20-100</v>
      </c>
      <c r="E74" s="280">
        <f>VLOOKUP(B74,'26MY_CIV4D_DATA'!B:AQ,9,FALSE)</f>
        <v>50</v>
      </c>
      <c r="F74" s="280">
        <f>VLOOKUP(B74,'26MY_CIV4D_DATA'!B:AQ,10,FALSE)</f>
        <v>83</v>
      </c>
      <c r="G74" s="287">
        <f>VLOOKUP(B74,'26MY_CIV4D_DATA'!B:AQ,7,FALSE)</f>
        <v>0.4</v>
      </c>
      <c r="H74" s="281">
        <f>VLOOKUP(B74,'26MY_CIV4D_DATA'!B:AQ,11,FALSE)</f>
        <v>155.4</v>
      </c>
      <c r="I74" s="288" t="str">
        <f>VLOOKUP(B74,'26MY_CIV4D_DATA'!B:AQ,12,FALSE)</f>
        <v>•</v>
      </c>
      <c r="J74" s="288">
        <f>VLOOKUP(B74,'26MY_CIV4D_DATA'!B:AQ,13,FALSE)</f>
        <v>0</v>
      </c>
      <c r="K74" s="288">
        <f>VLOOKUP($B74,'26MY_CIV4D_DATA'!$B:$AQ,14,FALSE)</f>
        <v>0</v>
      </c>
      <c r="L74" s="288" t="str">
        <f>VLOOKUP(B74,'26MY_CIV4D_DATA'!B:AQ,15,FALSE)</f>
        <v>•</v>
      </c>
      <c r="M74" s="288" t="str">
        <f>VLOOKUP($B74,'26MY_CIV4D_DATA'!$B:$AQ,16,FALSE)</f>
        <v>•</v>
      </c>
      <c r="N74" s="288">
        <f>VLOOKUP($B74,'26MY_CIV4D_DATA'!$B:$AQ,17,FALSE)</f>
        <v>0</v>
      </c>
      <c r="O74" s="288" t="str">
        <f>VLOOKUP($B74,'26MY_CIV4D_DATA'!$B:$AQ,18,FALSE)</f>
        <v>•</v>
      </c>
      <c r="P74" s="288" t="str">
        <f>VLOOKUP(B74,'26MY_CIV4D_DATA'!B:AQ,19,FALSE)</f>
        <v>•</v>
      </c>
      <c r="Q74" s="291" t="str">
        <f>IF(VLOOKUP(B74,'26MY_CIV4D_DATA'!B:AQ,21,FALSE)="","",VLOOKUP(B74,'26MY_CIV4D_DATA'!B:AQ,21,FALSE))</f>
        <v/>
      </c>
    </row>
    <row r="75" spans="2:17" s="135" customFormat="1" ht="15" customHeight="1">
      <c r="B75" s="273" t="s">
        <v>132</v>
      </c>
      <c r="C75" s="233" t="str">
        <f>VLOOKUP(B75,'26MY_CIV4D_DATA'!B:AQ,4,FALSE)</f>
        <v>Pellicule pour poignée de portière</v>
      </c>
      <c r="D75" s="79" t="str">
        <f t="shared" si="13"/>
        <v>08P48-T20-100</v>
      </c>
      <c r="E75" s="280">
        <f>VLOOKUP(B75,'26MY_CIV4D_DATA'!B:AQ,9,FALSE)</f>
        <v>50</v>
      </c>
      <c r="F75" s="280">
        <f>VLOOKUP(B75,'26MY_CIV4D_DATA'!B:AQ,10,FALSE)</f>
        <v>83</v>
      </c>
      <c r="G75" s="287">
        <f>VLOOKUP(B75,'26MY_CIV4D_DATA'!B:AQ,7,FALSE)</f>
        <v>0.4</v>
      </c>
      <c r="H75" s="281">
        <f>VLOOKUP(B75,'26MY_CIV4D_DATA'!B:AQ,11,FALSE)</f>
        <v>155.4</v>
      </c>
      <c r="I75" s="288" t="str">
        <f>VLOOKUP(B75,'26MY_CIV4D_DATA'!B:AQ,12,FALSE)</f>
        <v>•</v>
      </c>
      <c r="J75" s="288">
        <f>VLOOKUP(B75,'26MY_CIV4D_DATA'!B:AQ,13,FALSE)</f>
        <v>0</v>
      </c>
      <c r="K75" s="288">
        <f>VLOOKUP($B75,'26MY_CIV4D_DATA'!$B:$AQ,14,FALSE)</f>
        <v>0</v>
      </c>
      <c r="L75" s="288" t="str">
        <f>VLOOKUP(B75,'26MY_CIV4D_DATA'!B:AQ,15,FALSE)</f>
        <v>•</v>
      </c>
      <c r="M75" s="288" t="str">
        <f>VLOOKUP($B75,'26MY_CIV4D_DATA'!$B:$AQ,16,FALSE)</f>
        <v>•</v>
      </c>
      <c r="N75" s="288">
        <f>VLOOKUP($B75,'26MY_CIV4D_DATA'!$B:$AQ,17,FALSE)</f>
        <v>0</v>
      </c>
      <c r="O75" s="288" t="str">
        <f>VLOOKUP($B75,'26MY_CIV4D_DATA'!$B:$AQ,18,FALSE)</f>
        <v>•</v>
      </c>
      <c r="P75" s="288" t="str">
        <f>VLOOKUP(B75,'26MY_CIV4D_DATA'!B:AQ,19,FALSE)</f>
        <v>•</v>
      </c>
      <c r="Q75" s="291" t="str">
        <f>IF(VLOOKUP(B75,'26MY_CIV4D_DATA'!B:AQ,21,FALSE)="","",VLOOKUP(B75,'26MY_CIV4D_DATA'!B:AQ,21,FALSE))</f>
        <v/>
      </c>
    </row>
    <row r="76" spans="2:17" s="135" customFormat="1" ht="15" customHeight="1">
      <c r="B76" s="271" t="s">
        <v>133</v>
      </c>
      <c r="C76" s="233" t="str">
        <f>VLOOKUP(B76,'26MY_CIV4D_DATA'!B:AQ,4,FALSE)</f>
        <v>Déflecteurs de portières - noir</v>
      </c>
      <c r="D76" s="79" t="str">
        <f t="shared" si="13"/>
        <v>08R04-T20-100A</v>
      </c>
      <c r="E76" s="280">
        <f>VLOOKUP(B76,'26MY_CIV4D_DATA'!B:AQ,9,FALSE)</f>
        <v>207</v>
      </c>
      <c r="F76" s="280">
        <f>VLOOKUP(B76,'26MY_CIV4D_DATA'!B:AQ,10,FALSE)</f>
        <v>345</v>
      </c>
      <c r="G76" s="287">
        <f>VLOOKUP(B76,'26MY_CIV4D_DATA'!B:AQ,7,FALSE)</f>
        <v>0.5</v>
      </c>
      <c r="H76" s="281">
        <f>VLOOKUP(B76,'26MY_CIV4D_DATA'!B:AQ,11,FALSE)</f>
        <v>435.5</v>
      </c>
      <c r="I76" s="288" t="str">
        <f>VLOOKUP(B76,'26MY_CIV4D_DATA'!B:AQ,12,FALSE)</f>
        <v>N/A</v>
      </c>
      <c r="J76" s="288">
        <f>VLOOKUP(B76,'26MY_CIV4D_DATA'!B:AQ,13,FALSE)</f>
        <v>0</v>
      </c>
      <c r="K76" s="288">
        <f>VLOOKUP($B76,'26MY_CIV4D_DATA'!$B:$AQ,14,FALSE)</f>
        <v>0</v>
      </c>
      <c r="L76" s="288" t="str">
        <f>VLOOKUP(B76,'26MY_CIV4D_DATA'!B:AQ,15,FALSE)</f>
        <v>•</v>
      </c>
      <c r="M76" s="288" t="str">
        <f>VLOOKUP($B76,'26MY_CIV4D_DATA'!$B:$AQ,16,FALSE)</f>
        <v>•</v>
      </c>
      <c r="N76" s="288">
        <f>VLOOKUP($B76,'26MY_CIV4D_DATA'!$B:$AQ,17,FALSE)</f>
        <v>0</v>
      </c>
      <c r="O76" s="288" t="str">
        <f>VLOOKUP($B76,'26MY_CIV4D_DATA'!$B:$AQ,18,FALSE)</f>
        <v>•</v>
      </c>
      <c r="P76" s="288" t="str">
        <f>VLOOKUP(B76,'26MY_CIV4D_DATA'!B:AQ,19,FALSE)</f>
        <v>•</v>
      </c>
      <c r="Q76" s="291" t="str">
        <f>IF(VLOOKUP(B76,'26MY_CIV4D_DATA'!B:AQ,21,FALSE)="","",VLOOKUP(B76,'26MY_CIV4D_DATA'!B:AQ,21,FALSE))</f>
        <v/>
      </c>
    </row>
    <row r="77" spans="2:17" s="135" customFormat="1" ht="15" customHeight="1">
      <c r="B77" s="271" t="s">
        <v>134</v>
      </c>
      <c r="C77" s="233" t="str">
        <f>VLOOKUP(B77,'26MY_CIV4D_DATA'!B:AQ,4,FALSE)</f>
        <v>Déflecteurs de portières - noirs avec moulure en acier inoxydable</v>
      </c>
      <c r="D77" s="79" t="str">
        <f t="shared" si="13"/>
        <v>08R04-T20-100</v>
      </c>
      <c r="E77" s="280">
        <f>VLOOKUP(B77,'26MY_CIV4D_DATA'!B:AQ,9,FALSE)</f>
        <v>207</v>
      </c>
      <c r="F77" s="280">
        <f>VLOOKUP(B77,'26MY_CIV4D_DATA'!B:AQ,10,FALSE)</f>
        <v>345</v>
      </c>
      <c r="G77" s="287">
        <f>VLOOKUP(B77,'26MY_CIV4D_DATA'!B:AQ,7,FALSE)</f>
        <v>0.5</v>
      </c>
      <c r="H77" s="281">
        <f>VLOOKUP(B77,'26MY_CIV4D_DATA'!B:AQ,11,FALSE)</f>
        <v>435.5</v>
      </c>
      <c r="I77" s="288" t="str">
        <f>VLOOKUP(B77,'26MY_CIV4D_DATA'!B:AQ,12,FALSE)</f>
        <v>•</v>
      </c>
      <c r="J77" s="288">
        <f>VLOOKUP(B77,'26MY_CIV4D_DATA'!B:AQ,13,FALSE)</f>
        <v>0</v>
      </c>
      <c r="K77" s="288">
        <f>VLOOKUP($B77,'26MY_CIV4D_DATA'!$B:$AQ,14,FALSE)</f>
        <v>0</v>
      </c>
      <c r="L77" s="288" t="str">
        <f>VLOOKUP(B77,'26MY_CIV4D_DATA'!B:AQ,15,FALSE)</f>
        <v>N/A</v>
      </c>
      <c r="M77" s="288" t="str">
        <f>VLOOKUP($B77,'26MY_CIV4D_DATA'!$B:$AQ,16,FALSE)</f>
        <v>N/A</v>
      </c>
      <c r="N77" s="288">
        <f>VLOOKUP($B77,'26MY_CIV4D_DATA'!$B:$AQ,17,FALSE)</f>
        <v>0</v>
      </c>
      <c r="O77" s="288" t="str">
        <f>VLOOKUP($B77,'26MY_CIV4D_DATA'!$B:$AQ,18,FALSE)</f>
        <v>N/A</v>
      </c>
      <c r="P77" s="288" t="str">
        <f>VLOOKUP(B77,'26MY_CIV4D_DATA'!B:AQ,19,FALSE)</f>
        <v>N/A</v>
      </c>
      <c r="Q77" s="291" t="str">
        <f>IF(VLOOKUP(B77,'26MY_CIV4D_DATA'!B:AQ,21,FALSE)="","",VLOOKUP(B77,'26MY_CIV4D_DATA'!B:AQ,21,FALSE))</f>
        <v>Moulure en acier inoxydable.</v>
      </c>
    </row>
    <row r="78" spans="2:17" s="135" customFormat="1" ht="15" customHeight="1">
      <c r="B78" s="271" t="s">
        <v>135</v>
      </c>
      <c r="C78" s="233" t="str">
        <f>VLOOKUP(B78,'26MY_CIV4D_DATA'!B:AQ,4,FALSE)</f>
        <v>Emblème, noirs lustrés - Logo « H » et CIVIC</v>
      </c>
      <c r="D78" s="79" t="str">
        <f t="shared" si="13"/>
        <v>08F20-T20-100</v>
      </c>
      <c r="E78" s="280">
        <f>VLOOKUP(B78,'26MY_CIV4D_DATA'!B:AQ,9,FALSE)</f>
        <v>105</v>
      </c>
      <c r="F78" s="280">
        <f>VLOOKUP(B78,'26MY_CIV4D_DATA'!B:AQ,10,FALSE)</f>
        <v>175</v>
      </c>
      <c r="G78" s="287">
        <f>VLOOKUP(B78,'26MY_CIV4D_DATA'!B:AQ,7,FALSE)</f>
        <v>1.2</v>
      </c>
      <c r="H78" s="281">
        <f>VLOOKUP(B78,'26MY_CIV4D_DATA'!B:AQ,11,FALSE)</f>
        <v>392.2</v>
      </c>
      <c r="I78" s="288" t="str">
        <f>VLOOKUP(B78,'26MY_CIV4D_DATA'!B:AQ,12,FALSE)</f>
        <v>•</v>
      </c>
      <c r="J78" s="288">
        <f>VLOOKUP(B78,'26MY_CIV4D_DATA'!B:AQ,13,FALSE)</f>
        <v>0</v>
      </c>
      <c r="K78" s="288">
        <f>VLOOKUP($B78,'26MY_CIV4D_DATA'!$B:$AQ,14,FALSE)</f>
        <v>0</v>
      </c>
      <c r="L78" s="288" t="str">
        <f>VLOOKUP(B78,'26MY_CIV4D_DATA'!B:AQ,15,FALSE)</f>
        <v>N/A</v>
      </c>
      <c r="M78" s="288" t="str">
        <f>VLOOKUP($B78,'26MY_CIV4D_DATA'!$B:$AQ,16,FALSE)</f>
        <v>N/A</v>
      </c>
      <c r="N78" s="288">
        <f>VLOOKUP($B78,'26MY_CIV4D_DATA'!$B:$AQ,17,FALSE)</f>
        <v>0</v>
      </c>
      <c r="O78" s="288" t="str">
        <f>VLOOKUP($B78,'26MY_CIV4D_DATA'!$B:$AQ,18,FALSE)</f>
        <v>N/A</v>
      </c>
      <c r="P78" s="288" t="str">
        <f>VLOOKUP(B78,'26MY_CIV4D_DATA'!B:AQ,19,FALSE)</f>
        <v>N/A</v>
      </c>
      <c r="Q78" s="291" t="str">
        <f>IF(VLOOKUP(B78,'26MY_CIV4D_DATA'!B:AQ,21,FALSE)="","",VLOOKUP(B78,'26MY_CIV4D_DATA'!B:AQ,21,FALSE))</f>
        <v>Civic, Logo H-Mark à l'avant et à l'arrière.</v>
      </c>
    </row>
    <row r="79" spans="2:17" s="135" customFormat="1" ht="15" customHeight="1">
      <c r="B79" s="271" t="s">
        <v>541</v>
      </c>
      <c r="C79" s="233" t="str">
        <f>VLOOKUP(B79,'26MY_CIV4D_DATA'!B:AQ,4,FALSE)</f>
        <v>Emblème, noirs lustrés - Logo « H »</v>
      </c>
      <c r="D79" s="79" t="str">
        <f t="shared" si="13"/>
        <v>08F20-T20-100E</v>
      </c>
      <c r="E79" s="280">
        <f>VLOOKUP(B79,'26MY_CIV4D_DATA'!B:AQ,9,FALSE)</f>
        <v>86</v>
      </c>
      <c r="F79" s="280">
        <f>VLOOKUP(B79,'26MY_CIV4D_DATA'!B:AQ,10,FALSE)</f>
        <v>123</v>
      </c>
      <c r="G79" s="287">
        <f>VLOOKUP(B79,'26MY_CIV4D_DATA'!B:AQ,7,FALSE)</f>
        <v>1</v>
      </c>
      <c r="H79" s="281">
        <f>VLOOKUP(B79,'26MY_CIV4D_DATA'!B:AQ,11,FALSE)</f>
        <v>304</v>
      </c>
      <c r="I79" s="288" t="str">
        <f>VLOOKUP(B79,'26MY_CIV4D_DATA'!B:AQ,12,FALSE)</f>
        <v>•</v>
      </c>
      <c r="J79" s="288">
        <f>VLOOKUP(B79,'26MY_CIV4D_DATA'!B:AQ,13,FALSE)</f>
        <v>0</v>
      </c>
      <c r="K79" s="288">
        <f>VLOOKUP($B79,'26MY_CIV4D_DATA'!$B:$AQ,14,FALSE)</f>
        <v>0</v>
      </c>
      <c r="L79" s="288" t="str">
        <f>VLOOKUP(B79,'26MY_CIV4D_DATA'!B:AQ,15,FALSE)</f>
        <v>•</v>
      </c>
      <c r="M79" s="288" t="str">
        <f>VLOOKUP($B79,'26MY_CIV4D_DATA'!$B:$AQ,16,FALSE)</f>
        <v>•</v>
      </c>
      <c r="N79" s="288">
        <f>VLOOKUP($B79,'26MY_CIV4D_DATA'!$B:$AQ,17,FALSE)</f>
        <v>0</v>
      </c>
      <c r="O79" s="288" t="str">
        <f>VLOOKUP($B79,'26MY_CIV4D_DATA'!$B:$AQ,18,FALSE)</f>
        <v>•</v>
      </c>
      <c r="P79" s="288" t="str">
        <f>VLOOKUP(B79,'26MY_CIV4D_DATA'!B:AQ,19,FALSE)</f>
        <v>•</v>
      </c>
      <c r="Q79" s="291" t="str">
        <f>IF(VLOOKUP(B79,'26MY_CIV4D_DATA'!B:AQ,21,FALSE)="","",VLOOKUP(B79,'26MY_CIV4D_DATA'!B:AQ,21,FALSE))</f>
        <v>Logo H-Mark à l'avant et à l'arrière.</v>
      </c>
    </row>
    <row r="80" spans="2:17" s="135" customFormat="1" ht="15" customHeight="1">
      <c r="B80" s="271" t="s">
        <v>390</v>
      </c>
      <c r="C80" s="233" t="str">
        <f>VLOOKUP(B80,'26MY_CIV4D_DATA'!B:AQ,4,FALSE)</f>
        <v>Emblème, noirs lustrés - Hybrid</v>
      </c>
      <c r="D80" s="79" t="str">
        <f t="shared" si="13"/>
        <v>08F20-T20-100B</v>
      </c>
      <c r="E80" s="280">
        <f>VLOOKUP(B80,'26MY_CIV4D_DATA'!B:AQ,9,FALSE)</f>
        <v>46</v>
      </c>
      <c r="F80" s="280">
        <f>VLOOKUP(B80,'26MY_CIV4D_DATA'!B:AQ,10,FALSE)</f>
        <v>77</v>
      </c>
      <c r="G80" s="287">
        <f>VLOOKUP(B80,'26MY_CIV4D_DATA'!B:AQ,7,FALSE)</f>
        <v>0.2</v>
      </c>
      <c r="H80" s="281">
        <f>VLOOKUP(B80,'26MY_CIV4D_DATA'!B:AQ,11,FALSE)</f>
        <v>113.2</v>
      </c>
      <c r="I80" s="288" t="str">
        <f>VLOOKUP(B80,'26MY_CIV4D_DATA'!B:AQ,12,FALSE)</f>
        <v>N/A</v>
      </c>
      <c r="J80" s="288">
        <f>VLOOKUP(B80,'26MY_CIV4D_DATA'!B:AQ,13,FALSE)</f>
        <v>0</v>
      </c>
      <c r="K80" s="288">
        <f>VLOOKUP($B80,'26MY_CIV4D_DATA'!$B:$AQ,14,FALSE)</f>
        <v>0</v>
      </c>
      <c r="L80" s="288" t="str">
        <f>VLOOKUP(B80,'26MY_CIV4D_DATA'!B:AQ,15,FALSE)</f>
        <v>N/A</v>
      </c>
      <c r="M80" s="288" t="str">
        <f>VLOOKUP($B80,'26MY_CIV4D_DATA'!$B:$AQ,16,FALSE)</f>
        <v>•</v>
      </c>
      <c r="N80" s="288">
        <f>VLOOKUP($B80,'26MY_CIV4D_DATA'!$B:$AQ,17,FALSE)</f>
        <v>0</v>
      </c>
      <c r="O80" s="288" t="str">
        <f>VLOOKUP($B80,'26MY_CIV4D_DATA'!$B:$AQ,18,FALSE)</f>
        <v>•</v>
      </c>
      <c r="P80" s="288" t="str">
        <f>VLOOKUP(B80,'26MY_CIV4D_DATA'!B:AQ,19,FALSE)</f>
        <v>N/A</v>
      </c>
      <c r="Q80" s="291" t="str">
        <f>IF(VLOOKUP(B80,'26MY_CIV4D_DATA'!B:AQ,21,FALSE)="","",VLOOKUP(B80,'26MY_CIV4D_DATA'!B:AQ,21,FALSE))</f>
        <v/>
      </c>
    </row>
    <row r="81" spans="2:17" s="135" customFormat="1" ht="15" customHeight="1">
      <c r="B81" s="273" t="s">
        <v>150</v>
      </c>
      <c r="C81" s="233" t="str">
        <f>VLOOKUP(B81,'26MY_CIV4D_DATA'!B:AQ,4,FALSE)</f>
        <v>Protecteur de capot</v>
      </c>
      <c r="D81" s="79" t="str">
        <f t="shared" si="13"/>
        <v>08P47-T20-300</v>
      </c>
      <c r="E81" s="280">
        <f>VLOOKUP(B81,'26MY_CIV4D_DATA'!B:AQ,9,FALSE)</f>
        <v>221</v>
      </c>
      <c r="F81" s="280">
        <f>VLOOKUP(B81,'26MY_CIV4D_DATA'!B:AQ,10,FALSE)</f>
        <v>368</v>
      </c>
      <c r="G81" s="287">
        <f>VLOOKUP(B81,'26MY_CIV4D_DATA'!B:AQ,7,FALSE)</f>
        <v>0.6</v>
      </c>
      <c r="H81" s="281">
        <f>VLOOKUP(B81,'26MY_CIV4D_DATA'!B:AQ,11,FALSE)</f>
        <v>476.6</v>
      </c>
      <c r="I81" s="288" t="str">
        <f>VLOOKUP(B81,'26MY_CIV4D_DATA'!B:AQ,12,FALSE)</f>
        <v>•</v>
      </c>
      <c r="J81" s="288">
        <f>VLOOKUP(B81,'26MY_CIV4D_DATA'!B:AQ,13,FALSE)</f>
        <v>0</v>
      </c>
      <c r="K81" s="288">
        <f>VLOOKUP($B81,'26MY_CIV4D_DATA'!$B:$AQ,14,FALSE)</f>
        <v>0</v>
      </c>
      <c r="L81" s="288" t="str">
        <f>VLOOKUP(B81,'26MY_CIV4D_DATA'!B:AQ,15,FALSE)</f>
        <v>•</v>
      </c>
      <c r="M81" s="288" t="str">
        <f>VLOOKUP($B81,'26MY_CIV4D_DATA'!$B:$AQ,16,FALSE)</f>
        <v>•</v>
      </c>
      <c r="N81" s="288">
        <f>VLOOKUP($B81,'26MY_CIV4D_DATA'!$B:$AQ,17,FALSE)</f>
        <v>0</v>
      </c>
      <c r="O81" s="288" t="str">
        <f>VLOOKUP($B81,'26MY_CIV4D_DATA'!$B:$AQ,18,FALSE)</f>
        <v>•</v>
      </c>
      <c r="P81" s="288" t="str">
        <f>VLOOKUP(B81,'26MY_CIV4D_DATA'!B:AQ,19,FALSE)</f>
        <v>•</v>
      </c>
      <c r="Q81" s="291" t="str">
        <f>IF(VLOOKUP(B81,'26MY_CIV4D_DATA'!B:AQ,21,FALSE)="","",VLOOKUP(B81,'26MY_CIV4D_DATA'!B:AQ,21,FALSE))</f>
        <v/>
      </c>
    </row>
    <row r="82" spans="2:17" s="135" customFormat="1" ht="15" customHeight="1">
      <c r="B82" s="273" t="s">
        <v>136</v>
      </c>
      <c r="C82" s="233" t="str">
        <f>VLOOKUP(B82,'26MY_CIV4D_DATA'!B:AQ,4,FALSE)</f>
        <v>Déflecteur de toit ouvrant</v>
      </c>
      <c r="D82" s="79" t="str">
        <f t="shared" si="13"/>
        <v>08R01-T20-300</v>
      </c>
      <c r="E82" s="280">
        <f>VLOOKUP(B82,'26MY_CIV4D_DATA'!B:AQ,9,FALSE)</f>
        <v>174</v>
      </c>
      <c r="F82" s="280">
        <f>VLOOKUP(B82,'26MY_CIV4D_DATA'!B:AQ,10,FALSE)</f>
        <v>290</v>
      </c>
      <c r="G82" s="287">
        <f>VLOOKUP(B82,'26MY_CIV4D_DATA'!B:AQ,7,FALSE)</f>
        <v>0.3</v>
      </c>
      <c r="H82" s="281">
        <f>VLOOKUP(B82,'26MY_CIV4D_DATA'!B:AQ,11,FALSE)</f>
        <v>344.3</v>
      </c>
      <c r="I82" s="288" t="str">
        <f>VLOOKUP(B82,'26MY_CIV4D_DATA'!B:AQ,12,FALSE)</f>
        <v>N/A</v>
      </c>
      <c r="J82" s="288">
        <f>VLOOKUP(B82,'26MY_CIV4D_DATA'!B:AQ,13,FALSE)</f>
        <v>0</v>
      </c>
      <c r="K82" s="288">
        <f>VLOOKUP($B82,'26MY_CIV4D_DATA'!$B:$AQ,14,FALSE)</f>
        <v>0</v>
      </c>
      <c r="L82" s="288" t="str">
        <f>VLOOKUP(B82,'26MY_CIV4D_DATA'!B:AQ,15,FALSE)</f>
        <v>•</v>
      </c>
      <c r="M82" s="288" t="str">
        <f>VLOOKUP($B82,'26MY_CIV4D_DATA'!$B:$AQ,16,FALSE)</f>
        <v>•</v>
      </c>
      <c r="N82" s="288">
        <f>VLOOKUP($B82,'26MY_CIV4D_DATA'!$B:$AQ,17,FALSE)</f>
        <v>0</v>
      </c>
      <c r="O82" s="288" t="str">
        <f>VLOOKUP($B82,'26MY_CIV4D_DATA'!$B:$AQ,18,FALSE)</f>
        <v>•</v>
      </c>
      <c r="P82" s="288" t="str">
        <f>VLOOKUP(B82,'26MY_CIV4D_DATA'!B:AQ,19,FALSE)</f>
        <v>•</v>
      </c>
      <c r="Q82" s="291" t="str">
        <f>IF(VLOOKUP(B82,'26MY_CIV4D_DATA'!B:AQ,21,FALSE)="","",VLOOKUP(B82,'26MY_CIV4D_DATA'!B:AQ,21,FALSE))</f>
        <v/>
      </c>
    </row>
    <row r="83" spans="2:17" s="135" customFormat="1" ht="15" customHeight="1">
      <c r="B83" s="273" t="s">
        <v>137</v>
      </c>
      <c r="C83" s="233" t="str">
        <f>VLOOKUP(B83,'26MY_CIV4D_DATA'!B:AQ,4,FALSE)</f>
        <v>Pellicule pour pare-chocs arrière</v>
      </c>
      <c r="D83" s="79" t="str">
        <f t="shared" si="13"/>
        <v>08P48-T20-100A</v>
      </c>
      <c r="E83" s="280">
        <f>VLOOKUP(B83,'26MY_CIV4D_DATA'!B:AQ,9,FALSE)</f>
        <v>68</v>
      </c>
      <c r="F83" s="280">
        <f>VLOOKUP(B83,'26MY_CIV4D_DATA'!B:AQ,10,FALSE)</f>
        <v>113</v>
      </c>
      <c r="G83" s="287">
        <f>VLOOKUP(B83,'26MY_CIV4D_DATA'!B:AQ,7,FALSE)</f>
        <v>0.3</v>
      </c>
      <c r="H83" s="281">
        <f>VLOOKUP(B83,'26MY_CIV4D_DATA'!B:AQ,11,FALSE)</f>
        <v>167.3</v>
      </c>
      <c r="I83" s="288" t="str">
        <f>VLOOKUP(B83,'26MY_CIV4D_DATA'!B:AQ,12,FALSE)</f>
        <v>•</v>
      </c>
      <c r="J83" s="288">
        <f>VLOOKUP(B83,'26MY_CIV4D_DATA'!B:AQ,13,FALSE)</f>
        <v>0</v>
      </c>
      <c r="K83" s="288">
        <f>VLOOKUP($B83,'26MY_CIV4D_DATA'!$B:$AQ,14,FALSE)</f>
        <v>0</v>
      </c>
      <c r="L83" s="288" t="str">
        <f>VLOOKUP(B83,'26MY_CIV4D_DATA'!B:AQ,15,FALSE)</f>
        <v>•</v>
      </c>
      <c r="M83" s="288" t="str">
        <f>VLOOKUP($B83,'26MY_CIV4D_DATA'!$B:$AQ,16,FALSE)</f>
        <v>•</v>
      </c>
      <c r="N83" s="288">
        <f>VLOOKUP($B83,'26MY_CIV4D_DATA'!$B:$AQ,17,FALSE)</f>
        <v>0</v>
      </c>
      <c r="O83" s="288" t="str">
        <f>VLOOKUP($B83,'26MY_CIV4D_DATA'!$B:$AQ,18,FALSE)</f>
        <v>•</v>
      </c>
      <c r="P83" s="288" t="str">
        <f>VLOOKUP(B83,'26MY_CIV4D_DATA'!B:AQ,19,FALSE)</f>
        <v>•</v>
      </c>
      <c r="Q83" s="291" t="str">
        <f>IF(VLOOKUP(B83,'26MY_CIV4D_DATA'!B:AQ,21,FALSE)="","",VLOOKUP(B83,'26MY_CIV4D_DATA'!B:AQ,21,FALSE))</f>
        <v/>
      </c>
    </row>
    <row r="84" spans="2:17" s="135" customFormat="1" ht="15" customHeight="1">
      <c r="B84" s="271" t="s">
        <v>140</v>
      </c>
      <c r="C84" s="233" t="str">
        <f>VLOOKUP(B84,'26MY_CIV4D_DATA'!B:AQ,4,FALSE)</f>
        <v>Garde-boue arrière</v>
      </c>
      <c r="D84" s="79" t="str">
        <f t="shared" si="13"/>
        <v>08P09-T20-300</v>
      </c>
      <c r="E84" s="280">
        <f>VLOOKUP(B84,'26MY_CIV4D_DATA'!B:AQ,9,FALSE)</f>
        <v>63</v>
      </c>
      <c r="F84" s="280">
        <f>VLOOKUP(B84,'26MY_CIV4D_DATA'!B:AQ,10,FALSE)</f>
        <v>105</v>
      </c>
      <c r="G84" s="287">
        <f>VLOOKUP(B84,'26MY_CIV4D_DATA'!B:AQ,7,FALSE)</f>
        <v>0.4</v>
      </c>
      <c r="H84" s="281">
        <f>VLOOKUP(B84,'26MY_CIV4D_DATA'!B:AQ,11,FALSE)</f>
        <v>177.4</v>
      </c>
      <c r="I84" s="288" t="str">
        <f>VLOOKUP(B84,'26MY_CIV4D_DATA'!B:AQ,12,FALSE)</f>
        <v>•</v>
      </c>
      <c r="J84" s="288">
        <f>VLOOKUP(B84,'26MY_CIV4D_DATA'!B:AQ,13,FALSE)</f>
        <v>0</v>
      </c>
      <c r="K84" s="288">
        <f>VLOOKUP($B84,'26MY_CIV4D_DATA'!$B:$AQ,14,FALSE)</f>
        <v>0</v>
      </c>
      <c r="L84" s="288" t="str">
        <f>VLOOKUP(B84,'26MY_CIV4D_DATA'!B:AQ,15,FALSE)</f>
        <v>•</v>
      </c>
      <c r="M84" s="288" t="str">
        <f>VLOOKUP($B84,'26MY_CIV4D_DATA'!$B:$AQ,16,FALSE)</f>
        <v>•</v>
      </c>
      <c r="N84" s="288">
        <f>VLOOKUP($B84,'26MY_CIV4D_DATA'!$B:$AQ,17,FALSE)</f>
        <v>0</v>
      </c>
      <c r="O84" s="288" t="str">
        <f>VLOOKUP($B84,'26MY_CIV4D_DATA'!$B:$AQ,18,FALSE)</f>
        <v>•</v>
      </c>
      <c r="P84" s="288" t="str">
        <f>VLOOKUP(B84,'26MY_CIV4D_DATA'!B:AQ,19,FALSE)</f>
        <v>•</v>
      </c>
      <c r="Q84" s="291" t="str">
        <f>IF(VLOOKUP(B84,'26MY_CIV4D_DATA'!B:AQ,21,FALSE)="","",VLOOKUP(B84,'26MY_CIV4D_DATA'!B:AQ,21,FALSE))</f>
        <v/>
      </c>
    </row>
    <row r="85" spans="2:17" s="135" customFormat="1" ht="15" customHeight="1">
      <c r="B85" s="271" t="s">
        <v>138</v>
      </c>
      <c r="C85" s="233" t="str">
        <f>VLOOKUP(B85,'26MY_CIV4D_DATA'!B:AQ,4,FALSE)</f>
        <v>Déflecteur de bas de caisse arrière, HPD</v>
      </c>
      <c r="D85" s="79" t="str">
        <f t="shared" si="13"/>
        <v>08F24-T20-100</v>
      </c>
      <c r="E85" s="280">
        <f>VLOOKUP(B85,'26MY_CIV4D_DATA'!B:AQ,9,FALSE)</f>
        <v>230</v>
      </c>
      <c r="F85" s="280">
        <f>VLOOKUP(B85,'26MY_CIV4D_DATA'!B:AQ,10,FALSE)</f>
        <v>383</v>
      </c>
      <c r="G85" s="287">
        <f>VLOOKUP(B85,'26MY_CIV4D_DATA'!B:AQ,7,FALSE)</f>
        <v>1</v>
      </c>
      <c r="H85" s="281">
        <f>VLOOKUP(B85,'26MY_CIV4D_DATA'!B:AQ,11,FALSE)</f>
        <v>564</v>
      </c>
      <c r="I85" s="288" t="str">
        <f>VLOOKUP(B85,'26MY_CIV4D_DATA'!B:AQ,12,FALSE)</f>
        <v>•</v>
      </c>
      <c r="J85" s="288">
        <f>VLOOKUP(B85,'26MY_CIV4D_DATA'!B:AQ,13,FALSE)</f>
        <v>0</v>
      </c>
      <c r="K85" s="288">
        <f>VLOOKUP($B85,'26MY_CIV4D_DATA'!$B:$AQ,14,FALSE)</f>
        <v>0</v>
      </c>
      <c r="L85" s="288" t="str">
        <f>VLOOKUP(B85,'26MY_CIV4D_DATA'!B:AQ,15,FALSE)</f>
        <v>•</v>
      </c>
      <c r="M85" s="288" t="str">
        <f>VLOOKUP($B85,'26MY_CIV4D_DATA'!$B:$AQ,16,FALSE)</f>
        <v>•</v>
      </c>
      <c r="N85" s="288">
        <f>VLOOKUP($B85,'26MY_CIV4D_DATA'!$B:$AQ,17,FALSE)</f>
        <v>0</v>
      </c>
      <c r="O85" s="288" t="str">
        <f>VLOOKUP($B85,'26MY_CIV4D_DATA'!$B:$AQ,18,FALSE)</f>
        <v>•</v>
      </c>
      <c r="P85" s="288" t="str">
        <f>VLOOKUP(B85,'26MY_CIV4D_DATA'!B:AQ,19,FALSE)</f>
        <v>•</v>
      </c>
      <c r="Q85" s="291" t="str">
        <f>IF(VLOOKUP(B85,'26MY_CIV4D_DATA'!B:AQ,21,FALSE)="","",VLOOKUP(B85,'26MY_CIV4D_DATA'!B:AQ,21,FALSE))</f>
        <v>Logo HPD.</v>
      </c>
    </row>
    <row r="86" spans="2:17" s="135" customFormat="1" ht="15" customHeight="1">
      <c r="B86" s="271" t="s">
        <v>139</v>
      </c>
      <c r="C86" s="233" t="str">
        <f>VLOOKUP(B86,'26MY_CIV4D_DATA'!B:AQ,4,FALSE)</f>
        <v>Déflecteurs de bas de caisse latéraux, HPD</v>
      </c>
      <c r="D86" s="79" t="str">
        <f t="shared" si="13"/>
        <v>08F04-T20-100</v>
      </c>
      <c r="E86" s="280">
        <f>VLOOKUP(B86,'26MY_CIV4D_DATA'!B:AQ,9,FALSE)</f>
        <v>391</v>
      </c>
      <c r="F86" s="280">
        <f>VLOOKUP(B86,'26MY_CIV4D_DATA'!B:AQ,10,FALSE)</f>
        <v>652</v>
      </c>
      <c r="G86" s="287">
        <f>VLOOKUP(B86,'26MY_CIV4D_DATA'!B:AQ,7,FALSE)</f>
        <v>1</v>
      </c>
      <c r="H86" s="281">
        <f>VLOOKUP(B86,'26MY_CIV4D_DATA'!B:AQ,11,FALSE)</f>
        <v>833</v>
      </c>
      <c r="I86" s="288" t="str">
        <f>VLOOKUP(B86,'26MY_CIV4D_DATA'!B:AQ,12,FALSE)</f>
        <v>•</v>
      </c>
      <c r="J86" s="288">
        <f>VLOOKUP(B86,'26MY_CIV4D_DATA'!B:AQ,13,FALSE)</f>
        <v>0</v>
      </c>
      <c r="K86" s="288">
        <f>VLOOKUP($B86,'26MY_CIV4D_DATA'!$B:$AQ,14,FALSE)</f>
        <v>0</v>
      </c>
      <c r="L86" s="288" t="str">
        <f>VLOOKUP(B86,'26MY_CIV4D_DATA'!B:AQ,15,FALSE)</f>
        <v>•</v>
      </c>
      <c r="M86" s="288" t="str">
        <f>VLOOKUP($B86,'26MY_CIV4D_DATA'!$B:$AQ,16,FALSE)</f>
        <v>•</v>
      </c>
      <c r="N86" s="288">
        <f>VLOOKUP($B86,'26MY_CIV4D_DATA'!$B:$AQ,17,FALSE)</f>
        <v>0</v>
      </c>
      <c r="O86" s="288" t="str">
        <f>VLOOKUP($B86,'26MY_CIV4D_DATA'!$B:$AQ,18,FALSE)</f>
        <v>•</v>
      </c>
      <c r="P86" s="288" t="str">
        <f>VLOOKUP(B86,'26MY_CIV4D_DATA'!B:AQ,19,FALSE)</f>
        <v>N/A</v>
      </c>
      <c r="Q86" s="291" t="str">
        <f>IF(VLOOKUP(B86,'26MY_CIV4D_DATA'!B:AQ,21,FALSE)="","",VLOOKUP(B86,'26MY_CIV4D_DATA'!B:AQ,21,FALSE))</f>
        <v>Logo HPD.</v>
      </c>
    </row>
    <row r="87" spans="2:17" s="135" customFormat="1" ht="15" customHeight="1">
      <c r="B87" s="271" t="s">
        <v>368</v>
      </c>
      <c r="C87" s="198" t="str">
        <f>VLOOKUP(B87,'26MY_CIV4D_DATA'!B:AQ,4,FALSE)</f>
        <v>Déflecteur de bas de caisse avant</v>
      </c>
      <c r="D87" s="188"/>
      <c r="E87" s="188"/>
      <c r="F87" s="188"/>
      <c r="G87" s="188"/>
      <c r="H87" s="188"/>
      <c r="I87" s="188"/>
      <c r="J87" s="188"/>
      <c r="K87" s="188"/>
      <c r="L87" s="188"/>
      <c r="M87" s="188"/>
      <c r="N87" s="188"/>
      <c r="O87" s="188"/>
      <c r="P87" s="188"/>
      <c r="Q87" s="294"/>
    </row>
    <row r="88" spans="2:17" s="135" customFormat="1" ht="15" customHeight="1">
      <c r="B88" s="271" t="s">
        <v>427</v>
      </c>
      <c r="C88" s="191" t="str">
        <f>VLOOKUP(B88,'26MY_CIV4D_DATA'!B:AQ,4,FALSE)</f>
        <v>Blanc platine nacré (NH-883P)</v>
      </c>
      <c r="D88" s="79" t="str">
        <f t="shared" ref="D88" si="15">B88</f>
        <v>08F01-T20-130A</v>
      </c>
      <c r="E88" s="280">
        <f>VLOOKUP(B88,'26MY_CIV4D_DATA'!B:AQ,9,FALSE)</f>
        <v>262</v>
      </c>
      <c r="F88" s="280">
        <f>VLOOKUP(B88,'26MY_CIV4D_DATA'!B:AQ,10,FALSE)</f>
        <v>437</v>
      </c>
      <c r="G88" s="287">
        <f>VLOOKUP(B88,'26MY_CIV4D_DATA'!B:AQ,7,FALSE)</f>
        <v>1</v>
      </c>
      <c r="H88" s="281">
        <f>VLOOKUP(B88,'26MY_CIV4D_DATA'!B:AQ,11,FALSE)</f>
        <v>618</v>
      </c>
      <c r="I88" s="288" t="str">
        <f>VLOOKUP(B88,'26MY_CIV4D_DATA'!B:AQ,12,FALSE)</f>
        <v>•</v>
      </c>
      <c r="J88" s="288">
        <f>VLOOKUP(B88,'26MY_CIV4D_DATA'!B:AQ,13,FALSE)</f>
        <v>0</v>
      </c>
      <c r="K88" s="288">
        <f>VLOOKUP($B88,'26MY_CIV4D_DATA'!$B:$AQ,14,FALSE)</f>
        <v>0</v>
      </c>
      <c r="L88" s="288" t="str">
        <f>VLOOKUP(B88,'26MY_CIV4D_DATA'!B:AQ,15,FALSE)</f>
        <v>•</v>
      </c>
      <c r="M88" s="288" t="str">
        <f>VLOOKUP($B88,'26MY_CIV4D_DATA'!$B:$AQ,16,FALSE)</f>
        <v>•</v>
      </c>
      <c r="N88" s="288">
        <f>VLOOKUP($B88,'26MY_CIV4D_DATA'!$B:$AQ,17,FALSE)</f>
        <v>0</v>
      </c>
      <c r="O88" s="288" t="str">
        <f>VLOOKUP($B88,'26MY_CIV4D_DATA'!$B:$AQ,18,FALSE)</f>
        <v>•</v>
      </c>
      <c r="P88" s="288" t="str">
        <f>VLOOKUP(B88,'26MY_CIV4D_DATA'!B:AQ,19,FALSE)</f>
        <v>•</v>
      </c>
      <c r="Q88" s="334" t="str">
        <f>IF(VLOOKUP(B88,'26MY_CIV4D_DATA'!B:AQ,21,FALSE)="","",VLOOKUP(B88,'26MY_CIV4D_DATA'!B:AQ,21,FALSE))</f>
        <v/>
      </c>
    </row>
    <row r="89" spans="2:17" s="135" customFormat="1" ht="15" customHeight="1">
      <c r="B89" s="271" t="s">
        <v>428</v>
      </c>
      <c r="C89" s="191" t="str">
        <f>VLOOKUP(B89,'26MY_CIV4D_DATA'!B:AQ,4,FALSE)</f>
        <v>Gris météore nacré (NH-904M)</v>
      </c>
      <c r="D89" s="79" t="str">
        <f t="shared" ref="D89:D94" si="16">B89</f>
        <v>08F01-T20-170A</v>
      </c>
      <c r="E89" s="280">
        <f>VLOOKUP(B89,'26MY_CIV4D_DATA'!B:AQ,9,FALSE)</f>
        <v>262</v>
      </c>
      <c r="F89" s="280">
        <f>VLOOKUP(B89,'26MY_CIV4D_DATA'!B:AQ,10,FALSE)</f>
        <v>437</v>
      </c>
      <c r="G89" s="287">
        <f>VLOOKUP(B89,'26MY_CIV4D_DATA'!B:AQ,7,FALSE)</f>
        <v>1</v>
      </c>
      <c r="H89" s="281">
        <f>VLOOKUP(B89,'26MY_CIV4D_DATA'!B:AQ,11,FALSE)</f>
        <v>618</v>
      </c>
      <c r="I89" s="288" t="str">
        <f>VLOOKUP(B89,'26MY_CIV4D_DATA'!B:AQ,12,FALSE)</f>
        <v>N/A</v>
      </c>
      <c r="J89" s="288">
        <f>VLOOKUP(B89,'26MY_CIV4D_DATA'!B:AQ,13,FALSE)</f>
        <v>0</v>
      </c>
      <c r="K89" s="288">
        <f>VLOOKUP($B89,'26MY_CIV4D_DATA'!$B:$AQ,14,FALSE)</f>
        <v>0</v>
      </c>
      <c r="L89" s="288" t="str">
        <f>VLOOKUP(B89,'26MY_CIV4D_DATA'!B:AQ,15,FALSE)</f>
        <v>•</v>
      </c>
      <c r="M89" s="288" t="str">
        <f>VLOOKUP($B89,'26MY_CIV4D_DATA'!$B:$AQ,16,FALSE)</f>
        <v>N/A</v>
      </c>
      <c r="N89" s="288">
        <f>VLOOKUP($B89,'26MY_CIV4D_DATA'!$B:$AQ,17,FALSE)</f>
        <v>0</v>
      </c>
      <c r="O89" s="288" t="str">
        <f>VLOOKUP($B89,'26MY_CIV4D_DATA'!$B:$AQ,18,FALSE)</f>
        <v>N/A</v>
      </c>
      <c r="P89" s="288" t="str">
        <f>VLOOKUP(B89,'26MY_CIV4D_DATA'!B:AQ,19,FALSE)</f>
        <v>N/A</v>
      </c>
      <c r="Q89" s="335"/>
    </row>
    <row r="90" spans="2:17" s="135" customFormat="1" ht="15" customHeight="1">
      <c r="B90" s="271" t="s">
        <v>429</v>
      </c>
      <c r="C90" s="191" t="str">
        <f>VLOOKUP(B90,'26MY_CIV4D_DATA'!B:AQ,4,FALSE)</f>
        <v>Noir cristal nacré (NH-731P)</v>
      </c>
      <c r="D90" s="79" t="str">
        <f t="shared" si="16"/>
        <v>08F01-T20-180A</v>
      </c>
      <c r="E90" s="280">
        <f>VLOOKUP(B90,'26MY_CIV4D_DATA'!B:AQ,9,FALSE)</f>
        <v>262</v>
      </c>
      <c r="F90" s="280">
        <f>VLOOKUP(B90,'26MY_CIV4D_DATA'!B:AQ,10,FALSE)</f>
        <v>437</v>
      </c>
      <c r="G90" s="287">
        <f>VLOOKUP(B90,'26MY_CIV4D_DATA'!B:AQ,7,FALSE)</f>
        <v>1</v>
      </c>
      <c r="H90" s="281">
        <f>VLOOKUP(B90,'26MY_CIV4D_DATA'!B:AQ,11,FALSE)</f>
        <v>618</v>
      </c>
      <c r="I90" s="288" t="str">
        <f>VLOOKUP(B90,'26MY_CIV4D_DATA'!B:AQ,12,FALSE)</f>
        <v>•</v>
      </c>
      <c r="J90" s="288">
        <f>VLOOKUP(B90,'26MY_CIV4D_DATA'!B:AQ,13,FALSE)</f>
        <v>0</v>
      </c>
      <c r="K90" s="288">
        <f>VLOOKUP($B90,'26MY_CIV4D_DATA'!$B:$AQ,14,FALSE)</f>
        <v>0</v>
      </c>
      <c r="L90" s="288" t="str">
        <f>VLOOKUP(B90,'26MY_CIV4D_DATA'!B:AQ,15,FALSE)</f>
        <v>•</v>
      </c>
      <c r="M90" s="288" t="str">
        <f>VLOOKUP($B90,'26MY_CIV4D_DATA'!$B:$AQ,16,FALSE)</f>
        <v>•</v>
      </c>
      <c r="N90" s="288">
        <f>VLOOKUP($B90,'26MY_CIV4D_DATA'!$B:$AQ,17,FALSE)</f>
        <v>0</v>
      </c>
      <c r="O90" s="288" t="str">
        <f>VLOOKUP($B90,'26MY_CIV4D_DATA'!$B:$AQ,18,FALSE)</f>
        <v>•</v>
      </c>
      <c r="P90" s="288" t="str">
        <f>VLOOKUP(B90,'26MY_CIV4D_DATA'!B:AQ,19,FALSE)</f>
        <v>•</v>
      </c>
      <c r="Q90" s="335"/>
    </row>
    <row r="91" spans="2:17" s="135" customFormat="1" ht="15" customHeight="1">
      <c r="B91" s="271" t="s">
        <v>430</v>
      </c>
      <c r="C91" s="191" t="str">
        <f>VLOOKUP(B91,'26MY_CIV4D_DATA'!B:AQ,4,FALSE)</f>
        <v>Rouge rallye (R-513)</v>
      </c>
      <c r="D91" s="79" t="str">
        <f t="shared" si="16"/>
        <v>08F01-T20-190A</v>
      </c>
      <c r="E91" s="280">
        <f>VLOOKUP(B91,'26MY_CIV4D_DATA'!B:AQ,9,FALSE)</f>
        <v>262</v>
      </c>
      <c r="F91" s="280">
        <f>VLOOKUP(B91,'26MY_CIV4D_DATA'!B:AQ,10,FALSE)</f>
        <v>437</v>
      </c>
      <c r="G91" s="287">
        <f>VLOOKUP(B91,'26MY_CIV4D_DATA'!B:AQ,7,FALSE)</f>
        <v>1</v>
      </c>
      <c r="H91" s="281">
        <f>VLOOKUP(B91,'26MY_CIV4D_DATA'!B:AQ,11,FALSE)</f>
        <v>618</v>
      </c>
      <c r="I91" s="288" t="str">
        <f>VLOOKUP(B91,'26MY_CIV4D_DATA'!B:AQ,12,FALSE)</f>
        <v>•</v>
      </c>
      <c r="J91" s="288">
        <f>VLOOKUP(B91,'26MY_CIV4D_DATA'!B:AQ,13,FALSE)</f>
        <v>0</v>
      </c>
      <c r="K91" s="288">
        <f>VLOOKUP($B91,'26MY_CIV4D_DATA'!$B:$AQ,14,FALSE)</f>
        <v>0</v>
      </c>
      <c r="L91" s="288" t="str">
        <f>VLOOKUP(B91,'26MY_CIV4D_DATA'!B:AQ,15,FALSE)</f>
        <v>•</v>
      </c>
      <c r="M91" s="288" t="str">
        <f>VLOOKUP($B91,'26MY_CIV4D_DATA'!$B:$AQ,16,FALSE)</f>
        <v>•</v>
      </c>
      <c r="N91" s="288">
        <f>VLOOKUP($B91,'26MY_CIV4D_DATA'!$B:$AQ,17,FALSE)</f>
        <v>0</v>
      </c>
      <c r="O91" s="288" t="str">
        <f>VLOOKUP($B91,'26MY_CIV4D_DATA'!$B:$AQ,18,FALSE)</f>
        <v>•</v>
      </c>
      <c r="P91" s="288" t="str">
        <f>VLOOKUP(B91,'26MY_CIV4D_DATA'!B:AQ,19,FALSE)</f>
        <v>•</v>
      </c>
      <c r="Q91" s="335"/>
    </row>
    <row r="92" spans="2:17" s="135" customFormat="1" ht="15" customHeight="1">
      <c r="B92" s="271" t="s">
        <v>431</v>
      </c>
      <c r="C92" s="191" t="str">
        <f>VLOOKUP(B92,'26MY_CIV4D_DATA'!B:AQ,4,FALSE)</f>
        <v>Gris urbain nacré  (NH-912P)</v>
      </c>
      <c r="D92" s="79" t="str">
        <f t="shared" si="16"/>
        <v>08F01-T20-1J0A</v>
      </c>
      <c r="E92" s="280">
        <f>VLOOKUP(B92,'26MY_CIV4D_DATA'!B:AQ,9,FALSE)</f>
        <v>262</v>
      </c>
      <c r="F92" s="280">
        <f>VLOOKUP(B92,'26MY_CIV4D_DATA'!B:AQ,10,FALSE)</f>
        <v>437</v>
      </c>
      <c r="G92" s="287">
        <f>VLOOKUP(B92,'26MY_CIV4D_DATA'!B:AQ,7,FALSE)</f>
        <v>1</v>
      </c>
      <c r="H92" s="281">
        <f>VLOOKUP(B92,'26MY_CIV4D_DATA'!B:AQ,11,FALSE)</f>
        <v>618</v>
      </c>
      <c r="I92" s="288" t="str">
        <f>VLOOKUP(B92,'26MY_CIV4D_DATA'!B:AQ,12,FALSE)</f>
        <v>N/A</v>
      </c>
      <c r="J92" s="288">
        <f>VLOOKUP(B92,'26MY_CIV4D_DATA'!B:AQ,13,FALSE)</f>
        <v>0</v>
      </c>
      <c r="K92" s="288">
        <f>VLOOKUP($B92,'26MY_CIV4D_DATA'!$B:$AQ,14,FALSE)</f>
        <v>0</v>
      </c>
      <c r="L92" s="288" t="str">
        <f>VLOOKUP(B92,'26MY_CIV4D_DATA'!B:AQ,15,FALSE)</f>
        <v>N/A</v>
      </c>
      <c r="M92" s="288" t="str">
        <f>VLOOKUP($B92,'26MY_CIV4D_DATA'!$B:$AQ,16,FALSE)</f>
        <v>N/A</v>
      </c>
      <c r="N92" s="288">
        <f>VLOOKUP($B92,'26MY_CIV4D_DATA'!$B:$AQ,17,FALSE)</f>
        <v>0</v>
      </c>
      <c r="O92" s="288" t="str">
        <f>VLOOKUP($B92,'26MY_CIV4D_DATA'!$B:$AQ,18,FALSE)</f>
        <v>•</v>
      </c>
      <c r="P92" s="288" t="str">
        <f>VLOOKUP(B92,'26MY_CIV4D_DATA'!B:AQ,19,FALSE)</f>
        <v>•</v>
      </c>
      <c r="Q92" s="335"/>
    </row>
    <row r="93" spans="2:17" s="135" customFormat="1" ht="15" customHeight="1">
      <c r="B93" s="271" t="s">
        <v>432</v>
      </c>
      <c r="C93" s="191" t="str">
        <f>VLOOKUP(B93,'26MY_CIV4D_DATA'!B:AQ,4,FALSE)</f>
        <v>Bleu océanique nacré (B-645P)</v>
      </c>
      <c r="D93" s="79" t="str">
        <f t="shared" si="16"/>
        <v>08F01-T20-1P0A</v>
      </c>
      <c r="E93" s="280">
        <f>VLOOKUP(B93,'26MY_CIV4D_DATA'!B:AQ,9,FALSE)</f>
        <v>262</v>
      </c>
      <c r="F93" s="280">
        <f>VLOOKUP(B93,'26MY_CIV4D_DATA'!B:AQ,10,FALSE)</f>
        <v>437</v>
      </c>
      <c r="G93" s="287">
        <f>VLOOKUP(B93,'26MY_CIV4D_DATA'!B:AQ,7,FALSE)</f>
        <v>1</v>
      </c>
      <c r="H93" s="281">
        <f>VLOOKUP(B93,'26MY_CIV4D_DATA'!B:AQ,11,FALSE)</f>
        <v>618</v>
      </c>
      <c r="I93" s="288" t="str">
        <f>VLOOKUP(B93,'26MY_CIV4D_DATA'!B:AQ,12,FALSE)</f>
        <v>N/A</v>
      </c>
      <c r="J93" s="288">
        <f>VLOOKUP(B93,'26MY_CIV4D_DATA'!B:AQ,13,FALSE)</f>
        <v>0</v>
      </c>
      <c r="K93" s="288">
        <f>VLOOKUP($B93,'26MY_CIV4D_DATA'!$B:$AQ,14,FALSE)</f>
        <v>0</v>
      </c>
      <c r="L93" s="288" t="str">
        <f>VLOOKUP(B93,'26MY_CIV4D_DATA'!B:AQ,15,FALSE)</f>
        <v>N/A</v>
      </c>
      <c r="M93" s="288" t="str">
        <f>VLOOKUP($B93,'26MY_CIV4D_DATA'!$B:$AQ,16,FALSE)</f>
        <v>N/A</v>
      </c>
      <c r="N93" s="288">
        <f>VLOOKUP($B93,'26MY_CIV4D_DATA'!$B:$AQ,17,FALSE)</f>
        <v>0</v>
      </c>
      <c r="O93" s="288" t="str">
        <f>VLOOKUP($B93,'26MY_CIV4D_DATA'!$B:$AQ,18,FALSE)</f>
        <v>•</v>
      </c>
      <c r="P93" s="288" t="str">
        <f>VLOOKUP(B93,'26MY_CIV4D_DATA'!B:AQ,19,FALSE)</f>
        <v>N/A</v>
      </c>
      <c r="Q93" s="335"/>
    </row>
    <row r="94" spans="2:17" s="135" customFormat="1" ht="15" customHeight="1">
      <c r="B94" s="271" t="s">
        <v>433</v>
      </c>
      <c r="C94" s="191" t="str">
        <f>VLOOKUP(B94,'26MY_CIV4D_DATA'!B:AQ,4,FALSE)</f>
        <v>Refl et solaire argent métallisé (NH-932M)</v>
      </c>
      <c r="D94" s="79" t="str">
        <f t="shared" si="16"/>
        <v>08F01-T20-1Z0A</v>
      </c>
      <c r="E94" s="280">
        <f>VLOOKUP(B94,'26MY_CIV4D_DATA'!B:AQ,9,FALSE)</f>
        <v>262</v>
      </c>
      <c r="F94" s="280">
        <f>VLOOKUP(B94,'26MY_CIV4D_DATA'!B:AQ,10,FALSE)</f>
        <v>437</v>
      </c>
      <c r="G94" s="287">
        <f>VLOOKUP(B94,'26MY_CIV4D_DATA'!B:AQ,7,FALSE)</f>
        <v>1</v>
      </c>
      <c r="H94" s="281">
        <f>VLOOKUP(B94,'26MY_CIV4D_DATA'!B:AQ,11,FALSE)</f>
        <v>618</v>
      </c>
      <c r="I94" s="288" t="str">
        <f>VLOOKUP(B94,'26MY_CIV4D_DATA'!B:AQ,12,FALSE)</f>
        <v>•</v>
      </c>
      <c r="J94" s="288">
        <f>VLOOKUP(B94,'26MY_CIV4D_DATA'!B:AQ,13,FALSE)</f>
        <v>0</v>
      </c>
      <c r="K94" s="288">
        <f>VLOOKUP($B94,'26MY_CIV4D_DATA'!$B:$AQ,14,FALSE)</f>
        <v>0</v>
      </c>
      <c r="L94" s="288" t="str">
        <f>VLOOKUP(B94,'26MY_CIV4D_DATA'!B:AQ,15,FALSE)</f>
        <v>•</v>
      </c>
      <c r="M94" s="288" t="str">
        <f>VLOOKUP($B94,'26MY_CIV4D_DATA'!$B:$AQ,16,FALSE)</f>
        <v>•</v>
      </c>
      <c r="N94" s="288">
        <f>VLOOKUP($B94,'26MY_CIV4D_DATA'!$B:$AQ,17,FALSE)</f>
        <v>0</v>
      </c>
      <c r="O94" s="288" t="str">
        <f>VLOOKUP($B94,'26MY_CIV4D_DATA'!$B:$AQ,18,FALSE)</f>
        <v>•</v>
      </c>
      <c r="P94" s="288" t="str">
        <f>VLOOKUP(B94,'26MY_CIV4D_DATA'!B:AQ,19,FALSE)</f>
        <v>N/A</v>
      </c>
      <c r="Q94" s="335"/>
    </row>
    <row r="95" spans="2:17" s="135" customFormat="1" ht="15" customHeight="1">
      <c r="B95" s="271" t="s">
        <v>309</v>
      </c>
      <c r="C95" s="198" t="str">
        <f>VLOOKUP(B95,'26MY_CIV4D_DATA'!B:AQ,4,FALSE)</f>
        <v>Moulure latérale</v>
      </c>
      <c r="D95" s="188"/>
      <c r="E95" s="188"/>
      <c r="F95" s="188"/>
      <c r="G95" s="188"/>
      <c r="H95" s="188"/>
      <c r="I95" s="188"/>
      <c r="J95" s="188"/>
      <c r="K95" s="188"/>
      <c r="L95" s="188"/>
      <c r="M95" s="188"/>
      <c r="N95" s="188"/>
      <c r="O95" s="188"/>
      <c r="P95" s="188"/>
      <c r="Q95" s="294"/>
    </row>
    <row r="96" spans="2:17" s="135" customFormat="1" ht="15" customHeight="1">
      <c r="B96" s="271" t="s">
        <v>124</v>
      </c>
      <c r="C96" s="191" t="str">
        <f>VLOOKUP(B96,'26MY_CIV4D_DATA'!B:AQ,4,FALSE)</f>
        <v>Blanc platine nacré (NH-883P)</v>
      </c>
      <c r="D96" s="79" t="str">
        <f t="shared" ref="D96:D102" si="17">B96</f>
        <v>08P05-T20-130</v>
      </c>
      <c r="E96" s="280">
        <f>VLOOKUP(B96,'26MY_CIV4D_DATA'!B:AQ,9,FALSE)</f>
        <v>215</v>
      </c>
      <c r="F96" s="280">
        <f>VLOOKUP(B96,'26MY_CIV4D_DATA'!B:AQ,10,FALSE)</f>
        <v>358</v>
      </c>
      <c r="G96" s="287">
        <f>VLOOKUP(B96,'26MY_CIV4D_DATA'!B:AQ,7,FALSE)</f>
        <v>0.4</v>
      </c>
      <c r="H96" s="281">
        <f>VLOOKUP(B96,'26MY_CIV4D_DATA'!B:AQ,11,FALSE)</f>
        <v>430.4</v>
      </c>
      <c r="I96" s="288" t="str">
        <f>VLOOKUP(B96,'26MY_CIV4D_DATA'!B:AQ,12,FALSE)</f>
        <v>•</v>
      </c>
      <c r="J96" s="288">
        <f>VLOOKUP(B96,'26MY_CIV4D_DATA'!B:AQ,13,FALSE)</f>
        <v>0</v>
      </c>
      <c r="K96" s="288">
        <f>VLOOKUP($B96,'26MY_CIV4D_DATA'!$B:$AQ,14,FALSE)</f>
        <v>0</v>
      </c>
      <c r="L96" s="288" t="str">
        <f>VLOOKUP(B96,'26MY_CIV4D_DATA'!B:AQ,15,FALSE)</f>
        <v>•</v>
      </c>
      <c r="M96" s="288" t="str">
        <f>VLOOKUP($B96,'26MY_CIV4D_DATA'!$B:$AQ,16,FALSE)</f>
        <v>•</v>
      </c>
      <c r="N96" s="288">
        <f>VLOOKUP($B96,'26MY_CIV4D_DATA'!$B:$AQ,17,FALSE)</f>
        <v>0</v>
      </c>
      <c r="O96" s="288" t="str">
        <f>VLOOKUP($B96,'26MY_CIV4D_DATA'!$B:$AQ,18,FALSE)</f>
        <v>•</v>
      </c>
      <c r="P96" s="288" t="str">
        <f>VLOOKUP(B96,'26MY_CIV4D_DATA'!B:AQ,19,FALSE)</f>
        <v>•</v>
      </c>
      <c r="Q96" s="334" t="str">
        <f>IF(VLOOKUP(B96,'26MY_CIV4D_DATA'!B:AQ,21,FALSE)="","",VLOOKUP(B96,'26MY_CIV4D_DATA'!B:AQ,21,FALSE))</f>
        <v/>
      </c>
    </row>
    <row r="97" spans="2:17" s="135" customFormat="1" ht="15" customHeight="1">
      <c r="B97" s="271" t="s">
        <v>123</v>
      </c>
      <c r="C97" s="191" t="str">
        <f>VLOOKUP(B97,'26MY_CIV4D_DATA'!B:AQ,4,FALSE)</f>
        <v>Gris météore nacré (NH-904M)</v>
      </c>
      <c r="D97" s="79" t="str">
        <f t="shared" si="17"/>
        <v>08P05-T20-170</v>
      </c>
      <c r="E97" s="280">
        <f>VLOOKUP(B97,'26MY_CIV4D_DATA'!B:AQ,9,FALSE)</f>
        <v>215</v>
      </c>
      <c r="F97" s="280">
        <f>VLOOKUP(B97,'26MY_CIV4D_DATA'!B:AQ,10,FALSE)</f>
        <v>358</v>
      </c>
      <c r="G97" s="287">
        <f>VLOOKUP(B97,'26MY_CIV4D_DATA'!B:AQ,7,FALSE)</f>
        <v>0.4</v>
      </c>
      <c r="H97" s="281">
        <f>VLOOKUP(B97,'26MY_CIV4D_DATA'!B:AQ,11,FALSE)</f>
        <v>430.4</v>
      </c>
      <c r="I97" s="288" t="str">
        <f>VLOOKUP(B97,'26MY_CIV4D_DATA'!B:AQ,12,FALSE)</f>
        <v>N/A</v>
      </c>
      <c r="J97" s="288">
        <f>VLOOKUP(B97,'26MY_CIV4D_DATA'!B:AQ,13,FALSE)</f>
        <v>0</v>
      </c>
      <c r="K97" s="288">
        <f>VLOOKUP($B97,'26MY_CIV4D_DATA'!$B:$AQ,14,FALSE)</f>
        <v>0</v>
      </c>
      <c r="L97" s="288" t="str">
        <f>VLOOKUP(B97,'26MY_CIV4D_DATA'!B:AQ,15,FALSE)</f>
        <v>•</v>
      </c>
      <c r="M97" s="288" t="str">
        <f>VLOOKUP($B97,'26MY_CIV4D_DATA'!$B:$AQ,16,FALSE)</f>
        <v>N/A</v>
      </c>
      <c r="N97" s="288">
        <f>VLOOKUP($B97,'26MY_CIV4D_DATA'!$B:$AQ,17,FALSE)</f>
        <v>0</v>
      </c>
      <c r="O97" s="288" t="str">
        <f>VLOOKUP($B97,'26MY_CIV4D_DATA'!$B:$AQ,18,FALSE)</f>
        <v>N/A</v>
      </c>
      <c r="P97" s="288" t="str">
        <f>VLOOKUP(B97,'26MY_CIV4D_DATA'!B:AQ,19,FALSE)</f>
        <v>N/A</v>
      </c>
      <c r="Q97" s="335"/>
    </row>
    <row r="98" spans="2:17" s="135" customFormat="1" ht="15" customHeight="1">
      <c r="B98" s="271" t="s">
        <v>122</v>
      </c>
      <c r="C98" s="191" t="str">
        <f>VLOOKUP(B98,'26MY_CIV4D_DATA'!B:AQ,4,FALSE)</f>
        <v>Noir cristal nacré (NH-731P)</v>
      </c>
      <c r="D98" s="79" t="str">
        <f t="shared" si="17"/>
        <v>08P05-T20-180</v>
      </c>
      <c r="E98" s="280">
        <f>VLOOKUP(B98,'26MY_CIV4D_DATA'!B:AQ,9,FALSE)</f>
        <v>215</v>
      </c>
      <c r="F98" s="280">
        <f>VLOOKUP(B98,'26MY_CIV4D_DATA'!B:AQ,10,FALSE)</f>
        <v>358</v>
      </c>
      <c r="G98" s="287">
        <f>VLOOKUP(B98,'26MY_CIV4D_DATA'!B:AQ,7,FALSE)</f>
        <v>0.4</v>
      </c>
      <c r="H98" s="281">
        <f>VLOOKUP(B98,'26MY_CIV4D_DATA'!B:AQ,11,FALSE)</f>
        <v>430.4</v>
      </c>
      <c r="I98" s="288" t="str">
        <f>VLOOKUP(B98,'26MY_CIV4D_DATA'!B:AQ,12,FALSE)</f>
        <v>•</v>
      </c>
      <c r="J98" s="288">
        <f>VLOOKUP(B98,'26MY_CIV4D_DATA'!B:AQ,13,FALSE)</f>
        <v>0</v>
      </c>
      <c r="K98" s="288">
        <f>VLOOKUP($B98,'26MY_CIV4D_DATA'!$B:$AQ,14,FALSE)</f>
        <v>0</v>
      </c>
      <c r="L98" s="288" t="str">
        <f>VLOOKUP(B98,'26MY_CIV4D_DATA'!B:AQ,15,FALSE)</f>
        <v>•</v>
      </c>
      <c r="M98" s="288" t="str">
        <f>VLOOKUP($B98,'26MY_CIV4D_DATA'!$B:$AQ,16,FALSE)</f>
        <v>•</v>
      </c>
      <c r="N98" s="288">
        <f>VLOOKUP($B98,'26MY_CIV4D_DATA'!$B:$AQ,17,FALSE)</f>
        <v>0</v>
      </c>
      <c r="O98" s="288" t="str">
        <f>VLOOKUP($B98,'26MY_CIV4D_DATA'!$B:$AQ,18,FALSE)</f>
        <v>•</v>
      </c>
      <c r="P98" s="288" t="str">
        <f>VLOOKUP(B98,'26MY_CIV4D_DATA'!B:AQ,19,FALSE)</f>
        <v>•</v>
      </c>
      <c r="Q98" s="335"/>
    </row>
    <row r="99" spans="2:17" s="135" customFormat="1" ht="15" customHeight="1">
      <c r="B99" s="271" t="s">
        <v>125</v>
      </c>
      <c r="C99" s="191" t="str">
        <f>VLOOKUP(B99,'26MY_CIV4D_DATA'!B:AQ,4,FALSE)</f>
        <v>Rouge rallye (R-513)</v>
      </c>
      <c r="D99" s="79" t="str">
        <f t="shared" si="17"/>
        <v>08P05-T20-190</v>
      </c>
      <c r="E99" s="280">
        <f>VLOOKUP(B99,'26MY_CIV4D_DATA'!B:AQ,9,FALSE)</f>
        <v>215</v>
      </c>
      <c r="F99" s="280">
        <f>VLOOKUP(B99,'26MY_CIV4D_DATA'!B:AQ,10,FALSE)</f>
        <v>358</v>
      </c>
      <c r="G99" s="287">
        <f>VLOOKUP(B99,'26MY_CIV4D_DATA'!B:AQ,7,FALSE)</f>
        <v>0.4</v>
      </c>
      <c r="H99" s="281">
        <f>VLOOKUP(B99,'26MY_CIV4D_DATA'!B:AQ,11,FALSE)</f>
        <v>430.4</v>
      </c>
      <c r="I99" s="288" t="str">
        <f>VLOOKUP(B99,'26MY_CIV4D_DATA'!B:AQ,12,FALSE)</f>
        <v>•</v>
      </c>
      <c r="J99" s="288">
        <f>VLOOKUP(B99,'26MY_CIV4D_DATA'!B:AQ,13,FALSE)</f>
        <v>0</v>
      </c>
      <c r="K99" s="288">
        <f>VLOOKUP($B99,'26MY_CIV4D_DATA'!$B:$AQ,14,FALSE)</f>
        <v>0</v>
      </c>
      <c r="L99" s="288" t="str">
        <f>VLOOKUP(B99,'26MY_CIV4D_DATA'!B:AQ,15,FALSE)</f>
        <v>•</v>
      </c>
      <c r="M99" s="288" t="str">
        <f>VLOOKUP($B99,'26MY_CIV4D_DATA'!$B:$AQ,16,FALSE)</f>
        <v>•</v>
      </c>
      <c r="N99" s="288">
        <f>VLOOKUP($B99,'26MY_CIV4D_DATA'!$B:$AQ,17,FALSE)</f>
        <v>0</v>
      </c>
      <c r="O99" s="288" t="str">
        <f>VLOOKUP($B99,'26MY_CIV4D_DATA'!$B:$AQ,18,FALSE)</f>
        <v>•</v>
      </c>
      <c r="P99" s="288" t="str">
        <f>VLOOKUP(B99,'26MY_CIV4D_DATA'!B:AQ,19,FALSE)</f>
        <v>•</v>
      </c>
      <c r="Q99" s="335"/>
    </row>
    <row r="100" spans="2:17" ht="14.5">
      <c r="B100" s="268" t="s">
        <v>421</v>
      </c>
      <c r="C100" s="191" t="str">
        <f>VLOOKUP(B100,'26MY_CIV4D_DATA'!B:AQ,4,FALSE)</f>
        <v>Gris urbain nacré  (NH-912P)</v>
      </c>
      <c r="D100" s="79" t="str">
        <f t="shared" si="17"/>
        <v>08P05-T20-1F0</v>
      </c>
      <c r="E100" s="280">
        <f>VLOOKUP(B100,'26MY_CIV4D_DATA'!B:AQ,9,FALSE)</f>
        <v>215</v>
      </c>
      <c r="F100" s="280">
        <f>VLOOKUP(B100,'26MY_CIV4D_DATA'!B:AQ,10,FALSE)</f>
        <v>358</v>
      </c>
      <c r="G100" s="287">
        <f>VLOOKUP(B100,'26MY_CIV4D_DATA'!B:AQ,7,FALSE)</f>
        <v>0.4</v>
      </c>
      <c r="H100" s="281">
        <f>VLOOKUP(B100,'26MY_CIV4D_DATA'!B:AQ,11,FALSE)</f>
        <v>430.4</v>
      </c>
      <c r="I100" s="288" t="str">
        <f>VLOOKUP(B100,'26MY_CIV4D_DATA'!B:AQ,12,FALSE)</f>
        <v>N/A</v>
      </c>
      <c r="J100" s="288">
        <f>VLOOKUP(B100,'26MY_CIV4D_DATA'!B:AQ,13,FALSE)</f>
        <v>0</v>
      </c>
      <c r="K100" s="288">
        <f>VLOOKUP($B100,'26MY_CIV4D_DATA'!$B:$AQ,14,FALSE)</f>
        <v>0</v>
      </c>
      <c r="L100" s="288" t="str">
        <f>VLOOKUP(B100,'26MY_CIV4D_DATA'!B:AQ,15,FALSE)</f>
        <v>N/A</v>
      </c>
      <c r="M100" s="288" t="str">
        <f>VLOOKUP($B100,'26MY_CIV4D_DATA'!$B:$AQ,16,FALSE)</f>
        <v>N/A</v>
      </c>
      <c r="N100" s="288">
        <f>VLOOKUP($B100,'26MY_CIV4D_DATA'!$B:$AQ,17,FALSE)</f>
        <v>0</v>
      </c>
      <c r="O100" s="288" t="str">
        <f>VLOOKUP($B100,'26MY_CIV4D_DATA'!$B:$AQ,18,FALSE)</f>
        <v>•</v>
      </c>
      <c r="P100" s="288" t="str">
        <f>VLOOKUP(B100,'26MY_CIV4D_DATA'!B:AQ,19,FALSE)</f>
        <v>•</v>
      </c>
      <c r="Q100" s="335"/>
    </row>
    <row r="101" spans="2:17" ht="14.5">
      <c r="B101" s="268" t="s">
        <v>419</v>
      </c>
      <c r="C101" s="191" t="str">
        <f>VLOOKUP(B101,'26MY_CIV4D_DATA'!B:AQ,4,FALSE)</f>
        <v>Bleu océanique nacré (B-645P)</v>
      </c>
      <c r="D101" s="79" t="str">
        <f t="shared" si="17"/>
        <v>08P05-T20-1G0</v>
      </c>
      <c r="E101" s="280">
        <f>VLOOKUP(B101,'26MY_CIV4D_DATA'!B:AQ,9,FALSE)</f>
        <v>215</v>
      </c>
      <c r="F101" s="280">
        <f>VLOOKUP(B101,'26MY_CIV4D_DATA'!B:AQ,10,FALSE)</f>
        <v>358</v>
      </c>
      <c r="G101" s="287">
        <f>VLOOKUP(B101,'26MY_CIV4D_DATA'!B:AQ,7,FALSE)</f>
        <v>0.4</v>
      </c>
      <c r="H101" s="281">
        <f>VLOOKUP(B101,'26MY_CIV4D_DATA'!B:AQ,11,FALSE)</f>
        <v>430.4</v>
      </c>
      <c r="I101" s="288" t="str">
        <f>VLOOKUP(B101,'26MY_CIV4D_DATA'!B:AQ,12,FALSE)</f>
        <v>N/A</v>
      </c>
      <c r="J101" s="288">
        <f>VLOOKUP(B101,'26MY_CIV4D_DATA'!B:AQ,13,FALSE)</f>
        <v>0</v>
      </c>
      <c r="K101" s="288">
        <f>VLOOKUP($B101,'26MY_CIV4D_DATA'!$B:$AQ,14,FALSE)</f>
        <v>0</v>
      </c>
      <c r="L101" s="288" t="str">
        <f>VLOOKUP(B101,'26MY_CIV4D_DATA'!B:AQ,15,FALSE)</f>
        <v>N/A</v>
      </c>
      <c r="M101" s="288" t="str">
        <f>VLOOKUP($B101,'26MY_CIV4D_DATA'!$B:$AQ,16,FALSE)</f>
        <v>N/A</v>
      </c>
      <c r="N101" s="288">
        <f>VLOOKUP($B101,'26MY_CIV4D_DATA'!$B:$AQ,17,FALSE)</f>
        <v>0</v>
      </c>
      <c r="O101" s="288" t="str">
        <f>VLOOKUP($B101,'26MY_CIV4D_DATA'!$B:$AQ,18,FALSE)</f>
        <v>•</v>
      </c>
      <c r="P101" s="288" t="str">
        <f>VLOOKUP(B101,'26MY_CIV4D_DATA'!B:AQ,19,FALSE)</f>
        <v>N/A</v>
      </c>
      <c r="Q101" s="335"/>
    </row>
    <row r="102" spans="2:17" s="135" customFormat="1" ht="15" customHeight="1">
      <c r="B102" s="271" t="s">
        <v>420</v>
      </c>
      <c r="C102" s="191" t="str">
        <f>VLOOKUP(B102,'26MY_CIV4D_DATA'!B:AQ,4,FALSE)</f>
        <v>Refl et solaire argent métallisé (NH-932M)</v>
      </c>
      <c r="D102" s="79" t="str">
        <f t="shared" si="17"/>
        <v>08P05-T20-1Z0</v>
      </c>
      <c r="E102" s="280">
        <f>VLOOKUP(B102,'26MY_CIV4D_DATA'!B:AQ,9,FALSE)</f>
        <v>215</v>
      </c>
      <c r="F102" s="280">
        <f>VLOOKUP(B102,'26MY_CIV4D_DATA'!B:AQ,10,FALSE)</f>
        <v>358</v>
      </c>
      <c r="G102" s="287">
        <f>VLOOKUP(B102,'26MY_CIV4D_DATA'!B:AQ,7,FALSE)</f>
        <v>0.4</v>
      </c>
      <c r="H102" s="281">
        <f>VLOOKUP(B102,'26MY_CIV4D_DATA'!B:AQ,11,FALSE)</f>
        <v>430.4</v>
      </c>
      <c r="I102" s="288" t="str">
        <f>VLOOKUP(B102,'26MY_CIV4D_DATA'!B:AQ,12,FALSE)</f>
        <v>•</v>
      </c>
      <c r="J102" s="288">
        <f>VLOOKUP(B102,'26MY_CIV4D_DATA'!B:AQ,13,FALSE)</f>
        <v>0</v>
      </c>
      <c r="K102" s="288">
        <f>VLOOKUP($B102,'26MY_CIV4D_DATA'!$B:$AQ,14,FALSE)</f>
        <v>0</v>
      </c>
      <c r="L102" s="288" t="str">
        <f>VLOOKUP(B102,'26MY_CIV4D_DATA'!B:AQ,15,FALSE)</f>
        <v>•</v>
      </c>
      <c r="M102" s="288" t="str">
        <f>VLOOKUP($B102,'26MY_CIV4D_DATA'!$B:$AQ,16,FALSE)</f>
        <v>•</v>
      </c>
      <c r="N102" s="288">
        <f>VLOOKUP($B102,'26MY_CIV4D_DATA'!$B:$AQ,17,FALSE)</f>
        <v>0</v>
      </c>
      <c r="O102" s="288" t="str">
        <f>VLOOKUP($B102,'26MY_CIV4D_DATA'!$B:$AQ,18,FALSE)</f>
        <v>•</v>
      </c>
      <c r="P102" s="288" t="str">
        <f>VLOOKUP(B102,'26MY_CIV4D_DATA'!B:AQ,19,FALSE)</f>
        <v>N/A</v>
      </c>
      <c r="Q102" s="335"/>
    </row>
    <row r="103" spans="2:17" s="135" customFormat="1" ht="15" customHeight="1">
      <c r="B103" s="271" t="s">
        <v>308</v>
      </c>
      <c r="C103" s="198" t="str">
        <f>VLOOKUP(B103,'26MY_CIV4D_DATA'!B:AQ,4,FALSE)</f>
        <v>Protecteurs de bordure de porte</v>
      </c>
      <c r="D103" s="188"/>
      <c r="E103" s="188"/>
      <c r="F103" s="188"/>
      <c r="G103" s="188"/>
      <c r="H103" s="188"/>
      <c r="I103" s="188"/>
      <c r="J103" s="188"/>
      <c r="K103" s="188"/>
      <c r="L103" s="188"/>
      <c r="M103" s="188"/>
      <c r="N103" s="188"/>
      <c r="O103" s="188"/>
      <c r="P103" s="188"/>
      <c r="Q103" s="294"/>
    </row>
    <row r="104" spans="2:17" s="135" customFormat="1" ht="15" customHeight="1">
      <c r="B104" s="271" t="s">
        <v>148</v>
      </c>
      <c r="C104" s="191" t="str">
        <f>VLOOKUP(B104,'26MY_CIV4D_DATA'!B:AQ,4,FALSE)</f>
        <v>Blanc platine nacré (NH-883P)</v>
      </c>
      <c r="D104" s="79" t="str">
        <f t="shared" ref="D104:D110" si="18">B104</f>
        <v>08P20-T20-130</v>
      </c>
      <c r="E104" s="280">
        <f>VLOOKUP(B104,'26MY_CIV4D_DATA'!B:AQ,9,FALSE)</f>
        <v>140</v>
      </c>
      <c r="F104" s="280">
        <f>VLOOKUP(B104,'26MY_CIV4D_DATA'!B:AQ,10,FALSE)</f>
        <v>200</v>
      </c>
      <c r="G104" s="287">
        <f>VLOOKUP(B104,'26MY_CIV4D_DATA'!B:AQ,7,FALSE)</f>
        <v>0.4</v>
      </c>
      <c r="H104" s="281">
        <f>VLOOKUP(B104,'26MY_CIV4D_DATA'!B:AQ,11,FALSE)</f>
        <v>272.39999999999998</v>
      </c>
      <c r="I104" s="288" t="str">
        <f>VLOOKUP(B104,'26MY_CIV4D_DATA'!B:AQ,12,FALSE)</f>
        <v>•</v>
      </c>
      <c r="J104" s="288">
        <f>VLOOKUP(B104,'26MY_CIV4D_DATA'!B:AQ,13,FALSE)</f>
        <v>0</v>
      </c>
      <c r="K104" s="288">
        <f>VLOOKUP($B104,'26MY_CIV4D_DATA'!$B:$AQ,14,FALSE)</f>
        <v>0</v>
      </c>
      <c r="L104" s="288" t="str">
        <f>VLOOKUP(B104,'26MY_CIV4D_DATA'!B:AQ,15,FALSE)</f>
        <v>•</v>
      </c>
      <c r="M104" s="288" t="str">
        <f>VLOOKUP($B104,'26MY_CIV4D_DATA'!$B:$AQ,16,FALSE)</f>
        <v>•</v>
      </c>
      <c r="N104" s="288">
        <f>VLOOKUP($B104,'26MY_CIV4D_DATA'!$B:$AQ,17,FALSE)</f>
        <v>0</v>
      </c>
      <c r="O104" s="288" t="str">
        <f>VLOOKUP($B104,'26MY_CIV4D_DATA'!$B:$AQ,18,FALSE)</f>
        <v>•</v>
      </c>
      <c r="P104" s="288" t="str">
        <f>VLOOKUP(B104,'26MY_CIV4D_DATA'!B:AQ,19,FALSE)</f>
        <v>•</v>
      </c>
      <c r="Q104" s="334" t="str">
        <f>IF(VLOOKUP(B104,'26MY_CIV4D_DATA'!B:AQ,21,FALSE)="","",VLOOKUP(B104,'26MY_CIV4D_DATA'!B:AQ,21,FALSE))</f>
        <v/>
      </c>
    </row>
    <row r="105" spans="2:17" s="135" customFormat="1" ht="15" customHeight="1">
      <c r="B105" s="271" t="s">
        <v>147</v>
      </c>
      <c r="C105" s="191" t="str">
        <f>VLOOKUP(B105,'26MY_CIV4D_DATA'!B:AQ,4,FALSE)</f>
        <v>Gris météore nacré (NH-904M)</v>
      </c>
      <c r="D105" s="79" t="str">
        <f t="shared" si="18"/>
        <v>08P20-T20-170</v>
      </c>
      <c r="E105" s="280">
        <f>VLOOKUP(B105,'26MY_CIV4D_DATA'!B:AQ,9,FALSE)</f>
        <v>115</v>
      </c>
      <c r="F105" s="280">
        <f>VLOOKUP(B105,'26MY_CIV4D_DATA'!B:AQ,10,FALSE)</f>
        <v>195</v>
      </c>
      <c r="G105" s="287">
        <f>VLOOKUP(B105,'26MY_CIV4D_DATA'!B:AQ,7,FALSE)</f>
        <v>0.4</v>
      </c>
      <c r="H105" s="281">
        <f>VLOOKUP(B105,'26MY_CIV4D_DATA'!B:AQ,11,FALSE)</f>
        <v>267.39999999999998</v>
      </c>
      <c r="I105" s="288" t="str">
        <f>VLOOKUP(B105,'26MY_CIV4D_DATA'!B:AQ,12,FALSE)</f>
        <v>N/A</v>
      </c>
      <c r="J105" s="288">
        <f>VLOOKUP(B105,'26MY_CIV4D_DATA'!B:AQ,13,FALSE)</f>
        <v>0</v>
      </c>
      <c r="K105" s="288">
        <f>VLOOKUP($B105,'26MY_CIV4D_DATA'!$B:$AQ,14,FALSE)</f>
        <v>0</v>
      </c>
      <c r="L105" s="288" t="str">
        <f>VLOOKUP(B105,'26MY_CIV4D_DATA'!B:AQ,15,FALSE)</f>
        <v>•</v>
      </c>
      <c r="M105" s="288" t="str">
        <f>VLOOKUP($B105,'26MY_CIV4D_DATA'!$B:$AQ,16,FALSE)</f>
        <v>N/A</v>
      </c>
      <c r="N105" s="288">
        <f>VLOOKUP($B105,'26MY_CIV4D_DATA'!$B:$AQ,17,FALSE)</f>
        <v>0</v>
      </c>
      <c r="O105" s="288" t="str">
        <f>VLOOKUP($B105,'26MY_CIV4D_DATA'!$B:$AQ,18,FALSE)</f>
        <v>N/A</v>
      </c>
      <c r="P105" s="288" t="str">
        <f>VLOOKUP(B105,'26MY_CIV4D_DATA'!B:AQ,19,FALSE)</f>
        <v>N/A</v>
      </c>
      <c r="Q105" s="335"/>
    </row>
    <row r="106" spans="2:17" s="135" customFormat="1" ht="15" customHeight="1">
      <c r="B106" s="271" t="s">
        <v>146</v>
      </c>
      <c r="C106" s="191" t="str">
        <f>VLOOKUP(B106,'26MY_CIV4D_DATA'!B:AQ,4,FALSE)</f>
        <v>Noir cristal nacré (NH-731P)</v>
      </c>
      <c r="D106" s="79" t="str">
        <f t="shared" si="18"/>
        <v>08P20-T20-180</v>
      </c>
      <c r="E106" s="280">
        <f>VLOOKUP(B106,'26MY_CIV4D_DATA'!B:AQ,9,FALSE)</f>
        <v>140</v>
      </c>
      <c r="F106" s="280">
        <f>VLOOKUP(B106,'26MY_CIV4D_DATA'!B:AQ,10,FALSE)</f>
        <v>200</v>
      </c>
      <c r="G106" s="287">
        <f>VLOOKUP(B106,'26MY_CIV4D_DATA'!B:AQ,7,FALSE)</f>
        <v>0.4</v>
      </c>
      <c r="H106" s="281">
        <f>VLOOKUP(B106,'26MY_CIV4D_DATA'!B:AQ,11,FALSE)</f>
        <v>272.39999999999998</v>
      </c>
      <c r="I106" s="288" t="str">
        <f>VLOOKUP(B106,'26MY_CIV4D_DATA'!B:AQ,12,FALSE)</f>
        <v>•</v>
      </c>
      <c r="J106" s="288">
        <f>VLOOKUP(B106,'26MY_CIV4D_DATA'!B:AQ,13,FALSE)</f>
        <v>0</v>
      </c>
      <c r="K106" s="288">
        <f>VLOOKUP($B106,'26MY_CIV4D_DATA'!$B:$AQ,14,FALSE)</f>
        <v>0</v>
      </c>
      <c r="L106" s="288" t="str">
        <f>VLOOKUP(B106,'26MY_CIV4D_DATA'!B:AQ,15,FALSE)</f>
        <v>•</v>
      </c>
      <c r="M106" s="288" t="str">
        <f>VLOOKUP($B106,'26MY_CIV4D_DATA'!$B:$AQ,16,FALSE)</f>
        <v>•</v>
      </c>
      <c r="N106" s="288">
        <f>VLOOKUP($B106,'26MY_CIV4D_DATA'!$B:$AQ,17,FALSE)</f>
        <v>0</v>
      </c>
      <c r="O106" s="288" t="str">
        <f>VLOOKUP($B106,'26MY_CIV4D_DATA'!$B:$AQ,18,FALSE)</f>
        <v>•</v>
      </c>
      <c r="P106" s="288" t="str">
        <f>VLOOKUP(B106,'26MY_CIV4D_DATA'!B:AQ,19,FALSE)</f>
        <v>•</v>
      </c>
      <c r="Q106" s="335"/>
    </row>
    <row r="107" spans="2:17" s="135" customFormat="1" ht="15" customHeight="1">
      <c r="B107" s="271" t="s">
        <v>149</v>
      </c>
      <c r="C107" s="191" t="str">
        <f>VLOOKUP(B107,'26MY_CIV4D_DATA'!B:AQ,4,FALSE)</f>
        <v>Rouge rallye (R-513)</v>
      </c>
      <c r="D107" s="79" t="str">
        <f t="shared" si="18"/>
        <v>08P20-T20-190</v>
      </c>
      <c r="E107" s="280">
        <f>VLOOKUP(B107,'26MY_CIV4D_DATA'!B:AQ,9,FALSE)</f>
        <v>140</v>
      </c>
      <c r="F107" s="280">
        <f>VLOOKUP(B107,'26MY_CIV4D_DATA'!B:AQ,10,FALSE)</f>
        <v>200</v>
      </c>
      <c r="G107" s="287">
        <f>VLOOKUP(B107,'26MY_CIV4D_DATA'!B:AQ,7,FALSE)</f>
        <v>0.4</v>
      </c>
      <c r="H107" s="281">
        <f>VLOOKUP(B107,'26MY_CIV4D_DATA'!B:AQ,11,FALSE)</f>
        <v>272.39999999999998</v>
      </c>
      <c r="I107" s="288" t="str">
        <f>VLOOKUP(B107,'26MY_CIV4D_DATA'!B:AQ,12,FALSE)</f>
        <v>•</v>
      </c>
      <c r="J107" s="288">
        <f>VLOOKUP(B107,'26MY_CIV4D_DATA'!B:AQ,13,FALSE)</f>
        <v>0</v>
      </c>
      <c r="K107" s="288">
        <f>VLOOKUP($B107,'26MY_CIV4D_DATA'!$B:$AQ,14,FALSE)</f>
        <v>0</v>
      </c>
      <c r="L107" s="288" t="str">
        <f>VLOOKUP(B107,'26MY_CIV4D_DATA'!B:AQ,15,FALSE)</f>
        <v>•</v>
      </c>
      <c r="M107" s="288" t="str">
        <f>VLOOKUP($B107,'26MY_CIV4D_DATA'!$B:$AQ,16,FALSE)</f>
        <v>•</v>
      </c>
      <c r="N107" s="288">
        <f>VLOOKUP($B107,'26MY_CIV4D_DATA'!$B:$AQ,17,FALSE)</f>
        <v>0</v>
      </c>
      <c r="O107" s="288" t="str">
        <f>VLOOKUP($B107,'26MY_CIV4D_DATA'!$B:$AQ,18,FALSE)</f>
        <v>•</v>
      </c>
      <c r="P107" s="288" t="str">
        <f>VLOOKUP(B107,'26MY_CIV4D_DATA'!B:AQ,19,FALSE)</f>
        <v>•</v>
      </c>
      <c r="Q107" s="335"/>
    </row>
    <row r="108" spans="2:17" ht="14.5">
      <c r="B108" s="268" t="s">
        <v>422</v>
      </c>
      <c r="C108" s="191" t="str">
        <f>VLOOKUP(B108,'26MY_CIV4D_DATA'!B:AQ,4,FALSE)</f>
        <v>Gris urbain nacré  (NH-912P)</v>
      </c>
      <c r="D108" s="79" t="str">
        <f t="shared" si="18"/>
        <v>08P20-T20-1J0</v>
      </c>
      <c r="E108" s="280">
        <f>VLOOKUP(B108,'26MY_CIV4D_DATA'!B:AQ,9,FALSE)</f>
        <v>140</v>
      </c>
      <c r="F108" s="280">
        <f>VLOOKUP(B108,'26MY_CIV4D_DATA'!B:AQ,10,FALSE)</f>
        <v>200</v>
      </c>
      <c r="G108" s="287">
        <f>VLOOKUP(B108,'26MY_CIV4D_DATA'!B:AQ,7,FALSE)</f>
        <v>0.4</v>
      </c>
      <c r="H108" s="281">
        <f>VLOOKUP(B108,'26MY_CIV4D_DATA'!B:AQ,11,FALSE)</f>
        <v>272.39999999999998</v>
      </c>
      <c r="I108" s="288" t="str">
        <f>VLOOKUP(B108,'26MY_CIV4D_DATA'!B:AQ,12,FALSE)</f>
        <v>N/A</v>
      </c>
      <c r="J108" s="288">
        <f>VLOOKUP(B108,'26MY_CIV4D_DATA'!B:AQ,13,FALSE)</f>
        <v>0</v>
      </c>
      <c r="K108" s="288">
        <f>VLOOKUP($B108,'26MY_CIV4D_DATA'!$B:$AQ,14,FALSE)</f>
        <v>0</v>
      </c>
      <c r="L108" s="288" t="str">
        <f>VLOOKUP(B108,'26MY_CIV4D_DATA'!B:AQ,15,FALSE)</f>
        <v>N/A</v>
      </c>
      <c r="M108" s="288" t="str">
        <f>VLOOKUP($B108,'26MY_CIV4D_DATA'!$B:$AQ,16,FALSE)</f>
        <v>N/A</v>
      </c>
      <c r="N108" s="288">
        <f>VLOOKUP($B108,'26MY_CIV4D_DATA'!$B:$AQ,17,FALSE)</f>
        <v>0</v>
      </c>
      <c r="O108" s="288" t="str">
        <f>VLOOKUP($B108,'26MY_CIV4D_DATA'!$B:$AQ,18,FALSE)</f>
        <v>•</v>
      </c>
      <c r="P108" s="288" t="str">
        <f>VLOOKUP(B108,'26MY_CIV4D_DATA'!B:AQ,19,FALSE)</f>
        <v>•</v>
      </c>
      <c r="Q108" s="335"/>
    </row>
    <row r="109" spans="2:17" ht="14.5">
      <c r="B109" s="268" t="s">
        <v>423</v>
      </c>
      <c r="C109" s="191" t="str">
        <f>VLOOKUP(B109,'26MY_CIV4D_DATA'!B:AQ,4,FALSE)</f>
        <v>Bleu océanique nacré (B-645P)</v>
      </c>
      <c r="D109" s="79" t="str">
        <f t="shared" si="18"/>
        <v>08P20-T20-1P0</v>
      </c>
      <c r="E109" s="280">
        <f>VLOOKUP(B109,'26MY_CIV4D_DATA'!B:AQ,9,FALSE)</f>
        <v>140</v>
      </c>
      <c r="F109" s="280">
        <f>VLOOKUP(B109,'26MY_CIV4D_DATA'!B:AQ,10,FALSE)</f>
        <v>200</v>
      </c>
      <c r="G109" s="287">
        <f>VLOOKUP(B109,'26MY_CIV4D_DATA'!B:AQ,7,FALSE)</f>
        <v>0.4</v>
      </c>
      <c r="H109" s="281">
        <f>VLOOKUP(B109,'26MY_CIV4D_DATA'!B:AQ,11,FALSE)</f>
        <v>272.39999999999998</v>
      </c>
      <c r="I109" s="288" t="str">
        <f>VLOOKUP(B109,'26MY_CIV4D_DATA'!B:AQ,12,FALSE)</f>
        <v>N/A</v>
      </c>
      <c r="J109" s="288">
        <f>VLOOKUP(B109,'26MY_CIV4D_DATA'!B:AQ,13,FALSE)</f>
        <v>0</v>
      </c>
      <c r="K109" s="288">
        <f>VLOOKUP($B109,'26MY_CIV4D_DATA'!$B:$AQ,14,FALSE)</f>
        <v>0</v>
      </c>
      <c r="L109" s="288" t="str">
        <f>VLOOKUP(B109,'26MY_CIV4D_DATA'!B:AQ,15,FALSE)</f>
        <v>N/A</v>
      </c>
      <c r="M109" s="288" t="str">
        <f>VLOOKUP($B109,'26MY_CIV4D_DATA'!$B:$AQ,16,FALSE)</f>
        <v>N/A</v>
      </c>
      <c r="N109" s="288">
        <f>VLOOKUP($B109,'26MY_CIV4D_DATA'!$B:$AQ,17,FALSE)</f>
        <v>0</v>
      </c>
      <c r="O109" s="288" t="str">
        <f>VLOOKUP($B109,'26MY_CIV4D_DATA'!$B:$AQ,18,FALSE)</f>
        <v>•</v>
      </c>
      <c r="P109" s="288" t="str">
        <f>VLOOKUP(B109,'26MY_CIV4D_DATA'!B:AQ,19,FALSE)</f>
        <v>N/A</v>
      </c>
      <c r="Q109" s="335"/>
    </row>
    <row r="110" spans="2:17" ht="14.5">
      <c r="B110" s="268" t="s">
        <v>411</v>
      </c>
      <c r="C110" s="191" t="str">
        <f>VLOOKUP(B110,'26MY_CIV4D_DATA'!B:AQ,4,FALSE)</f>
        <v>Refl et solaire argent métallisé (NH-932M)</v>
      </c>
      <c r="D110" s="79" t="str">
        <f t="shared" si="18"/>
        <v>08P20-T20-1Z0</v>
      </c>
      <c r="E110" s="280">
        <f>VLOOKUP(B110,'26MY_CIV4D_DATA'!B:AQ,9,FALSE)</f>
        <v>140</v>
      </c>
      <c r="F110" s="280">
        <f>VLOOKUP(B110,'26MY_CIV4D_DATA'!B:AQ,10,FALSE)</f>
        <v>200</v>
      </c>
      <c r="G110" s="287">
        <f>VLOOKUP(B110,'26MY_CIV4D_DATA'!B:AQ,7,FALSE)</f>
        <v>0.4</v>
      </c>
      <c r="H110" s="281">
        <f>VLOOKUP(B110,'26MY_CIV4D_DATA'!B:AQ,11,FALSE)</f>
        <v>272.39999999999998</v>
      </c>
      <c r="I110" s="288" t="str">
        <f>VLOOKUP(B110,'26MY_CIV4D_DATA'!B:AQ,12,FALSE)</f>
        <v>•</v>
      </c>
      <c r="J110" s="288">
        <f>VLOOKUP(B110,'26MY_CIV4D_DATA'!B:AQ,13,FALSE)</f>
        <v>0</v>
      </c>
      <c r="K110" s="288">
        <f>VLOOKUP($B110,'26MY_CIV4D_DATA'!$B:$AQ,14,FALSE)</f>
        <v>0</v>
      </c>
      <c r="L110" s="288" t="str">
        <f>VLOOKUP(B110,'26MY_CIV4D_DATA'!B:AQ,15,FALSE)</f>
        <v>•</v>
      </c>
      <c r="M110" s="288" t="str">
        <f>VLOOKUP($B110,'26MY_CIV4D_DATA'!$B:$AQ,16,FALSE)</f>
        <v>•</v>
      </c>
      <c r="N110" s="288">
        <f>VLOOKUP($B110,'26MY_CIV4D_DATA'!$B:$AQ,17,FALSE)</f>
        <v>0</v>
      </c>
      <c r="O110" s="288" t="str">
        <f>VLOOKUP($B110,'26MY_CIV4D_DATA'!$B:$AQ,18,FALSE)</f>
        <v>•</v>
      </c>
      <c r="P110" s="288" t="str">
        <f>VLOOKUP(B110,'26MY_CIV4D_DATA'!B:AQ,19,FALSE)</f>
        <v>N/A</v>
      </c>
      <c r="Q110" s="335"/>
    </row>
    <row r="111" spans="2:17" s="135" customFormat="1" ht="15" customHeight="1">
      <c r="B111" s="271"/>
      <c r="C111" s="130"/>
      <c r="D111" s="130"/>
      <c r="E111" s="140"/>
      <c r="F111" s="140"/>
      <c r="G111" s="192"/>
      <c r="H111" s="140"/>
      <c r="I111" s="140"/>
      <c r="J111" s="140"/>
      <c r="K111" s="140"/>
      <c r="L111" s="140"/>
      <c r="M111" s="140"/>
      <c r="N111" s="140"/>
      <c r="O111" s="140"/>
      <c r="P111" s="140"/>
      <c r="Q111" s="140"/>
    </row>
    <row r="112" spans="2:17" s="133" customFormat="1" ht="18.5">
      <c r="B112" s="272"/>
      <c r="C112" s="152" t="s">
        <v>96</v>
      </c>
      <c r="D112" s="152"/>
      <c r="E112" s="193"/>
      <c r="F112" s="193"/>
      <c r="G112" s="193"/>
      <c r="H112" s="193"/>
      <c r="I112" s="193"/>
      <c r="J112" s="193"/>
      <c r="K112" s="193"/>
      <c r="L112" s="193"/>
      <c r="M112" s="193"/>
      <c r="N112" s="193"/>
      <c r="O112" s="193"/>
      <c r="P112" s="193"/>
      <c r="Q112" s="193"/>
    </row>
    <row r="113" spans="2:17" s="134" customFormat="1" ht="15" customHeight="1">
      <c r="B113" s="273"/>
      <c r="C113" s="346" t="s">
        <v>81</v>
      </c>
      <c r="D113" s="346" t="s">
        <v>82</v>
      </c>
      <c r="E113" s="346" t="s">
        <v>83</v>
      </c>
      <c r="F113" s="346" t="s">
        <v>84</v>
      </c>
      <c r="G113" s="346" t="s">
        <v>85</v>
      </c>
      <c r="H113" s="347" t="s">
        <v>86</v>
      </c>
      <c r="I113" s="346" t="s">
        <v>25</v>
      </c>
      <c r="J113" s="346"/>
      <c r="K113" s="346"/>
      <c r="L113" s="346"/>
      <c r="M113" s="346"/>
      <c r="N113" s="346"/>
      <c r="O113" s="346"/>
      <c r="P113" s="346"/>
      <c r="Q113" s="346" t="s">
        <v>87</v>
      </c>
    </row>
    <row r="114" spans="2:17" s="134" customFormat="1" ht="43.5">
      <c r="B114" s="273"/>
      <c r="C114" s="346"/>
      <c r="D114" s="346"/>
      <c r="E114" s="346"/>
      <c r="F114" s="346"/>
      <c r="G114" s="346"/>
      <c r="H114" s="347"/>
      <c r="I114" s="178" t="str">
        <f>'26MY_CIV4D_DATA'!M$8</f>
        <v>LX</v>
      </c>
      <c r="J114" s="178">
        <f>'26MY_CIV4D_DATA'!N$8</f>
        <v>0</v>
      </c>
      <c r="K114" s="178">
        <f>'26MY_CIV4D_DATA'!O$8</f>
        <v>0</v>
      </c>
      <c r="L114" s="178" t="str">
        <f>'26MY_CIV4D_DATA'!P$8</f>
        <v>SPORT</v>
      </c>
      <c r="M114" s="178" t="str">
        <f>'26MY_CIV4D_DATA'!Q$8</f>
        <v>SPORT 
Hybride</v>
      </c>
      <c r="N114" s="178">
        <f>'26MY_CIV4D_DATA'!R$8</f>
        <v>0</v>
      </c>
      <c r="O114" s="178" t="str">
        <f>'26MY_CIV4D_DATA'!S$8</f>
        <v>Sport Touring Hybride</v>
      </c>
      <c r="P114" s="178" t="str">
        <f>'26MY_CIV4D_DATA'!T$8</f>
        <v>Si</v>
      </c>
      <c r="Q114" s="346"/>
    </row>
    <row r="115" spans="2:17" s="135" customFormat="1" ht="15" customHeight="1">
      <c r="B115" s="271" t="s">
        <v>213</v>
      </c>
      <c r="C115" s="233" t="str">
        <f>VLOOKUP(B115,'26MY_CIV4D_DATA'!B:AQ,4,FALSE)</f>
        <v>Cendrier de type porte-gobelet</v>
      </c>
      <c r="D115" s="79" t="str">
        <f t="shared" ref="D115:D124" si="19">B115</f>
        <v>08U25-S3Y-305</v>
      </c>
      <c r="E115" s="280">
        <f>VLOOKUP(B115,'26MY_CIV4D_DATA'!B:AQ,9,FALSE)</f>
        <v>40.01</v>
      </c>
      <c r="F115" s="280">
        <f>VLOOKUP(B115,'26MY_CIV4D_DATA'!B:AQ,10,FALSE)</f>
        <v>66.69</v>
      </c>
      <c r="G115" s="287">
        <f>VLOOKUP(B115,'26MY_CIV4D_DATA'!B:AQ,7,FALSE)</f>
        <v>0</v>
      </c>
      <c r="H115" s="281">
        <f>VLOOKUP(B115,'26MY_CIV4D_DATA'!B:AQ,11,FALSE)</f>
        <v>66.69</v>
      </c>
      <c r="I115" s="288" t="str">
        <f>VLOOKUP(B115,'26MY_CIV4D_DATA'!B:AQ,12,FALSE)</f>
        <v>•</v>
      </c>
      <c r="J115" s="288">
        <f>VLOOKUP(B115,'26MY_CIV4D_DATA'!B:AQ,13,FALSE)</f>
        <v>0</v>
      </c>
      <c r="K115" s="288">
        <f>VLOOKUP($B115,'26MY_CIV4D_DATA'!$B:$AQ,14,FALSE)</f>
        <v>0</v>
      </c>
      <c r="L115" s="288" t="str">
        <f>VLOOKUP(B115,'26MY_CIV4D_DATA'!B:AQ,15,FALSE)</f>
        <v>•</v>
      </c>
      <c r="M115" s="288" t="str">
        <f>VLOOKUP($B115,'26MY_CIV4D_DATA'!$B:$AQ,16,FALSE)</f>
        <v>•</v>
      </c>
      <c r="N115" s="288">
        <f>VLOOKUP($B115,'26MY_CIV4D_DATA'!$B:$AQ,17,FALSE)</f>
        <v>0</v>
      </c>
      <c r="O115" s="288" t="str">
        <f>VLOOKUP($B115,'26MY_CIV4D_DATA'!$B:$AQ,18,FALSE)</f>
        <v>•</v>
      </c>
      <c r="P115" s="288" t="str">
        <f>VLOOKUP(B115,'26MY_CIV4D_DATA'!B:AQ,19,FALSE)</f>
        <v>•</v>
      </c>
      <c r="Q115" s="291" t="str">
        <f>IF(VLOOKUP(B115,'26MY_CIV4D_DATA'!B:AQ,21,FALSE)="","",VLOOKUP(B115,'26MY_CIV4D_DATA'!B:AQ,21,FALSE))</f>
        <v/>
      </c>
    </row>
    <row r="116" spans="2:17" s="135" customFormat="1" ht="15" customHeight="1">
      <c r="B116" s="271" t="s">
        <v>211</v>
      </c>
      <c r="C116" s="233" t="str">
        <f>VLOOKUP(B116,'26MY_CIV4D_DATA'!B:AQ,4,FALSE)</f>
        <v>Crochet d’arrimage</v>
      </c>
      <c r="D116" s="79" t="str">
        <f t="shared" si="19"/>
        <v>08L96-TA0-301A</v>
      </c>
      <c r="E116" s="280">
        <f>VLOOKUP(B116,'26MY_CIV4D_DATA'!B:AQ,9,FALSE)</f>
        <v>17</v>
      </c>
      <c r="F116" s="280">
        <f>VLOOKUP(B116,'26MY_CIV4D_DATA'!B:AQ,10,FALSE)</f>
        <v>28</v>
      </c>
      <c r="G116" s="287">
        <f>VLOOKUP(B116,'26MY_CIV4D_DATA'!B:AQ,7,FALSE)</f>
        <v>0.2</v>
      </c>
      <c r="H116" s="281">
        <f>VLOOKUP(B116,'26MY_CIV4D_DATA'!B:AQ,11,FALSE)</f>
        <v>64.2</v>
      </c>
      <c r="I116" s="288" t="str">
        <f>VLOOKUP(B116,'26MY_CIV4D_DATA'!B:AQ,12,FALSE)</f>
        <v>•</v>
      </c>
      <c r="J116" s="288">
        <f>VLOOKUP(B116,'26MY_CIV4D_DATA'!B:AQ,13,FALSE)</f>
        <v>0</v>
      </c>
      <c r="K116" s="288">
        <f>VLOOKUP($B116,'26MY_CIV4D_DATA'!$B:$AQ,14,FALSE)</f>
        <v>0</v>
      </c>
      <c r="L116" s="288" t="str">
        <f>VLOOKUP(B116,'26MY_CIV4D_DATA'!B:AQ,15,FALSE)</f>
        <v>•</v>
      </c>
      <c r="M116" s="288" t="str">
        <f>VLOOKUP($B116,'26MY_CIV4D_DATA'!$B:$AQ,16,FALSE)</f>
        <v>•</v>
      </c>
      <c r="N116" s="288">
        <f>VLOOKUP($B116,'26MY_CIV4D_DATA'!$B:$AQ,17,FALSE)</f>
        <v>0</v>
      </c>
      <c r="O116" s="288" t="str">
        <f>VLOOKUP($B116,'26MY_CIV4D_DATA'!$B:$AQ,18,FALSE)</f>
        <v>•</v>
      </c>
      <c r="P116" s="288" t="str">
        <f>VLOOKUP(B116,'26MY_CIV4D_DATA'!B:AQ,19,FALSE)</f>
        <v>•</v>
      </c>
      <c r="Q116" s="291" t="str">
        <f>IF(VLOOKUP(B116,'26MY_CIV4D_DATA'!B:AQ,21,FALSE)="","",VLOOKUP(B116,'26MY_CIV4D_DATA'!B:AQ,21,FALSE))</f>
        <v>1  crochet.</v>
      </c>
    </row>
    <row r="117" spans="2:17" s="135" customFormat="1" ht="15" customHeight="1">
      <c r="B117" s="271" t="s">
        <v>110</v>
      </c>
      <c r="C117" s="233" t="str">
        <f>VLOOKUP(B117,'26MY_CIV4D_DATA'!B:AQ,4,FALSE)</f>
        <v>Filet de retenue</v>
      </c>
      <c r="D117" s="79" t="str">
        <f t="shared" si="19"/>
        <v>08L96-T20-300</v>
      </c>
      <c r="E117" s="280">
        <f>VLOOKUP(B117,'26MY_CIV4D_DATA'!B:AQ,9,FALSE)</f>
        <v>59</v>
      </c>
      <c r="F117" s="280">
        <f>VLOOKUP(B117,'26MY_CIV4D_DATA'!B:AQ,10,FALSE)</f>
        <v>98</v>
      </c>
      <c r="G117" s="287">
        <f>VLOOKUP(B117,'26MY_CIV4D_DATA'!B:AQ,7,FALSE)</f>
        <v>0.4</v>
      </c>
      <c r="H117" s="281">
        <f>VLOOKUP(B117,'26MY_CIV4D_DATA'!B:AQ,11,FALSE)</f>
        <v>170.4</v>
      </c>
      <c r="I117" s="288" t="str">
        <f>VLOOKUP(B117,'26MY_CIV4D_DATA'!B:AQ,12,FALSE)</f>
        <v>•</v>
      </c>
      <c r="J117" s="288">
        <f>VLOOKUP(B117,'26MY_CIV4D_DATA'!B:AQ,13,FALSE)</f>
        <v>0</v>
      </c>
      <c r="K117" s="288">
        <f>VLOOKUP($B117,'26MY_CIV4D_DATA'!$B:$AQ,14,FALSE)</f>
        <v>0</v>
      </c>
      <c r="L117" s="288" t="str">
        <f>VLOOKUP(B117,'26MY_CIV4D_DATA'!B:AQ,15,FALSE)</f>
        <v>•</v>
      </c>
      <c r="M117" s="288" t="str">
        <f>VLOOKUP($B117,'26MY_CIV4D_DATA'!$B:$AQ,16,FALSE)</f>
        <v>•</v>
      </c>
      <c r="N117" s="288">
        <f>VLOOKUP($B117,'26MY_CIV4D_DATA'!$B:$AQ,17,FALSE)</f>
        <v>0</v>
      </c>
      <c r="O117" s="288" t="str">
        <f>VLOOKUP($B117,'26MY_CIV4D_DATA'!$B:$AQ,18,FALSE)</f>
        <v>•</v>
      </c>
      <c r="P117" s="288" t="str">
        <f>VLOOKUP(B117,'26MY_CIV4D_DATA'!B:AQ,19,FALSE)</f>
        <v>•</v>
      </c>
      <c r="Q117" s="291" t="str">
        <f>IF(VLOOKUP(B117,'26MY_CIV4D_DATA'!B:AQ,21,FALSE)="","",VLOOKUP(B117,'26MY_CIV4D_DATA'!B:AQ,21,FALSE))</f>
        <v/>
      </c>
    </row>
    <row r="118" spans="2:17" s="135" customFormat="1" ht="15" customHeight="1">
      <c r="B118" s="271" t="s">
        <v>111</v>
      </c>
      <c r="C118" s="233" t="str">
        <f>VLOOKUP(B118,'26MY_CIV4D_DATA'!B:AQ,4,FALSE)</f>
        <v>Pellicule de protection de seuil de portière</v>
      </c>
      <c r="D118" s="79" t="str">
        <f t="shared" si="19"/>
        <v>08P04-T20-100</v>
      </c>
      <c r="E118" s="280">
        <f>VLOOKUP(B118,'26MY_CIV4D_DATA'!B:AQ,9,FALSE)</f>
        <v>103</v>
      </c>
      <c r="F118" s="280">
        <f>VLOOKUP(B118,'26MY_CIV4D_DATA'!B:AQ,10,FALSE)</f>
        <v>172</v>
      </c>
      <c r="G118" s="287">
        <f>VLOOKUP(B118,'26MY_CIV4D_DATA'!B:AQ,7,FALSE)</f>
        <v>0.4</v>
      </c>
      <c r="H118" s="281">
        <f>VLOOKUP(B118,'26MY_CIV4D_DATA'!B:AQ,11,FALSE)</f>
        <v>244.4</v>
      </c>
      <c r="I118" s="288" t="str">
        <f>VLOOKUP(B118,'26MY_CIV4D_DATA'!B:AQ,12,FALSE)</f>
        <v>•</v>
      </c>
      <c r="J118" s="288">
        <f>VLOOKUP(B118,'26MY_CIV4D_DATA'!B:AQ,13,FALSE)</f>
        <v>0</v>
      </c>
      <c r="K118" s="288">
        <f>VLOOKUP($B118,'26MY_CIV4D_DATA'!$B:$AQ,14,FALSE)</f>
        <v>0</v>
      </c>
      <c r="L118" s="288" t="str">
        <f>VLOOKUP(B118,'26MY_CIV4D_DATA'!B:AQ,15,FALSE)</f>
        <v>•</v>
      </c>
      <c r="M118" s="288" t="str">
        <f>VLOOKUP($B118,'26MY_CIV4D_DATA'!$B:$AQ,16,FALSE)</f>
        <v>•</v>
      </c>
      <c r="N118" s="288">
        <f>VLOOKUP($B118,'26MY_CIV4D_DATA'!$B:$AQ,17,FALSE)</f>
        <v>0</v>
      </c>
      <c r="O118" s="288" t="str">
        <f>VLOOKUP($B118,'26MY_CIV4D_DATA'!$B:$AQ,18,FALSE)</f>
        <v>•</v>
      </c>
      <c r="P118" s="288" t="str">
        <f>VLOOKUP(B118,'26MY_CIV4D_DATA'!B:AQ,19,FALSE)</f>
        <v>•</v>
      </c>
      <c r="Q118" s="291" t="str">
        <f>IF(VLOOKUP(B118,'26MY_CIV4D_DATA'!B:AQ,21,FALSE)="","",VLOOKUP(B118,'26MY_CIV4D_DATA'!B:AQ,21,FALSE))</f>
        <v/>
      </c>
    </row>
    <row r="119" spans="2:17" s="135" customFormat="1" ht="15" customHeight="1">
      <c r="B119" s="271" t="s">
        <v>242</v>
      </c>
      <c r="C119" s="233" t="str">
        <f>VLOOKUP(B119,'26MY_CIV4D_DATA'!B:AQ,4,FALSE)</f>
        <v>Tapis toutes saisons</v>
      </c>
      <c r="D119" s="79" t="str">
        <f t="shared" si="19"/>
        <v>08P17-T20-110</v>
      </c>
      <c r="E119" s="280">
        <f>VLOOKUP(B119,'26MY_CIV4D_DATA'!B:AQ,9,FALSE)</f>
        <v>149</v>
      </c>
      <c r="F119" s="280">
        <f>VLOOKUP(B119,'26MY_CIV4D_DATA'!B:AQ,10,FALSE)</f>
        <v>248</v>
      </c>
      <c r="G119" s="287">
        <f>VLOOKUP(B119,'26MY_CIV4D_DATA'!B:AQ,7,FALSE)</f>
        <v>0.1</v>
      </c>
      <c r="H119" s="281">
        <f>VLOOKUP(B119,'26MY_CIV4D_DATA'!B:AQ,11,FALSE)</f>
        <v>266.10000000000002</v>
      </c>
      <c r="I119" s="288" t="str">
        <f>VLOOKUP(B119,'26MY_CIV4D_DATA'!B:AQ,12,FALSE)</f>
        <v>•</v>
      </c>
      <c r="J119" s="288">
        <f>VLOOKUP(B119,'26MY_CIV4D_DATA'!B:AQ,13,FALSE)</f>
        <v>0</v>
      </c>
      <c r="K119" s="288">
        <f>VLOOKUP($B119,'26MY_CIV4D_DATA'!$B:$AQ,14,FALSE)</f>
        <v>0</v>
      </c>
      <c r="L119" s="288" t="str">
        <f>VLOOKUP(B119,'26MY_CIV4D_DATA'!B:AQ,15,FALSE)</f>
        <v>•</v>
      </c>
      <c r="M119" s="288" t="str">
        <f>VLOOKUP($B119,'26MY_CIV4D_DATA'!$B:$AQ,16,FALSE)</f>
        <v>N/A</v>
      </c>
      <c r="N119" s="288">
        <f>VLOOKUP($B119,'26MY_CIV4D_DATA'!$B:$AQ,17,FALSE)</f>
        <v>0</v>
      </c>
      <c r="O119" s="288" t="str">
        <f>VLOOKUP($B119,'26MY_CIV4D_DATA'!$B:$AQ,18,FALSE)</f>
        <v>N/A</v>
      </c>
      <c r="P119" s="288" t="str">
        <f>VLOOKUP(B119,'26MY_CIV4D_DATA'!B:AQ,19,FALSE)</f>
        <v>•</v>
      </c>
      <c r="Q119" s="291" t="str">
        <f>IF(VLOOKUP(B119,'26MY_CIV4D_DATA'!B:AQ,21,FALSE)="","",VLOOKUP(B119,'26MY_CIV4D_DATA'!B:AQ,21,FALSE))</f>
        <v>Inclut avant et arrière.</v>
      </c>
    </row>
    <row r="120" spans="2:17" s="135" customFormat="1" ht="15" customHeight="1">
      <c r="B120" s="271" t="s">
        <v>389</v>
      </c>
      <c r="C120" s="233" t="str">
        <f>VLOOKUP(B120,'26MY_CIV4D_DATA'!B:AQ,4,FALSE)</f>
        <v>Tapis toutes saisons - Hybrid</v>
      </c>
      <c r="D120" s="79" t="str">
        <f t="shared" ref="D120" si="20">B120</f>
        <v>08P17-T20-110A</v>
      </c>
      <c r="E120" s="280">
        <f>VLOOKUP(B120,'26MY_CIV4D_DATA'!B:AQ,9,FALSE)</f>
        <v>149</v>
      </c>
      <c r="F120" s="280">
        <f>VLOOKUP(B120,'26MY_CIV4D_DATA'!B:AQ,10,FALSE)</f>
        <v>248</v>
      </c>
      <c r="G120" s="287">
        <f>VLOOKUP(B120,'26MY_CIV4D_DATA'!B:AQ,7,FALSE)</f>
        <v>0.1</v>
      </c>
      <c r="H120" s="281">
        <f>VLOOKUP(B120,'26MY_CIV4D_DATA'!B:AQ,11,FALSE)</f>
        <v>266.10000000000002</v>
      </c>
      <c r="I120" s="288" t="str">
        <f>VLOOKUP(B120,'26MY_CIV4D_DATA'!B:AQ,12,FALSE)</f>
        <v>N/A</v>
      </c>
      <c r="J120" s="288">
        <f>VLOOKUP(B120,'26MY_CIV4D_DATA'!B:AQ,13,FALSE)</f>
        <v>0</v>
      </c>
      <c r="K120" s="288">
        <f>VLOOKUP($B120,'26MY_CIV4D_DATA'!$B:$AQ,14,FALSE)</f>
        <v>0</v>
      </c>
      <c r="L120" s="288" t="str">
        <f>VLOOKUP(B120,'26MY_CIV4D_DATA'!B:AQ,15,FALSE)</f>
        <v>N/A</v>
      </c>
      <c r="M120" s="288" t="str">
        <f>VLOOKUP($B120,'26MY_CIV4D_DATA'!$B:$AQ,16,FALSE)</f>
        <v>•</v>
      </c>
      <c r="N120" s="288">
        <f>VLOOKUP($B120,'26MY_CIV4D_DATA'!$B:$AQ,17,FALSE)</f>
        <v>0</v>
      </c>
      <c r="O120" s="288" t="str">
        <f>VLOOKUP($B120,'26MY_CIV4D_DATA'!$B:$AQ,18,FALSE)</f>
        <v>•</v>
      </c>
      <c r="P120" s="288" t="str">
        <f>VLOOKUP(B120,'26MY_CIV4D_DATA'!B:AQ,19,FALSE)</f>
        <v>N/A</v>
      </c>
      <c r="Q120" s="291" t="str">
        <f>IF(VLOOKUP(B120,'26MY_CIV4D_DATA'!B:AQ,21,FALSE)="","",VLOOKUP(B120,'26MY_CIV4D_DATA'!B:AQ,21,FALSE))</f>
        <v/>
      </c>
    </row>
    <row r="121" spans="2:17" s="135" customFormat="1" ht="15" customHeight="1">
      <c r="B121" s="271" t="s">
        <v>243</v>
      </c>
      <c r="C121" s="233" t="str">
        <f>VLOOKUP(B121,'26MY_CIV4D_DATA'!B:AQ,4,FALSE)</f>
        <v>Tapis de moquette</v>
      </c>
      <c r="D121" s="79" t="str">
        <f t="shared" si="19"/>
        <v>08P15-T20-110</v>
      </c>
      <c r="E121" s="280">
        <f>VLOOKUP(B121,'26MY_CIV4D_DATA'!B:AQ,9,FALSE)</f>
        <v>238</v>
      </c>
      <c r="F121" s="280">
        <f>VLOOKUP(B121,'26MY_CIV4D_DATA'!B:AQ,10,FALSE)</f>
        <v>397</v>
      </c>
      <c r="G121" s="287">
        <f>VLOOKUP(B121,'26MY_CIV4D_DATA'!B:AQ,7,FALSE)</f>
        <v>0.1</v>
      </c>
      <c r="H121" s="281">
        <f>VLOOKUP(B121,'26MY_CIV4D_DATA'!B:AQ,11,FALSE)</f>
        <v>415.1</v>
      </c>
      <c r="I121" s="288" t="str">
        <f>VLOOKUP(B121,'26MY_CIV4D_DATA'!B:AQ,12,FALSE)</f>
        <v>•</v>
      </c>
      <c r="J121" s="288">
        <f>VLOOKUP(B121,'26MY_CIV4D_DATA'!B:AQ,13,FALSE)</f>
        <v>0</v>
      </c>
      <c r="K121" s="288">
        <f>VLOOKUP($B121,'26MY_CIV4D_DATA'!$B:$AQ,14,FALSE)</f>
        <v>0</v>
      </c>
      <c r="L121" s="288" t="str">
        <f>VLOOKUP(B121,'26MY_CIV4D_DATA'!B:AQ,15,FALSE)</f>
        <v>•</v>
      </c>
      <c r="M121" s="288" t="str">
        <f>VLOOKUP($B121,'26MY_CIV4D_DATA'!$B:$AQ,16,FALSE)</f>
        <v>•</v>
      </c>
      <c r="N121" s="288">
        <f>VLOOKUP($B121,'26MY_CIV4D_DATA'!$B:$AQ,17,FALSE)</f>
        <v>0</v>
      </c>
      <c r="O121" s="288" t="str">
        <f>VLOOKUP($B121,'26MY_CIV4D_DATA'!$B:$AQ,18,FALSE)</f>
        <v>•</v>
      </c>
      <c r="P121" s="288" t="str">
        <f>VLOOKUP(B121,'26MY_CIV4D_DATA'!B:AQ,19,FALSE)</f>
        <v>•</v>
      </c>
      <c r="Q121" s="291" t="str">
        <f>IF(VLOOKUP(B121,'26MY_CIV4D_DATA'!B:AQ,21,FALSE)="","",VLOOKUP(B121,'26MY_CIV4D_DATA'!B:AQ,21,FALSE))</f>
        <v>Inclut avant et arrière.</v>
      </c>
    </row>
    <row r="122" spans="2:17" s="135" customFormat="1" ht="15" customHeight="1">
      <c r="B122" s="271" t="s">
        <v>113</v>
      </c>
      <c r="C122" s="233" t="str">
        <f>VLOOKUP(B122,'26MY_CIV4D_DATA'!B:AQ,4,FALSE)</f>
        <v>Pare-soleil pour glaces latérales arrière</v>
      </c>
      <c r="D122" s="79" t="str">
        <f t="shared" si="19"/>
        <v>08R13-T20-300</v>
      </c>
      <c r="E122" s="280">
        <f>VLOOKUP(B122,'26MY_CIV4D_DATA'!B:AQ,9,FALSE)</f>
        <v>168</v>
      </c>
      <c r="F122" s="280">
        <f>VLOOKUP(B122,'26MY_CIV4D_DATA'!B:AQ,10,FALSE)</f>
        <v>280</v>
      </c>
      <c r="G122" s="287">
        <f>VLOOKUP(B122,'26MY_CIV4D_DATA'!B:AQ,7,FALSE)</f>
        <v>0.5</v>
      </c>
      <c r="H122" s="281">
        <f>VLOOKUP(B122,'26MY_CIV4D_DATA'!B:AQ,11,FALSE)</f>
        <v>370.5</v>
      </c>
      <c r="I122" s="288" t="str">
        <f>VLOOKUP(B122,'26MY_CIV4D_DATA'!B:AQ,12,FALSE)</f>
        <v>•</v>
      </c>
      <c r="J122" s="288">
        <f>VLOOKUP(B122,'26MY_CIV4D_DATA'!B:AQ,13,FALSE)</f>
        <v>0</v>
      </c>
      <c r="K122" s="288">
        <f>VLOOKUP($B122,'26MY_CIV4D_DATA'!$B:$AQ,14,FALSE)</f>
        <v>0</v>
      </c>
      <c r="L122" s="288" t="str">
        <f>VLOOKUP(B122,'26MY_CIV4D_DATA'!B:AQ,15,FALSE)</f>
        <v>•</v>
      </c>
      <c r="M122" s="288" t="str">
        <f>VLOOKUP($B122,'26MY_CIV4D_DATA'!$B:$AQ,16,FALSE)</f>
        <v>•</v>
      </c>
      <c r="N122" s="288">
        <f>VLOOKUP($B122,'26MY_CIV4D_DATA'!$B:$AQ,17,FALSE)</f>
        <v>0</v>
      </c>
      <c r="O122" s="288" t="str">
        <f>VLOOKUP($B122,'26MY_CIV4D_DATA'!$B:$AQ,18,FALSE)</f>
        <v>•</v>
      </c>
      <c r="P122" s="288" t="str">
        <f>VLOOKUP(B122,'26MY_CIV4D_DATA'!B:AQ,19,FALSE)</f>
        <v>•</v>
      </c>
      <c r="Q122" s="291" t="str">
        <f>IF(VLOOKUP(B122,'26MY_CIV4D_DATA'!B:AQ,21,FALSE)="","",VLOOKUP(B122,'26MY_CIV4D_DATA'!B:AQ,21,FALSE))</f>
        <v>Inclut le côté gauche et droit.</v>
      </c>
    </row>
    <row r="123" spans="2:17" s="135" customFormat="1" ht="15" customHeight="1">
      <c r="B123" s="271" t="s">
        <v>114</v>
      </c>
      <c r="C123" s="233" t="str">
        <f>VLOOKUP(B123,'26MY_CIV4D_DATA'!B:AQ,4,FALSE)</f>
        <v>Plateau de coffre</v>
      </c>
      <c r="D123" s="79" t="str">
        <f t="shared" si="19"/>
        <v>08U45-T20-100</v>
      </c>
      <c r="E123" s="280">
        <f>VLOOKUP(B123,'26MY_CIV4D_DATA'!B:AQ,9,FALSE)</f>
        <v>118</v>
      </c>
      <c r="F123" s="280">
        <f>VLOOKUP(B123,'26MY_CIV4D_DATA'!B:AQ,10,FALSE)</f>
        <v>197</v>
      </c>
      <c r="G123" s="287">
        <f>VLOOKUP(B123,'26MY_CIV4D_DATA'!B:AQ,7,FALSE)</f>
        <v>0.1</v>
      </c>
      <c r="H123" s="281">
        <f>VLOOKUP(B123,'26MY_CIV4D_DATA'!B:AQ,11,FALSE)</f>
        <v>215.1</v>
      </c>
      <c r="I123" s="288" t="str">
        <f>VLOOKUP(B123,'26MY_CIV4D_DATA'!B:AQ,12,FALSE)</f>
        <v>•</v>
      </c>
      <c r="J123" s="288">
        <f>VLOOKUP(B123,'26MY_CIV4D_DATA'!B:AQ,13,FALSE)</f>
        <v>0</v>
      </c>
      <c r="K123" s="288">
        <f>VLOOKUP($B123,'26MY_CIV4D_DATA'!$B:$AQ,14,FALSE)</f>
        <v>0</v>
      </c>
      <c r="L123" s="288" t="str">
        <f>VLOOKUP(B123,'26MY_CIV4D_DATA'!B:AQ,15,FALSE)</f>
        <v>•</v>
      </c>
      <c r="M123" s="288" t="str">
        <f>VLOOKUP($B123,'26MY_CIV4D_DATA'!$B:$AQ,16,FALSE)</f>
        <v>•</v>
      </c>
      <c r="N123" s="288">
        <f>VLOOKUP($B123,'26MY_CIV4D_DATA'!$B:$AQ,17,FALSE)</f>
        <v>0</v>
      </c>
      <c r="O123" s="288" t="str">
        <f>VLOOKUP($B123,'26MY_CIV4D_DATA'!$B:$AQ,18,FALSE)</f>
        <v>•</v>
      </c>
      <c r="P123" s="288" t="str">
        <f>VLOOKUP(B123,'26MY_CIV4D_DATA'!B:AQ,19,FALSE)</f>
        <v>•</v>
      </c>
      <c r="Q123" s="291" t="str">
        <f>IF(VLOOKUP(B123,'26MY_CIV4D_DATA'!B:AQ,21,FALSE)="","",VLOOKUP(B123,'26MY_CIV4D_DATA'!B:AQ,21,FALSE))</f>
        <v/>
      </c>
    </row>
    <row r="124" spans="2:17" s="135" customFormat="1" ht="15" customHeight="1">
      <c r="B124" s="271" t="s">
        <v>115</v>
      </c>
      <c r="C124" s="233" t="str">
        <f>VLOOKUP(B124,'26MY_CIV4D_DATA'!B:AQ,4,FALSE)</f>
        <v>Séparateurs de plateau de coffre</v>
      </c>
      <c r="D124" s="79" t="str">
        <f t="shared" si="19"/>
        <v>08U45-T20-300A</v>
      </c>
      <c r="E124" s="280">
        <f>VLOOKUP(B124,'26MY_CIV4D_DATA'!B:AQ,9,FALSE)</f>
        <v>77</v>
      </c>
      <c r="F124" s="280">
        <f>VLOOKUP(B124,'26MY_CIV4D_DATA'!B:AQ,10,FALSE)</f>
        <v>128</v>
      </c>
      <c r="G124" s="287">
        <f>VLOOKUP(B124,'26MY_CIV4D_DATA'!B:AQ,7,FALSE)</f>
        <v>0.1</v>
      </c>
      <c r="H124" s="281">
        <f>VLOOKUP(B124,'26MY_CIV4D_DATA'!B:AQ,11,FALSE)</f>
        <v>146.1</v>
      </c>
      <c r="I124" s="288" t="str">
        <f>VLOOKUP(B124,'26MY_CIV4D_DATA'!B:AQ,12,FALSE)</f>
        <v>•</v>
      </c>
      <c r="J124" s="288">
        <f>VLOOKUP(B124,'26MY_CIV4D_DATA'!B:AQ,13,FALSE)</f>
        <v>0</v>
      </c>
      <c r="K124" s="288">
        <f>VLOOKUP($B124,'26MY_CIV4D_DATA'!$B:$AQ,14,FALSE)</f>
        <v>0</v>
      </c>
      <c r="L124" s="288" t="str">
        <f>VLOOKUP(B124,'26MY_CIV4D_DATA'!B:AQ,15,FALSE)</f>
        <v>•</v>
      </c>
      <c r="M124" s="288" t="str">
        <f>VLOOKUP($B124,'26MY_CIV4D_DATA'!$B:$AQ,16,FALSE)</f>
        <v>•</v>
      </c>
      <c r="N124" s="288">
        <f>VLOOKUP($B124,'26MY_CIV4D_DATA'!$B:$AQ,17,FALSE)</f>
        <v>0</v>
      </c>
      <c r="O124" s="288" t="str">
        <f>VLOOKUP($B124,'26MY_CIV4D_DATA'!$B:$AQ,18,FALSE)</f>
        <v>•</v>
      </c>
      <c r="P124" s="288" t="str">
        <f>VLOOKUP(B124,'26MY_CIV4D_DATA'!B:AQ,19,FALSE)</f>
        <v>•</v>
      </c>
      <c r="Q124" s="291" t="str">
        <f>IF(VLOOKUP(B124,'26MY_CIV4D_DATA'!B:AQ,21,FALSE)="","",VLOOKUP(B124,'26MY_CIV4D_DATA'!B:AQ,21,FALSE))</f>
        <v>Séparateurs seulement.</v>
      </c>
    </row>
    <row r="125" spans="2:17" s="135" customFormat="1" ht="12" customHeight="1">
      <c r="B125" s="271"/>
      <c r="C125" s="19"/>
      <c r="D125" s="27"/>
      <c r="E125" s="21"/>
      <c r="F125" s="21"/>
      <c r="G125" s="22"/>
      <c r="H125" s="23"/>
      <c r="I125" s="24"/>
      <c r="J125" s="24"/>
      <c r="K125" s="24"/>
      <c r="L125" s="24"/>
      <c r="M125" s="24"/>
      <c r="N125" s="24"/>
      <c r="O125" s="24"/>
      <c r="P125" s="24"/>
      <c r="Q125" s="25"/>
    </row>
    <row r="126" spans="2:17" s="133" customFormat="1" ht="18.5">
      <c r="B126" s="272"/>
      <c r="C126" s="152" t="s">
        <v>97</v>
      </c>
      <c r="D126" s="152"/>
      <c r="E126" s="48"/>
      <c r="F126" s="49"/>
      <c r="G126" s="49"/>
      <c r="H126" s="49"/>
      <c r="I126" s="49"/>
      <c r="J126" s="49"/>
      <c r="K126" s="49"/>
      <c r="L126" s="49"/>
      <c r="M126" s="49"/>
      <c r="N126" s="49"/>
      <c r="O126" s="49"/>
      <c r="P126" s="49"/>
      <c r="Q126" s="49"/>
    </row>
    <row r="127" spans="2:17" s="134" customFormat="1" ht="15" customHeight="1">
      <c r="B127" s="273"/>
      <c r="C127" s="346" t="s">
        <v>81</v>
      </c>
      <c r="D127" s="346" t="s">
        <v>82</v>
      </c>
      <c r="E127" s="346" t="s">
        <v>83</v>
      </c>
      <c r="F127" s="346" t="s">
        <v>84</v>
      </c>
      <c r="G127" s="346" t="s">
        <v>85</v>
      </c>
      <c r="H127" s="347" t="s">
        <v>86</v>
      </c>
      <c r="I127" s="346" t="s">
        <v>25</v>
      </c>
      <c r="J127" s="346"/>
      <c r="K127" s="346"/>
      <c r="L127" s="346"/>
      <c r="M127" s="346"/>
      <c r="N127" s="346"/>
      <c r="O127" s="346"/>
      <c r="P127" s="346"/>
      <c r="Q127" s="346" t="s">
        <v>87</v>
      </c>
    </row>
    <row r="128" spans="2:17" s="134" customFormat="1" ht="43.5">
      <c r="B128" s="273"/>
      <c r="C128" s="346"/>
      <c r="D128" s="346"/>
      <c r="E128" s="346"/>
      <c r="F128" s="346"/>
      <c r="G128" s="346"/>
      <c r="H128" s="347"/>
      <c r="I128" s="178" t="str">
        <f>'26MY_CIV4D_DATA'!M$8</f>
        <v>LX</v>
      </c>
      <c r="J128" s="178">
        <f>'26MY_CIV4D_DATA'!N$8</f>
        <v>0</v>
      </c>
      <c r="K128" s="178">
        <f>'26MY_CIV4D_DATA'!O$8</f>
        <v>0</v>
      </c>
      <c r="L128" s="178" t="str">
        <f>'26MY_CIV4D_DATA'!P$8</f>
        <v>SPORT</v>
      </c>
      <c r="M128" s="178" t="str">
        <f>'26MY_CIV4D_DATA'!Q$8</f>
        <v>SPORT 
Hybride</v>
      </c>
      <c r="N128" s="178">
        <f>'26MY_CIV4D_DATA'!R$8</f>
        <v>0</v>
      </c>
      <c r="O128" s="178" t="str">
        <f>'26MY_CIV4D_DATA'!S$8</f>
        <v>Sport Touring Hybride</v>
      </c>
      <c r="P128" s="178" t="str">
        <f>'26MY_CIV4D_DATA'!T$8</f>
        <v>Si</v>
      </c>
      <c r="Q128" s="346"/>
    </row>
    <row r="129" spans="2:17" s="135" customFormat="1" ht="15" customHeight="1">
      <c r="B129" s="271" t="s">
        <v>225</v>
      </c>
      <c r="C129" s="233" t="str">
        <f>VLOOKUP(B129,'26MY_CIV4D_DATA'!B:AQ,4,FALSE)</f>
        <v>Chauffe-moteur - 1,5 L</v>
      </c>
      <c r="D129" s="79" t="str">
        <f t="shared" ref="D129:D132" si="21">B129</f>
        <v>08T44-TLA-300A</v>
      </c>
      <c r="E129" s="280">
        <f>VLOOKUP(B129,'26MY_CIV4D_DATA'!B:AQ,9,FALSE)</f>
        <v>134</v>
      </c>
      <c r="F129" s="280">
        <f>VLOOKUP(B129,'26MY_CIV4D_DATA'!B:AQ,10,FALSE)</f>
        <v>223</v>
      </c>
      <c r="G129" s="287">
        <f>VLOOKUP(B129,'26MY_CIV4D_DATA'!B:AQ,7,FALSE)</f>
        <v>1.4</v>
      </c>
      <c r="H129" s="281">
        <f>VLOOKUP(B129,'26MY_CIV4D_DATA'!B:AQ,11,FALSE)</f>
        <v>476.4</v>
      </c>
      <c r="I129" s="288" t="str">
        <f>VLOOKUP(B129,'26MY_CIV4D_DATA'!B:AQ,12,FALSE)</f>
        <v>N/A</v>
      </c>
      <c r="J129" s="288">
        <f>VLOOKUP(B129,'26MY_CIV4D_DATA'!B:AQ,13,FALSE)</f>
        <v>0</v>
      </c>
      <c r="K129" s="288">
        <f>VLOOKUP($B129,'26MY_CIV4D_DATA'!$B:$AQ,14,FALSE)</f>
        <v>0</v>
      </c>
      <c r="L129" s="288" t="str">
        <f>VLOOKUP(B129,'26MY_CIV4D_DATA'!B:AQ,15,FALSE)</f>
        <v>N/A</v>
      </c>
      <c r="M129" s="288" t="str">
        <f>VLOOKUP($B129,'26MY_CIV4D_DATA'!$B:$AQ,16,FALSE)</f>
        <v>N/A</v>
      </c>
      <c r="N129" s="288">
        <f>VLOOKUP($B129,'26MY_CIV4D_DATA'!$B:$AQ,17,FALSE)</f>
        <v>0</v>
      </c>
      <c r="O129" s="288" t="str">
        <f>VLOOKUP($B129,'26MY_CIV4D_DATA'!$B:$AQ,18,FALSE)</f>
        <v>N/A</v>
      </c>
      <c r="P129" s="288" t="str">
        <f>VLOOKUP(B129,'26MY_CIV4D_DATA'!B:AQ,19,FALSE)</f>
        <v>•</v>
      </c>
      <c r="Q129" s="291" t="str">
        <f>IF(VLOOKUP(B129,'26MY_CIV4D_DATA'!B:AQ,21,FALSE)="","",VLOOKUP(B129,'26MY_CIV4D_DATA'!B:AQ,21,FALSE))</f>
        <v/>
      </c>
    </row>
    <row r="130" spans="2:17" s="135" customFormat="1" ht="15" customHeight="1">
      <c r="B130" s="271" t="s">
        <v>226</v>
      </c>
      <c r="C130" s="233" t="str">
        <f>VLOOKUP(B130,'26MY_CIV4D_DATA'!B:AQ,4,FALSE)</f>
        <v>Chauffe-moteur - 2,0 L</v>
      </c>
      <c r="D130" s="79" t="str">
        <f t="shared" si="21"/>
        <v>08T44-SNA-302</v>
      </c>
      <c r="E130" s="280">
        <f>VLOOKUP(B130,'26MY_CIV4D_DATA'!B:AQ,9,FALSE)</f>
        <v>149</v>
      </c>
      <c r="F130" s="280">
        <f>VLOOKUP(B130,'26MY_CIV4D_DATA'!B:AQ,10,FALSE)</f>
        <v>248</v>
      </c>
      <c r="G130" s="287">
        <f>VLOOKUP(B130,'26MY_CIV4D_DATA'!B:AQ,7,FALSE)</f>
        <v>1.4</v>
      </c>
      <c r="H130" s="281">
        <f>VLOOKUP(B130,'26MY_CIV4D_DATA'!B:AQ,11,FALSE)</f>
        <v>501.4</v>
      </c>
      <c r="I130" s="288" t="str">
        <f>VLOOKUP(B130,'26MY_CIV4D_DATA'!B:AQ,12,FALSE)</f>
        <v>•</v>
      </c>
      <c r="J130" s="288">
        <f>VLOOKUP(B130,'26MY_CIV4D_DATA'!B:AQ,13,FALSE)</f>
        <v>0</v>
      </c>
      <c r="K130" s="288">
        <f>VLOOKUP($B130,'26MY_CIV4D_DATA'!$B:$AQ,14,FALSE)</f>
        <v>0</v>
      </c>
      <c r="L130" s="288" t="str">
        <f>VLOOKUP(B130,'26MY_CIV4D_DATA'!B:AQ,15,FALSE)</f>
        <v>•</v>
      </c>
      <c r="M130" s="288" t="str">
        <f>VLOOKUP($B130,'26MY_CIV4D_DATA'!$B:$AQ,16,FALSE)</f>
        <v>•</v>
      </c>
      <c r="N130" s="288">
        <f>VLOOKUP($B130,'26MY_CIV4D_DATA'!$B:$AQ,17,FALSE)</f>
        <v>0</v>
      </c>
      <c r="O130" s="288" t="str">
        <f>VLOOKUP($B130,'26MY_CIV4D_DATA'!$B:$AQ,18,FALSE)</f>
        <v>•</v>
      </c>
      <c r="P130" s="288" t="str">
        <f>VLOOKUP(B130,'26MY_CIV4D_DATA'!B:AQ,19,FALSE)</f>
        <v>N/A</v>
      </c>
      <c r="Q130" s="291" t="str">
        <f>IF(VLOOKUP(B130,'26MY_CIV4D_DATA'!B:AQ,21,FALSE)="","",VLOOKUP(B130,'26MY_CIV4D_DATA'!B:AQ,21,FALSE))</f>
        <v/>
      </c>
    </row>
    <row r="131" spans="2:17" s="135" customFormat="1" ht="14.5">
      <c r="B131" s="271" t="s">
        <v>112</v>
      </c>
      <c r="C131" s="233" t="str">
        <f>VLOOKUP(B131,'26MY_CIV4D_DATA'!B:AQ,4,FALSE)</f>
        <v>Garniture de seuil de portière illuminée</v>
      </c>
      <c r="D131" s="79" t="str">
        <f t="shared" si="21"/>
        <v>08E12-T20-100B</v>
      </c>
      <c r="E131" s="280">
        <f>VLOOKUP(B131,'26MY_CIV4D_DATA'!B:AQ,9,FALSE)</f>
        <v>256</v>
      </c>
      <c r="F131" s="280">
        <f>VLOOKUP(B131,'26MY_CIV4D_DATA'!B:AQ,10,FALSE)</f>
        <v>427</v>
      </c>
      <c r="G131" s="287">
        <f>VLOOKUP(B131,'26MY_CIV4D_DATA'!B:AQ,7,FALSE)</f>
        <v>1.1000000000000001</v>
      </c>
      <c r="H131" s="281">
        <f>VLOOKUP(B131,'26MY_CIV4D_DATA'!B:AQ,11,FALSE)</f>
        <v>626.1</v>
      </c>
      <c r="I131" s="288" t="str">
        <f>VLOOKUP(B131,'26MY_CIV4D_DATA'!B:AQ,12,FALSE)</f>
        <v>•</v>
      </c>
      <c r="J131" s="288">
        <f>VLOOKUP(B131,'26MY_CIV4D_DATA'!B:AQ,13,FALSE)</f>
        <v>0</v>
      </c>
      <c r="K131" s="288">
        <f>VLOOKUP($B131,'26MY_CIV4D_DATA'!$B:$AQ,14,FALSE)</f>
        <v>0</v>
      </c>
      <c r="L131" s="288" t="str">
        <f>VLOOKUP(B131,'26MY_CIV4D_DATA'!B:AQ,15,FALSE)</f>
        <v>•</v>
      </c>
      <c r="M131" s="288" t="str">
        <f>VLOOKUP($B131,'26MY_CIV4D_DATA'!$B:$AQ,16,FALSE)</f>
        <v>•</v>
      </c>
      <c r="N131" s="288">
        <f>VLOOKUP($B131,'26MY_CIV4D_DATA'!$B:$AQ,17,FALSE)</f>
        <v>0</v>
      </c>
      <c r="O131" s="288" t="str">
        <f>VLOOKUP($B131,'26MY_CIV4D_DATA'!$B:$AQ,18,FALSE)</f>
        <v>•</v>
      </c>
      <c r="P131" s="288" t="str">
        <f>VLOOKUP(B131,'26MY_CIV4D_DATA'!B:AQ,19,FALSE)</f>
        <v>•</v>
      </c>
      <c r="Q131" s="291" t="str">
        <f>IF(VLOOKUP(B131,'26MY_CIV4D_DATA'!B:AQ,21,FALSE)="","",VLOOKUP(B131,'26MY_CIV4D_DATA'!B:AQ,21,FALSE))</f>
        <v>Inclut avant et arrière garniture. Éclairage avant seulement.</v>
      </c>
    </row>
    <row r="132" spans="2:17" s="135" customFormat="1" ht="14.5">
      <c r="B132" s="271" t="s">
        <v>27</v>
      </c>
      <c r="C132" s="233" t="str">
        <f>VLOOKUP(B132,'26MY_CIV4D_DATA'!B:AQ,4,FALSE)</f>
        <v>Chargeur/mainteneur de batterie automobile 12 V Optimate</v>
      </c>
      <c r="D132" s="79" t="str">
        <f t="shared" si="21"/>
        <v>31670-BMS-004H</v>
      </c>
      <c r="E132" s="280">
        <f>VLOOKUP(B132,'26MY_CIV4D_DATA'!B:AQ,9,FALSE)</f>
        <v>94</v>
      </c>
      <c r="F132" s="280">
        <f>VLOOKUP(B132,'26MY_CIV4D_DATA'!B:AQ,10,FALSE)</f>
        <v>157</v>
      </c>
      <c r="G132" s="287">
        <f>VLOOKUP(B132,'26MY_CIV4D_DATA'!B:AQ,7,FALSE)</f>
        <v>0</v>
      </c>
      <c r="H132" s="281">
        <f>VLOOKUP(B132,'26MY_CIV4D_DATA'!B:AQ,11,FALSE)</f>
        <v>157</v>
      </c>
      <c r="I132" s="288" t="str">
        <f>VLOOKUP(B132,'26MY_CIV4D_DATA'!B:AQ,12,FALSE)</f>
        <v>•</v>
      </c>
      <c r="J132" s="288">
        <f>VLOOKUP(B132,'26MY_CIV4D_DATA'!B:AQ,13,FALSE)</f>
        <v>0</v>
      </c>
      <c r="K132" s="288">
        <f>VLOOKUP($B132,'26MY_CIV4D_DATA'!$B:$AQ,14,FALSE)</f>
        <v>0</v>
      </c>
      <c r="L132" s="288" t="str">
        <f>VLOOKUP(B132,'26MY_CIV4D_DATA'!B:AQ,15,FALSE)</f>
        <v>•</v>
      </c>
      <c r="M132" s="288" t="str">
        <f>VLOOKUP($B132,'26MY_CIV4D_DATA'!$B:$AQ,16,FALSE)</f>
        <v>•</v>
      </c>
      <c r="N132" s="288">
        <f>VLOOKUP($B132,'26MY_CIV4D_DATA'!$B:$AQ,17,FALSE)</f>
        <v>0</v>
      </c>
      <c r="O132" s="288" t="str">
        <f>VLOOKUP($B132,'26MY_CIV4D_DATA'!$B:$AQ,18,FALSE)</f>
        <v>•</v>
      </c>
      <c r="P132" s="288" t="str">
        <f>VLOOKUP(B132,'26MY_CIV4D_DATA'!B:AQ,19,FALSE)</f>
        <v>•</v>
      </c>
      <c r="Q132" s="291" t="str">
        <f>IF(VLOOKUP(B132,'26MY_CIV4D_DATA'!B:AQ,21,FALSE)="","",VLOOKUP(B132,'26MY_CIV4D_DATA'!B:AQ,21,FALSE))</f>
        <v/>
      </c>
    </row>
    <row r="133" spans="2:17" s="135" customFormat="1" ht="14.5">
      <c r="B133" s="271" t="s">
        <v>495</v>
      </c>
      <c r="C133" s="233" t="str">
        <f>VLOOKUP(B133,'26MY_CIV4D_DATA'!B:AQ,4,FALSE)</f>
        <v>Câble de batterie</v>
      </c>
      <c r="D133" s="79" t="str">
        <f t="shared" ref="D133" si="22">B133</f>
        <v>31670-BMS-LEAD</v>
      </c>
      <c r="E133" s="280">
        <f>VLOOKUP(B133,'26MY_CIV4D_DATA'!B:AQ,9,FALSE)</f>
        <v>20</v>
      </c>
      <c r="F133" s="280">
        <f>VLOOKUP(B133,'26MY_CIV4D_DATA'!B:AQ,10,FALSE)</f>
        <v>28</v>
      </c>
      <c r="G133" s="287">
        <f>VLOOKUP(B133,'26MY_CIV4D_DATA'!B:AQ,7,FALSE)</f>
        <v>0</v>
      </c>
      <c r="H133" s="281">
        <f>VLOOKUP(B133,'26MY_CIV4D_DATA'!B:AQ,11,FALSE)</f>
        <v>28</v>
      </c>
      <c r="I133" s="288" t="str">
        <f>VLOOKUP(B133,'26MY_CIV4D_DATA'!B:AQ,12,FALSE)</f>
        <v>•</v>
      </c>
      <c r="J133" s="288">
        <f>VLOOKUP(B133,'26MY_CIV4D_DATA'!B:AQ,13,FALSE)</f>
        <v>0</v>
      </c>
      <c r="K133" s="288">
        <f>VLOOKUP($B133,'26MY_CIV4D_DATA'!$B:$AQ,14,FALSE)</f>
        <v>0</v>
      </c>
      <c r="L133" s="288" t="str">
        <f>VLOOKUP(B133,'26MY_CIV4D_DATA'!B:AQ,15,FALSE)</f>
        <v>•</v>
      </c>
      <c r="M133" s="288" t="str">
        <f>VLOOKUP($B133,'26MY_CIV4D_DATA'!$B:$AQ,16,FALSE)</f>
        <v>•</v>
      </c>
      <c r="N133" s="288">
        <f>VLOOKUP($B133,'26MY_CIV4D_DATA'!$B:$AQ,17,FALSE)</f>
        <v>0</v>
      </c>
      <c r="O133" s="288" t="str">
        <f>VLOOKUP($B133,'26MY_CIV4D_DATA'!$B:$AQ,18,FALSE)</f>
        <v>•</v>
      </c>
      <c r="P133" s="288" t="str">
        <f>VLOOKUP(B133,'26MY_CIV4D_DATA'!B:AQ,19,FALSE)</f>
        <v>•</v>
      </c>
      <c r="Q133" s="291" t="str">
        <f>IF(VLOOKUP(B133,'26MY_CIV4D_DATA'!B:AQ,21,FALSE)="","",VLOOKUP(B133,'26MY_CIV4D_DATA'!B:AQ,21,FALSE))</f>
        <v/>
      </c>
    </row>
    <row r="134" spans="2:17" s="135" customFormat="1" ht="15" customHeight="1">
      <c r="B134" s="271"/>
      <c r="C134" s="136"/>
      <c r="D134" s="199"/>
      <c r="E134" s="132"/>
      <c r="F134" s="132"/>
      <c r="G134" s="200"/>
      <c r="H134" s="132"/>
      <c r="I134" s="132"/>
      <c r="J134" s="132"/>
      <c r="K134" s="132"/>
      <c r="L134" s="132"/>
      <c r="M134" s="132"/>
      <c r="N134" s="132"/>
      <c r="O134" s="132"/>
      <c r="P134" s="132"/>
      <c r="Q134" s="132"/>
    </row>
    <row r="135" spans="2:17" s="133" customFormat="1" ht="18.5">
      <c r="B135" s="271" t="s">
        <v>311</v>
      </c>
      <c r="C135" s="152" t="s">
        <v>99</v>
      </c>
      <c r="D135" s="152"/>
      <c r="E135" s="143"/>
      <c r="F135" s="143"/>
      <c r="G135" s="143"/>
      <c r="H135" s="143"/>
      <c r="I135" s="143"/>
      <c r="J135" s="143"/>
      <c r="K135" s="143"/>
      <c r="L135" s="143"/>
      <c r="M135" s="143"/>
      <c r="N135" s="143"/>
      <c r="O135" s="143"/>
      <c r="P135" s="143"/>
      <c r="Q135" s="143"/>
    </row>
    <row r="136" spans="2:17" s="134" customFormat="1" ht="15" customHeight="1">
      <c r="B136" s="273"/>
      <c r="C136" s="346" t="s">
        <v>81</v>
      </c>
      <c r="D136" s="346" t="s">
        <v>82</v>
      </c>
      <c r="E136" s="346" t="s">
        <v>83</v>
      </c>
      <c r="F136" s="346" t="s">
        <v>84</v>
      </c>
      <c r="G136" s="346" t="s">
        <v>85</v>
      </c>
      <c r="H136" s="347" t="s">
        <v>86</v>
      </c>
      <c r="I136" s="346" t="s">
        <v>25</v>
      </c>
      <c r="J136" s="346"/>
      <c r="K136" s="346"/>
      <c r="L136" s="346"/>
      <c r="M136" s="346"/>
      <c r="N136" s="346"/>
      <c r="O136" s="346"/>
      <c r="P136" s="346"/>
      <c r="Q136" s="346" t="s">
        <v>87</v>
      </c>
    </row>
    <row r="137" spans="2:17" s="134" customFormat="1" ht="43.5">
      <c r="B137" s="273"/>
      <c r="C137" s="346"/>
      <c r="D137" s="346"/>
      <c r="E137" s="346"/>
      <c r="F137" s="346"/>
      <c r="G137" s="346"/>
      <c r="H137" s="347"/>
      <c r="I137" s="178" t="str">
        <f>'26MY_CIV4D_DATA'!M$8</f>
        <v>LX</v>
      </c>
      <c r="J137" s="178">
        <f>'26MY_CIV4D_DATA'!N$8</f>
        <v>0</v>
      </c>
      <c r="K137" s="178">
        <f>'26MY_CIV4D_DATA'!O$8</f>
        <v>0</v>
      </c>
      <c r="L137" s="178" t="str">
        <f>'26MY_CIV4D_DATA'!P$8</f>
        <v>SPORT</v>
      </c>
      <c r="M137" s="178" t="str">
        <f>'26MY_CIV4D_DATA'!Q$8</f>
        <v>SPORT 
Hybride</v>
      </c>
      <c r="N137" s="178">
        <f>'26MY_CIV4D_DATA'!R$8</f>
        <v>0</v>
      </c>
      <c r="O137" s="178" t="str">
        <f>'26MY_CIV4D_DATA'!S$8</f>
        <v>Sport Touring Hybride</v>
      </c>
      <c r="P137" s="178" t="str">
        <f>'26MY_CIV4D_DATA'!T$8</f>
        <v>Si</v>
      </c>
      <c r="Q137" s="346"/>
    </row>
    <row r="138" spans="2:17" s="135" customFormat="1" ht="15" customHeight="1">
      <c r="B138" s="271" t="s">
        <v>426</v>
      </c>
      <c r="C138" s="233" t="str">
        <f>VLOOKUP(B138,'26MY_CIV4D_DATA'!B:AQ,4,FALSE)</f>
        <v>Blanc platine nacré (NH-883P)</v>
      </c>
      <c r="D138" s="79" t="str">
        <f t="shared" ref="D138:D144" si="23">B138</f>
        <v>TUCH-NH883P-A1</v>
      </c>
      <c r="E138" s="337">
        <f>VLOOKUP(B138,'26MY_CIV4D_DATA'!B:AQ,9,FALSE)</f>
        <v>13.25</v>
      </c>
      <c r="F138" s="337">
        <f>VLOOKUP(B138,'26MY_CIV4D_DATA'!B:AQ,10,FALSE)</f>
        <v>22</v>
      </c>
      <c r="G138" s="340">
        <f>VLOOKUP(B138,'26MY_CIV4D_DATA'!B:AQ,7,FALSE)</f>
        <v>0</v>
      </c>
      <c r="H138" s="343">
        <f>VLOOKUP(B138,'26MY_CIV4D_DATA'!B:AQ,11,FALSE)</f>
        <v>22</v>
      </c>
      <c r="I138" s="288" t="str">
        <f>VLOOKUP(B138,'26MY_CIV4D_DATA'!B:AQ,12,FALSE)</f>
        <v>•</v>
      </c>
      <c r="J138" s="288">
        <f>VLOOKUP(B138,'26MY_CIV4D_DATA'!B:AQ,13,FALSE)</f>
        <v>0</v>
      </c>
      <c r="K138" s="288">
        <f>VLOOKUP($B138,'26MY_CIV4D_DATA'!$B:$AQ,14,FALSE)</f>
        <v>0</v>
      </c>
      <c r="L138" s="288" t="str">
        <f>VLOOKUP(B138,'26MY_CIV4D_DATA'!B:AQ,15,FALSE)</f>
        <v>•</v>
      </c>
      <c r="M138" s="288" t="str">
        <f>VLOOKUP($B138,'26MY_CIV4D_DATA'!$B:$AQ,16,FALSE)</f>
        <v>•</v>
      </c>
      <c r="N138" s="288">
        <f>VLOOKUP($B138,'26MY_CIV4D_DATA'!$B:$AQ,17,FALSE)</f>
        <v>0</v>
      </c>
      <c r="O138" s="288" t="str">
        <f>VLOOKUP($B138,'26MY_CIV4D_DATA'!$B:$AQ,18,FALSE)</f>
        <v>•</v>
      </c>
      <c r="P138" s="288" t="str">
        <f>VLOOKUP(B138,'26MY_CIV4D_DATA'!B:AQ,19,FALSE)</f>
        <v>•</v>
      </c>
      <c r="Q138" s="334" t="str">
        <f>IF(VLOOKUP(B138,'26MY_CIV4D_DATA'!B:AQ,21,FALSE)="","",VLOOKUP(B138,'26MY_CIV4D_DATA'!B:AQ,21,FALSE))</f>
        <v/>
      </c>
    </row>
    <row r="139" spans="2:17" s="135" customFormat="1" ht="15" customHeight="1">
      <c r="B139" s="271" t="s">
        <v>262</v>
      </c>
      <c r="C139" s="233" t="str">
        <f>VLOOKUP(B139,'26MY_CIV4D_DATA'!B:AQ,4,FALSE)</f>
        <v>Gris météore nacré (NH-904M)</v>
      </c>
      <c r="D139" s="79" t="str">
        <f t="shared" si="23"/>
        <v>TUCHNH904MA1</v>
      </c>
      <c r="E139" s="338"/>
      <c r="F139" s="338"/>
      <c r="G139" s="341"/>
      <c r="H139" s="344"/>
      <c r="I139" s="288" t="str">
        <f>VLOOKUP(B139,'26MY_CIV4D_DATA'!B:AQ,12,FALSE)</f>
        <v>N/A</v>
      </c>
      <c r="J139" s="288">
        <f>VLOOKUP(B139,'26MY_CIV4D_DATA'!B:AQ,13,FALSE)</f>
        <v>0</v>
      </c>
      <c r="K139" s="288">
        <f>VLOOKUP($B139,'26MY_CIV4D_DATA'!$B:$AQ,14,FALSE)</f>
        <v>0</v>
      </c>
      <c r="L139" s="288" t="str">
        <f>VLOOKUP(B139,'26MY_CIV4D_DATA'!B:AQ,15,FALSE)</f>
        <v>•</v>
      </c>
      <c r="M139" s="288" t="str">
        <f>VLOOKUP($B139,'26MY_CIV4D_DATA'!$B:$AQ,16,FALSE)</f>
        <v>N/A</v>
      </c>
      <c r="N139" s="288">
        <f>VLOOKUP($B139,'26MY_CIV4D_DATA'!$B:$AQ,17,FALSE)</f>
        <v>0</v>
      </c>
      <c r="O139" s="288" t="str">
        <f>VLOOKUP($B139,'26MY_CIV4D_DATA'!$B:$AQ,18,FALSE)</f>
        <v>N/A</v>
      </c>
      <c r="P139" s="288" t="str">
        <f>VLOOKUP(B139,'26MY_CIV4D_DATA'!B:AQ,19,FALSE)</f>
        <v>N/A</v>
      </c>
      <c r="Q139" s="335"/>
    </row>
    <row r="140" spans="2:17" s="135" customFormat="1" ht="15" customHeight="1">
      <c r="B140" s="271" t="s">
        <v>425</v>
      </c>
      <c r="C140" s="233" t="str">
        <f>VLOOKUP(B140,'26MY_CIV4D_DATA'!B:AQ,4,FALSE)</f>
        <v>Noir cristal nacré (NH-731P)</v>
      </c>
      <c r="D140" s="79" t="str">
        <f t="shared" si="23"/>
        <v>TUCH-NH731P-A1</v>
      </c>
      <c r="E140" s="338"/>
      <c r="F140" s="338"/>
      <c r="G140" s="341"/>
      <c r="H140" s="344"/>
      <c r="I140" s="288" t="str">
        <f>VLOOKUP(B140,'26MY_CIV4D_DATA'!B:AQ,12,FALSE)</f>
        <v>•</v>
      </c>
      <c r="J140" s="288">
        <f>VLOOKUP(B140,'26MY_CIV4D_DATA'!B:AQ,13,FALSE)</f>
        <v>0</v>
      </c>
      <c r="K140" s="288">
        <f>VLOOKUP($B140,'26MY_CIV4D_DATA'!$B:$AQ,14,FALSE)</f>
        <v>0</v>
      </c>
      <c r="L140" s="288" t="str">
        <f>VLOOKUP(B140,'26MY_CIV4D_DATA'!B:AQ,15,FALSE)</f>
        <v>•</v>
      </c>
      <c r="M140" s="288" t="str">
        <f>VLOOKUP($B140,'26MY_CIV4D_DATA'!$B:$AQ,16,FALSE)</f>
        <v>•</v>
      </c>
      <c r="N140" s="288">
        <f>VLOOKUP($B140,'26MY_CIV4D_DATA'!$B:$AQ,17,FALSE)</f>
        <v>0</v>
      </c>
      <c r="O140" s="288" t="str">
        <f>VLOOKUP($B140,'26MY_CIV4D_DATA'!$B:$AQ,18,FALSE)</f>
        <v>•</v>
      </c>
      <c r="P140" s="288" t="str">
        <f>VLOOKUP(B140,'26MY_CIV4D_DATA'!B:AQ,19,FALSE)</f>
        <v>•</v>
      </c>
      <c r="Q140" s="335"/>
    </row>
    <row r="141" spans="2:17" s="135" customFormat="1" ht="15" customHeight="1">
      <c r="B141" s="271" t="s">
        <v>263</v>
      </c>
      <c r="C141" s="233" t="str">
        <f>VLOOKUP(B141,'26MY_CIV4D_DATA'!B:AQ,4,FALSE)</f>
        <v>Rouge rallye (R-513)</v>
      </c>
      <c r="D141" s="79" t="str">
        <f t="shared" si="23"/>
        <v>TUCHR513A1</v>
      </c>
      <c r="E141" s="338"/>
      <c r="F141" s="338"/>
      <c r="G141" s="341"/>
      <c r="H141" s="344"/>
      <c r="I141" s="288" t="str">
        <f>VLOOKUP(B141,'26MY_CIV4D_DATA'!B:AQ,12,FALSE)</f>
        <v>•</v>
      </c>
      <c r="J141" s="288">
        <f>VLOOKUP(B141,'26MY_CIV4D_DATA'!B:AQ,13,FALSE)</f>
        <v>0</v>
      </c>
      <c r="K141" s="288">
        <f>VLOOKUP($B141,'26MY_CIV4D_DATA'!$B:$AQ,14,FALSE)</f>
        <v>0</v>
      </c>
      <c r="L141" s="288" t="str">
        <f>VLOOKUP(B141,'26MY_CIV4D_DATA'!B:AQ,15,FALSE)</f>
        <v>•</v>
      </c>
      <c r="M141" s="288" t="str">
        <f>VLOOKUP($B141,'26MY_CIV4D_DATA'!$B:$AQ,16,FALSE)</f>
        <v>•</v>
      </c>
      <c r="N141" s="288">
        <f>VLOOKUP($B141,'26MY_CIV4D_DATA'!$B:$AQ,17,FALSE)</f>
        <v>0</v>
      </c>
      <c r="O141" s="288" t="str">
        <f>VLOOKUP($B141,'26MY_CIV4D_DATA'!$B:$AQ,18,FALSE)</f>
        <v>•</v>
      </c>
      <c r="P141" s="288" t="str">
        <f>VLOOKUP(B141,'26MY_CIV4D_DATA'!B:AQ,19,FALSE)</f>
        <v>•</v>
      </c>
      <c r="Q141" s="335"/>
    </row>
    <row r="142" spans="2:17" s="135" customFormat="1" ht="15" customHeight="1">
      <c r="B142" s="271" t="s">
        <v>415</v>
      </c>
      <c r="C142" s="233" t="str">
        <f>VLOOKUP(B142,'26MY_CIV4D_DATA'!B:AQ,4,FALSE)</f>
        <v>Gris urbain nacré  (NH-912P)</v>
      </c>
      <c r="D142" s="79" t="str">
        <f t="shared" si="23"/>
        <v>TUCHNH912PA1</v>
      </c>
      <c r="E142" s="338"/>
      <c r="F142" s="338"/>
      <c r="G142" s="341"/>
      <c r="H142" s="344"/>
      <c r="I142" s="288" t="str">
        <f>VLOOKUP(B142,'26MY_CIV4D_DATA'!B:AQ,12,FALSE)</f>
        <v>N/A</v>
      </c>
      <c r="J142" s="288">
        <f>VLOOKUP(B142,'26MY_CIV4D_DATA'!B:AQ,13,FALSE)</f>
        <v>0</v>
      </c>
      <c r="K142" s="288">
        <f>VLOOKUP($B142,'26MY_CIV4D_DATA'!$B:$AQ,14,FALSE)</f>
        <v>0</v>
      </c>
      <c r="L142" s="288" t="str">
        <f>VLOOKUP(B142,'26MY_CIV4D_DATA'!B:AQ,15,FALSE)</f>
        <v>N/A</v>
      </c>
      <c r="M142" s="288" t="str">
        <f>VLOOKUP($B142,'26MY_CIV4D_DATA'!$B:$AQ,16,FALSE)</f>
        <v>N/A</v>
      </c>
      <c r="N142" s="288">
        <f>VLOOKUP($B142,'26MY_CIV4D_DATA'!$B:$AQ,17,FALSE)</f>
        <v>0</v>
      </c>
      <c r="O142" s="288" t="str">
        <f>VLOOKUP($B142,'26MY_CIV4D_DATA'!$B:$AQ,18,FALSE)</f>
        <v>•</v>
      </c>
      <c r="P142" s="288" t="str">
        <f>VLOOKUP(B142,'26MY_CIV4D_DATA'!B:AQ,19,FALSE)</f>
        <v>•</v>
      </c>
      <c r="Q142" s="335"/>
    </row>
    <row r="143" spans="2:17" s="135" customFormat="1" ht="15" customHeight="1">
      <c r="B143" s="271" t="s">
        <v>418</v>
      </c>
      <c r="C143" s="233" t="str">
        <f>VLOOKUP(B143,'26MY_CIV4D_DATA'!B:AQ,4,FALSE)</f>
        <v>Bleu océanique nacré (B-645P)</v>
      </c>
      <c r="D143" s="79" t="str">
        <f t="shared" si="23"/>
        <v>TUCHB645PA1</v>
      </c>
      <c r="E143" s="338"/>
      <c r="F143" s="338"/>
      <c r="G143" s="341"/>
      <c r="H143" s="344"/>
      <c r="I143" s="288" t="str">
        <f>VLOOKUP(B143,'26MY_CIV4D_DATA'!B:AQ,12,FALSE)</f>
        <v>N/A</v>
      </c>
      <c r="J143" s="288">
        <f>VLOOKUP(B143,'26MY_CIV4D_DATA'!B:AQ,13,FALSE)</f>
        <v>0</v>
      </c>
      <c r="K143" s="288">
        <f>VLOOKUP($B143,'26MY_CIV4D_DATA'!$B:$AQ,14,FALSE)</f>
        <v>0</v>
      </c>
      <c r="L143" s="288" t="str">
        <f>VLOOKUP(B143,'26MY_CIV4D_DATA'!B:AQ,15,FALSE)</f>
        <v>N/A</v>
      </c>
      <c r="M143" s="288" t="str">
        <f>VLOOKUP($B143,'26MY_CIV4D_DATA'!$B:$AQ,16,FALSE)</f>
        <v>N/A</v>
      </c>
      <c r="N143" s="288">
        <f>VLOOKUP($B143,'26MY_CIV4D_DATA'!$B:$AQ,17,FALSE)</f>
        <v>0</v>
      </c>
      <c r="O143" s="288" t="str">
        <f>VLOOKUP($B143,'26MY_CIV4D_DATA'!$B:$AQ,18,FALSE)</f>
        <v>•</v>
      </c>
      <c r="P143" s="288" t="str">
        <f>VLOOKUP(B143,'26MY_CIV4D_DATA'!B:AQ,19,FALSE)</f>
        <v>N/A</v>
      </c>
      <c r="Q143" s="335"/>
    </row>
    <row r="144" spans="2:17" s="135" customFormat="1" ht="15" customHeight="1">
      <c r="B144" s="271" t="s">
        <v>412</v>
      </c>
      <c r="C144" s="233" t="str">
        <f>VLOOKUP(B144,'26MY_CIV4D_DATA'!B:AQ,4,FALSE)</f>
        <v>Refl et solaire argent métallisé (NH-932M)</v>
      </c>
      <c r="D144" s="79" t="str">
        <f t="shared" si="23"/>
        <v>TUCHNH932MA1</v>
      </c>
      <c r="E144" s="339"/>
      <c r="F144" s="339"/>
      <c r="G144" s="342"/>
      <c r="H144" s="345"/>
      <c r="I144" s="288" t="str">
        <f>VLOOKUP(B144,'26MY_CIV4D_DATA'!B:AQ,12,FALSE)</f>
        <v>•</v>
      </c>
      <c r="J144" s="288">
        <f>VLOOKUP(B144,'26MY_CIV4D_DATA'!B:AQ,13,FALSE)</f>
        <v>0</v>
      </c>
      <c r="K144" s="288">
        <f>VLOOKUP($B144,'26MY_CIV4D_DATA'!$B:$AQ,14,FALSE)</f>
        <v>0</v>
      </c>
      <c r="L144" s="288" t="str">
        <f>VLOOKUP(B144,'26MY_CIV4D_DATA'!B:AQ,15,FALSE)</f>
        <v>•</v>
      </c>
      <c r="M144" s="288" t="str">
        <f>VLOOKUP($B144,'26MY_CIV4D_DATA'!$B:$AQ,16,FALSE)</f>
        <v>•</v>
      </c>
      <c r="N144" s="288">
        <f>VLOOKUP($B144,'26MY_CIV4D_DATA'!$B:$AQ,17,FALSE)</f>
        <v>0</v>
      </c>
      <c r="O144" s="288" t="str">
        <f>VLOOKUP($B144,'26MY_CIV4D_DATA'!$B:$AQ,18,FALSE)</f>
        <v>•</v>
      </c>
      <c r="P144" s="288" t="str">
        <f>VLOOKUP(B144,'26MY_CIV4D_DATA'!B:AQ,19,FALSE)</f>
        <v>N/A</v>
      </c>
      <c r="Q144" s="336"/>
    </row>
    <row r="145" spans="2:17" s="134" customFormat="1" ht="7" customHeight="1">
      <c r="B145" s="273"/>
      <c r="C145" s="198"/>
      <c r="D145" s="188"/>
      <c r="E145" s="188"/>
      <c r="F145" s="188"/>
      <c r="G145" s="188"/>
      <c r="H145" s="188"/>
      <c r="I145" s="188"/>
      <c r="J145" s="188"/>
      <c r="K145" s="188"/>
      <c r="L145" s="188"/>
      <c r="M145" s="188"/>
      <c r="N145" s="188"/>
      <c r="O145" s="188"/>
      <c r="P145" s="188"/>
      <c r="Q145" s="194"/>
    </row>
    <row r="146" spans="2:17" s="135" customFormat="1" ht="15" customHeight="1">
      <c r="B146" s="271" t="s">
        <v>65</v>
      </c>
      <c r="C146" s="233" t="str">
        <f>VLOOKUP(B146,'26MY_CIV4D_DATA'!B:AQ,4,FALSE)</f>
        <v>Aiguilles abrasives fines</v>
      </c>
      <c r="D146" s="79" t="str">
        <f t="shared" ref="D146:D148" si="24">B146</f>
        <v>TUCH-NEEDLES</v>
      </c>
      <c r="E146" s="280">
        <f>VLOOKUP(B146,'26MY_CIV4D_DATA'!B:AQ,9,FALSE)</f>
        <v>9.5</v>
      </c>
      <c r="F146" s="280">
        <f>VLOOKUP(B146,'26MY_CIV4D_DATA'!B:AQ,10,FALSE)</f>
        <v>15.75</v>
      </c>
      <c r="G146" s="287">
        <f>VLOOKUP(B146,'26MY_CIV4D_DATA'!B:AQ,7,FALSE)</f>
        <v>0</v>
      </c>
      <c r="H146" s="281">
        <f>VLOOKUP(B146,'26MY_CIV4D_DATA'!B:AQ,11,FALSE)</f>
        <v>15.75</v>
      </c>
      <c r="I146" s="288" t="str">
        <f>VLOOKUP(B146,'26MY_CIV4D_DATA'!B:AQ,12,FALSE)</f>
        <v>•</v>
      </c>
      <c r="J146" s="288">
        <f>VLOOKUP(B146,'26MY_CIV4D_DATA'!B:AQ,13,FALSE)</f>
        <v>0</v>
      </c>
      <c r="K146" s="288">
        <f>VLOOKUP($B146,'26MY_CIV4D_DATA'!$B:$AQ,14,FALSE)</f>
        <v>0</v>
      </c>
      <c r="L146" s="288" t="str">
        <f>VLOOKUP(B146,'26MY_CIV4D_DATA'!B:AQ,15,FALSE)</f>
        <v>•</v>
      </c>
      <c r="M146" s="288" t="str">
        <f>VLOOKUP($B146,'26MY_CIV4D_DATA'!$B:$AQ,16,FALSE)</f>
        <v>•</v>
      </c>
      <c r="N146" s="288">
        <f>VLOOKUP($B146,'26MY_CIV4D_DATA'!$B:$AQ,17,FALSE)</f>
        <v>0</v>
      </c>
      <c r="O146" s="288" t="str">
        <f>VLOOKUP($B146,'26MY_CIV4D_DATA'!$B:$AQ,18,FALSE)</f>
        <v>•</v>
      </c>
      <c r="P146" s="288" t="str">
        <f>VLOOKUP(B146,'26MY_CIV4D_DATA'!B:AQ,19,FALSE)</f>
        <v>•</v>
      </c>
      <c r="Q146" s="291" t="str">
        <f>IF(VLOOKUP(B146,'26MY_CIV4D_DATA'!B:AQ,21,FALSE)="","",VLOOKUP(B146,'26MY_CIV4D_DATA'!B:AQ,21,FALSE))</f>
        <v>Quantité de 5</v>
      </c>
    </row>
    <row r="147" spans="2:17" s="135" customFormat="1" ht="15" customHeight="1">
      <c r="B147" s="271" t="s">
        <v>64</v>
      </c>
      <c r="C147" s="233" t="str">
        <f>VLOOKUP(B147,'26MY_CIV4D_DATA'!B:AQ,4,FALSE)</f>
        <v>Bâtons abrasifs fins</v>
      </c>
      <c r="D147" s="79" t="str">
        <f t="shared" si="24"/>
        <v>TUCH-STICKS</v>
      </c>
      <c r="E147" s="280">
        <f>VLOOKUP(B147,'26MY_CIV4D_DATA'!B:AQ,9,FALSE)</f>
        <v>2.4500000000000002</v>
      </c>
      <c r="F147" s="280">
        <f>VLOOKUP(B147,'26MY_CIV4D_DATA'!B:AQ,10,FALSE)</f>
        <v>4</v>
      </c>
      <c r="G147" s="287">
        <f>VLOOKUP(B147,'26MY_CIV4D_DATA'!B:AQ,7,FALSE)</f>
        <v>0</v>
      </c>
      <c r="H147" s="281">
        <f>VLOOKUP(B147,'26MY_CIV4D_DATA'!B:AQ,11,FALSE)</f>
        <v>4</v>
      </c>
      <c r="I147" s="288" t="str">
        <f>VLOOKUP(B147,'26MY_CIV4D_DATA'!B:AQ,12,FALSE)</f>
        <v>•</v>
      </c>
      <c r="J147" s="288">
        <f>VLOOKUP(B147,'26MY_CIV4D_DATA'!B:AQ,13,FALSE)</f>
        <v>0</v>
      </c>
      <c r="K147" s="288">
        <f>VLOOKUP($B147,'26MY_CIV4D_DATA'!$B:$AQ,14,FALSE)</f>
        <v>0</v>
      </c>
      <c r="L147" s="288" t="str">
        <f>VLOOKUP(B147,'26MY_CIV4D_DATA'!B:AQ,15,FALSE)</f>
        <v>•</v>
      </c>
      <c r="M147" s="288" t="str">
        <f>VLOOKUP($B147,'26MY_CIV4D_DATA'!$B:$AQ,16,FALSE)</f>
        <v>•</v>
      </c>
      <c r="N147" s="288">
        <f>VLOOKUP($B147,'26MY_CIV4D_DATA'!$B:$AQ,17,FALSE)</f>
        <v>0</v>
      </c>
      <c r="O147" s="288" t="str">
        <f>VLOOKUP($B147,'26MY_CIV4D_DATA'!$B:$AQ,18,FALSE)</f>
        <v>•</v>
      </c>
      <c r="P147" s="288" t="str">
        <f>VLOOKUP(B147,'26MY_CIV4D_DATA'!B:AQ,19,FALSE)</f>
        <v>•</v>
      </c>
      <c r="Q147" s="291" t="str">
        <f>IF(VLOOKUP(B147,'26MY_CIV4D_DATA'!B:AQ,21,FALSE)="","",VLOOKUP(B147,'26MY_CIV4D_DATA'!B:AQ,21,FALSE))</f>
        <v>Quantité de 5</v>
      </c>
    </row>
    <row r="148" spans="2:17" s="135" customFormat="1" ht="15" customHeight="1">
      <c r="B148" s="271" t="s">
        <v>63</v>
      </c>
      <c r="C148" s="233" t="str">
        <f>VLOOKUP(B148,'26MY_CIV4D_DATA'!B:AQ,4,FALSE)</f>
        <v>Pointes de remplacement pour stylos de peinture</v>
      </c>
      <c r="D148" s="79" t="str">
        <f t="shared" si="24"/>
        <v>TUCH-TIPS</v>
      </c>
      <c r="E148" s="280">
        <f>VLOOKUP(B148,'26MY_CIV4D_DATA'!B:AQ,9,FALSE)</f>
        <v>6.25</v>
      </c>
      <c r="F148" s="280">
        <f>VLOOKUP(B148,'26MY_CIV4D_DATA'!B:AQ,10,FALSE)</f>
        <v>13.75</v>
      </c>
      <c r="G148" s="287">
        <f>VLOOKUP(B148,'26MY_CIV4D_DATA'!B:AQ,7,FALSE)</f>
        <v>0</v>
      </c>
      <c r="H148" s="281">
        <f>VLOOKUP(B148,'26MY_CIV4D_DATA'!B:AQ,11,FALSE)</f>
        <v>13.75</v>
      </c>
      <c r="I148" s="288" t="str">
        <f>VLOOKUP(B148,'26MY_CIV4D_DATA'!B:AQ,12,FALSE)</f>
        <v>•</v>
      </c>
      <c r="J148" s="288">
        <f>VLOOKUP(B148,'26MY_CIV4D_DATA'!B:AQ,13,FALSE)</f>
        <v>0</v>
      </c>
      <c r="K148" s="288">
        <f>VLOOKUP($B148,'26MY_CIV4D_DATA'!$B:$AQ,14,FALSE)</f>
        <v>0</v>
      </c>
      <c r="L148" s="288" t="str">
        <f>VLOOKUP(B148,'26MY_CIV4D_DATA'!B:AQ,15,FALSE)</f>
        <v>•</v>
      </c>
      <c r="M148" s="288" t="str">
        <f>VLOOKUP($B148,'26MY_CIV4D_DATA'!$B:$AQ,16,FALSE)</f>
        <v>•</v>
      </c>
      <c r="N148" s="288">
        <f>VLOOKUP($B148,'26MY_CIV4D_DATA'!$B:$AQ,17,FALSE)</f>
        <v>0</v>
      </c>
      <c r="O148" s="288" t="str">
        <f>VLOOKUP($B148,'26MY_CIV4D_DATA'!$B:$AQ,18,FALSE)</f>
        <v>•</v>
      </c>
      <c r="P148" s="288" t="str">
        <f>VLOOKUP(B148,'26MY_CIV4D_DATA'!B:AQ,19,FALSE)</f>
        <v>•</v>
      </c>
      <c r="Q148" s="291" t="str">
        <f>IF(VLOOKUP(B148,'26MY_CIV4D_DATA'!B:AQ,21,FALSE)="","",VLOOKUP(B148,'26MY_CIV4D_DATA'!B:AQ,21,FALSE))</f>
        <v>Quantité de 25</v>
      </c>
    </row>
    <row r="149" spans="2:17" s="135" customFormat="1" ht="15" customHeight="1">
      <c r="B149" s="274"/>
      <c r="C149" s="20"/>
      <c r="D149" s="26"/>
      <c r="E149" s="18"/>
      <c r="F149" s="18"/>
      <c r="G149" s="16"/>
      <c r="H149" s="17"/>
      <c r="I149" s="16"/>
      <c r="J149" s="16"/>
      <c r="K149" s="16"/>
      <c r="L149" s="16"/>
      <c r="M149" s="16"/>
      <c r="N149" s="16"/>
      <c r="O149" s="16"/>
      <c r="P149" s="16"/>
      <c r="Q149" s="16"/>
    </row>
    <row r="150" spans="2:17" s="135" customFormat="1" ht="15" customHeight="1">
      <c r="B150" s="274"/>
      <c r="C150" s="44" t="s">
        <v>270</v>
      </c>
      <c r="D150" s="43" t="s">
        <v>102</v>
      </c>
      <c r="E150" s="129"/>
      <c r="F150" s="129"/>
      <c r="G150" s="129"/>
      <c r="H150" s="129"/>
      <c r="I150" s="129"/>
      <c r="J150" s="129"/>
      <c r="K150" s="129"/>
      <c r="L150" s="129"/>
      <c r="M150" s="129"/>
      <c r="N150" s="129"/>
      <c r="O150" s="129"/>
      <c r="P150" s="129"/>
      <c r="Q150" s="129"/>
    </row>
    <row r="151" spans="2:17" ht="14.25" customHeight="1">
      <c r="C151" s="137">
        <f>'26MY_CIV4D_DATA'!$C$5</f>
        <v>46113</v>
      </c>
      <c r="D151" s="43" t="s">
        <v>409</v>
      </c>
      <c r="E151" s="51"/>
      <c r="F151" s="51"/>
      <c r="G151" s="51"/>
      <c r="H151" s="51"/>
      <c r="I151" s="51"/>
      <c r="J151" s="51"/>
      <c r="K151" s="51"/>
      <c r="L151" s="51"/>
      <c r="M151" s="51"/>
      <c r="N151" s="51"/>
      <c r="O151" s="51"/>
      <c r="P151" s="51"/>
      <c r="Q151" s="51"/>
    </row>
    <row r="152" spans="2:17" ht="14.25" customHeight="1"/>
    <row r="153" spans="2:17" ht="14.25" customHeight="1"/>
    <row r="154" spans="2:17" ht="14.25" customHeight="1"/>
    <row r="155" spans="2:17" ht="14.25" customHeight="1"/>
    <row r="156" spans="2:17" ht="14.25" customHeight="1"/>
    <row r="157" spans="2:17" ht="14.25" customHeight="1"/>
    <row r="158" spans="2:17" ht="14.25" customHeight="1"/>
    <row r="159" spans="2:17" ht="14.25" customHeight="1"/>
    <row r="160" spans="2:17"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sheetData>
  <mergeCells count="164">
    <mergeCell ref="C5:O5"/>
    <mergeCell ref="C6:O6"/>
    <mergeCell ref="C7:O7"/>
    <mergeCell ref="C8:O8"/>
    <mergeCell ref="I136:P136"/>
    <mergeCell ref="Q136:Q137"/>
    <mergeCell ref="Q113:Q114"/>
    <mergeCell ref="C127:C128"/>
    <mergeCell ref="D127:D128"/>
    <mergeCell ref="E127:E128"/>
    <mergeCell ref="F127:F128"/>
    <mergeCell ref="G127:G128"/>
    <mergeCell ref="H127:H128"/>
    <mergeCell ref="I127:P127"/>
    <mergeCell ref="Q127:Q128"/>
    <mergeCell ref="C113:C114"/>
    <mergeCell ref="D113:D114"/>
    <mergeCell ref="E113:E114"/>
    <mergeCell ref="F113:F114"/>
    <mergeCell ref="G113:G114"/>
    <mergeCell ref="H113:H114"/>
    <mergeCell ref="I113:P113"/>
    <mergeCell ref="I55:P55"/>
    <mergeCell ref="Q55:Q56"/>
    <mergeCell ref="E138:E144"/>
    <mergeCell ref="F138:F144"/>
    <mergeCell ref="G138:G144"/>
    <mergeCell ref="H138:H144"/>
    <mergeCell ref="Q138:Q144"/>
    <mergeCell ref="C136:C137"/>
    <mergeCell ref="D136:D137"/>
    <mergeCell ref="E136:E137"/>
    <mergeCell ref="F136:F137"/>
    <mergeCell ref="G136:G137"/>
    <mergeCell ref="H136:H137"/>
    <mergeCell ref="C69:C70"/>
    <mergeCell ref="D69:D70"/>
    <mergeCell ref="E69:E70"/>
    <mergeCell ref="F69:F70"/>
    <mergeCell ref="G69:G70"/>
    <mergeCell ref="H69:H70"/>
    <mergeCell ref="I69:P69"/>
    <mergeCell ref="Q69:Q70"/>
    <mergeCell ref="C55:C56"/>
    <mergeCell ref="D55:D56"/>
    <mergeCell ref="E55:E56"/>
    <mergeCell ref="F55:F56"/>
    <mergeCell ref="G55:G56"/>
    <mergeCell ref="H55:H56"/>
    <mergeCell ref="E49:E52"/>
    <mergeCell ref="F49:F52"/>
    <mergeCell ref="G49:G52"/>
    <mergeCell ref="H49:H52"/>
    <mergeCell ref="I49:I52"/>
    <mergeCell ref="E44:E47"/>
    <mergeCell ref="F44:F47"/>
    <mergeCell ref="G44:G47"/>
    <mergeCell ref="H44:H47"/>
    <mergeCell ref="I44:I47"/>
    <mergeCell ref="L39:L42"/>
    <mergeCell ref="M39:M42"/>
    <mergeCell ref="O39:O42"/>
    <mergeCell ref="P39:P42"/>
    <mergeCell ref="Q39:Q42"/>
    <mergeCell ref="L35:L37"/>
    <mergeCell ref="J44:J47"/>
    <mergeCell ref="N44:N47"/>
    <mergeCell ref="Q104:Q110"/>
    <mergeCell ref="Q88:Q94"/>
    <mergeCell ref="Q96:Q102"/>
    <mergeCell ref="Q35:Q37"/>
    <mergeCell ref="K35:K37"/>
    <mergeCell ref="K49:K52"/>
    <mergeCell ref="L49:L52"/>
    <mergeCell ref="M49:M52"/>
    <mergeCell ref="O49:O52"/>
    <mergeCell ref="P49:P52"/>
    <mergeCell ref="Q49:Q52"/>
    <mergeCell ref="L44:L47"/>
    <mergeCell ref="M44:M47"/>
    <mergeCell ref="O44:O47"/>
    <mergeCell ref="K44:K47"/>
    <mergeCell ref="K39:K42"/>
    <mergeCell ref="E39:E42"/>
    <mergeCell ref="F39:F42"/>
    <mergeCell ref="G39:G42"/>
    <mergeCell ref="H39:H42"/>
    <mergeCell ref="I39:I42"/>
    <mergeCell ref="E35:E37"/>
    <mergeCell ref="F35:F37"/>
    <mergeCell ref="G35:G37"/>
    <mergeCell ref="H35:H37"/>
    <mergeCell ref="I35:I37"/>
    <mergeCell ref="Q12:Q13"/>
    <mergeCell ref="C12:C13"/>
    <mergeCell ref="D12:D13"/>
    <mergeCell ref="E12:E13"/>
    <mergeCell ref="F12:F13"/>
    <mergeCell ref="G12:G13"/>
    <mergeCell ref="H12:H13"/>
    <mergeCell ref="I12:P12"/>
    <mergeCell ref="M18:M20"/>
    <mergeCell ref="O18:O20"/>
    <mergeCell ref="P18:P20"/>
    <mergeCell ref="P14:P16"/>
    <mergeCell ref="Q14:Q16"/>
    <mergeCell ref="E14:E16"/>
    <mergeCell ref="F14:F16"/>
    <mergeCell ref="G14:G16"/>
    <mergeCell ref="H14:H16"/>
    <mergeCell ref="I14:I16"/>
    <mergeCell ref="J14:J16"/>
    <mergeCell ref="K14:K16"/>
    <mergeCell ref="L14:L16"/>
    <mergeCell ref="M14:M16"/>
    <mergeCell ref="N14:N16"/>
    <mergeCell ref="I22:I29"/>
    <mergeCell ref="K22:K29"/>
    <mergeCell ref="E18:E20"/>
    <mergeCell ref="F18:F20"/>
    <mergeCell ref="J39:J42"/>
    <mergeCell ref="N39:N42"/>
    <mergeCell ref="E31:E33"/>
    <mergeCell ref="F31:F33"/>
    <mergeCell ref="G31:G33"/>
    <mergeCell ref="H31:H33"/>
    <mergeCell ref="I31:I33"/>
    <mergeCell ref="G18:G20"/>
    <mergeCell ref="H18:H20"/>
    <mergeCell ref="I18:I20"/>
    <mergeCell ref="K18:K20"/>
    <mergeCell ref="J18:J20"/>
    <mergeCell ref="N18:N20"/>
    <mergeCell ref="M35:M37"/>
    <mergeCell ref="J22:J29"/>
    <mergeCell ref="N22:N29"/>
    <mergeCell ref="E22:E29"/>
    <mergeCell ref="F22:F29"/>
    <mergeCell ref="G22:G29"/>
    <mergeCell ref="H22:H29"/>
    <mergeCell ref="J49:J52"/>
    <mergeCell ref="N49:N52"/>
    <mergeCell ref="J31:J33"/>
    <mergeCell ref="N31:N33"/>
    <mergeCell ref="J35:J37"/>
    <mergeCell ref="N35:N37"/>
    <mergeCell ref="K31:K33"/>
    <mergeCell ref="O14:O16"/>
    <mergeCell ref="Q18:Q20"/>
    <mergeCell ref="L18:L20"/>
    <mergeCell ref="O35:O37"/>
    <mergeCell ref="P35:P37"/>
    <mergeCell ref="L22:L29"/>
    <mergeCell ref="M22:M29"/>
    <mergeCell ref="O22:O29"/>
    <mergeCell ref="P22:P29"/>
    <mergeCell ref="Q22:Q29"/>
    <mergeCell ref="L31:L33"/>
    <mergeCell ref="M31:M33"/>
    <mergeCell ref="O31:O33"/>
    <mergeCell ref="P31:P33"/>
    <mergeCell ref="Q31:Q33"/>
    <mergeCell ref="P44:P47"/>
    <mergeCell ref="Q44:Q47"/>
  </mergeCells>
  <conditionalFormatting sqref="E1:F13 E17:F17 E21:F21 E34:F34 E38:F38 E30:F30 E43:F43 E48:F48 E53:F56 E95:F95 E103:F103 E111:F114 E125:F128 E134:F137 E145:F145 E149:F1048576 E67:F87">
    <cfRule type="containsText" dxfId="16" priority="20" operator="containsText" text=".99">
      <formula>NOT(ISERROR(SEARCH(".99",E1)))</formula>
    </cfRule>
  </conditionalFormatting>
  <conditionalFormatting sqref="E14:F14">
    <cfRule type="containsText" dxfId="15" priority="19" operator="containsText" text=".99">
      <formula>NOT(ISERROR(SEARCH(".99",E14)))</formula>
    </cfRule>
  </conditionalFormatting>
  <conditionalFormatting sqref="E18:F18">
    <cfRule type="containsText" dxfId="14" priority="18" operator="containsText" text=".99">
      <formula>NOT(ISERROR(SEARCH(".99",E18)))</formula>
    </cfRule>
  </conditionalFormatting>
  <conditionalFormatting sqref="E31:F31">
    <cfRule type="containsText" dxfId="13" priority="16" operator="containsText" text=".99">
      <formula>NOT(ISERROR(SEARCH(".99",E31)))</formula>
    </cfRule>
  </conditionalFormatting>
  <conditionalFormatting sqref="E35:F35">
    <cfRule type="containsText" dxfId="12" priority="15" operator="containsText" text=".99">
      <formula>NOT(ISERROR(SEARCH(".99",E35)))</formula>
    </cfRule>
  </conditionalFormatting>
  <conditionalFormatting sqref="E22:F22">
    <cfRule type="containsText" dxfId="11" priority="14" operator="containsText" text=".99">
      <formula>NOT(ISERROR(SEARCH(".99",E22)))</formula>
    </cfRule>
  </conditionalFormatting>
  <conditionalFormatting sqref="E39:F39">
    <cfRule type="containsText" dxfId="10" priority="12" operator="containsText" text=".99">
      <formula>NOT(ISERROR(SEARCH(".99",E39)))</formula>
    </cfRule>
  </conditionalFormatting>
  <conditionalFormatting sqref="E44:F44">
    <cfRule type="containsText" dxfId="9" priority="11" operator="containsText" text=".99">
      <formula>NOT(ISERROR(SEARCH(".99",E44)))</formula>
    </cfRule>
  </conditionalFormatting>
  <conditionalFormatting sqref="E49:F49">
    <cfRule type="containsText" dxfId="8" priority="10" operator="containsText" text=".99">
      <formula>NOT(ISERROR(SEARCH(".99",E49)))</formula>
    </cfRule>
  </conditionalFormatting>
  <conditionalFormatting sqref="E57:F66">
    <cfRule type="containsText" dxfId="7" priority="9" operator="containsText" text=".99">
      <formula>NOT(ISERROR(SEARCH(".99",E57)))</formula>
    </cfRule>
  </conditionalFormatting>
  <conditionalFormatting sqref="E88:F94">
    <cfRule type="containsText" dxfId="6" priority="7" operator="containsText" text=".99">
      <formula>NOT(ISERROR(SEARCH(".99",E88)))</formula>
    </cfRule>
  </conditionalFormatting>
  <conditionalFormatting sqref="E96:F102">
    <cfRule type="containsText" dxfId="5" priority="6" operator="containsText" text=".99">
      <formula>NOT(ISERROR(SEARCH(".99",E96)))</formula>
    </cfRule>
  </conditionalFormatting>
  <conditionalFormatting sqref="E104:F110">
    <cfRule type="containsText" dxfId="4" priority="5" operator="containsText" text=".99">
      <formula>NOT(ISERROR(SEARCH(".99",E104)))</formula>
    </cfRule>
  </conditionalFormatting>
  <conditionalFormatting sqref="E115:F124">
    <cfRule type="containsText" dxfId="3" priority="4" operator="containsText" text=".99">
      <formula>NOT(ISERROR(SEARCH(".99",E115)))</formula>
    </cfRule>
  </conditionalFormatting>
  <conditionalFormatting sqref="E129:F133">
    <cfRule type="containsText" dxfId="2" priority="3" operator="containsText" text=".99">
      <formula>NOT(ISERROR(SEARCH(".99",E129)))</formula>
    </cfRule>
  </conditionalFormatting>
  <conditionalFormatting sqref="E138:F138">
    <cfRule type="containsText" dxfId="1" priority="2" operator="containsText" text=".99">
      <formula>NOT(ISERROR(SEARCH(".99",E138)))</formula>
    </cfRule>
  </conditionalFormatting>
  <conditionalFormatting sqref="E146:F148">
    <cfRule type="containsText" dxfId="0" priority="1" operator="containsText" text=".99">
      <formula>NOT(ISERROR(SEARCH(".99",E146)))</formula>
    </cfRule>
  </conditionalFormatting>
  <printOptions horizontalCentered="1"/>
  <pageMargins left="0.23622047244094499" right="0.23622047244094499" top="0.39370078740157499" bottom="0.39370078740157499" header="0.31496062992126" footer="0.31496062992126"/>
  <pageSetup scale="43" fitToHeight="0" orientation="portrait" horizontalDpi="1200" verticalDpi="1200" r:id="rId1"/>
  <headerFooter>
    <oddFooter>&amp;CPage &amp;P of &amp;N</oddFooter>
  </headerFooter>
  <rowBreaks count="1" manualBreakCount="1">
    <brk id="102" min="2" max="1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topLeftCell="A26" zoomScaleNormal="100" zoomScaleSheetLayoutView="100" workbookViewId="0">
      <selection activeCell="B1" sqref="B1:B1048576"/>
    </sheetView>
  </sheetViews>
  <sheetFormatPr defaultColWidth="8.81640625" defaultRowHeight="13"/>
  <cols>
    <col min="1" max="1" width="8.81640625" style="46"/>
    <col min="2" max="2" width="9.1796875" style="70" customWidth="1"/>
    <col min="3" max="3" width="12.54296875" style="46" customWidth="1"/>
    <col min="4" max="5" width="8.54296875" style="46" customWidth="1"/>
    <col min="6" max="6" width="10.54296875" style="46" customWidth="1"/>
    <col min="7"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5" width="8.54296875" style="46" customWidth="1"/>
    <col min="16" max="16" width="10.54296875" style="46" customWidth="1"/>
    <col min="17" max="17" width="9.453125" style="46" customWidth="1"/>
    <col min="18" max="16384" width="8.81640625" style="46"/>
  </cols>
  <sheetData>
    <row r="2" spans="2:22" ht="8.15" customHeight="1">
      <c r="B2" s="50"/>
      <c r="C2" s="51"/>
      <c r="D2" s="51"/>
      <c r="E2" s="51"/>
      <c r="F2" s="51"/>
      <c r="G2" s="51"/>
      <c r="H2" s="51"/>
      <c r="I2" s="51"/>
      <c r="J2" s="51"/>
      <c r="K2" s="51"/>
      <c r="L2" s="51"/>
      <c r="M2" s="51"/>
      <c r="N2" s="51"/>
      <c r="O2" s="51"/>
      <c r="R2" s="47"/>
    </row>
    <row r="3" spans="2:22" ht="25" customHeight="1">
      <c r="B3" s="351" t="s">
        <v>535</v>
      </c>
      <c r="C3" s="351"/>
      <c r="D3" s="351"/>
      <c r="E3" s="351"/>
      <c r="F3" s="351"/>
      <c r="G3" s="351"/>
      <c r="H3" s="351"/>
      <c r="I3" s="351"/>
      <c r="J3" s="351"/>
      <c r="K3" s="351"/>
      <c r="L3" s="351"/>
      <c r="M3" s="351"/>
      <c r="N3" s="351"/>
      <c r="O3" s="351"/>
      <c r="P3" s="351"/>
      <c r="Q3" s="351"/>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52" t="s">
        <v>105</v>
      </c>
      <c r="C6" s="352"/>
      <c r="D6" s="352"/>
      <c r="E6" s="352"/>
      <c r="F6" s="352"/>
      <c r="G6" s="352"/>
      <c r="H6" s="352"/>
      <c r="I6" s="352"/>
      <c r="J6" s="352"/>
      <c r="K6" s="352"/>
      <c r="L6" s="352"/>
      <c r="M6" s="352"/>
      <c r="N6" s="352"/>
      <c r="O6" s="352"/>
      <c r="P6" s="352"/>
      <c r="Q6" s="352"/>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53"/>
      <c r="D8" s="353"/>
      <c r="E8" s="353"/>
      <c r="F8" s="353"/>
      <c r="G8" s="51"/>
      <c r="H8" s="353"/>
      <c r="I8" s="353"/>
      <c r="J8" s="353"/>
      <c r="K8" s="353"/>
      <c r="L8" s="51"/>
      <c r="M8" s="353"/>
      <c r="N8" s="353"/>
      <c r="O8" s="353"/>
      <c r="P8" s="353"/>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48" t="str">
        <f>'26MY_CIV4D_DATA'!$E$84</f>
        <v>Tapis toutes saisons</v>
      </c>
      <c r="D10" s="349"/>
      <c r="E10" s="349"/>
      <c r="F10" s="350"/>
      <c r="G10" s="55"/>
      <c r="H10" s="348" t="str">
        <f>'26MY_CIV4D_DATA'!$E$88</f>
        <v>Plateau de coffre</v>
      </c>
      <c r="I10" s="349"/>
      <c r="J10" s="349"/>
      <c r="K10" s="350"/>
      <c r="L10" s="55"/>
      <c r="M10" s="348" t="str">
        <f>'26MY_CIV4D_DATA'!$E$53</f>
        <v>Garde-boue arrière</v>
      </c>
      <c r="N10" s="349"/>
      <c r="O10" s="349"/>
      <c r="P10" s="350"/>
      <c r="Q10" s="51"/>
      <c r="R10" s="47"/>
    </row>
    <row r="11" spans="2:22" ht="15" customHeight="1">
      <c r="B11" s="53">
        <v>20</v>
      </c>
      <c r="C11" s="74">
        <f>'26MY_CIV4D_DATA'!$L$84</f>
        <v>266.10000000000002</v>
      </c>
      <c r="D11" s="72">
        <f>-PMT($D$29/52,5*52,C11)</f>
        <v>1.2133890782288268</v>
      </c>
      <c r="E11" s="58" t="s">
        <v>32</v>
      </c>
      <c r="F11" s="75" t="str">
        <f>$C$29</f>
        <v>(6.99%)</v>
      </c>
      <c r="G11" s="51"/>
      <c r="H11" s="74">
        <f>'26MY_CIV4D_DATA'!$L$88</f>
        <v>215.1</v>
      </c>
      <c r="I11" s="72">
        <f>-PMT($D$29/52,5*52,H11)</f>
        <v>0.98083423798203917</v>
      </c>
      <c r="J11" s="58" t="s">
        <v>32</v>
      </c>
      <c r="K11" s="75" t="str">
        <f>$C$29</f>
        <v>(6.99%)</v>
      </c>
      <c r="L11" s="51"/>
      <c r="M11" s="74">
        <f>'26MY_CIV4D_DATA'!$L$53</f>
        <v>177.4</v>
      </c>
      <c r="N11" s="72">
        <f>-PMT($D$29/52,5*52,M11)</f>
        <v>0.80892605215255109</v>
      </c>
      <c r="O11" s="58" t="s">
        <v>32</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53"/>
      <c r="D13" s="353"/>
      <c r="E13" s="353"/>
      <c r="F13" s="353"/>
      <c r="G13" s="51"/>
      <c r="H13" s="353"/>
      <c r="I13" s="353"/>
      <c r="J13" s="353"/>
      <c r="K13" s="353"/>
      <c r="L13" s="51"/>
      <c r="M13" s="353"/>
      <c r="N13" s="353"/>
      <c r="O13" s="353"/>
      <c r="P13" s="353"/>
      <c r="Q13" s="51"/>
      <c r="R13" s="47"/>
    </row>
    <row r="14" spans="2:22" ht="9" customHeight="1">
      <c r="B14" s="52"/>
      <c r="C14" s="80"/>
      <c r="D14" s="80"/>
      <c r="E14" s="80"/>
      <c r="F14" s="80"/>
      <c r="G14" s="51"/>
      <c r="H14" s="80"/>
      <c r="I14" s="80"/>
      <c r="J14" s="80"/>
      <c r="K14" s="80"/>
      <c r="L14" s="51"/>
      <c r="M14" s="80"/>
      <c r="N14" s="80"/>
      <c r="O14" s="80"/>
      <c r="P14" s="80"/>
      <c r="Q14" s="51"/>
      <c r="R14" s="47"/>
    </row>
    <row r="15" spans="2:22" ht="22" customHeight="1">
      <c r="B15" s="52">
        <v>20</v>
      </c>
      <c r="C15" s="354" t="str">
        <f>'26MY_CIV4D_DATA'!$E$45</f>
        <v>Déflecteurs de portières - noir</v>
      </c>
      <c r="D15" s="355"/>
      <c r="E15" s="355"/>
      <c r="F15" s="356"/>
      <c r="G15" s="64"/>
      <c r="H15" s="348" t="str">
        <f>'26MY_CIV4D_DATA'!$E$64</f>
        <v>Moulure latérale</v>
      </c>
      <c r="I15" s="349"/>
      <c r="J15" s="349"/>
      <c r="K15" s="350"/>
      <c r="L15" s="64"/>
      <c r="M15" s="348" t="str">
        <f>'26MY_CIV4D_DATA'!$E$92</f>
        <v>Garniture de seuil de portière illuminée</v>
      </c>
      <c r="N15" s="349" t="s">
        <v>238</v>
      </c>
      <c r="O15" s="349" t="s">
        <v>238</v>
      </c>
      <c r="P15" s="350" t="s">
        <v>238</v>
      </c>
      <c r="Q15" s="51"/>
      <c r="R15" s="47"/>
    </row>
    <row r="16" spans="2:22" s="63" customFormat="1" ht="15.5">
      <c r="B16" s="56">
        <v>50</v>
      </c>
      <c r="C16" s="74">
        <f>'26MY_CIV4D_DATA'!$L$45</f>
        <v>435.5</v>
      </c>
      <c r="D16" s="72">
        <f>-PMT($D$29/52,5*52,C16)</f>
        <v>1.9858359397544305</v>
      </c>
      <c r="E16" s="58" t="s">
        <v>32</v>
      </c>
      <c r="F16" s="75" t="str">
        <f>$C$29</f>
        <v>(6.99%)</v>
      </c>
      <c r="G16" s="60"/>
      <c r="H16" s="74">
        <f>'26MY_CIV4D_DATA'!$L$64</f>
        <v>430.4</v>
      </c>
      <c r="I16" s="72">
        <f>-PMT($D$29/52,5*52,H16)</f>
        <v>1.9625804557297519</v>
      </c>
      <c r="J16" s="58" t="s">
        <v>32</v>
      </c>
      <c r="K16" s="75" t="str">
        <f>$C$29</f>
        <v>(6.99%)</v>
      </c>
      <c r="L16" s="60"/>
      <c r="M16" s="74">
        <f>'26MY_CIV4D_DATA'!$L$92</f>
        <v>626.1</v>
      </c>
      <c r="N16" s="72">
        <f>-PMT($D$29/52,5*52,M16)</f>
        <v>2.8549526564414447</v>
      </c>
      <c r="O16" s="58" t="s">
        <v>32</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53"/>
      <c r="D18" s="353"/>
      <c r="E18" s="353"/>
      <c r="F18" s="353"/>
      <c r="G18" s="51"/>
      <c r="H18" s="353"/>
      <c r="I18" s="353"/>
      <c r="J18" s="353"/>
      <c r="K18" s="353"/>
      <c r="L18" s="51"/>
      <c r="M18" s="353"/>
      <c r="N18" s="353"/>
      <c r="O18" s="353"/>
      <c r="P18" s="353"/>
      <c r="Q18" s="51"/>
    </row>
    <row r="19" spans="1:20" ht="9.75" customHeight="1">
      <c r="B19" s="52"/>
      <c r="C19" s="80"/>
      <c r="D19" s="80"/>
      <c r="E19" s="80"/>
      <c r="F19" s="80"/>
      <c r="G19" s="51"/>
      <c r="H19" s="80"/>
      <c r="I19" s="80"/>
      <c r="J19" s="80"/>
      <c r="K19" s="80"/>
      <c r="L19" s="51"/>
      <c r="M19" s="80"/>
      <c r="N19" s="80"/>
      <c r="O19" s="80"/>
      <c r="P19" s="80"/>
      <c r="Q19" s="51"/>
    </row>
    <row r="20" spans="1:20" ht="22" customHeight="1">
      <c r="B20" s="52">
        <v>20</v>
      </c>
      <c r="C20" s="348" t="str">
        <f>'26MY_CIV4D_DATA'!$E$42</f>
        <v>Déflecteur de coffre - TOURING</v>
      </c>
      <c r="D20" s="349"/>
      <c r="E20" s="349"/>
      <c r="F20" s="350"/>
      <c r="G20" s="64"/>
      <c r="H20" s="359" t="str">
        <f>'26MY_CIV4D_DATA'!$E$15</f>
        <v>Ensemble Aero</v>
      </c>
      <c r="I20" s="349"/>
      <c r="J20" s="349"/>
      <c r="K20" s="350"/>
      <c r="L20" s="64"/>
      <c r="M20" s="375" t="str">
        <f>'26MY_CIV4D_DATA'!$E$10</f>
        <v>Ensemble de roues Enkei M52 de 16 po et de pneus Michelin X-ICE Snow</v>
      </c>
      <c r="N20" s="376"/>
      <c r="O20" s="376"/>
      <c r="P20" s="377"/>
      <c r="Q20" s="51"/>
    </row>
    <row r="21" spans="1:20" ht="15.5">
      <c r="B21" s="52">
        <v>50</v>
      </c>
      <c r="C21" s="74">
        <f>'26MY_CIV4D_DATA'!$L$42</f>
        <v>613.70000000000005</v>
      </c>
      <c r="D21" s="72">
        <f>-PMT($D$29/52,5*52,C21)</f>
        <v>2.798409910969677</v>
      </c>
      <c r="E21" s="58" t="s">
        <v>32</v>
      </c>
      <c r="F21" s="76" t="str">
        <f>$C$29</f>
        <v>(6.99%)</v>
      </c>
      <c r="G21" s="60"/>
      <c r="H21" s="74">
        <f>'26MY_CIV4D_DATA'!$L$15</f>
        <v>1867.8</v>
      </c>
      <c r="I21" s="72">
        <f>-PMT($D$29/52,5*52,H21)</f>
        <v>8.5169790316264642</v>
      </c>
      <c r="J21" s="58" t="s">
        <v>32</v>
      </c>
      <c r="K21" s="76" t="str">
        <f>$C$29</f>
        <v>(6.99%)</v>
      </c>
      <c r="L21" s="60"/>
      <c r="M21" s="74">
        <f>'26MY_CIV4D_DATA'!$L$10</f>
        <v>2245.1999999999998</v>
      </c>
      <c r="N21" s="72">
        <f>-PMT($D$29/52,5*52,M21)</f>
        <v>10.237884849452692</v>
      </c>
      <c r="O21" s="58" t="s">
        <v>32</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51</v>
      </c>
      <c r="D23" s="51"/>
      <c r="E23" s="51"/>
      <c r="F23" s="51"/>
      <c r="G23" s="51"/>
      <c r="H23" s="51"/>
      <c r="I23" s="51"/>
      <c r="J23" s="51"/>
      <c r="K23" s="51"/>
      <c r="L23" s="51"/>
      <c r="M23" s="51"/>
      <c r="N23" s="51"/>
      <c r="O23" s="51"/>
      <c r="P23" s="51"/>
      <c r="Q23" s="51"/>
    </row>
    <row r="24" spans="1:20" ht="15" customHeight="1">
      <c r="B24" s="65"/>
      <c r="C24" s="66" t="s">
        <v>52</v>
      </c>
      <c r="D24" s="51"/>
      <c r="E24" s="51"/>
      <c r="F24" s="51"/>
      <c r="G24" s="67"/>
      <c r="H24" s="67"/>
      <c r="I24" s="67"/>
      <c r="J24" s="67"/>
      <c r="K24" s="67"/>
      <c r="L24" s="67"/>
      <c r="M24" s="67"/>
      <c r="N24" s="67"/>
      <c r="O24" s="67"/>
      <c r="P24" s="67"/>
      <c r="Q24" s="51"/>
    </row>
    <row r="25" spans="1:20" ht="15" customHeight="1">
      <c r="B25" s="65">
        <v>20</v>
      </c>
      <c r="C25" s="66" t="s">
        <v>104</v>
      </c>
      <c r="D25" s="51"/>
      <c r="E25" s="51"/>
      <c r="F25" s="51"/>
      <c r="G25" s="67"/>
      <c r="H25" s="67"/>
      <c r="I25" s="67"/>
      <c r="J25" s="67"/>
      <c r="K25" s="67"/>
      <c r="L25" s="67"/>
      <c r="M25" s="67"/>
      <c r="N25" s="67"/>
      <c r="O25" s="67"/>
      <c r="P25" s="67"/>
      <c r="Q25" s="51"/>
    </row>
    <row r="26" spans="1:20" ht="85.5" customHeight="1">
      <c r="B26" s="52">
        <v>60</v>
      </c>
      <c r="C26" s="357" t="s">
        <v>271</v>
      </c>
      <c r="D26" s="357"/>
      <c r="E26" s="357"/>
      <c r="F26" s="357"/>
      <c r="G26" s="357"/>
      <c r="H26" s="357"/>
      <c r="I26" s="357"/>
      <c r="J26" s="357"/>
      <c r="K26" s="357"/>
      <c r="L26" s="357"/>
      <c r="M26" s="357"/>
      <c r="N26" s="357"/>
      <c r="O26" s="357"/>
      <c r="P26" s="357"/>
      <c r="Q26" s="51"/>
    </row>
    <row r="27" spans="1:20" ht="20.25" customHeight="1" thickBot="1">
      <c r="B27" s="245"/>
      <c r="C27" s="246" t="s">
        <v>103</v>
      </c>
      <c r="D27" s="247"/>
      <c r="E27" s="248"/>
      <c r="F27" s="247"/>
      <c r="G27" s="249"/>
      <c r="H27" s="249"/>
      <c r="I27" s="249"/>
      <c r="J27" s="249"/>
      <c r="K27" s="250"/>
      <c r="L27" s="250"/>
      <c r="M27" s="250"/>
      <c r="N27" s="251"/>
      <c r="O27" s="358"/>
      <c r="P27" s="358"/>
      <c r="Q27" s="252"/>
    </row>
    <row r="28" spans="1:20" ht="20.25" customHeight="1">
      <c r="A28" s="68"/>
      <c r="B28" s="240">
        <v>20</v>
      </c>
      <c r="C28" s="242"/>
      <c r="D28" s="240"/>
      <c r="E28" s="239"/>
      <c r="F28" s="240"/>
      <c r="G28" s="241"/>
      <c r="H28" s="241"/>
      <c r="I28" s="241"/>
      <c r="J28" s="241"/>
      <c r="K28" s="242"/>
      <c r="L28" s="242"/>
      <c r="M28" s="242"/>
      <c r="N28" s="242"/>
      <c r="O28" s="242"/>
      <c r="P28" s="77"/>
      <c r="Q28" s="51"/>
    </row>
    <row r="29" spans="1:20" ht="18" customHeight="1">
      <c r="A29" s="68"/>
      <c r="B29" s="240">
        <v>18</v>
      </c>
      <c r="C29" s="238" t="s">
        <v>272</v>
      </c>
      <c r="D29" s="239">
        <v>6.9900000000000004E-2</v>
      </c>
      <c r="E29" s="239"/>
      <c r="F29" s="240"/>
      <c r="G29" s="241"/>
      <c r="H29" s="241"/>
      <c r="I29" s="241"/>
      <c r="J29" s="241"/>
      <c r="K29" s="242"/>
      <c r="L29" s="242"/>
      <c r="M29" s="242"/>
      <c r="N29" s="242"/>
      <c r="O29" s="242"/>
      <c r="P29" s="77"/>
      <c r="Q29" s="51"/>
    </row>
    <row r="30" spans="1:20" s="51" customFormat="1" ht="15" customHeight="1">
      <c r="A30" s="69"/>
      <c r="B30" s="243">
        <v>7.5</v>
      </c>
      <c r="C30" s="243">
        <v>12</v>
      </c>
      <c r="D30" s="243">
        <v>8</v>
      </c>
      <c r="E30" s="243">
        <v>8</v>
      </c>
      <c r="F30" s="243">
        <v>10</v>
      </c>
      <c r="G30" s="243">
        <v>8.5</v>
      </c>
      <c r="H30" s="243">
        <v>12</v>
      </c>
      <c r="I30" s="243">
        <v>8</v>
      </c>
      <c r="J30" s="243">
        <v>8</v>
      </c>
      <c r="K30" s="243">
        <v>10</v>
      </c>
      <c r="L30" s="243">
        <v>8.5</v>
      </c>
      <c r="M30" s="243">
        <v>12</v>
      </c>
      <c r="N30" s="243">
        <v>8</v>
      </c>
      <c r="O30" s="243">
        <v>8</v>
      </c>
      <c r="P30" s="52">
        <v>10</v>
      </c>
      <c r="Q30" s="52">
        <v>7.5</v>
      </c>
    </row>
    <row r="31" spans="1:20" s="51" customFormat="1" ht="22" customHeight="1">
      <c r="A31" s="69"/>
      <c r="B31" s="244" t="s">
        <v>270</v>
      </c>
      <c r="C31" s="237">
        <f>'26MY_CIV4D_DATA'!$C$5</f>
        <v>46113</v>
      </c>
      <c r="D31" s="67" t="s">
        <v>102</v>
      </c>
      <c r="E31" s="234"/>
      <c r="F31" s="234"/>
      <c r="G31" s="234"/>
      <c r="H31" s="234"/>
      <c r="I31" s="234"/>
      <c r="J31" s="234"/>
      <c r="K31" s="234"/>
      <c r="L31" s="234"/>
      <c r="M31" s="234"/>
      <c r="N31" s="234"/>
      <c r="O31" s="65"/>
      <c r="P31" s="236" t="s">
        <v>61</v>
      </c>
      <c r="Q31" s="235">
        <f>'26MY_CIV4D_DATA'!L7</f>
        <v>0</v>
      </c>
    </row>
    <row r="32" spans="1:20" ht="15.5">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26MY_CIV4D_DATA</vt:lpstr>
      <vt:lpstr>SELECT PROVINCE</vt:lpstr>
      <vt:lpstr>26MY_CIV4D_APP_EN</vt:lpstr>
      <vt:lpstr>26MY_CIV4D_SELL-EN</vt:lpstr>
      <vt:lpstr>26MY_CIV4D_APP_FR</vt:lpstr>
      <vt:lpstr>26MY_CIV4D_SELL-FR</vt:lpstr>
      <vt:lpstr>'26MY_CIV4D_APP_EN'!Print_Area</vt:lpstr>
      <vt:lpstr>'26MY_CIV4D_APP_FR'!Print_Area</vt:lpstr>
      <vt:lpstr>'26MY_CIV4D_SELL-EN'!Print_Area</vt:lpstr>
      <vt:lpstr>'26MY_CIV4D_SELL-FR'!Print_Area</vt:lpstr>
      <vt:lpstr>'SELECT PROVINCE'!Print_Area</vt:lpstr>
      <vt:lpstr>'26MY_CIV4D_APP_EN'!Print_Titles</vt:lpstr>
      <vt:lpstr>'26MY_CIV4D_APP_FR'!Print_Titles</vt:lpstr>
      <vt:lpstr>'26MY_CIV4D_DATA'!Print_Titles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2026-03-30T16:41:39Z</cp:lastPrinted>
  <dcterms:created xsi:type="dcterms:W3CDTF">2013-01-30T20:30:05Z</dcterms:created>
  <dcterms:modified xsi:type="dcterms:W3CDTF">2026-03-30T16:42:33Z</dcterms:modified>
</cp:coreProperties>
</file>