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Odyssey\"/>
    </mc:Choice>
  </mc:AlternateContent>
  <xr:revisionPtr revIDLastSave="0" documentId="13_ncr:1_{B04BE117-A044-456B-BD69-4D815D34717C}" xr6:coauthVersionLast="47" xr6:coauthVersionMax="47" xr10:uidLastSave="{00000000-0000-0000-0000-000000000000}"/>
  <workbookProtection workbookAlgorithmName="SHA-512" workbookHashValue="0DF8nORoxo7uxmJEScrr7qgEskRZn/tahpdY+/HGenpjRN+rqvnOcdK1PWZSFu+ZRugz3fSXsCgQA4r3rSofkQ==" workbookSaltValue="cyJQsFej+eSg+0UvySybuA==" workbookSpinCount="100000" lockStructure="1"/>
  <bookViews>
    <workbookView xWindow="4476" yWindow="3864" windowWidth="23040" windowHeight="12108" tabRatio="847" firstSheet="3" activeTab="3" xr2:uid="{00000000-000D-0000-FFFF-FFFF00000000}"/>
  </bookViews>
  <sheets>
    <sheet name="Sell Sheet Formula" sheetId="128" state="hidden" r:id="rId1"/>
    <sheet name="Hierarchy" sheetId="201" state="hidden" r:id="rId2"/>
    <sheet name="26MY_ODYSSEY_DATA" sheetId="174" state="hidden" r:id="rId3"/>
    <sheet name="SELECT PROVINCE" sheetId="1" r:id="rId4"/>
    <sheet name="26MY_ODYSSEY_APP_EN" sheetId="197" r:id="rId5"/>
    <sheet name="25MY_ODYSSEY_SELL-EN" sheetId="195" r:id="rId6"/>
    <sheet name="26MY_ODYSSEY_APP_FR" sheetId="202" r:id="rId7"/>
    <sheet name="25MY_ODYSSEY_SELL-FR" sheetId="204" r:id="rId8"/>
  </sheets>
  <externalReferences>
    <externalReference r:id="rId9"/>
    <externalReference r:id="rId10"/>
    <externalReference r:id="rId11"/>
  </externalReferences>
  <definedNames>
    <definedName name="_xlnm._FilterDatabase" localSheetId="2" hidden="1">'26MY_ODYSSEY_DATA'!$A$6:$BG$112</definedName>
    <definedName name="_xlnm._FilterDatabase" localSheetId="1" hidden="1">Hierarchy!$D$1:$M$62</definedName>
    <definedName name="BC" localSheetId="0">#REF!</definedName>
    <definedName name="HighlightSel">[1]EVL!$F$5</definedName>
    <definedName name="_xlnm.Print_Area" localSheetId="5">'25MY_ODYSSEY_SELL-EN'!$B$2:$Q$31</definedName>
    <definedName name="_xlnm.Print_Area" localSheetId="7">'25MY_ODYSSEY_SELL-FR'!$B$2:$Q$31</definedName>
    <definedName name="_xlnm.Print_Area" localSheetId="4">'26MY_ODYSSEY_APP_EN'!$C$2:$Q$142</definedName>
    <definedName name="_xlnm.Print_Area" localSheetId="6">'26MY_ODYSSEY_APP_FR'!$C$2:$Q$139</definedName>
    <definedName name="_xlnm.Print_Area" localSheetId="3">'SELECT PROVINCE'!$A$1:$M$34</definedName>
    <definedName name="_xlnm.Print_Titles" localSheetId="4">'26MY_ODYSSEY_APP_EN'!$12:$13</definedName>
    <definedName name="_xlnm.Print_Titles" localSheetId="6">'26MY_ODYSSEY_APP_FR'!$12:$13</definedName>
    <definedName name="_xlnm.Print_Titles" localSheetId="2">'26MY_ODYSSEY_DATA'!$1:$2</definedName>
    <definedName name="prov_cd" localSheetId="0">'[2]SELECT PROVINCE'!$B$1</definedName>
    <definedName name="prov_cd">'SELECT PROVINCE'!$B$1</definedName>
    <definedName name="province_codes" localSheetId="0">'[2]SELECT PROVINCE'!$B$5:$B$15</definedName>
    <definedName name="province_codes">'SELECT PROVINCE'!$B$6:$B$16</definedName>
    <definedName name="RA" localSheetId="0">#REF!</definedName>
    <definedName name="rate_table" localSheetId="0">'[2]SELECT PROVINCE'!$B$5:$C$15</definedName>
    <definedName name="rate_table">'SELECT PROVINCE'!$B$6:$C$16</definedName>
    <definedName name="SelColLBound">[1]EVL!$E$6</definedName>
    <definedName name="SelColUBound">[1]EVL!$F$6</definedName>
    <definedName name="SelRowLBound">[1]EVL!$E$7</definedName>
    <definedName name="SelRowUBound">[1]EVL!$F$7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 l="1"/>
  <c r="G135" i="202"/>
  <c r="I135" i="202"/>
  <c r="J135" i="202"/>
  <c r="K135" i="202"/>
  <c r="L135" i="202"/>
  <c r="M135" i="202"/>
  <c r="N135" i="202"/>
  <c r="O135" i="202"/>
  <c r="P135" i="202"/>
  <c r="Q135" i="202"/>
  <c r="G136" i="202"/>
  <c r="I136" i="202"/>
  <c r="J136" i="202"/>
  <c r="K136" i="202"/>
  <c r="L136" i="202"/>
  <c r="M136" i="202"/>
  <c r="N136" i="202"/>
  <c r="O136" i="202"/>
  <c r="P136" i="202"/>
  <c r="Q136" i="202"/>
  <c r="Q134" i="202"/>
  <c r="P134" i="202"/>
  <c r="O134" i="202"/>
  <c r="N134" i="202"/>
  <c r="M134" i="202"/>
  <c r="L134" i="202"/>
  <c r="K134" i="202"/>
  <c r="J134" i="202"/>
  <c r="I134" i="202"/>
  <c r="G134" i="202"/>
  <c r="P132" i="202"/>
  <c r="O132" i="202"/>
  <c r="N132" i="202"/>
  <c r="M132" i="202"/>
  <c r="L132" i="202"/>
  <c r="K132" i="202"/>
  <c r="J132" i="202"/>
  <c r="I132" i="202"/>
  <c r="P131" i="202"/>
  <c r="O131" i="202"/>
  <c r="N131" i="202"/>
  <c r="M131" i="202"/>
  <c r="L131" i="202"/>
  <c r="K131" i="202"/>
  <c r="J131" i="202"/>
  <c r="I131" i="202"/>
  <c r="P130" i="202"/>
  <c r="O130" i="202"/>
  <c r="N130" i="202"/>
  <c r="M130" i="202"/>
  <c r="L130" i="202"/>
  <c r="K130" i="202"/>
  <c r="J130" i="202"/>
  <c r="I130" i="202"/>
  <c r="P129" i="202"/>
  <c r="O129" i="202"/>
  <c r="N129" i="202"/>
  <c r="M129" i="202"/>
  <c r="L129" i="202"/>
  <c r="K129" i="202"/>
  <c r="J129" i="202"/>
  <c r="I129" i="202"/>
  <c r="P128" i="202"/>
  <c r="O128" i="202"/>
  <c r="N128" i="202"/>
  <c r="M128" i="202"/>
  <c r="L128" i="202"/>
  <c r="K128" i="202"/>
  <c r="J128" i="202"/>
  <c r="I128" i="202"/>
  <c r="Q127" i="202"/>
  <c r="P127" i="202"/>
  <c r="O127" i="202"/>
  <c r="N127" i="202"/>
  <c r="M127" i="202"/>
  <c r="L127" i="202"/>
  <c r="K127" i="202"/>
  <c r="J127" i="202"/>
  <c r="I127" i="202"/>
  <c r="G127" i="202"/>
  <c r="G113" i="202"/>
  <c r="I113" i="202"/>
  <c r="J113" i="202"/>
  <c r="K113" i="202"/>
  <c r="L113" i="202"/>
  <c r="M113" i="202"/>
  <c r="N113" i="202"/>
  <c r="O113" i="202"/>
  <c r="P113" i="202"/>
  <c r="Q113" i="202"/>
  <c r="G114" i="202"/>
  <c r="I114" i="202"/>
  <c r="J114" i="202"/>
  <c r="K114" i="202"/>
  <c r="L114" i="202"/>
  <c r="M114" i="202"/>
  <c r="N114" i="202"/>
  <c r="O114" i="202"/>
  <c r="P114" i="202"/>
  <c r="Q114" i="202"/>
  <c r="G115" i="202"/>
  <c r="I115" i="202"/>
  <c r="J115" i="202"/>
  <c r="K115" i="202"/>
  <c r="L115" i="202"/>
  <c r="M115" i="202"/>
  <c r="N115" i="202"/>
  <c r="O115" i="202"/>
  <c r="P115" i="202"/>
  <c r="Q115" i="202"/>
  <c r="G116" i="202"/>
  <c r="I116" i="202"/>
  <c r="J116" i="202"/>
  <c r="K116" i="202"/>
  <c r="L116" i="202"/>
  <c r="M116" i="202"/>
  <c r="N116" i="202"/>
  <c r="O116" i="202"/>
  <c r="P116" i="202"/>
  <c r="Q116" i="202"/>
  <c r="G117" i="202"/>
  <c r="I117" i="202"/>
  <c r="J117" i="202"/>
  <c r="K117" i="202"/>
  <c r="L117" i="202"/>
  <c r="M117" i="202"/>
  <c r="N117" i="202"/>
  <c r="O117" i="202"/>
  <c r="P117" i="202"/>
  <c r="Q117" i="202"/>
  <c r="G118" i="202"/>
  <c r="I118" i="202"/>
  <c r="J118" i="202"/>
  <c r="K118" i="202"/>
  <c r="L118" i="202"/>
  <c r="M118" i="202"/>
  <c r="N118" i="202"/>
  <c r="O118" i="202"/>
  <c r="P118" i="202"/>
  <c r="Q118" i="202"/>
  <c r="G119" i="202"/>
  <c r="I119" i="202"/>
  <c r="J119" i="202"/>
  <c r="K119" i="202"/>
  <c r="L119" i="202"/>
  <c r="M119" i="202"/>
  <c r="N119" i="202"/>
  <c r="O119" i="202"/>
  <c r="P119" i="202"/>
  <c r="Q119" i="202"/>
  <c r="G120" i="202"/>
  <c r="I120" i="202"/>
  <c r="J120" i="202"/>
  <c r="K120" i="202"/>
  <c r="L120" i="202"/>
  <c r="M120" i="202"/>
  <c r="N120" i="202"/>
  <c r="O120" i="202"/>
  <c r="P120" i="202"/>
  <c r="Q120" i="202"/>
  <c r="G121" i="202"/>
  <c r="I121" i="202"/>
  <c r="J121" i="202"/>
  <c r="K121" i="202"/>
  <c r="L121" i="202"/>
  <c r="M121" i="202"/>
  <c r="N121" i="202"/>
  <c r="O121" i="202"/>
  <c r="P121" i="202"/>
  <c r="Q121" i="202"/>
  <c r="G122" i="202"/>
  <c r="I122" i="202"/>
  <c r="J122" i="202"/>
  <c r="K122" i="202"/>
  <c r="L122" i="202"/>
  <c r="M122" i="202"/>
  <c r="N122" i="202"/>
  <c r="O122" i="202"/>
  <c r="P122" i="202"/>
  <c r="Q122" i="202"/>
  <c r="Q112" i="202"/>
  <c r="P112" i="202"/>
  <c r="O112" i="202"/>
  <c r="N112" i="202"/>
  <c r="M112" i="202"/>
  <c r="L112" i="202"/>
  <c r="K112" i="202"/>
  <c r="J112" i="202"/>
  <c r="I112" i="202"/>
  <c r="G112" i="202"/>
  <c r="D101" i="202"/>
  <c r="G101" i="202"/>
  <c r="I101" i="202"/>
  <c r="J101" i="202"/>
  <c r="K101" i="202"/>
  <c r="L101" i="202"/>
  <c r="M101" i="202"/>
  <c r="N101" i="202"/>
  <c r="O101" i="202"/>
  <c r="P101" i="202"/>
  <c r="Q101" i="202"/>
  <c r="D102" i="202"/>
  <c r="G102" i="202"/>
  <c r="I102" i="202"/>
  <c r="J102" i="202"/>
  <c r="K102" i="202"/>
  <c r="L102" i="202"/>
  <c r="M102" i="202"/>
  <c r="N102" i="202"/>
  <c r="O102" i="202"/>
  <c r="P102" i="202"/>
  <c r="Q102" i="202"/>
  <c r="D103" i="202"/>
  <c r="G103" i="202"/>
  <c r="I103" i="202"/>
  <c r="J103" i="202"/>
  <c r="K103" i="202"/>
  <c r="L103" i="202"/>
  <c r="M103" i="202"/>
  <c r="N103" i="202"/>
  <c r="O103" i="202"/>
  <c r="P103" i="202"/>
  <c r="Q103" i="202"/>
  <c r="D104" i="202"/>
  <c r="G104" i="202"/>
  <c r="I104" i="202"/>
  <c r="J104" i="202"/>
  <c r="K104" i="202"/>
  <c r="L104" i="202"/>
  <c r="M104" i="202"/>
  <c r="N104" i="202"/>
  <c r="O104" i="202"/>
  <c r="P104" i="202"/>
  <c r="Q104" i="202"/>
  <c r="D105" i="202"/>
  <c r="G105" i="202"/>
  <c r="I105" i="202"/>
  <c r="J105" i="202"/>
  <c r="K105" i="202"/>
  <c r="L105" i="202"/>
  <c r="M105" i="202"/>
  <c r="N105" i="202"/>
  <c r="O105" i="202"/>
  <c r="P105" i="202"/>
  <c r="Q105" i="202"/>
  <c r="D106" i="202"/>
  <c r="G106" i="202"/>
  <c r="I106" i="202"/>
  <c r="J106" i="202"/>
  <c r="K106" i="202"/>
  <c r="L106" i="202"/>
  <c r="M106" i="202"/>
  <c r="N106" i="202"/>
  <c r="O106" i="202"/>
  <c r="P106" i="202"/>
  <c r="Q106" i="202"/>
  <c r="D107" i="202"/>
  <c r="G107" i="202"/>
  <c r="I107" i="202"/>
  <c r="J107" i="202"/>
  <c r="K107" i="202"/>
  <c r="L107" i="202"/>
  <c r="M107" i="202"/>
  <c r="N107" i="202"/>
  <c r="O107" i="202"/>
  <c r="P107" i="202"/>
  <c r="Q107" i="202"/>
  <c r="Q100" i="202"/>
  <c r="P100" i="202"/>
  <c r="O100" i="202"/>
  <c r="N100" i="202"/>
  <c r="M100" i="202"/>
  <c r="L100" i="202"/>
  <c r="K100" i="202"/>
  <c r="J100" i="202"/>
  <c r="I100" i="202"/>
  <c r="G100" i="202"/>
  <c r="D100" i="202"/>
  <c r="P94" i="202"/>
  <c r="O94" i="202"/>
  <c r="N94" i="202"/>
  <c r="M94" i="202"/>
  <c r="L94" i="202"/>
  <c r="K94" i="202"/>
  <c r="J94" i="202"/>
  <c r="I94" i="202"/>
  <c r="G94" i="202"/>
  <c r="D94" i="202"/>
  <c r="P93" i="202"/>
  <c r="O93" i="202"/>
  <c r="N93" i="202"/>
  <c r="M93" i="202"/>
  <c r="L93" i="202"/>
  <c r="K93" i="202"/>
  <c r="J93" i="202"/>
  <c r="I93" i="202"/>
  <c r="G93" i="202"/>
  <c r="D93" i="202"/>
  <c r="P92" i="202"/>
  <c r="O92" i="202"/>
  <c r="N92" i="202"/>
  <c r="M92" i="202"/>
  <c r="L92" i="202"/>
  <c r="K92" i="202"/>
  <c r="J92" i="202"/>
  <c r="I92" i="202"/>
  <c r="G92" i="202"/>
  <c r="D92" i="202"/>
  <c r="P91" i="202"/>
  <c r="O91" i="202"/>
  <c r="N91" i="202"/>
  <c r="M91" i="202"/>
  <c r="L91" i="202"/>
  <c r="K91" i="202"/>
  <c r="J91" i="202"/>
  <c r="I91" i="202"/>
  <c r="G91" i="202"/>
  <c r="D91" i="202"/>
  <c r="P90" i="202"/>
  <c r="O90" i="202"/>
  <c r="N90" i="202"/>
  <c r="M90" i="202"/>
  <c r="L90" i="202"/>
  <c r="K90" i="202"/>
  <c r="J90" i="202"/>
  <c r="I90" i="202"/>
  <c r="G90" i="202"/>
  <c r="D90" i="202"/>
  <c r="Q89" i="202"/>
  <c r="P89" i="202"/>
  <c r="O89" i="202"/>
  <c r="N89" i="202"/>
  <c r="M89" i="202"/>
  <c r="L89" i="202"/>
  <c r="K89" i="202"/>
  <c r="J89" i="202"/>
  <c r="I89" i="202"/>
  <c r="G89" i="202"/>
  <c r="D89" i="202"/>
  <c r="G83" i="202"/>
  <c r="I83" i="202"/>
  <c r="J83" i="202"/>
  <c r="K83" i="202"/>
  <c r="L83" i="202"/>
  <c r="M83" i="202"/>
  <c r="N83" i="202"/>
  <c r="O83" i="202"/>
  <c r="P83" i="202"/>
  <c r="G84" i="202"/>
  <c r="I84" i="202"/>
  <c r="J84" i="202"/>
  <c r="K84" i="202"/>
  <c r="L84" i="202"/>
  <c r="M84" i="202"/>
  <c r="N84" i="202"/>
  <c r="O84" i="202"/>
  <c r="P84" i="202"/>
  <c r="G85" i="202"/>
  <c r="I85" i="202"/>
  <c r="J85" i="202"/>
  <c r="K85" i="202"/>
  <c r="L85" i="202"/>
  <c r="M85" i="202"/>
  <c r="N85" i="202"/>
  <c r="O85" i="202"/>
  <c r="P85" i="202"/>
  <c r="G86" i="202"/>
  <c r="I86" i="202"/>
  <c r="J86" i="202"/>
  <c r="K86" i="202"/>
  <c r="L86" i="202"/>
  <c r="M86" i="202"/>
  <c r="N86" i="202"/>
  <c r="O86" i="202"/>
  <c r="P86" i="202"/>
  <c r="G87" i="202"/>
  <c r="I87" i="202"/>
  <c r="J87" i="202"/>
  <c r="K87" i="202"/>
  <c r="L87" i="202"/>
  <c r="M87" i="202"/>
  <c r="N87" i="202"/>
  <c r="O87" i="202"/>
  <c r="P87" i="202"/>
  <c r="Q82" i="202"/>
  <c r="P82" i="202"/>
  <c r="O82" i="202"/>
  <c r="N82" i="202"/>
  <c r="M82" i="202"/>
  <c r="L82" i="202"/>
  <c r="K82" i="202"/>
  <c r="J82" i="202"/>
  <c r="I82" i="202"/>
  <c r="G82" i="202"/>
  <c r="G76" i="202"/>
  <c r="I76" i="202"/>
  <c r="J76" i="202"/>
  <c r="K76" i="202"/>
  <c r="L76" i="202"/>
  <c r="M76" i="202"/>
  <c r="N76" i="202"/>
  <c r="O76" i="202"/>
  <c r="P76" i="202"/>
  <c r="G77" i="202"/>
  <c r="I77" i="202"/>
  <c r="J77" i="202"/>
  <c r="K77" i="202"/>
  <c r="L77" i="202"/>
  <c r="M77" i="202"/>
  <c r="N77" i="202"/>
  <c r="O77" i="202"/>
  <c r="P77" i="202"/>
  <c r="G78" i="202"/>
  <c r="I78" i="202"/>
  <c r="J78" i="202"/>
  <c r="K78" i="202"/>
  <c r="L78" i="202"/>
  <c r="M78" i="202"/>
  <c r="N78" i="202"/>
  <c r="O78" i="202"/>
  <c r="P78" i="202"/>
  <c r="G79" i="202"/>
  <c r="I79" i="202"/>
  <c r="J79" i="202"/>
  <c r="K79" i="202"/>
  <c r="L79" i="202"/>
  <c r="M79" i="202"/>
  <c r="N79" i="202"/>
  <c r="O79" i="202"/>
  <c r="P79" i="202"/>
  <c r="G80" i="202"/>
  <c r="I80" i="202"/>
  <c r="J80" i="202"/>
  <c r="K80" i="202"/>
  <c r="L80" i="202"/>
  <c r="M80" i="202"/>
  <c r="N80" i="202"/>
  <c r="O80" i="202"/>
  <c r="P80" i="202"/>
  <c r="Q75" i="202"/>
  <c r="P75" i="202"/>
  <c r="O75" i="202"/>
  <c r="N75" i="202"/>
  <c r="M75" i="202"/>
  <c r="L75" i="202"/>
  <c r="K75" i="202"/>
  <c r="J75" i="202"/>
  <c r="I75" i="202"/>
  <c r="G75" i="202"/>
  <c r="G67" i="202"/>
  <c r="I67" i="202"/>
  <c r="J67" i="202"/>
  <c r="K67" i="202"/>
  <c r="L67" i="202"/>
  <c r="M67" i="202"/>
  <c r="N67" i="202"/>
  <c r="O67" i="202"/>
  <c r="P67" i="202"/>
  <c r="G68" i="202"/>
  <c r="I68" i="202"/>
  <c r="J68" i="202"/>
  <c r="K68" i="202"/>
  <c r="L68" i="202"/>
  <c r="M68" i="202"/>
  <c r="N68" i="202"/>
  <c r="O68" i="202"/>
  <c r="P68" i="202"/>
  <c r="G69" i="202"/>
  <c r="I69" i="202"/>
  <c r="J69" i="202"/>
  <c r="K69" i="202"/>
  <c r="L69" i="202"/>
  <c r="M69" i="202"/>
  <c r="N69" i="202"/>
  <c r="O69" i="202"/>
  <c r="P69" i="202"/>
  <c r="G70" i="202"/>
  <c r="I70" i="202"/>
  <c r="J70" i="202"/>
  <c r="K70" i="202"/>
  <c r="L70" i="202"/>
  <c r="M70" i="202"/>
  <c r="N70" i="202"/>
  <c r="O70" i="202"/>
  <c r="P70" i="202"/>
  <c r="G71" i="202"/>
  <c r="I71" i="202"/>
  <c r="J71" i="202"/>
  <c r="K71" i="202"/>
  <c r="L71" i="202"/>
  <c r="M71" i="202"/>
  <c r="N71" i="202"/>
  <c r="O71" i="202"/>
  <c r="P71" i="202"/>
  <c r="G72" i="202"/>
  <c r="I72" i="202"/>
  <c r="J72" i="202"/>
  <c r="K72" i="202"/>
  <c r="L72" i="202"/>
  <c r="M72" i="202"/>
  <c r="N72" i="202"/>
  <c r="O72" i="202"/>
  <c r="P72" i="202"/>
  <c r="G73" i="202"/>
  <c r="I73" i="202"/>
  <c r="J73" i="202"/>
  <c r="K73" i="202"/>
  <c r="L73" i="202"/>
  <c r="M73" i="202"/>
  <c r="N73" i="202"/>
  <c r="O73" i="202"/>
  <c r="P73" i="202"/>
  <c r="Q66" i="202"/>
  <c r="P66" i="202"/>
  <c r="O66" i="202"/>
  <c r="N66" i="202"/>
  <c r="M66" i="202"/>
  <c r="L66" i="202"/>
  <c r="K66" i="202"/>
  <c r="J66" i="202"/>
  <c r="I66" i="202"/>
  <c r="G66" i="202"/>
  <c r="G51" i="202"/>
  <c r="I51" i="202"/>
  <c r="J51" i="202"/>
  <c r="K51" i="202"/>
  <c r="L51" i="202"/>
  <c r="M51" i="202"/>
  <c r="N51" i="202"/>
  <c r="O51" i="202"/>
  <c r="P51" i="202"/>
  <c r="Q51" i="202"/>
  <c r="G52" i="202"/>
  <c r="I52" i="202"/>
  <c r="J52" i="202"/>
  <c r="K52" i="202"/>
  <c r="L52" i="202"/>
  <c r="M52" i="202"/>
  <c r="N52" i="202"/>
  <c r="O52" i="202"/>
  <c r="P52" i="202"/>
  <c r="Q52" i="202"/>
  <c r="G53" i="202"/>
  <c r="I53" i="202"/>
  <c r="J53" i="202"/>
  <c r="K53" i="202"/>
  <c r="L53" i="202"/>
  <c r="M53" i="202"/>
  <c r="N53" i="202"/>
  <c r="O53" i="202"/>
  <c r="P53" i="202"/>
  <c r="Q53" i="202"/>
  <c r="G54" i="202"/>
  <c r="I54" i="202"/>
  <c r="J54" i="202"/>
  <c r="K54" i="202"/>
  <c r="L54" i="202"/>
  <c r="M54" i="202"/>
  <c r="N54" i="202"/>
  <c r="O54" i="202"/>
  <c r="P54" i="202"/>
  <c r="Q54" i="202"/>
  <c r="G55" i="202"/>
  <c r="I55" i="202"/>
  <c r="J55" i="202"/>
  <c r="K55" i="202"/>
  <c r="L55" i="202"/>
  <c r="M55" i="202"/>
  <c r="N55" i="202"/>
  <c r="O55" i="202"/>
  <c r="P55" i="202"/>
  <c r="Q55" i="202"/>
  <c r="G56" i="202"/>
  <c r="I56" i="202"/>
  <c r="J56" i="202"/>
  <c r="K56" i="202"/>
  <c r="L56" i="202"/>
  <c r="M56" i="202"/>
  <c r="N56" i="202"/>
  <c r="O56" i="202"/>
  <c r="P56" i="202"/>
  <c r="Q56" i="202"/>
  <c r="G57" i="202"/>
  <c r="I57" i="202"/>
  <c r="J57" i="202"/>
  <c r="K57" i="202"/>
  <c r="L57" i="202"/>
  <c r="M57" i="202"/>
  <c r="N57" i="202"/>
  <c r="O57" i="202"/>
  <c r="P57" i="202"/>
  <c r="Q57" i="202"/>
  <c r="G58" i="202"/>
  <c r="I58" i="202"/>
  <c r="J58" i="202"/>
  <c r="K58" i="202"/>
  <c r="L58" i="202"/>
  <c r="M58" i="202"/>
  <c r="N58" i="202"/>
  <c r="O58" i="202"/>
  <c r="P58" i="202"/>
  <c r="Q58" i="202"/>
  <c r="G59" i="202"/>
  <c r="I59" i="202"/>
  <c r="J59" i="202"/>
  <c r="K59" i="202"/>
  <c r="L59" i="202"/>
  <c r="M59" i="202"/>
  <c r="N59" i="202"/>
  <c r="O59" i="202"/>
  <c r="P59" i="202"/>
  <c r="Q59" i="202"/>
  <c r="G60" i="202"/>
  <c r="I60" i="202"/>
  <c r="J60" i="202"/>
  <c r="K60" i="202"/>
  <c r="L60" i="202"/>
  <c r="M60" i="202"/>
  <c r="N60" i="202"/>
  <c r="O60" i="202"/>
  <c r="P60" i="202"/>
  <c r="Q60" i="202"/>
  <c r="G61" i="202"/>
  <c r="I61" i="202"/>
  <c r="J61" i="202"/>
  <c r="K61" i="202"/>
  <c r="L61" i="202"/>
  <c r="M61" i="202"/>
  <c r="N61" i="202"/>
  <c r="O61" i="202"/>
  <c r="P61" i="202"/>
  <c r="Q61" i="202"/>
  <c r="G62" i="202"/>
  <c r="I62" i="202"/>
  <c r="J62" i="202"/>
  <c r="K62" i="202"/>
  <c r="L62" i="202"/>
  <c r="M62" i="202"/>
  <c r="N62" i="202"/>
  <c r="O62" i="202"/>
  <c r="P62" i="202"/>
  <c r="Q62" i="202"/>
  <c r="G63" i="202"/>
  <c r="I63" i="202"/>
  <c r="J63" i="202"/>
  <c r="K63" i="202"/>
  <c r="L63" i="202"/>
  <c r="M63" i="202"/>
  <c r="N63" i="202"/>
  <c r="O63" i="202"/>
  <c r="P63" i="202"/>
  <c r="Q63" i="202"/>
  <c r="G64" i="202"/>
  <c r="I64" i="202"/>
  <c r="J64" i="202"/>
  <c r="K64" i="202"/>
  <c r="L64" i="202"/>
  <c r="M64" i="202"/>
  <c r="N64" i="202"/>
  <c r="O64" i="202"/>
  <c r="P64" i="202"/>
  <c r="Q64" i="202"/>
  <c r="Q50" i="202"/>
  <c r="P50" i="202"/>
  <c r="O50" i="202"/>
  <c r="N50" i="202"/>
  <c r="M50" i="202"/>
  <c r="L50" i="202"/>
  <c r="K50" i="202"/>
  <c r="J50" i="202"/>
  <c r="I50" i="202"/>
  <c r="G50" i="202"/>
  <c r="G45" i="202"/>
  <c r="I45" i="202"/>
  <c r="J45" i="202"/>
  <c r="K45" i="202"/>
  <c r="L45" i="202"/>
  <c r="M45" i="202"/>
  <c r="N45" i="202"/>
  <c r="O45" i="202"/>
  <c r="P45" i="202"/>
  <c r="Q45" i="202"/>
  <c r="Q44" i="202"/>
  <c r="P44" i="202"/>
  <c r="O44" i="202"/>
  <c r="N44" i="202"/>
  <c r="M44" i="202"/>
  <c r="L44" i="202"/>
  <c r="K44" i="202"/>
  <c r="J44" i="202"/>
  <c r="I44" i="202"/>
  <c r="G44" i="202"/>
  <c r="Q24" i="202"/>
  <c r="Q19" i="202"/>
  <c r="Q14" i="202"/>
  <c r="P34" i="202"/>
  <c r="O34" i="202"/>
  <c r="N34" i="202"/>
  <c r="I34" i="202"/>
  <c r="P28" i="202"/>
  <c r="O28" i="202"/>
  <c r="N28" i="202"/>
  <c r="I28" i="202"/>
  <c r="P24" i="202"/>
  <c r="O24" i="202"/>
  <c r="N24" i="202"/>
  <c r="M24" i="202"/>
  <c r="L24" i="202"/>
  <c r="K24" i="202"/>
  <c r="J24" i="202"/>
  <c r="I24" i="202"/>
  <c r="P19" i="202"/>
  <c r="O19" i="202"/>
  <c r="N19" i="202"/>
  <c r="M19" i="202"/>
  <c r="L19" i="202"/>
  <c r="K19" i="202"/>
  <c r="J19" i="202"/>
  <c r="I19" i="202"/>
  <c r="P14" i="202"/>
  <c r="O14" i="202"/>
  <c r="N14" i="202"/>
  <c r="M14" i="202"/>
  <c r="L14" i="202"/>
  <c r="K14" i="202"/>
  <c r="J14" i="202"/>
  <c r="I14" i="202"/>
  <c r="Q19" i="197"/>
  <c r="P19" i="197"/>
  <c r="O19" i="197"/>
  <c r="N19" i="197"/>
  <c r="M19" i="197"/>
  <c r="L19" i="197"/>
  <c r="K19" i="197"/>
  <c r="J19" i="197"/>
  <c r="I19" i="197"/>
  <c r="G134" i="197"/>
  <c r="I134" i="197"/>
  <c r="J134" i="197"/>
  <c r="K134" i="197"/>
  <c r="L134" i="197"/>
  <c r="M134" i="197"/>
  <c r="N134" i="197"/>
  <c r="O134" i="197"/>
  <c r="P134" i="197"/>
  <c r="Q134" i="197"/>
  <c r="G135" i="197"/>
  <c r="I135" i="197"/>
  <c r="J135" i="197"/>
  <c r="K135" i="197"/>
  <c r="L135" i="197"/>
  <c r="M135" i="197"/>
  <c r="N135" i="197"/>
  <c r="O135" i="197"/>
  <c r="P135" i="197"/>
  <c r="Q135" i="197"/>
  <c r="Q133" i="197"/>
  <c r="P133" i="197"/>
  <c r="O133" i="197"/>
  <c r="N133" i="197"/>
  <c r="M133" i="197"/>
  <c r="L133" i="197"/>
  <c r="K133" i="197"/>
  <c r="J133" i="197"/>
  <c r="I133" i="197"/>
  <c r="G133" i="197"/>
  <c r="G112" i="197"/>
  <c r="I112" i="197"/>
  <c r="J112" i="197"/>
  <c r="K112" i="197"/>
  <c r="L112" i="197"/>
  <c r="M112" i="197"/>
  <c r="N112" i="197"/>
  <c r="O112" i="197"/>
  <c r="P112" i="197"/>
  <c r="Q112" i="197"/>
  <c r="G113" i="197"/>
  <c r="I113" i="197"/>
  <c r="J113" i="197"/>
  <c r="K113" i="197"/>
  <c r="L113" i="197"/>
  <c r="M113" i="197"/>
  <c r="N113" i="197"/>
  <c r="O113" i="197"/>
  <c r="P113" i="197"/>
  <c r="Q113" i="197"/>
  <c r="G114" i="197"/>
  <c r="I114" i="197"/>
  <c r="J114" i="197"/>
  <c r="K114" i="197"/>
  <c r="L114" i="197"/>
  <c r="M114" i="197"/>
  <c r="N114" i="197"/>
  <c r="O114" i="197"/>
  <c r="P114" i="197"/>
  <c r="Q114" i="197"/>
  <c r="G115" i="197"/>
  <c r="I115" i="197"/>
  <c r="J115" i="197"/>
  <c r="K115" i="197"/>
  <c r="L115" i="197"/>
  <c r="M115" i="197"/>
  <c r="N115" i="197"/>
  <c r="O115" i="197"/>
  <c r="P115" i="197"/>
  <c r="Q115" i="197"/>
  <c r="G116" i="197"/>
  <c r="I116" i="197"/>
  <c r="J116" i="197"/>
  <c r="K116" i="197"/>
  <c r="L116" i="197"/>
  <c r="M116" i="197"/>
  <c r="N116" i="197"/>
  <c r="O116" i="197"/>
  <c r="P116" i="197"/>
  <c r="Q116" i="197"/>
  <c r="G117" i="197"/>
  <c r="I117" i="197"/>
  <c r="J117" i="197"/>
  <c r="K117" i="197"/>
  <c r="L117" i="197"/>
  <c r="M117" i="197"/>
  <c r="N117" i="197"/>
  <c r="O117" i="197"/>
  <c r="P117" i="197"/>
  <c r="Q117" i="197"/>
  <c r="G118" i="197"/>
  <c r="I118" i="197"/>
  <c r="J118" i="197"/>
  <c r="K118" i="197"/>
  <c r="L118" i="197"/>
  <c r="M118" i="197"/>
  <c r="N118" i="197"/>
  <c r="O118" i="197"/>
  <c r="P118" i="197"/>
  <c r="Q118" i="197"/>
  <c r="G119" i="197"/>
  <c r="I119" i="197"/>
  <c r="J119" i="197"/>
  <c r="K119" i="197"/>
  <c r="L119" i="197"/>
  <c r="M119" i="197"/>
  <c r="N119" i="197"/>
  <c r="O119" i="197"/>
  <c r="P119" i="197"/>
  <c r="Q119" i="197"/>
  <c r="G120" i="197"/>
  <c r="I120" i="197"/>
  <c r="J120" i="197"/>
  <c r="K120" i="197"/>
  <c r="L120" i="197"/>
  <c r="M120" i="197"/>
  <c r="N120" i="197"/>
  <c r="O120" i="197"/>
  <c r="P120" i="197"/>
  <c r="Q120" i="197"/>
  <c r="G121" i="197"/>
  <c r="I121" i="197"/>
  <c r="J121" i="197"/>
  <c r="K121" i="197"/>
  <c r="L121" i="197"/>
  <c r="M121" i="197"/>
  <c r="N121" i="197"/>
  <c r="O121" i="197"/>
  <c r="P121" i="197"/>
  <c r="Q121" i="197"/>
  <c r="Q111" i="197"/>
  <c r="P111" i="197"/>
  <c r="O111" i="197"/>
  <c r="N111" i="197"/>
  <c r="M111" i="197"/>
  <c r="L111" i="197"/>
  <c r="K111" i="197"/>
  <c r="J111" i="197"/>
  <c r="I111" i="197"/>
  <c r="G111" i="197"/>
  <c r="G100" i="197"/>
  <c r="I100" i="197"/>
  <c r="J100" i="197"/>
  <c r="K100" i="197"/>
  <c r="L100" i="197"/>
  <c r="M100" i="197"/>
  <c r="N100" i="197"/>
  <c r="O100" i="197"/>
  <c r="P100" i="197"/>
  <c r="Q100" i="197"/>
  <c r="G101" i="197"/>
  <c r="I101" i="197"/>
  <c r="J101" i="197"/>
  <c r="K101" i="197"/>
  <c r="L101" i="197"/>
  <c r="M101" i="197"/>
  <c r="N101" i="197"/>
  <c r="O101" i="197"/>
  <c r="P101" i="197"/>
  <c r="Q101" i="197"/>
  <c r="G102" i="197"/>
  <c r="I102" i="197"/>
  <c r="J102" i="197"/>
  <c r="K102" i="197"/>
  <c r="L102" i="197"/>
  <c r="M102" i="197"/>
  <c r="N102" i="197"/>
  <c r="O102" i="197"/>
  <c r="P102" i="197"/>
  <c r="Q102" i="197"/>
  <c r="G103" i="197"/>
  <c r="I103" i="197"/>
  <c r="J103" i="197"/>
  <c r="K103" i="197"/>
  <c r="L103" i="197"/>
  <c r="M103" i="197"/>
  <c r="N103" i="197"/>
  <c r="O103" i="197"/>
  <c r="P103" i="197"/>
  <c r="Q103" i="197"/>
  <c r="G104" i="197"/>
  <c r="I104" i="197"/>
  <c r="J104" i="197"/>
  <c r="K104" i="197"/>
  <c r="L104" i="197"/>
  <c r="M104" i="197"/>
  <c r="N104" i="197"/>
  <c r="O104" i="197"/>
  <c r="P104" i="197"/>
  <c r="Q104" i="197"/>
  <c r="G105" i="197"/>
  <c r="I105" i="197"/>
  <c r="J105" i="197"/>
  <c r="K105" i="197"/>
  <c r="L105" i="197"/>
  <c r="M105" i="197"/>
  <c r="N105" i="197"/>
  <c r="O105" i="197"/>
  <c r="P105" i="197"/>
  <c r="Q105" i="197"/>
  <c r="G106" i="197"/>
  <c r="I106" i="197"/>
  <c r="J106" i="197"/>
  <c r="K106" i="197"/>
  <c r="L106" i="197"/>
  <c r="M106" i="197"/>
  <c r="N106" i="197"/>
  <c r="O106" i="197"/>
  <c r="P106" i="197"/>
  <c r="Q106" i="197"/>
  <c r="Q99" i="197"/>
  <c r="P99" i="197"/>
  <c r="O99" i="197"/>
  <c r="N99" i="197"/>
  <c r="M99" i="197"/>
  <c r="L99" i="197"/>
  <c r="K99" i="197"/>
  <c r="J99" i="197"/>
  <c r="I99" i="197"/>
  <c r="G99" i="197"/>
  <c r="P131" i="197"/>
  <c r="O131" i="197"/>
  <c r="N131" i="197"/>
  <c r="M131" i="197"/>
  <c r="L131" i="197"/>
  <c r="K131" i="197"/>
  <c r="J131" i="197"/>
  <c r="I131" i="197"/>
  <c r="P130" i="197"/>
  <c r="O130" i="197"/>
  <c r="N130" i="197"/>
  <c r="M130" i="197"/>
  <c r="L130" i="197"/>
  <c r="K130" i="197"/>
  <c r="J130" i="197"/>
  <c r="I130" i="197"/>
  <c r="P129" i="197"/>
  <c r="O129" i="197"/>
  <c r="N129" i="197"/>
  <c r="M129" i="197"/>
  <c r="L129" i="197"/>
  <c r="K129" i="197"/>
  <c r="J129" i="197"/>
  <c r="I129" i="197"/>
  <c r="P128" i="197"/>
  <c r="O128" i="197"/>
  <c r="N128" i="197"/>
  <c r="M128" i="197"/>
  <c r="L128" i="197"/>
  <c r="K128" i="197"/>
  <c r="J128" i="197"/>
  <c r="I128" i="197"/>
  <c r="P127" i="197"/>
  <c r="O127" i="197"/>
  <c r="N127" i="197"/>
  <c r="M127" i="197"/>
  <c r="L127" i="197"/>
  <c r="K127" i="197"/>
  <c r="J127" i="197"/>
  <c r="I127" i="197"/>
  <c r="Q126" i="197"/>
  <c r="P126" i="197"/>
  <c r="O126" i="197"/>
  <c r="N126" i="197"/>
  <c r="M126" i="197"/>
  <c r="L126" i="197"/>
  <c r="K126" i="197"/>
  <c r="J126" i="197"/>
  <c r="I126" i="197"/>
  <c r="G126" i="197"/>
  <c r="P94" i="197"/>
  <c r="O94" i="197"/>
  <c r="N94" i="197"/>
  <c r="M94" i="197"/>
  <c r="L94" i="197"/>
  <c r="K94" i="197"/>
  <c r="J94" i="197"/>
  <c r="I94" i="197"/>
  <c r="G94" i="197"/>
  <c r="P93" i="197"/>
  <c r="O93" i="197"/>
  <c r="N93" i="197"/>
  <c r="M93" i="197"/>
  <c r="L93" i="197"/>
  <c r="K93" i="197"/>
  <c r="J93" i="197"/>
  <c r="I93" i="197"/>
  <c r="G93" i="197"/>
  <c r="P92" i="197"/>
  <c r="O92" i="197"/>
  <c r="N92" i="197"/>
  <c r="M92" i="197"/>
  <c r="L92" i="197"/>
  <c r="K92" i="197"/>
  <c r="J92" i="197"/>
  <c r="I92" i="197"/>
  <c r="G92" i="197"/>
  <c r="P91" i="197"/>
  <c r="O91" i="197"/>
  <c r="N91" i="197"/>
  <c r="M91" i="197"/>
  <c r="L91" i="197"/>
  <c r="K91" i="197"/>
  <c r="J91" i="197"/>
  <c r="I91" i="197"/>
  <c r="G91" i="197"/>
  <c r="P90" i="197"/>
  <c r="O90" i="197"/>
  <c r="N90" i="197"/>
  <c r="M90" i="197"/>
  <c r="L90" i="197"/>
  <c r="K90" i="197"/>
  <c r="J90" i="197"/>
  <c r="I90" i="197"/>
  <c r="G90" i="197"/>
  <c r="Q89" i="197"/>
  <c r="P89" i="197"/>
  <c r="O89" i="197"/>
  <c r="N89" i="197"/>
  <c r="M89" i="197"/>
  <c r="L89" i="197"/>
  <c r="K89" i="197"/>
  <c r="J89" i="197"/>
  <c r="I89" i="197"/>
  <c r="G89" i="197"/>
  <c r="G83" i="197"/>
  <c r="I83" i="197"/>
  <c r="J83" i="197"/>
  <c r="K83" i="197"/>
  <c r="L83" i="197"/>
  <c r="M83" i="197"/>
  <c r="N83" i="197"/>
  <c r="O83" i="197"/>
  <c r="P83" i="197"/>
  <c r="G84" i="197"/>
  <c r="I84" i="197"/>
  <c r="J84" i="197"/>
  <c r="K84" i="197"/>
  <c r="L84" i="197"/>
  <c r="M84" i="197"/>
  <c r="N84" i="197"/>
  <c r="O84" i="197"/>
  <c r="P84" i="197"/>
  <c r="G85" i="197"/>
  <c r="I85" i="197"/>
  <c r="J85" i="197"/>
  <c r="K85" i="197"/>
  <c r="L85" i="197"/>
  <c r="M85" i="197"/>
  <c r="N85" i="197"/>
  <c r="O85" i="197"/>
  <c r="P85" i="197"/>
  <c r="G86" i="197"/>
  <c r="I86" i="197"/>
  <c r="J86" i="197"/>
  <c r="K86" i="197"/>
  <c r="L86" i="197"/>
  <c r="M86" i="197"/>
  <c r="N86" i="197"/>
  <c r="O86" i="197"/>
  <c r="P86" i="197"/>
  <c r="G87" i="197"/>
  <c r="I87" i="197"/>
  <c r="J87" i="197"/>
  <c r="K87" i="197"/>
  <c r="L87" i="197"/>
  <c r="M87" i="197"/>
  <c r="N87" i="197"/>
  <c r="O87" i="197"/>
  <c r="P87" i="197"/>
  <c r="Q82" i="197"/>
  <c r="P82" i="197"/>
  <c r="O82" i="197"/>
  <c r="N82" i="197"/>
  <c r="M82" i="197"/>
  <c r="L82" i="197"/>
  <c r="K82" i="197"/>
  <c r="J82" i="197"/>
  <c r="I82" i="197"/>
  <c r="G82" i="197"/>
  <c r="G76" i="197"/>
  <c r="I76" i="197"/>
  <c r="J76" i="197"/>
  <c r="K76" i="197"/>
  <c r="L76" i="197"/>
  <c r="M76" i="197"/>
  <c r="N76" i="197"/>
  <c r="O76" i="197"/>
  <c r="P76" i="197"/>
  <c r="G77" i="197"/>
  <c r="I77" i="197"/>
  <c r="J77" i="197"/>
  <c r="K77" i="197"/>
  <c r="L77" i="197"/>
  <c r="M77" i="197"/>
  <c r="N77" i="197"/>
  <c r="O77" i="197"/>
  <c r="P77" i="197"/>
  <c r="G78" i="197"/>
  <c r="I78" i="197"/>
  <c r="J78" i="197"/>
  <c r="K78" i="197"/>
  <c r="L78" i="197"/>
  <c r="M78" i="197"/>
  <c r="N78" i="197"/>
  <c r="O78" i="197"/>
  <c r="P78" i="197"/>
  <c r="G79" i="197"/>
  <c r="I79" i="197"/>
  <c r="J79" i="197"/>
  <c r="K79" i="197"/>
  <c r="L79" i="197"/>
  <c r="M79" i="197"/>
  <c r="N79" i="197"/>
  <c r="O79" i="197"/>
  <c r="P79" i="197"/>
  <c r="G80" i="197"/>
  <c r="I80" i="197"/>
  <c r="J80" i="197"/>
  <c r="K80" i="197"/>
  <c r="L80" i="197"/>
  <c r="M80" i="197"/>
  <c r="N80" i="197"/>
  <c r="O80" i="197"/>
  <c r="P80" i="197"/>
  <c r="Q75" i="197"/>
  <c r="P75" i="197"/>
  <c r="O75" i="197"/>
  <c r="N75" i="197"/>
  <c r="M75" i="197"/>
  <c r="L75" i="197"/>
  <c r="K75" i="197"/>
  <c r="J75" i="197"/>
  <c r="I75" i="197"/>
  <c r="G75" i="197"/>
  <c r="G67" i="197"/>
  <c r="I67" i="197"/>
  <c r="J67" i="197"/>
  <c r="K67" i="197"/>
  <c r="L67" i="197"/>
  <c r="M67" i="197"/>
  <c r="N67" i="197"/>
  <c r="O67" i="197"/>
  <c r="P67" i="197"/>
  <c r="G68" i="197"/>
  <c r="I68" i="197"/>
  <c r="J68" i="197"/>
  <c r="K68" i="197"/>
  <c r="L68" i="197"/>
  <c r="M68" i="197"/>
  <c r="N68" i="197"/>
  <c r="O68" i="197"/>
  <c r="P68" i="197"/>
  <c r="G69" i="197"/>
  <c r="I69" i="197"/>
  <c r="J69" i="197"/>
  <c r="K69" i="197"/>
  <c r="L69" i="197"/>
  <c r="M69" i="197"/>
  <c r="N69" i="197"/>
  <c r="O69" i="197"/>
  <c r="P69" i="197"/>
  <c r="G70" i="197"/>
  <c r="I70" i="197"/>
  <c r="J70" i="197"/>
  <c r="K70" i="197"/>
  <c r="L70" i="197"/>
  <c r="M70" i="197"/>
  <c r="N70" i="197"/>
  <c r="O70" i="197"/>
  <c r="P70" i="197"/>
  <c r="G71" i="197"/>
  <c r="I71" i="197"/>
  <c r="J71" i="197"/>
  <c r="K71" i="197"/>
  <c r="L71" i="197"/>
  <c r="M71" i="197"/>
  <c r="N71" i="197"/>
  <c r="O71" i="197"/>
  <c r="P71" i="197"/>
  <c r="G72" i="197"/>
  <c r="I72" i="197"/>
  <c r="J72" i="197"/>
  <c r="K72" i="197"/>
  <c r="L72" i="197"/>
  <c r="M72" i="197"/>
  <c r="N72" i="197"/>
  <c r="O72" i="197"/>
  <c r="P72" i="197"/>
  <c r="G73" i="197"/>
  <c r="I73" i="197"/>
  <c r="J73" i="197"/>
  <c r="K73" i="197"/>
  <c r="L73" i="197"/>
  <c r="M73" i="197"/>
  <c r="N73" i="197"/>
  <c r="O73" i="197"/>
  <c r="P73" i="197"/>
  <c r="Q66" i="197"/>
  <c r="P66" i="197"/>
  <c r="O66" i="197"/>
  <c r="N66" i="197"/>
  <c r="M66" i="197"/>
  <c r="L66" i="197"/>
  <c r="K66" i="197"/>
  <c r="J66" i="197"/>
  <c r="I66" i="197"/>
  <c r="G66" i="197"/>
  <c r="G51" i="197"/>
  <c r="I51" i="197"/>
  <c r="J51" i="197"/>
  <c r="K51" i="197"/>
  <c r="L51" i="197"/>
  <c r="M51" i="197"/>
  <c r="N51" i="197"/>
  <c r="O51" i="197"/>
  <c r="P51" i="197"/>
  <c r="Q51" i="197"/>
  <c r="G52" i="197"/>
  <c r="I52" i="197"/>
  <c r="J52" i="197"/>
  <c r="K52" i="197"/>
  <c r="L52" i="197"/>
  <c r="M52" i="197"/>
  <c r="N52" i="197"/>
  <c r="O52" i="197"/>
  <c r="P52" i="197"/>
  <c r="Q52" i="197"/>
  <c r="G53" i="197"/>
  <c r="I53" i="197"/>
  <c r="J53" i="197"/>
  <c r="K53" i="197"/>
  <c r="L53" i="197"/>
  <c r="M53" i="197"/>
  <c r="N53" i="197"/>
  <c r="O53" i="197"/>
  <c r="P53" i="197"/>
  <c r="Q53" i="197"/>
  <c r="G54" i="197"/>
  <c r="I54" i="197"/>
  <c r="J54" i="197"/>
  <c r="K54" i="197"/>
  <c r="L54" i="197"/>
  <c r="M54" i="197"/>
  <c r="N54" i="197"/>
  <c r="O54" i="197"/>
  <c r="P54" i="197"/>
  <c r="Q54" i="197"/>
  <c r="G55" i="197"/>
  <c r="I55" i="197"/>
  <c r="J55" i="197"/>
  <c r="K55" i="197"/>
  <c r="L55" i="197"/>
  <c r="M55" i="197"/>
  <c r="N55" i="197"/>
  <c r="O55" i="197"/>
  <c r="P55" i="197"/>
  <c r="Q55" i="197"/>
  <c r="G56" i="197"/>
  <c r="I56" i="197"/>
  <c r="J56" i="197"/>
  <c r="K56" i="197"/>
  <c r="L56" i="197"/>
  <c r="M56" i="197"/>
  <c r="N56" i="197"/>
  <c r="O56" i="197"/>
  <c r="P56" i="197"/>
  <c r="Q56" i="197"/>
  <c r="G57" i="197"/>
  <c r="I57" i="197"/>
  <c r="J57" i="197"/>
  <c r="K57" i="197"/>
  <c r="L57" i="197"/>
  <c r="M57" i="197"/>
  <c r="N57" i="197"/>
  <c r="O57" i="197"/>
  <c r="P57" i="197"/>
  <c r="Q57" i="197"/>
  <c r="G58" i="197"/>
  <c r="I58" i="197"/>
  <c r="J58" i="197"/>
  <c r="K58" i="197"/>
  <c r="L58" i="197"/>
  <c r="M58" i="197"/>
  <c r="N58" i="197"/>
  <c r="O58" i="197"/>
  <c r="P58" i="197"/>
  <c r="Q58" i="197"/>
  <c r="G59" i="197"/>
  <c r="I59" i="197"/>
  <c r="J59" i="197"/>
  <c r="K59" i="197"/>
  <c r="L59" i="197"/>
  <c r="M59" i="197"/>
  <c r="N59" i="197"/>
  <c r="O59" i="197"/>
  <c r="P59" i="197"/>
  <c r="Q59" i="197"/>
  <c r="G60" i="197"/>
  <c r="I60" i="197"/>
  <c r="J60" i="197"/>
  <c r="K60" i="197"/>
  <c r="L60" i="197"/>
  <c r="M60" i="197"/>
  <c r="N60" i="197"/>
  <c r="O60" i="197"/>
  <c r="P60" i="197"/>
  <c r="Q60" i="197"/>
  <c r="G61" i="197"/>
  <c r="I61" i="197"/>
  <c r="J61" i="197"/>
  <c r="K61" i="197"/>
  <c r="L61" i="197"/>
  <c r="M61" i="197"/>
  <c r="N61" i="197"/>
  <c r="O61" i="197"/>
  <c r="P61" i="197"/>
  <c r="Q61" i="197"/>
  <c r="G62" i="197"/>
  <c r="I62" i="197"/>
  <c r="J62" i="197"/>
  <c r="K62" i="197"/>
  <c r="L62" i="197"/>
  <c r="M62" i="197"/>
  <c r="N62" i="197"/>
  <c r="O62" i="197"/>
  <c r="P62" i="197"/>
  <c r="Q62" i="197"/>
  <c r="G63" i="197"/>
  <c r="I63" i="197"/>
  <c r="J63" i="197"/>
  <c r="K63" i="197"/>
  <c r="L63" i="197"/>
  <c r="M63" i="197"/>
  <c r="N63" i="197"/>
  <c r="O63" i="197"/>
  <c r="P63" i="197"/>
  <c r="Q63" i="197"/>
  <c r="G64" i="197"/>
  <c r="I64" i="197"/>
  <c r="J64" i="197"/>
  <c r="K64" i="197"/>
  <c r="L64" i="197"/>
  <c r="M64" i="197"/>
  <c r="N64" i="197"/>
  <c r="O64" i="197"/>
  <c r="P64" i="197"/>
  <c r="Q64" i="197"/>
  <c r="Q50" i="197"/>
  <c r="P50" i="197"/>
  <c r="O50" i="197"/>
  <c r="N50" i="197"/>
  <c r="M50" i="197"/>
  <c r="L50" i="197"/>
  <c r="K50" i="197"/>
  <c r="J50" i="197"/>
  <c r="I50" i="197"/>
  <c r="G50" i="197"/>
  <c r="Q45" i="197"/>
  <c r="P45" i="197"/>
  <c r="O45" i="197"/>
  <c r="N45" i="197"/>
  <c r="M45" i="197"/>
  <c r="L45" i="197"/>
  <c r="K45" i="197"/>
  <c r="J45" i="197"/>
  <c r="I45" i="197"/>
  <c r="G45" i="197"/>
  <c r="Q44" i="197"/>
  <c r="P44" i="197"/>
  <c r="O44" i="197"/>
  <c r="N44" i="197"/>
  <c r="M44" i="197"/>
  <c r="L44" i="197"/>
  <c r="K44" i="197"/>
  <c r="J44" i="197"/>
  <c r="I44" i="197"/>
  <c r="G44" i="197"/>
  <c r="Q34" i="197"/>
  <c r="P34" i="197"/>
  <c r="O34" i="197"/>
  <c r="N34" i="197"/>
  <c r="M34" i="197"/>
  <c r="L34" i="197"/>
  <c r="K34" i="197"/>
  <c r="J34" i="197"/>
  <c r="I34" i="197"/>
  <c r="Q28" i="197"/>
  <c r="P28" i="197"/>
  <c r="O28" i="197"/>
  <c r="N28" i="197"/>
  <c r="M28" i="197"/>
  <c r="L28" i="197"/>
  <c r="K28" i="197"/>
  <c r="J28" i="197"/>
  <c r="I28" i="197"/>
  <c r="Q24" i="197"/>
  <c r="P24" i="197"/>
  <c r="O24" i="197"/>
  <c r="N24" i="197"/>
  <c r="M24" i="197"/>
  <c r="L24" i="197"/>
  <c r="K24" i="197"/>
  <c r="J24" i="197"/>
  <c r="I24" i="197"/>
  <c r="N14" i="197"/>
  <c r="O14" i="197"/>
  <c r="D76" i="197"/>
  <c r="D77" i="197"/>
  <c r="D78" i="197"/>
  <c r="D79" i="197"/>
  <c r="D80" i="197"/>
  <c r="D75" i="197"/>
  <c r="Q14" i="197"/>
  <c r="P14" i="197"/>
  <c r="M14" i="197"/>
  <c r="L14" i="197"/>
  <c r="K14" i="197"/>
  <c r="J14" i="197"/>
  <c r="I14" i="197"/>
  <c r="P126" i="202"/>
  <c r="O126" i="202"/>
  <c r="N126" i="202"/>
  <c r="M126" i="202"/>
  <c r="L126" i="202"/>
  <c r="K126" i="202"/>
  <c r="J126" i="202"/>
  <c r="I126" i="202"/>
  <c r="P111" i="202"/>
  <c r="O111" i="202"/>
  <c r="N111" i="202"/>
  <c r="M111" i="202"/>
  <c r="L111" i="202"/>
  <c r="K111" i="202"/>
  <c r="J111" i="202"/>
  <c r="I111" i="202"/>
  <c r="P99" i="202"/>
  <c r="O99" i="202"/>
  <c r="N99" i="202"/>
  <c r="M99" i="202"/>
  <c r="L99" i="202"/>
  <c r="K99" i="202"/>
  <c r="J99" i="202"/>
  <c r="I99" i="202"/>
  <c r="P49" i="202"/>
  <c r="O49" i="202"/>
  <c r="N49" i="202"/>
  <c r="M49" i="202"/>
  <c r="L49" i="202"/>
  <c r="K49" i="202"/>
  <c r="J49" i="202"/>
  <c r="I49" i="202"/>
  <c r="P43" i="202"/>
  <c r="O43" i="202"/>
  <c r="N43" i="202"/>
  <c r="M43" i="202"/>
  <c r="L43" i="202"/>
  <c r="K43" i="202"/>
  <c r="J43" i="202"/>
  <c r="I43" i="202"/>
  <c r="P13" i="202"/>
  <c r="O13" i="202"/>
  <c r="N13" i="202"/>
  <c r="M13" i="202"/>
  <c r="L13" i="202"/>
  <c r="K13" i="202"/>
  <c r="J13" i="202"/>
  <c r="I13" i="202"/>
  <c r="P125" i="197"/>
  <c r="O125" i="197"/>
  <c r="N125" i="197"/>
  <c r="M125" i="197"/>
  <c r="L125" i="197"/>
  <c r="K125" i="197"/>
  <c r="J125" i="197"/>
  <c r="I125" i="197"/>
  <c r="P110" i="197"/>
  <c r="O110" i="197"/>
  <c r="N110" i="197"/>
  <c r="M110" i="197"/>
  <c r="L110" i="197"/>
  <c r="K110" i="197"/>
  <c r="J110" i="197"/>
  <c r="I110" i="197"/>
  <c r="P98" i="197"/>
  <c r="O98" i="197"/>
  <c r="N98" i="197"/>
  <c r="M98" i="197"/>
  <c r="L98" i="197"/>
  <c r="K98" i="197"/>
  <c r="J98" i="197"/>
  <c r="I98" i="197"/>
  <c r="P49" i="197"/>
  <c r="O49" i="197"/>
  <c r="N49" i="197"/>
  <c r="M49" i="197"/>
  <c r="L49" i="197"/>
  <c r="K49" i="197"/>
  <c r="J49" i="197"/>
  <c r="I49" i="197"/>
  <c r="P43" i="197"/>
  <c r="O43" i="197"/>
  <c r="N43" i="197"/>
  <c r="M43" i="197"/>
  <c r="L43" i="197"/>
  <c r="K43" i="197"/>
  <c r="J43" i="197"/>
  <c r="I43" i="197"/>
  <c r="J13" i="197"/>
  <c r="K13" i="197"/>
  <c r="L13" i="197"/>
  <c r="M13" i="197"/>
  <c r="N13" i="197"/>
  <c r="O13" i="197"/>
  <c r="P13" i="197"/>
  <c r="I13" i="197"/>
  <c r="C57" i="174"/>
  <c r="C32" i="174"/>
  <c r="C29" i="197"/>
  <c r="D52" i="202" l="1"/>
  <c r="C52" i="202"/>
  <c r="D52" i="197"/>
  <c r="C52" i="197"/>
  <c r="D53" i="197"/>
  <c r="C53" i="197"/>
  <c r="J37" i="174"/>
  <c r="K37" i="174"/>
  <c r="C37" i="174"/>
  <c r="D14" i="202"/>
  <c r="C7" i="174"/>
  <c r="P13" i="174"/>
  <c r="L34" i="202" s="1"/>
  <c r="P11" i="174"/>
  <c r="L28" i="202" s="1"/>
  <c r="P118" i="174"/>
  <c r="E52" i="197" l="1"/>
  <c r="E52" i="202"/>
  <c r="L37" i="174"/>
  <c r="F52" i="197"/>
  <c r="F52" i="202"/>
  <c r="C30" i="174"/>
  <c r="C29" i="174"/>
  <c r="C51" i="202"/>
  <c r="D51" i="202"/>
  <c r="C51" i="197"/>
  <c r="D51" i="197"/>
  <c r="K36" i="174"/>
  <c r="J36" i="174"/>
  <c r="C36" i="174"/>
  <c r="E51" i="202" l="1"/>
  <c r="E51" i="197"/>
  <c r="L36" i="174"/>
  <c r="F51" i="202"/>
  <c r="F51" i="197"/>
  <c r="H52" i="202"/>
  <c r="H52" i="197"/>
  <c r="H122" i="174"/>
  <c r="C46" i="174"/>
  <c r="H51" i="197" l="1"/>
  <c r="H51" i="202"/>
  <c r="C117" i="202"/>
  <c r="D117" i="202"/>
  <c r="C118" i="202"/>
  <c r="D118" i="202"/>
  <c r="C119" i="202"/>
  <c r="D119" i="202"/>
  <c r="H67" i="174"/>
  <c r="D118" i="197"/>
  <c r="C118" i="197"/>
  <c r="D117" i="197"/>
  <c r="C117" i="197"/>
  <c r="D116" i="197"/>
  <c r="C116" i="197"/>
  <c r="D120" i="202"/>
  <c r="C120" i="202"/>
  <c r="D119" i="197"/>
  <c r="C119" i="197"/>
  <c r="V13" i="174"/>
  <c r="Q34" i="202" s="1"/>
  <c r="U13" i="174"/>
  <c r="Q13" i="174"/>
  <c r="M34" i="202" s="1"/>
  <c r="O13" i="174"/>
  <c r="K34" i="202" s="1"/>
  <c r="N13" i="174"/>
  <c r="J34" i="202" s="1"/>
  <c r="V11" i="174"/>
  <c r="Q28" i="202" s="1"/>
  <c r="U11" i="174"/>
  <c r="Q11" i="174"/>
  <c r="M28" i="202" s="1"/>
  <c r="O11" i="174"/>
  <c r="K28" i="202" s="1"/>
  <c r="N11" i="174"/>
  <c r="J28" i="202" s="1"/>
  <c r="D16" i="202" l="1"/>
  <c r="C16" i="202"/>
  <c r="D79" i="202"/>
  <c r="C79" i="202"/>
  <c r="C95" i="202"/>
  <c r="D95" i="202"/>
  <c r="G95" i="202"/>
  <c r="J95" i="202"/>
  <c r="K95" i="202"/>
  <c r="L95" i="202"/>
  <c r="M95" i="202"/>
  <c r="C70" i="174"/>
  <c r="C77" i="174"/>
  <c r="C76" i="174"/>
  <c r="C75" i="174"/>
  <c r="C74" i="174"/>
  <c r="C73" i="174"/>
  <c r="C72" i="174"/>
  <c r="C53" i="174"/>
  <c r="C52" i="174"/>
  <c r="C51" i="174"/>
  <c r="C63" i="197"/>
  <c r="D63" i="197"/>
  <c r="C64" i="197"/>
  <c r="D64" i="197"/>
  <c r="C89" i="197" l="1"/>
  <c r="C90" i="197"/>
  <c r="C91" i="197"/>
  <c r="C92" i="197"/>
  <c r="C93" i="197"/>
  <c r="C94" i="197"/>
  <c r="C79" i="197"/>
  <c r="D16" i="197" l="1"/>
  <c r="C16" i="197"/>
  <c r="H118" i="174"/>
  <c r="E118" i="174"/>
  <c r="D118" i="174"/>
  <c r="V118" i="174"/>
  <c r="E67" i="174"/>
  <c r="U118" i="174"/>
  <c r="Q118" i="174"/>
  <c r="O118" i="174"/>
  <c r="N118" i="174"/>
  <c r="C118" i="174"/>
  <c r="J116" i="174"/>
  <c r="C67" i="174"/>
  <c r="D67" i="174"/>
  <c r="H12" i="174"/>
  <c r="H10" i="174"/>
  <c r="H9" i="174"/>
  <c r="H8" i="174"/>
  <c r="H7" i="174"/>
  <c r="G13" i="174"/>
  <c r="E13" i="174"/>
  <c r="G11" i="174"/>
  <c r="E11" i="174"/>
  <c r="H13" i="174" l="1"/>
  <c r="G34" i="202" s="1"/>
  <c r="G34" i="197"/>
  <c r="G24" i="202"/>
  <c r="G24" i="197"/>
  <c r="G14" i="202"/>
  <c r="G14" i="197"/>
  <c r="G19" i="197"/>
  <c r="G19" i="202"/>
  <c r="H11" i="174"/>
  <c r="G28" i="202" s="1"/>
  <c r="G28" i="197"/>
  <c r="C9" i="174"/>
  <c r="C8" i="174"/>
  <c r="K117" i="174" l="1"/>
  <c r="L117" i="174" s="1"/>
  <c r="J117" i="174"/>
  <c r="J118" i="174" s="1"/>
  <c r="K116" i="174"/>
  <c r="J68" i="174"/>
  <c r="K68" i="174"/>
  <c r="J69" i="174"/>
  <c r="K69" i="174"/>
  <c r="J70" i="174"/>
  <c r="K70" i="174"/>
  <c r="J114" i="174"/>
  <c r="K114" i="174"/>
  <c r="J115" i="174"/>
  <c r="K115" i="174"/>
  <c r="C48" i="174"/>
  <c r="C50" i="174"/>
  <c r="C49" i="174"/>
  <c r="C47" i="174"/>
  <c r="C43" i="174"/>
  <c r="C42" i="174"/>
  <c r="C41" i="174"/>
  <c r="C40" i="174"/>
  <c r="C39" i="174"/>
  <c r="C38" i="174"/>
  <c r="C35" i="174"/>
  <c r="C34" i="174"/>
  <c r="C33" i="174"/>
  <c r="J32" i="174"/>
  <c r="K32" i="174"/>
  <c r="J33" i="174"/>
  <c r="K33" i="174"/>
  <c r="J34" i="174"/>
  <c r="K34" i="174"/>
  <c r="J35" i="174"/>
  <c r="K35" i="174"/>
  <c r="J38" i="174"/>
  <c r="K38" i="174"/>
  <c r="J39" i="174"/>
  <c r="K39" i="174"/>
  <c r="J40" i="174"/>
  <c r="K40" i="174"/>
  <c r="J41" i="174"/>
  <c r="K41" i="174"/>
  <c r="J42" i="174"/>
  <c r="K42" i="174"/>
  <c r="J43" i="174"/>
  <c r="K43" i="174"/>
  <c r="C101" i="174"/>
  <c r="C100" i="174"/>
  <c r="C99" i="174"/>
  <c r="C98" i="174"/>
  <c r="C97" i="174"/>
  <c r="C96" i="174"/>
  <c r="C95" i="174"/>
  <c r="C94" i="174"/>
  <c r="J94" i="174"/>
  <c r="K94" i="174"/>
  <c r="J95" i="174"/>
  <c r="K95" i="174"/>
  <c r="J96" i="174"/>
  <c r="K96" i="174"/>
  <c r="J97" i="174"/>
  <c r="K97" i="174"/>
  <c r="J98" i="174"/>
  <c r="K98" i="174"/>
  <c r="J99" i="174"/>
  <c r="K99" i="174"/>
  <c r="J100" i="174"/>
  <c r="K100" i="174"/>
  <c r="J101" i="174"/>
  <c r="K101" i="174"/>
  <c r="H120" i="174"/>
  <c r="H87" i="174"/>
  <c r="K121" i="174"/>
  <c r="L121" i="174" s="1"/>
  <c r="J121" i="174"/>
  <c r="E54" i="197" l="1"/>
  <c r="E54" i="202"/>
  <c r="F99" i="197"/>
  <c r="F100" i="202"/>
  <c r="E60" i="202"/>
  <c r="E60" i="197"/>
  <c r="F118" i="202"/>
  <c r="F117" i="197"/>
  <c r="L41" i="174"/>
  <c r="F59" i="202"/>
  <c r="F59" i="197"/>
  <c r="E102" i="202"/>
  <c r="E101" i="197"/>
  <c r="E56" i="202"/>
  <c r="E56" i="197"/>
  <c r="L98" i="174"/>
  <c r="F101" i="202"/>
  <c r="F100" i="197"/>
  <c r="L32" i="174"/>
  <c r="F55" i="202"/>
  <c r="F55" i="197"/>
  <c r="E101" i="202"/>
  <c r="E100" i="197"/>
  <c r="L39" i="174"/>
  <c r="F58" i="202"/>
  <c r="F58" i="197"/>
  <c r="E104" i="197"/>
  <c r="E105" i="202"/>
  <c r="E58" i="202"/>
  <c r="E58" i="197"/>
  <c r="F53" i="197"/>
  <c r="F53" i="202"/>
  <c r="E53" i="197"/>
  <c r="E53" i="202"/>
  <c r="L101" i="174"/>
  <c r="F106" i="197"/>
  <c r="F107" i="202"/>
  <c r="L95" i="174"/>
  <c r="F103" i="202"/>
  <c r="F102" i="197"/>
  <c r="L43" i="174"/>
  <c r="F61" i="197"/>
  <c r="F61" i="202"/>
  <c r="L35" i="174"/>
  <c r="F50" i="202"/>
  <c r="F50" i="197"/>
  <c r="E105" i="197"/>
  <c r="E106" i="202"/>
  <c r="E57" i="202"/>
  <c r="E57" i="197"/>
  <c r="L99" i="174"/>
  <c r="F102" i="202"/>
  <c r="F101" i="197"/>
  <c r="E118" i="202"/>
  <c r="E117" i="197"/>
  <c r="E59" i="202"/>
  <c r="E59" i="197"/>
  <c r="F117" i="202"/>
  <c r="F116" i="197"/>
  <c r="L40" i="174"/>
  <c r="F54" i="202"/>
  <c r="F54" i="197"/>
  <c r="E116" i="197"/>
  <c r="E117" i="202"/>
  <c r="E55" i="202"/>
  <c r="E55" i="197"/>
  <c r="L97" i="174"/>
  <c r="F104" i="197"/>
  <c r="F105" i="202"/>
  <c r="L96" i="174"/>
  <c r="F103" i="197"/>
  <c r="F104" i="202"/>
  <c r="E103" i="197"/>
  <c r="E104" i="202"/>
  <c r="E106" i="197"/>
  <c r="E107" i="202"/>
  <c r="E103" i="202"/>
  <c r="E102" i="197"/>
  <c r="E61" i="202"/>
  <c r="E61" i="197"/>
  <c r="E50" i="197"/>
  <c r="E50" i="202"/>
  <c r="F119" i="202"/>
  <c r="F118" i="197"/>
  <c r="F80" i="202"/>
  <c r="F80" i="197"/>
  <c r="L42" i="174"/>
  <c r="F60" i="202"/>
  <c r="F60" i="197"/>
  <c r="L34" i="174"/>
  <c r="F57" i="202"/>
  <c r="F57" i="197"/>
  <c r="E119" i="202"/>
  <c r="E118" i="197"/>
  <c r="E80" i="202"/>
  <c r="E80" i="197"/>
  <c r="L100" i="174"/>
  <c r="F105" i="197"/>
  <c r="F106" i="202"/>
  <c r="E99" i="197"/>
  <c r="E100" i="202"/>
  <c r="L33" i="174"/>
  <c r="F56" i="202"/>
  <c r="F56" i="197"/>
  <c r="L38" i="174"/>
  <c r="L70" i="174"/>
  <c r="K67" i="174"/>
  <c r="L67" i="174" s="1"/>
  <c r="J67" i="174"/>
  <c r="L116" i="174"/>
  <c r="K118" i="174"/>
  <c r="L118" i="174" s="1"/>
  <c r="L94" i="174"/>
  <c r="K7" i="174"/>
  <c r="K8" i="174"/>
  <c r="J7" i="174"/>
  <c r="J8" i="174"/>
  <c r="L69" i="174"/>
  <c r="L114" i="174"/>
  <c r="L115" i="174"/>
  <c r="L68" i="174"/>
  <c r="H102" i="202" l="1"/>
  <c r="H101" i="197"/>
  <c r="H54" i="202"/>
  <c r="H54" i="197"/>
  <c r="H58" i="202"/>
  <c r="H58" i="197"/>
  <c r="H117" i="202"/>
  <c r="H116" i="197"/>
  <c r="H60" i="197"/>
  <c r="H60" i="202"/>
  <c r="H103" i="202"/>
  <c r="H102" i="197"/>
  <c r="H106" i="197"/>
  <c r="H107" i="202"/>
  <c r="H80" i="197"/>
  <c r="H119" i="202"/>
  <c r="H118" i="197"/>
  <c r="H80" i="202"/>
  <c r="H103" i="197"/>
  <c r="H104" i="202"/>
  <c r="H53" i="202"/>
  <c r="H53" i="197"/>
  <c r="H59" i="202"/>
  <c r="H59" i="197"/>
  <c r="H118" i="202"/>
  <c r="H117" i="197"/>
  <c r="H50" i="197"/>
  <c r="H50" i="202"/>
  <c r="H61" i="202"/>
  <c r="H61" i="197"/>
  <c r="F14" i="202"/>
  <c r="F14" i="197"/>
  <c r="H99" i="197"/>
  <c r="H100" i="202"/>
  <c r="H105" i="197"/>
  <c r="H106" i="202"/>
  <c r="E19" i="202"/>
  <c r="E19" i="197"/>
  <c r="H104" i="197"/>
  <c r="H105" i="202"/>
  <c r="H55" i="202"/>
  <c r="H55" i="197"/>
  <c r="F19" i="202"/>
  <c r="F19" i="197"/>
  <c r="H100" i="197"/>
  <c r="H101" i="202"/>
  <c r="E14" i="202"/>
  <c r="E14" i="197"/>
  <c r="H56" i="202"/>
  <c r="H56" i="197"/>
  <c r="H57" i="202"/>
  <c r="H57" i="197"/>
  <c r="K127" i="174"/>
  <c r="J127" i="174"/>
  <c r="K126" i="174"/>
  <c r="J126" i="174"/>
  <c r="K125" i="174"/>
  <c r="J125" i="174"/>
  <c r="K124" i="174"/>
  <c r="J124" i="174"/>
  <c r="K123" i="174"/>
  <c r="J123" i="174"/>
  <c r="J79" i="174"/>
  <c r="K79" i="174"/>
  <c r="L79" i="174" s="1"/>
  <c r="J44" i="174"/>
  <c r="K44" i="174"/>
  <c r="L44" i="174" s="1"/>
  <c r="J46" i="174"/>
  <c r="K46" i="174"/>
  <c r="J47" i="174"/>
  <c r="K47" i="174"/>
  <c r="J48" i="174"/>
  <c r="K48" i="174"/>
  <c r="J49" i="174"/>
  <c r="K49" i="174"/>
  <c r="J50" i="174"/>
  <c r="K50" i="174"/>
  <c r="J93" i="174"/>
  <c r="K93" i="174"/>
  <c r="L48" i="174" l="1"/>
  <c r="F77" i="202"/>
  <c r="F77" i="197"/>
  <c r="E77" i="202"/>
  <c r="E77" i="197"/>
  <c r="F79" i="202"/>
  <c r="F79" i="197"/>
  <c r="E78" i="197"/>
  <c r="E78" i="202"/>
  <c r="L47" i="174"/>
  <c r="F76" i="202"/>
  <c r="F76" i="197"/>
  <c r="L93" i="174"/>
  <c r="F94" i="202"/>
  <c r="F94" i="197"/>
  <c r="L49" i="174"/>
  <c r="F78" i="197"/>
  <c r="F78" i="202"/>
  <c r="E76" i="202"/>
  <c r="E76" i="197"/>
  <c r="F75" i="202"/>
  <c r="F75" i="197"/>
  <c r="E75" i="202"/>
  <c r="E75" i="197"/>
  <c r="E94" i="202"/>
  <c r="E94" i="197"/>
  <c r="E79" i="202"/>
  <c r="E79" i="197"/>
  <c r="F95" i="202"/>
  <c r="E95" i="202"/>
  <c r="L126" i="174"/>
  <c r="L50" i="174"/>
  <c r="J120" i="174"/>
  <c r="J122" i="174"/>
  <c r="L124" i="174"/>
  <c r="L125" i="174"/>
  <c r="L127" i="174"/>
  <c r="L46" i="174"/>
  <c r="K12" i="174"/>
  <c r="K10" i="174"/>
  <c r="J12" i="174"/>
  <c r="J10" i="174"/>
  <c r="L123" i="174"/>
  <c r="K120" i="174"/>
  <c r="L120" i="174" s="1"/>
  <c r="K122" i="174"/>
  <c r="L122" i="174" s="1"/>
  <c r="H80" i="174"/>
  <c r="C103" i="174"/>
  <c r="H77" i="197" l="1"/>
  <c r="H77" i="202"/>
  <c r="H76" i="197"/>
  <c r="H76" i="202"/>
  <c r="J11" i="174"/>
  <c r="E28" i="202" s="1"/>
  <c r="E28" i="197"/>
  <c r="K11" i="174"/>
  <c r="F28" i="202" s="1"/>
  <c r="F28" i="197"/>
  <c r="H78" i="197"/>
  <c r="H78" i="202"/>
  <c r="K13" i="174"/>
  <c r="F34" i="202" s="1"/>
  <c r="F34" i="197"/>
  <c r="H94" i="202"/>
  <c r="H94" i="197"/>
  <c r="H75" i="202"/>
  <c r="H75" i="197"/>
  <c r="H79" i="197"/>
  <c r="H79" i="202"/>
  <c r="J13" i="174"/>
  <c r="E34" i="202" s="1"/>
  <c r="E34" i="197"/>
  <c r="H95" i="202"/>
  <c r="C139" i="202"/>
  <c r="C87" i="202"/>
  <c r="D87" i="202"/>
  <c r="D86" i="202"/>
  <c r="C86" i="202"/>
  <c r="D85" i="202"/>
  <c r="C85" i="202"/>
  <c r="D84" i="202"/>
  <c r="C84" i="202"/>
  <c r="D83" i="202"/>
  <c r="C83" i="202"/>
  <c r="D82" i="202"/>
  <c r="C82" i="202"/>
  <c r="C81" i="202"/>
  <c r="C83" i="197"/>
  <c r="D83" i="197"/>
  <c r="C84" i="197"/>
  <c r="D84" i="197"/>
  <c r="C85" i="197"/>
  <c r="D85" i="197"/>
  <c r="C86" i="197"/>
  <c r="D86" i="197"/>
  <c r="C87" i="197"/>
  <c r="D87" i="197"/>
  <c r="D82" i="197"/>
  <c r="C82" i="197"/>
  <c r="C81" i="197"/>
  <c r="C56" i="174" l="1"/>
  <c r="C55" i="174"/>
  <c r="C62" i="174"/>
  <c r="C61" i="174"/>
  <c r="C60" i="174"/>
  <c r="C59" i="174"/>
  <c r="C58" i="174"/>
  <c r="C56" i="202"/>
  <c r="D56" i="202"/>
  <c r="C113" i="202" l="1"/>
  <c r="D113" i="202"/>
  <c r="C114" i="202"/>
  <c r="D114" i="202"/>
  <c r="C115" i="202"/>
  <c r="D115" i="202"/>
  <c r="C116" i="202"/>
  <c r="D116" i="202"/>
  <c r="C121" i="202"/>
  <c r="D121" i="202"/>
  <c r="C122" i="202"/>
  <c r="D122" i="202"/>
  <c r="C104" i="202"/>
  <c r="C105" i="202"/>
  <c r="C106" i="202"/>
  <c r="C107" i="202"/>
  <c r="C61" i="202"/>
  <c r="C57" i="202"/>
  <c r="C50" i="202"/>
  <c r="C53" i="202"/>
  <c r="D53" i="202"/>
  <c r="C54" i="202"/>
  <c r="D54" i="202"/>
  <c r="C55" i="202"/>
  <c r="D55" i="202"/>
  <c r="D57" i="202"/>
  <c r="C58" i="202"/>
  <c r="D58" i="202"/>
  <c r="C59" i="202"/>
  <c r="D59" i="202"/>
  <c r="C60" i="202"/>
  <c r="D60" i="202"/>
  <c r="D61" i="202"/>
  <c r="C62" i="202"/>
  <c r="D62" i="202"/>
  <c r="C63" i="202"/>
  <c r="D63" i="202"/>
  <c r="C64" i="202"/>
  <c r="D64" i="202"/>
  <c r="C67" i="202"/>
  <c r="C66" i="202"/>
  <c r="C68" i="202"/>
  <c r="C69" i="202"/>
  <c r="C70" i="202"/>
  <c r="C71" i="202"/>
  <c r="C72" i="202"/>
  <c r="C73" i="202"/>
  <c r="C74" i="202"/>
  <c r="C75" i="202"/>
  <c r="D75" i="202"/>
  <c r="C76" i="202"/>
  <c r="D76" i="202"/>
  <c r="C77" i="202"/>
  <c r="D77" i="202"/>
  <c r="C78" i="202"/>
  <c r="D78" i="202"/>
  <c r="C80" i="202"/>
  <c r="D80" i="202"/>
  <c r="D38" i="202"/>
  <c r="C38" i="202"/>
  <c r="D37" i="202"/>
  <c r="C37" i="202"/>
  <c r="D36" i="202"/>
  <c r="C36" i="202"/>
  <c r="D31" i="202"/>
  <c r="C31" i="202"/>
  <c r="D30" i="202"/>
  <c r="C30" i="202"/>
  <c r="D21" i="202"/>
  <c r="C21" i="202"/>
  <c r="D4" i="197"/>
  <c r="D3" i="197"/>
  <c r="D4" i="202"/>
  <c r="D3" i="202"/>
  <c r="C20" i="204" l="1"/>
  <c r="H20" i="204"/>
  <c r="M20" i="204"/>
  <c r="C15" i="204"/>
  <c r="H15" i="204"/>
  <c r="C112" i="197"/>
  <c r="D112" i="197"/>
  <c r="C113" i="197"/>
  <c r="D113" i="197"/>
  <c r="C114" i="197"/>
  <c r="D114" i="197"/>
  <c r="C115" i="197"/>
  <c r="D115" i="197"/>
  <c r="C120" i="197"/>
  <c r="D120" i="197"/>
  <c r="C121" i="197"/>
  <c r="D121" i="197"/>
  <c r="C57" i="197"/>
  <c r="D57" i="197"/>
  <c r="C58" i="197"/>
  <c r="D58" i="197"/>
  <c r="C59" i="197"/>
  <c r="D59" i="197"/>
  <c r="C60" i="197"/>
  <c r="D60" i="197"/>
  <c r="C61" i="197"/>
  <c r="D61" i="197"/>
  <c r="C62" i="197"/>
  <c r="D62" i="197"/>
  <c r="M20" i="195" l="1"/>
  <c r="C15" i="195"/>
  <c r="H20" i="195"/>
  <c r="C20" i="195"/>
  <c r="D38" i="197"/>
  <c r="C38" i="197"/>
  <c r="D37" i="197"/>
  <c r="C37" i="197"/>
  <c r="D39" i="197"/>
  <c r="C39" i="197"/>
  <c r="D36" i="197"/>
  <c r="C36" i="197"/>
  <c r="D35" i="197"/>
  <c r="C35" i="197"/>
  <c r="D34" i="197"/>
  <c r="C34" i="197"/>
  <c r="D31" i="197"/>
  <c r="C31" i="197"/>
  <c r="D30" i="197"/>
  <c r="C30" i="197"/>
  <c r="D21" i="197"/>
  <c r="C21" i="197"/>
  <c r="D32" i="197" l="1"/>
  <c r="C32" i="197"/>
  <c r="D29" i="197"/>
  <c r="D28" i="197"/>
  <c r="C28" i="197"/>
  <c r="J85" i="174"/>
  <c r="K85" i="174"/>
  <c r="J92" i="174"/>
  <c r="K92" i="174"/>
  <c r="C87" i="174"/>
  <c r="E86" i="202" l="1"/>
  <c r="E86" i="197"/>
  <c r="L92" i="174"/>
  <c r="F93" i="197"/>
  <c r="F93" i="202"/>
  <c r="E93" i="197"/>
  <c r="E93" i="202"/>
  <c r="L85" i="174"/>
  <c r="F86" i="197"/>
  <c r="F86" i="202"/>
  <c r="J105" i="174"/>
  <c r="K105" i="174"/>
  <c r="L105" i="174" s="1"/>
  <c r="J106" i="174"/>
  <c r="K106" i="174"/>
  <c r="L106" i="174" s="1"/>
  <c r="J77" i="174"/>
  <c r="K77" i="174"/>
  <c r="J78" i="174"/>
  <c r="K78" i="174"/>
  <c r="J75" i="174"/>
  <c r="K75" i="174"/>
  <c r="J76" i="174"/>
  <c r="K76" i="174"/>
  <c r="C80" i="174"/>
  <c r="J52" i="174"/>
  <c r="K52" i="174"/>
  <c r="J51" i="174"/>
  <c r="K51" i="174"/>
  <c r="J53" i="174"/>
  <c r="K53" i="174"/>
  <c r="J55" i="174"/>
  <c r="K55" i="174"/>
  <c r="J56" i="174"/>
  <c r="K56" i="174"/>
  <c r="J57" i="174"/>
  <c r="K57" i="174"/>
  <c r="J58" i="174"/>
  <c r="K58" i="174"/>
  <c r="J59" i="174"/>
  <c r="K59" i="174"/>
  <c r="J60" i="174"/>
  <c r="K60" i="174"/>
  <c r="J61" i="174"/>
  <c r="K61" i="174"/>
  <c r="J62" i="174"/>
  <c r="K62" i="174"/>
  <c r="J63" i="174"/>
  <c r="K63" i="174"/>
  <c r="J72" i="174"/>
  <c r="K72" i="174"/>
  <c r="J73" i="174"/>
  <c r="K73" i="174"/>
  <c r="J74" i="174"/>
  <c r="K74" i="174"/>
  <c r="O95" i="202" l="1"/>
  <c r="N95" i="202"/>
  <c r="E66" i="202"/>
  <c r="E66" i="197"/>
  <c r="F122" i="202"/>
  <c r="F121" i="197"/>
  <c r="L60" i="174"/>
  <c r="F71" i="202"/>
  <c r="F71" i="197"/>
  <c r="E122" i="202"/>
  <c r="E121" i="197"/>
  <c r="E71" i="202"/>
  <c r="E71" i="197"/>
  <c r="E121" i="202"/>
  <c r="E120" i="197"/>
  <c r="E70" i="197"/>
  <c r="E70" i="202"/>
  <c r="L58" i="174"/>
  <c r="F69" i="202"/>
  <c r="F69" i="197"/>
  <c r="E69" i="197"/>
  <c r="E69" i="202"/>
  <c r="F120" i="202"/>
  <c r="F119" i="197"/>
  <c r="L57" i="174"/>
  <c r="F68" i="197"/>
  <c r="F68" i="202"/>
  <c r="E120" i="202"/>
  <c r="E119" i="197"/>
  <c r="E68" i="202"/>
  <c r="E68" i="197"/>
  <c r="F115" i="197"/>
  <c r="F116" i="202"/>
  <c r="E72" i="202"/>
  <c r="E72" i="197"/>
  <c r="F113" i="197"/>
  <c r="F114" i="202"/>
  <c r="F121" i="202"/>
  <c r="F120" i="197"/>
  <c r="F62" i="202"/>
  <c r="F62" i="197"/>
  <c r="E113" i="202"/>
  <c r="E112" i="197"/>
  <c r="E62" i="202"/>
  <c r="E62" i="197"/>
  <c r="F112" i="202"/>
  <c r="F111" i="197"/>
  <c r="E112" i="202"/>
  <c r="E111" i="197"/>
  <c r="L62" i="174"/>
  <c r="F73" i="197"/>
  <c r="F73" i="202"/>
  <c r="L56" i="174"/>
  <c r="F67" i="202"/>
  <c r="F67" i="197"/>
  <c r="E115" i="197"/>
  <c r="E116" i="202"/>
  <c r="F114" i="197"/>
  <c r="F115" i="202"/>
  <c r="H86" i="197"/>
  <c r="H86" i="202"/>
  <c r="F64" i="202"/>
  <c r="F64" i="197"/>
  <c r="E114" i="202"/>
  <c r="E113" i="197"/>
  <c r="E64" i="197"/>
  <c r="E64" i="202"/>
  <c r="F113" i="202"/>
  <c r="F112" i="197"/>
  <c r="L59" i="174"/>
  <c r="F70" i="197"/>
  <c r="F70" i="202"/>
  <c r="H93" i="197"/>
  <c r="H93" i="202"/>
  <c r="F63" i="197"/>
  <c r="F63" i="202"/>
  <c r="E63" i="197"/>
  <c r="E63" i="202"/>
  <c r="E73" i="202"/>
  <c r="E73" i="197"/>
  <c r="E67" i="202"/>
  <c r="E67" i="197"/>
  <c r="L61" i="174"/>
  <c r="F72" i="202"/>
  <c r="F72" i="197"/>
  <c r="L55" i="174"/>
  <c r="F66" i="202"/>
  <c r="F66" i="197"/>
  <c r="E114" i="197"/>
  <c r="E115" i="202"/>
  <c r="J9" i="174"/>
  <c r="K9" i="174"/>
  <c r="L63" i="174"/>
  <c r="L73" i="174"/>
  <c r="L51" i="174"/>
  <c r="L76" i="174"/>
  <c r="L74" i="174"/>
  <c r="L75" i="174"/>
  <c r="L72" i="174"/>
  <c r="L52" i="174"/>
  <c r="L78" i="174"/>
  <c r="L53" i="174"/>
  <c r="L7" i="174"/>
  <c r="L77" i="174"/>
  <c r="D19" i="197"/>
  <c r="D14" i="197"/>
  <c r="H67" i="197" l="1"/>
  <c r="H67" i="202"/>
  <c r="H73" i="197"/>
  <c r="H73" i="202"/>
  <c r="H14" i="202"/>
  <c r="H14" i="197"/>
  <c r="H68" i="197"/>
  <c r="H68" i="202"/>
  <c r="H115" i="202"/>
  <c r="H114" i="197"/>
  <c r="H116" i="202"/>
  <c r="H115" i="197"/>
  <c r="H69" i="197"/>
  <c r="H69" i="202"/>
  <c r="H113" i="197"/>
  <c r="H114" i="202"/>
  <c r="H62" i="197"/>
  <c r="H62" i="202"/>
  <c r="H72" i="202"/>
  <c r="H72" i="197"/>
  <c r="H112" i="202"/>
  <c r="H111" i="197"/>
  <c r="H112" i="197"/>
  <c r="H113" i="202"/>
  <c r="H122" i="202"/>
  <c r="H121" i="197"/>
  <c r="H63" i="197"/>
  <c r="H63" i="202"/>
  <c r="H66" i="202"/>
  <c r="H66" i="197"/>
  <c r="H70" i="197"/>
  <c r="H70" i="202"/>
  <c r="H120" i="202"/>
  <c r="H119" i="197"/>
  <c r="H121" i="202"/>
  <c r="H120" i="197"/>
  <c r="L9" i="174"/>
  <c r="F24" i="202"/>
  <c r="F24" i="197"/>
  <c r="E24" i="202"/>
  <c r="E24" i="197"/>
  <c r="H71" i="197"/>
  <c r="H71" i="202"/>
  <c r="H64" i="202"/>
  <c r="H64" i="197"/>
  <c r="H16" i="204"/>
  <c r="L8" i="174"/>
  <c r="H21" i="204"/>
  <c r="C21" i="195"/>
  <c r="M21" i="204"/>
  <c r="M21" i="195"/>
  <c r="H21" i="195"/>
  <c r="C21" i="204"/>
  <c r="C138" i="197"/>
  <c r="D71" i="202"/>
  <c r="D72" i="202"/>
  <c r="D73" i="202"/>
  <c r="C65" i="202"/>
  <c r="C70" i="197"/>
  <c r="D70" i="197"/>
  <c r="C71" i="197"/>
  <c r="D71" i="197"/>
  <c r="D69" i="197"/>
  <c r="C69" i="197"/>
  <c r="D68" i="197"/>
  <c r="C68" i="197"/>
  <c r="D67" i="197"/>
  <c r="C67" i="197"/>
  <c r="D66" i="197"/>
  <c r="C66" i="197"/>
  <c r="C65" i="197"/>
  <c r="C16" i="195" l="1"/>
  <c r="D16" i="195" s="1"/>
  <c r="H19" i="202"/>
  <c r="H19" i="197"/>
  <c r="H24" i="202"/>
  <c r="H24" i="197"/>
  <c r="C16" i="204"/>
  <c r="J108" i="174"/>
  <c r="K108" i="174"/>
  <c r="L108" i="174" s="1"/>
  <c r="L5" i="174" l="1"/>
  <c r="H11" i="197"/>
  <c r="C15" i="202"/>
  <c r="D17" i="202"/>
  <c r="C17" i="202"/>
  <c r="C34" i="202"/>
  <c r="K112" i="174"/>
  <c r="J112" i="174"/>
  <c r="K111" i="174"/>
  <c r="J111" i="174"/>
  <c r="K110" i="174"/>
  <c r="J110" i="174"/>
  <c r="J107" i="174"/>
  <c r="K107" i="174"/>
  <c r="J109" i="174"/>
  <c r="K109" i="174"/>
  <c r="K104" i="174"/>
  <c r="J104" i="174"/>
  <c r="J89" i="174"/>
  <c r="K89" i="174"/>
  <c r="J90" i="174"/>
  <c r="K90" i="174"/>
  <c r="J91" i="174"/>
  <c r="K91" i="174"/>
  <c r="K88" i="174"/>
  <c r="J88" i="174"/>
  <c r="J82" i="174"/>
  <c r="K82" i="174"/>
  <c r="J83" i="174"/>
  <c r="K83" i="174"/>
  <c r="J84" i="174"/>
  <c r="K84" i="174"/>
  <c r="J86" i="174"/>
  <c r="K86" i="174"/>
  <c r="K81" i="174"/>
  <c r="J81" i="174"/>
  <c r="J30" i="174"/>
  <c r="K30" i="174"/>
  <c r="K29" i="174"/>
  <c r="J29" i="174"/>
  <c r="E134" i="202" l="1"/>
  <c r="E133" i="197"/>
  <c r="F134" i="202"/>
  <c r="F133" i="197"/>
  <c r="E85" i="202"/>
  <c r="E85" i="197"/>
  <c r="E45" i="197"/>
  <c r="E45" i="202"/>
  <c r="E127" i="202"/>
  <c r="E126" i="197"/>
  <c r="F45" i="202"/>
  <c r="F45" i="197"/>
  <c r="F127" i="202"/>
  <c r="F126" i="197"/>
  <c r="F83" i="202"/>
  <c r="F83" i="197"/>
  <c r="E83" i="202"/>
  <c r="E83" i="197"/>
  <c r="F44" i="197"/>
  <c r="F44" i="202"/>
  <c r="E44" i="202"/>
  <c r="E44" i="197"/>
  <c r="E82" i="202"/>
  <c r="E82" i="197"/>
  <c r="F87" i="202"/>
  <c r="F87" i="197"/>
  <c r="F91" i="197"/>
  <c r="F91" i="202"/>
  <c r="E134" i="197"/>
  <c r="E135" i="202"/>
  <c r="F136" i="202"/>
  <c r="F135" i="197"/>
  <c r="E89" i="202"/>
  <c r="E89" i="197"/>
  <c r="F89" i="202"/>
  <c r="F89" i="197"/>
  <c r="F92" i="197"/>
  <c r="F92" i="202"/>
  <c r="E92" i="197"/>
  <c r="E92" i="202"/>
  <c r="E91" i="202"/>
  <c r="E91" i="197"/>
  <c r="F135" i="202"/>
  <c r="F134" i="197"/>
  <c r="J87" i="174"/>
  <c r="E90" i="202"/>
  <c r="E90" i="197"/>
  <c r="F84" i="202"/>
  <c r="F84" i="197"/>
  <c r="E84" i="202"/>
  <c r="E84" i="197"/>
  <c r="F82" i="202"/>
  <c r="F82" i="197"/>
  <c r="E87" i="202"/>
  <c r="E87" i="197"/>
  <c r="F85" i="202"/>
  <c r="F85" i="197"/>
  <c r="K87" i="174"/>
  <c r="F90" i="202"/>
  <c r="F90" i="197"/>
  <c r="E136" i="202"/>
  <c r="E135" i="197"/>
  <c r="J80" i="174"/>
  <c r="K80" i="174"/>
  <c r="C31" i="204"/>
  <c r="P21" i="204"/>
  <c r="K21" i="204"/>
  <c r="F21" i="204"/>
  <c r="P16" i="204"/>
  <c r="K16" i="204"/>
  <c r="F16" i="204"/>
  <c r="P11" i="204"/>
  <c r="K11" i="204"/>
  <c r="F11" i="204"/>
  <c r="C127" i="197"/>
  <c r="L10" i="174" l="1"/>
  <c r="L12" i="174"/>
  <c r="L13" i="174" l="1"/>
  <c r="H34" i="202" s="1"/>
  <c r="H34" i="197"/>
  <c r="L11" i="174"/>
  <c r="H28" i="202" s="1"/>
  <c r="H28" i="197"/>
  <c r="L86" i="174"/>
  <c r="L82" i="174"/>
  <c r="L81" i="174"/>
  <c r="L107" i="174"/>
  <c r="L104" i="174"/>
  <c r="L110" i="174"/>
  <c r="L111" i="174"/>
  <c r="J103" i="174"/>
  <c r="H83" i="197" l="1"/>
  <c r="H83" i="202"/>
  <c r="H87" i="202"/>
  <c r="H87" i="197"/>
  <c r="H133" i="197"/>
  <c r="H134" i="202"/>
  <c r="H127" i="202"/>
  <c r="H126" i="197"/>
  <c r="H135" i="202"/>
  <c r="H134" i="197"/>
  <c r="H82" i="202"/>
  <c r="H82" i="197"/>
  <c r="K103" i="174"/>
  <c r="C31" i="195"/>
  <c r="D31" i="195"/>
  <c r="C135" i="202" l="1"/>
  <c r="C136" i="202"/>
  <c r="C134" i="202"/>
  <c r="C128" i="202"/>
  <c r="C129" i="202"/>
  <c r="C130" i="202"/>
  <c r="C131" i="202"/>
  <c r="C132" i="202"/>
  <c r="C127" i="202"/>
  <c r="C112" i="202"/>
  <c r="C101" i="202"/>
  <c r="C102" i="202"/>
  <c r="C103" i="202"/>
  <c r="C100" i="202"/>
  <c r="C94" i="202"/>
  <c r="C90" i="202"/>
  <c r="C91" i="202"/>
  <c r="C92" i="202"/>
  <c r="C93" i="202"/>
  <c r="C89" i="202"/>
  <c r="C88" i="202"/>
  <c r="C45" i="202"/>
  <c r="D45" i="202"/>
  <c r="C44" i="202"/>
  <c r="D39" i="202"/>
  <c r="C39" i="202"/>
  <c r="D35" i="202"/>
  <c r="C35" i="202"/>
  <c r="D29" i="202"/>
  <c r="C29" i="202"/>
  <c r="D26" i="202"/>
  <c r="C26" i="202"/>
  <c r="D25" i="202"/>
  <c r="C25" i="202"/>
  <c r="D32" i="202"/>
  <c r="C32" i="202"/>
  <c r="D34" i="202"/>
  <c r="D28" i="202"/>
  <c r="C28" i="202"/>
  <c r="D24" i="202"/>
  <c r="C24" i="202"/>
  <c r="D22" i="202"/>
  <c r="C22" i="202"/>
  <c r="D20" i="202"/>
  <c r="C20" i="202"/>
  <c r="D15" i="202"/>
  <c r="C19" i="202"/>
  <c r="C14" i="202"/>
  <c r="D15" i="197"/>
  <c r="C15" i="197"/>
  <c r="D20" i="197"/>
  <c r="C20" i="197"/>
  <c r="D136" i="202"/>
  <c r="D135" i="202"/>
  <c r="D134" i="202"/>
  <c r="D132" i="202"/>
  <c r="D131" i="202"/>
  <c r="D130" i="202"/>
  <c r="D129" i="202"/>
  <c r="D128" i="202"/>
  <c r="D127" i="202"/>
  <c r="D112" i="202"/>
  <c r="D70" i="202"/>
  <c r="D69" i="202"/>
  <c r="D68" i="202"/>
  <c r="D67" i="202"/>
  <c r="D66" i="202"/>
  <c r="D50" i="202"/>
  <c r="D44" i="202"/>
  <c r="D19" i="202"/>
  <c r="H11" i="202"/>
  <c r="D24" i="197"/>
  <c r="M15" i="204" l="1"/>
  <c r="C10" i="204"/>
  <c r="M10" i="204"/>
  <c r="H10" i="204"/>
  <c r="D26" i="197"/>
  <c r="C26" i="197"/>
  <c r="D25" i="197"/>
  <c r="C25" i="197"/>
  <c r="C24" i="197"/>
  <c r="D22" i="197"/>
  <c r="C22" i="197"/>
  <c r="C19" i="197"/>
  <c r="D17" i="197"/>
  <c r="C17" i="197"/>
  <c r="C14" i="197"/>
  <c r="C45" i="197"/>
  <c r="D45" i="197"/>
  <c r="D44" i="197"/>
  <c r="C44" i="197"/>
  <c r="C134" i="197"/>
  <c r="D134" i="197"/>
  <c r="C135" i="197"/>
  <c r="D135" i="197"/>
  <c r="D133" i="197"/>
  <c r="C133" i="197"/>
  <c r="D127" i="197"/>
  <c r="C128" i="197"/>
  <c r="D128" i="197"/>
  <c r="C129" i="197"/>
  <c r="D129" i="197"/>
  <c r="C130" i="197"/>
  <c r="D130" i="197"/>
  <c r="C131" i="197"/>
  <c r="D131" i="197"/>
  <c r="D126" i="197"/>
  <c r="C126" i="197"/>
  <c r="D111" i="197"/>
  <c r="C111" i="197"/>
  <c r="C100" i="197"/>
  <c r="D100" i="197"/>
  <c r="C101" i="197"/>
  <c r="D101" i="197"/>
  <c r="C102" i="197"/>
  <c r="D102" i="197"/>
  <c r="C103" i="197"/>
  <c r="D103" i="197"/>
  <c r="C104" i="197"/>
  <c r="D104" i="197"/>
  <c r="C105" i="197"/>
  <c r="D105" i="197"/>
  <c r="C106" i="197"/>
  <c r="D106" i="197"/>
  <c r="D99" i="197"/>
  <c r="C99" i="197"/>
  <c r="D90" i="197"/>
  <c r="D91" i="197"/>
  <c r="D92" i="197"/>
  <c r="D93" i="197"/>
  <c r="D94" i="197"/>
  <c r="D89" i="197"/>
  <c r="C88" i="197"/>
  <c r="C74" i="197"/>
  <c r="C76" i="197"/>
  <c r="C77" i="197"/>
  <c r="C78" i="197"/>
  <c r="C80" i="197"/>
  <c r="C75" i="197"/>
  <c r="C56" i="197"/>
  <c r="D56" i="197"/>
  <c r="C72" i="197"/>
  <c r="D72" i="197"/>
  <c r="C73" i="197"/>
  <c r="D73" i="197"/>
  <c r="C54" i="197"/>
  <c r="D54" i="197"/>
  <c r="C55" i="197"/>
  <c r="D55" i="197"/>
  <c r="D50" i="197"/>
  <c r="C50" i="197"/>
  <c r="L109" i="174"/>
  <c r="Q31" i="204"/>
  <c r="M15" i="195" l="1"/>
  <c r="H10" i="195"/>
  <c r="C10" i="195"/>
  <c r="M10" i="195"/>
  <c r="H15" i="195"/>
  <c r="Q31" i="195"/>
  <c r="L87" i="174"/>
  <c r="L84" i="174"/>
  <c r="L112" i="174"/>
  <c r="L91" i="174"/>
  <c r="L88" i="174"/>
  <c r="L89" i="174"/>
  <c r="L30" i="174"/>
  <c r="L83" i="174"/>
  <c r="L90" i="174"/>
  <c r="L29" i="174"/>
  <c r="L103" i="174"/>
  <c r="H92" i="197" l="1"/>
  <c r="H92" i="202"/>
  <c r="H45" i="202"/>
  <c r="H45" i="197"/>
  <c r="H84" i="202"/>
  <c r="H84" i="197"/>
  <c r="H44" i="197"/>
  <c r="H44" i="202"/>
  <c r="H90" i="197"/>
  <c r="H90" i="202"/>
  <c r="H136" i="202"/>
  <c r="H135" i="197"/>
  <c r="H91" i="197"/>
  <c r="H91" i="202"/>
  <c r="H89" i="202"/>
  <c r="H89" i="197"/>
  <c r="H85" i="197"/>
  <c r="H85" i="202"/>
  <c r="D16" i="204"/>
  <c r="L80" i="174"/>
  <c r="H11" i="204"/>
  <c r="I21" i="204"/>
  <c r="C11" i="195"/>
  <c r="H11" i="195"/>
  <c r="M16" i="195"/>
  <c r="M16" i="204"/>
  <c r="N16" i="204" s="1"/>
  <c r="H16" i="195" l="1"/>
  <c r="I16" i="195" s="1"/>
  <c r="I11" i="204"/>
  <c r="M11" i="204"/>
  <c r="N11" i="204" s="1"/>
  <c r="C11" i="204"/>
  <c r="D11" i="204" s="1"/>
  <c r="N21" i="204"/>
  <c r="M11" i="195"/>
  <c r="I16" i="204"/>
  <c r="D21" i="204"/>
  <c r="P21" i="195" l="1"/>
  <c r="K21" i="195"/>
  <c r="F21" i="195"/>
  <c r="P16" i="195"/>
  <c r="K16" i="195"/>
  <c r="F16" i="195"/>
  <c r="P11" i="195"/>
  <c r="K11" i="195"/>
  <c r="F11" i="195"/>
  <c r="N16" i="195" l="1"/>
  <c r="N21" i="195" l="1"/>
  <c r="I11" i="195" l="1"/>
  <c r="D21" i="195"/>
  <c r="I21"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AJ5" authorId="0" shapeId="0" xr:uid="{AB0B09E5-5AE8-4878-A92F-583FCF95A799}">
      <text>
        <r>
          <rPr>
            <b/>
            <sz val="9"/>
            <color indexed="81"/>
            <rFont val="Tahoma"/>
            <family val="2"/>
          </rPr>
          <t xml:space="preserve">Black = not part of a category
</t>
        </r>
      </text>
    </comment>
    <comment ref="W6" authorId="0" shapeId="0" xr:uid="{DBFC1734-81F9-459A-ABC4-0828114A65B9}">
      <text>
        <r>
          <rPr>
            <b/>
            <sz val="9"/>
            <color indexed="81"/>
            <rFont val="Tahoma"/>
            <family val="2"/>
          </rPr>
          <t xml:space="preserve">Display order 1-100 for packages
</t>
        </r>
      </text>
    </comment>
    <comment ref="AQ6" authorId="0" shapeId="0" xr:uid="{E170194C-DC25-48A9-AB35-68DB46774764}">
      <text>
        <r>
          <rPr>
            <b/>
            <sz val="9"/>
            <color indexed="81"/>
            <rFont val="Tahoma"/>
            <family val="2"/>
          </rPr>
          <t>Dependencies, go one-way (unless applied backwards)</t>
        </r>
      </text>
    </comment>
    <comment ref="AR6" authorId="0" shapeId="0" xr:uid="{9C70A6C5-D76E-44EB-906F-3D4A1587A97E}">
      <text>
        <r>
          <rPr>
            <b/>
            <sz val="9"/>
            <color indexed="81"/>
            <rFont val="Tahoma"/>
            <family val="2"/>
          </rPr>
          <t>Exclusions, auto-generate on the other part.</t>
        </r>
      </text>
    </comment>
    <comment ref="B54" authorId="0" shapeId="0" xr:uid="{52C693BB-47AD-44CB-BB98-363FF61084E8}">
      <text>
        <r>
          <rPr>
            <sz val="9"/>
            <color indexed="81"/>
            <rFont val="Tahoma"/>
            <family val="2"/>
          </rPr>
          <t>not a real PN, just for app chart reference</t>
        </r>
      </text>
    </comment>
    <comment ref="B78" authorId="0" shapeId="0" xr:uid="{7150586E-F910-4BA9-B7BE-504D792ABEC7}">
      <text>
        <r>
          <rPr>
            <b/>
            <sz val="9"/>
            <color indexed="81"/>
            <rFont val="Tahoma"/>
            <family val="2"/>
          </rPr>
          <t>App Chart only</t>
        </r>
      </text>
    </comment>
    <comment ref="B80" authorId="0" shapeId="0" xr:uid="{465D5D70-24E9-4EE7-BA32-752324BF9024}">
      <text>
        <r>
          <rPr>
            <sz val="9"/>
            <color indexed="81"/>
            <rFont val="Tahoma"/>
            <family val="2"/>
          </rPr>
          <t>not a real PN, just for app chart reference</t>
        </r>
      </text>
    </comment>
    <comment ref="B87" authorId="0" shapeId="0" xr:uid="{59465F66-E4C0-45FE-ABFF-A34FAFBC488A}">
      <text>
        <r>
          <rPr>
            <sz val="9"/>
            <color indexed="81"/>
            <rFont val="Tahoma"/>
            <family val="2"/>
          </rPr>
          <t>not a real PN, just for app chart reference</t>
        </r>
      </text>
    </comment>
    <comment ref="B103" authorId="0" shapeId="0" xr:uid="{11BEF457-1A46-4A53-94BB-B281102F7183}">
      <text>
        <r>
          <rPr>
            <sz val="9"/>
            <color indexed="81"/>
            <rFont val="Tahoma"/>
            <family val="2"/>
          </rPr>
          <t>not a real PN, just for app chart reference</t>
        </r>
      </text>
    </comment>
    <comment ref="B122" authorId="0" shapeId="0" xr:uid="{B7635C61-9B9C-472D-9A28-2D98B5383C10}">
      <text>
        <r>
          <rPr>
            <sz val="9"/>
            <color indexed="81"/>
            <rFont val="Tahoma"/>
            <family val="2"/>
          </rPr>
          <t>not a real PN, just for app chart reference</t>
        </r>
      </text>
    </comment>
  </commentList>
</comments>
</file>

<file path=xl/sharedStrings.xml><?xml version="1.0" encoding="utf-8"?>
<sst xmlns="http://schemas.openxmlformats.org/spreadsheetml/2006/main" count="1554" uniqueCount="568">
  <si>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</si>
  <si>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</si>
  <si>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</si>
  <si>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</si>
  <si>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</si>
  <si>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</si>
  <si>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</si>
  <si>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</si>
  <si>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</si>
  <si>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</si>
  <si>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</si>
  <si>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</si>
  <si>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</si>
  <si>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</si>
  <si>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</si>
  <si>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</si>
  <si>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</si>
  <si>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</si>
  <si>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</si>
  <si>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</si>
  <si>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Moonroof Visor</t>
  </si>
  <si>
    <t>E</t>
  </si>
  <si>
    <t>Fine Sanding Needles</t>
  </si>
  <si>
    <t>Fine Sanding Sticks</t>
  </si>
  <si>
    <t>Paint Pen Replacement Tips</t>
  </si>
  <si>
    <t>Application</t>
  </si>
  <si>
    <t>31670-BMS-004H</t>
  </si>
  <si>
    <t>Current Labor Rates</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</si>
  <si>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</si>
  <si>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</si>
  <si>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</si>
  <si>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</si>
  <si>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</si>
  <si>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</si>
  <si>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</si>
  <si>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</si>
  <si>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</si>
  <si>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</si>
  <si>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</si>
  <si>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</si>
  <si>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</si>
  <si>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</si>
  <si>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</si>
  <si>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</si>
  <si>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</si>
  <si>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</si>
  <si>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</si>
  <si>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</si>
  <si>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</si>
  <si>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</si>
  <si>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</si>
  <si>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</si>
  <si>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</si>
  <si>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</si>
  <si>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</si>
  <si>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Crystal Black Pearl (NH-731P)</t>
  </si>
  <si>
    <t>Platinum White Pearl (NH-883P)</t>
  </si>
  <si>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</si>
  <si>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</si>
  <si>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</si>
  <si>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</si>
  <si>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</si>
  <si>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</si>
  <si>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</si>
  <si>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</si>
  <si>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</si>
  <si>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</si>
  <si>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</si>
  <si>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</si>
  <si>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</si>
  <si>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</si>
  <si>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</si>
  <si>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</si>
  <si>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</si>
  <si>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</si>
  <si>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</si>
  <si>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</si>
  <si>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</si>
  <si>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</si>
  <si>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</si>
  <si>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</si>
  <si>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</si>
  <si>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</si>
  <si>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</si>
  <si>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</si>
  <si>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</si>
  <si>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</si>
  <si>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Pellicule pour rebord de portière</t>
  </si>
  <si>
    <t>Moulure latérale</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</si>
  <si>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</si>
  <si>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</si>
  <si>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</si>
  <si>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</si>
  <si>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</si>
  <si>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</si>
  <si>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</si>
  <si>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</si>
  <si>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</si>
  <si>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</si>
  <si>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Door Edge Film</t>
  </si>
  <si>
    <t>Door Edge Guards</t>
  </si>
  <si>
    <t>Wheel Locks - Black</t>
  </si>
  <si>
    <t>Wheel Locks - Chrome</t>
  </si>
  <si>
    <t>Protecteurs de bordure de porte</t>
  </si>
  <si>
    <t>Pointes de remplacement pour stylos de peinture</t>
  </si>
  <si>
    <t>Blanc platine nacré (NH-883P)</t>
  </si>
  <si>
    <t>Noir cristal nacré (NH-731P)</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</si>
  <si>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</si>
  <si>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</si>
  <si>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</si>
  <si>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</si>
  <si>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</si>
  <si>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</si>
  <si>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</si>
  <si>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</si>
  <si>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</si>
  <si>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</si>
  <si>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</si>
  <si>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</si>
  <si>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</si>
  <si>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</si>
  <si>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</si>
  <si>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</si>
  <si>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</si>
  <si>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</si>
  <si>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</si>
  <si>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</si>
  <si>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</si>
  <si>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</si>
  <si>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</si>
  <si>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</si>
  <si>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</si>
  <si>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</si>
  <si>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</si>
  <si>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</si>
  <si>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</si>
  <si>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</si>
  <si>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</si>
  <si>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</si>
  <si>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</si>
  <si>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</si>
  <si>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</si>
  <si>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</si>
  <si>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</si>
  <si>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Door Edge Guards help protect your doors from nicks and scrapes that can be expensive to repair.</t>
  </si>
  <si>
    <t>Les protecteurs de rebords de portières aident à protéger les portières de votre véhicule contre les égratignures et éraflures dont la réparation serait coûteuse.</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</si>
  <si>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</si>
  <si>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</si>
  <si>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Extended battery life by charging/maintaining a Honda battery to ideal charge levels.</t>
  </si>
  <si>
    <t>Bread and Butter</t>
  </si>
  <si>
    <t xml:space="preserve">High Impact 
Exterior Aesthetic </t>
  </si>
  <si>
    <t>Engine Heaters 
- function</t>
  </si>
  <si>
    <t xml:space="preserve">Exterior Protection </t>
  </si>
  <si>
    <t>Interior Aesthetic &amp; 
Film Protection</t>
  </si>
  <si>
    <t>Interior Funtion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</si>
  <si>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</si>
  <si>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</si>
  <si>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</si>
  <si>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</si>
  <si>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</si>
  <si>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</si>
  <si>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</si>
  <si>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Cannot be installed with Door Edge Film</t>
  </si>
  <si>
    <t>Dependancies</t>
  </si>
  <si>
    <t>Exclusions</t>
  </si>
  <si>
    <t>N/A only used for app chart</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</si>
  <si>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</si>
  <si>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</si>
  <si>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</si>
  <si>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</si>
  <si>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</si>
  <si>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</si>
  <si>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</si>
  <si>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TUCH-NH731P-A1</t>
  </si>
  <si>
    <t>TUCH-NH883P-A1</t>
  </si>
  <si>
    <t>Wheels
Steel wheels first if applicable. 
Then the other wheels
Then Wheel locks</t>
  </si>
  <si>
    <t>Ne peut être installé simultanément avec pellicule pour rebord de portière</t>
  </si>
  <si>
    <t>Quantity of 25.</t>
  </si>
  <si>
    <t>Quantity of 5.</t>
  </si>
  <si>
    <t>Quantité de 25</t>
  </si>
  <si>
    <t>Quantité de 5</t>
  </si>
  <si>
    <t>Residual-ized $</t>
  </si>
  <si>
    <t>08L20-E09-300A</t>
  </si>
  <si>
    <t>08L20-E09-300B</t>
  </si>
  <si>
    <t>08L20-E09-101C</t>
  </si>
  <si>
    <t>08L07-E09-101</t>
  </si>
  <si>
    <t>08L09-E09-101</t>
  </si>
  <si>
    <t>08L03-E09-300C</t>
  </si>
  <si>
    <t>08L05-E09-100</t>
  </si>
  <si>
    <t>Roof Box - Short</t>
  </si>
  <si>
    <t>Roof Basket</t>
  </si>
  <si>
    <t>Roof Kayak Attachment</t>
  </si>
  <si>
    <t>Roof Ski/Snowboard Attachment</t>
  </si>
  <si>
    <t>Body Side Moulding</t>
  </si>
  <si>
    <t>08LXX-E09-XXXX</t>
  </si>
  <si>
    <t xml:space="preserve">Roof Attachments </t>
  </si>
  <si>
    <t>Accessoires de toit</t>
  </si>
  <si>
    <t>Cold Weather Package</t>
  </si>
  <si>
    <t>Ensemble de temps froid</t>
  </si>
  <si>
    <t>Sport</t>
  </si>
  <si>
    <t>Black Edition</t>
  </si>
  <si>
    <t>A great way to help ensure that your wheels stay on your truck where they belong.</t>
  </si>
  <si>
    <t>Un excellent moyen de vous assurer que les roues demeurent sur votre camion, là où elles devraient se trouver.</t>
  </si>
  <si>
    <t>08W42-TG7-301A</t>
  </si>
  <si>
    <t>08W42-TK4-301</t>
  </si>
  <si>
    <t>Rabais de 5% est appliqué.</t>
  </si>
  <si>
    <t>08L92-SJC-300A</t>
  </si>
  <si>
    <t>Trailer Hitch</t>
  </si>
  <si>
    <t>Trailer Hitch Harness</t>
  </si>
  <si>
    <t>Harnais pour remorque</t>
  </si>
  <si>
    <t>Trailer Hitch Ball - 1-7/8"</t>
  </si>
  <si>
    <t>Rotule d'attelage de 1 7/8 po</t>
  </si>
  <si>
    <t>Trailer Hitch Ball - 2"</t>
  </si>
  <si>
    <t>Rotule d'attelage de 2 po</t>
  </si>
  <si>
    <t>Trailer Hitch Locking Pin</t>
  </si>
  <si>
    <t>Goupille de verrouillage pour l'attelage de remorque</t>
  </si>
  <si>
    <t>Trailer Hitch Locking Pin - for added security</t>
  </si>
  <si>
    <t>Goupille de verrouillage d’attelage de remorque pour plus de sécurité.</t>
  </si>
  <si>
    <t>Door Visor</t>
  </si>
  <si>
    <t>Help protect against unsightly nicks and scrapes around your door edges with Door Edge Film. The transparent urethane film helps protect without being seen.</t>
  </si>
  <si>
    <t>La pellicule d’uréthane transparente placée dans l’espace de la poignée de porte protège la peinture des égratignures inesthétiques causées par les ongles, les bijoux et les clés.</t>
  </si>
  <si>
    <t>Ajoutez au look sportif de votre Honda avec les barres transversales pour galerie de toit qui vous donnent un espace de rangement additionnel pour les vélos, les skis et tout autre bagage encombrant. Galerie de toit requise.</t>
  </si>
  <si>
    <t>Panier de toit</t>
  </si>
  <si>
    <t>08L07-E09-300A</t>
  </si>
  <si>
    <t>Roof Bicycle Attachment - Forkmount</t>
  </si>
  <si>
    <t>Galerie de toit, Porte-vélo - monture de fourche</t>
  </si>
  <si>
    <t>La fixation de fourche pour porte-vélo comprend un bouton de réglage permettant un chargement rapide et une sécurité maximale pour votre vélo. Deux porte-vélos peuvent être ajoutés aux traverses de toit. Nécessite les longerons et les barres transversales de toit.</t>
  </si>
  <si>
    <t>Roof Bicycle Attachment - Frame mount</t>
  </si>
  <si>
    <t>Support à vélo vertical pour porte-bagages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</si>
  <si>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</si>
  <si>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</si>
  <si>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Roof Box - Mid-Size</t>
  </si>
  <si>
    <t>Boîte de toit - moyenne</t>
  </si>
  <si>
    <t>Boîte de toit - courte</t>
  </si>
  <si>
    <t>Galerie de toit, fixation pour kayak</t>
  </si>
  <si>
    <t>Galerie de toit, Fixation pour skis/planche à neige</t>
  </si>
  <si>
    <t>Roof Surfboard Attachment</t>
  </si>
  <si>
    <t>Galerie de toit, Fixation pour planche de surf</t>
  </si>
  <si>
    <t>08Z04-SCV-110B</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</si>
  <si>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</si>
  <si>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</si>
  <si>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</si>
  <si>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Designed for perfect fit and finish, this Body Side Moulding complements the sleek contours of your vehicle and helps to protect its doors from minor dents.</t>
  </si>
  <si>
    <t>D'une façon et d'une finition parfaitement assorties, cette moulure latérale de la carrosserie est un complément idéal pour la forme effilée de votre véhicule et aide à protéger les portières contre les bosselures.</t>
  </si>
  <si>
    <t>31670-BMS-LEAD</t>
  </si>
  <si>
    <t>Engine Block Heater</t>
  </si>
  <si>
    <t>The engine block heater makes for easier starts during the cold winter months.</t>
  </si>
  <si>
    <t>Chargeur/mainteneur de charge de batterie automobile 12 V</t>
  </si>
  <si>
    <t>Battery Lead</t>
  </si>
  <si>
    <t>Câble de batterie</t>
  </si>
  <si>
    <t>From groceries to parcels, this convenient Cargo Net helps keep items secure and easy to retrieve from the trunk.</t>
  </si>
  <si>
    <t>Que vous transportiez des sacs d'épicerie ou des articles de sport, ce filet de protection du chargement à mailles élastiques contribue à garder vos choses en place et bien accessibles.</t>
  </si>
  <si>
    <t>With all the places you'll be travelling, these durable high wall All Season Floor Mats help protect your interior from muddy, wet shoes and more.</t>
  </si>
  <si>
    <t>Vos nombreux voyages vous permettrons d'apprécier ces tapis toutes saisons qui aideront à protéger l'habitacle des chaussures mouillées et autres objets salissants que vous y déposerez.</t>
  </si>
  <si>
    <t>This durable Cargo Tray helps prevent dirt, water and moisture from ruining the carpeting in the back of your Honda.</t>
  </si>
  <si>
    <t>Ce bac durable empêche la poussière, l'eau et l'humidité de détruire la moquette de l'espace de chargement de votre Honda.</t>
  </si>
  <si>
    <t>Cargo Bins</t>
  </si>
  <si>
    <t>These Rear Seat Covers offer stylish protection that will help keep your original seats in primo condition. Covers entire 2nd-row and headrests. Made with durable, water-resistant wetsuit-like material. Machine washable.</t>
  </si>
  <si>
    <t>Ces couvre-sièges arrière offrent une protection élégante qui maintiendra vos sièges dans leur état d’origine. Couvre la totalité de la 2e rangée et les appuie-tête. Fabriqué à l'aide d’un matériau durable, résistant à l'eau et ressemblant à une combinaison isotherme. Lavable à la machine.</t>
  </si>
  <si>
    <t>Sonic Gray Pearl (NH-877P)</t>
  </si>
  <si>
    <t>Gris sonique nacré (NH-877P)</t>
  </si>
  <si>
    <t>Radiant Red Metallic II (R-580M)</t>
  </si>
  <si>
    <t>Radiant rouge métallisé II (R-580M)</t>
  </si>
  <si>
    <t>Trailer Hitch Ball - 1-7/8" or 2"</t>
  </si>
  <si>
    <t>Rotule d'attelage de 1 7/8 po ou 2 po</t>
  </si>
  <si>
    <t>N/A App Chart reference</t>
  </si>
  <si>
    <t>Roof Attachments</t>
  </si>
  <si>
    <t>Odyssey</t>
  </si>
  <si>
    <t>08P05-THR-XXXX</t>
  </si>
  <si>
    <t>08P05-THR-191</t>
  </si>
  <si>
    <t>08P05-THR-1B1</t>
  </si>
  <si>
    <t>Cannot be applied simultaneously with Door Edge Guard.</t>
  </si>
  <si>
    <t>Assortie à la couleur du véhicule. Ne peut être installé simultanément avec les protecteurs de rebords de portière.</t>
  </si>
  <si>
    <t>Modern Steel Metallic (NH-797M)</t>
  </si>
  <si>
    <t>Acier moderne métallisé (NH-797M)</t>
  </si>
  <si>
    <t>TUCH-NH797M-A1</t>
  </si>
  <si>
    <t>Solar Reflection Silver (NH-932M)</t>
  </si>
  <si>
    <t>Refl et solaire argent métallisé (NH-932M)</t>
  </si>
  <si>
    <t>TUCH-R580M-A1</t>
  </si>
  <si>
    <t>08P05-THR-131</t>
  </si>
  <si>
    <t>08P05-THR-1A1</t>
  </si>
  <si>
    <t>08P05-THR-1C1</t>
  </si>
  <si>
    <t>08P20-THR-120A</t>
  </si>
  <si>
    <t>08P20-THR-190A</t>
  </si>
  <si>
    <t>08P20-THR-130A</t>
  </si>
  <si>
    <t>08P20-THR-1B0A</t>
  </si>
  <si>
    <t>08P20-THR-1A0A</t>
  </si>
  <si>
    <t>08P20-THR-1C0A</t>
  </si>
  <si>
    <t>Requires Roof Rails and Crossbars.</t>
  </si>
  <si>
    <t>Nécessite des rails de toit et des barres transversales.</t>
  </si>
  <si>
    <t>08L02-THR-102</t>
  </si>
  <si>
    <t>Roof Rails, along with Crossbars, can securely haul items on top of your Pilot depending on your choice of roof attachments. 165-lb maximum-load capacity. Available in Black or Chrome</t>
  </si>
  <si>
    <t>Les longerons de toit et les barres transversales servent à transporter des articles en toute sécurité sur le toit de votre Pilot, à l’aide de la fixation de toit de votre choix. Capacité de chargement maximale de 75 kg (165 lb). Offerts en noir ou chrome.</t>
  </si>
  <si>
    <t>08L02-THR-102A</t>
  </si>
  <si>
    <t>Roof Rails - Chrome</t>
  </si>
  <si>
    <t>08L04-THR-100</t>
  </si>
  <si>
    <t>Add a sportier look to your Honda with the addition of Roof Rack Cross Bars, while making more room for bikes, skis or extra luggage. Roof Rack Required</t>
  </si>
  <si>
    <t>Écrous de roue antivol  - Chromés</t>
  </si>
  <si>
    <t>Un excellent moyen de vous assurer que les roues demeurent sur votre camion, là où elles devraient se trouver</t>
  </si>
  <si>
    <t>Écrous de roue antivol  - Noirs</t>
  </si>
  <si>
    <t>Back up sensors</t>
  </si>
  <si>
    <t xml:space="preserve">Capteurs de recul à l’arrière   </t>
  </si>
  <si>
    <t>Sport-L</t>
  </si>
  <si>
    <t>08V67-THR-120K</t>
  </si>
  <si>
    <t>08V67-THR-130K</t>
  </si>
  <si>
    <t>08V67-THR-190K</t>
  </si>
  <si>
    <t>08V67-THR-1B0K</t>
  </si>
  <si>
    <t>08V67-THR-1A0K</t>
  </si>
  <si>
    <t>08V67-THR-300A</t>
  </si>
  <si>
    <t>Back Up Sensor Attachment</t>
  </si>
  <si>
    <t xml:space="preserve">Fixation pour détecteur d'obstacle de marche arrière </t>
  </si>
  <si>
    <t>08P20-THR-XXXX</t>
  </si>
  <si>
    <t xml:space="preserve">Back up Sensors </t>
  </si>
  <si>
    <t>N/A web only</t>
  </si>
  <si>
    <t>N/A App Chart</t>
  </si>
  <si>
    <t>Requires Sensor Attachment and Sensor.</t>
  </si>
  <si>
    <t>Nécessite une fixation de capteur et un capteur.</t>
  </si>
  <si>
    <t>The next best thing to having eyes in the back of your head, Back-Up Sensors will have you slipping in and out of tight spots with ease.  Color-matched to your vehicle. Four sensors emit audible beeps that quicken as you approach objects</t>
  </si>
  <si>
    <t>08P17-THR-110A</t>
  </si>
  <si>
    <t>All-Season Floor Mats - White Logo</t>
  </si>
  <si>
    <t>Protège-tapis toutes saisons - logo blanc</t>
  </si>
  <si>
    <t>08U45-THR-300</t>
  </si>
  <si>
    <t>Des paniers de compartiment à bagages</t>
  </si>
  <si>
    <t>These Cargo Bins are designed to be inserted into the wheel well behind the rear seats. The two bins are sized to match the width of the 60/40 split seats. Either or both can be removed to stow the corresponding seat. 77-lb maximum load capacity for the bins and on the lids.</t>
  </si>
  <si>
    <t>Ces bacs de chargement sont conçus pour être posés dans le logement de roue derrière les sièges arrière. Les dimensions des deux bacs correspondent à la largeur des sièges divisés 60/40. L’un ou l’autre peut être retiré pour ranger le siège correspondant. Capacité de chargement maximale de 35 kg (77 lb) pour les bacs et sur les couvercles.</t>
  </si>
  <si>
    <t>08P42-THR-100</t>
  </si>
  <si>
    <t>Cargo Liner</t>
  </si>
  <si>
    <t xml:space="preserve">Protection pour compartiment utilitaire </t>
  </si>
  <si>
    <t>Whether you're loading or unloading sports gear or groceries, this roll out Cargo Liner helps protect your vehicle's bumper from scratches.</t>
  </si>
  <si>
    <t>Chargez ou déchargez à volonté vos accessoires sportifs ou sacs d'épicerie, votre doublure d'espace de chargement aidera à prévenir les marques d'accrocs sur le pare-chocs.</t>
  </si>
  <si>
    <t>08L96-THR-100</t>
  </si>
  <si>
    <t xml:space="preserve">Filet d’arrimage </t>
  </si>
  <si>
    <t>08U45-THR-100A</t>
  </si>
  <si>
    <t>Cargo Tray - Deep</t>
  </si>
  <si>
    <t>Plateau de compartiment à bagages - profond</t>
  </si>
  <si>
    <t>08U45-THR-100B</t>
  </si>
  <si>
    <t>Cargo Tray - Folding</t>
  </si>
  <si>
    <t>Plateaux de coffre pliants</t>
  </si>
  <si>
    <t>The molded vinyl Tri-Fold Cargo Mat protects the cargo-area carpet from wear and spills. Designed with flexible hinges to fold and accommodate the 3rd-row seating. Specially designed for use with accessory Cargo Net. Features Odyssey logo for custom appearance.</t>
  </si>
  <si>
    <t>Fabriqué en vinyle, ce bac de coffre ce replie en trois sections pour protéger le tapis d'origine de votre coffre contre l'usure et les dégâts. Les charnières sont flexible pour accommoder le troisième siège pour passager. Spécialement conçus pour être utilisé avec le filet d'arrimage offert en accessoire. Décoré du logo Odyssey pour un look personnalisé</t>
  </si>
  <si>
    <t>08P32-THR-310D</t>
  </si>
  <si>
    <t>Seat Cover, 2nd Row (8P)</t>
  </si>
  <si>
    <t>Housse pour sièges, 2e rangée</t>
  </si>
  <si>
    <t>08P32-THR-310F</t>
  </si>
  <si>
    <t>Seat Cover, 3rd Row</t>
  </si>
  <si>
    <t>Housse pour sièges, 3e rangée</t>
  </si>
  <si>
    <t>White Logo.</t>
  </si>
  <si>
    <t>Logo blanc.</t>
  </si>
  <si>
    <t>8 Passenger Seating.</t>
  </si>
  <si>
    <t>8 sièges passagers.</t>
  </si>
  <si>
    <t>08P01-THR-100</t>
  </si>
  <si>
    <t>Bumper Protector - Chrome</t>
  </si>
  <si>
    <t xml:space="preserve">Protecteur de pare-chocs arrière  </t>
  </si>
  <si>
    <t>Protection with styling, this rear bumper protector adds a finished touch that enhances the exterior while preventing scratches when loading and unloading items from the rear.</t>
  </si>
  <si>
    <t>Offrant une protection avec style, ce protecteur de pare-chocs arrière ajoute une touche finie qui améliore l’extérieur tout en prévenant les égratignures lors du chargement et du déchargement d’articles de l’arrière.</t>
  </si>
  <si>
    <t>08P20-THR-100</t>
  </si>
  <si>
    <t>08R04-THR-102</t>
  </si>
  <si>
    <t>Pare-soleil de portière</t>
  </si>
  <si>
    <t>This Door Visor help to protect you and your passengers from sun glare and minimizes outside noise when the windows are partially open.</t>
  </si>
  <si>
    <t>Ce déflecteur de portière aide à réduire les reflets du soleil ainsi que le bruit provenant de l'extérieur quand les glaces sont partiellement ouvertes.</t>
  </si>
  <si>
    <t>08F20-THR-100</t>
  </si>
  <si>
    <t>Emblems - H-Mark &amp; Odyssey, Gloss Black</t>
  </si>
  <si>
    <t>L’apparence audacieuse des emblèmes noirs lustrés permet de compléter et de rehausser le style extérieur unique de votre Odyssey. Les emblèmes sont fabriqués d’un matériau de haute qualité, pour une durabilité accrue. Les emblèmes « H » et Odyssey sont inclus</t>
  </si>
  <si>
    <t>08F59-THR-100A</t>
  </si>
  <si>
    <t>Fender Emblems</t>
  </si>
  <si>
    <t>Écussons d’ailes</t>
  </si>
  <si>
    <t>Add to the sporty look of the Odyssey with these emblem accents.</t>
  </si>
  <si>
    <t>Ajoutez au look sportif de l'Odyssey avec ces accents d'emblème</t>
  </si>
  <si>
    <t>08P47-THR-301</t>
  </si>
  <si>
    <t>Hood Air Deflector</t>
  </si>
  <si>
    <t>Déflecteur d’air du capot</t>
  </si>
  <si>
    <t>This stylish Hood Edge Deflector helps protect the finish of Passport from small stones and flying insects.</t>
  </si>
  <si>
    <t>Ce défleteur de capot élégant aide à protéger le fini de votre Pilot des projections de petites roches et des insectes.</t>
  </si>
  <si>
    <t>08F57-THR-101</t>
  </si>
  <si>
    <t>Lower Door Trim - Chrome</t>
  </si>
  <si>
    <t>Garnitures de portière - chromées</t>
  </si>
  <si>
    <t>08R01-THR-301</t>
  </si>
  <si>
    <t>Pare-soleil de toit ouvrant</t>
  </si>
  <si>
    <t>This tinted acrylic Moonroof Wind Deflector helps reduce glare by providing a sunscreen effect and, when it's open, minimizes wind noise.</t>
  </si>
  <si>
    <t>Ce déflecteur de toit ouvrant en acrylique teinté contribue, par son effet de filtre solaire, à atténuer les reflets; quand le toit est ouvert, le bruit de vent est réduit au minimum.</t>
  </si>
  <si>
    <t>Rear Splash Guards</t>
  </si>
  <si>
    <t xml:space="preserve">Garde-boue arrière </t>
  </si>
  <si>
    <t>These durable, custom-fitted Rear Splash Guards complement the style of your Odyssey, and are designed to help protect the lower body side from mud and road debris.</t>
  </si>
  <si>
    <t>Durables et fabriqués sur mesure, ces garde-boue arrière s'harmonisent au style de votre Odyssey, et sont conçus pour contribuer à protéger le bas de la carrosserie contre la boue et les projections</t>
  </si>
  <si>
    <t xml:space="preserve">Tent </t>
  </si>
  <si>
    <t>08L92-SCV-300A</t>
  </si>
  <si>
    <t>08L92-SCV-100B</t>
  </si>
  <si>
    <t>08L91-THR-300</t>
  </si>
  <si>
    <t xml:space="preserve">Attelage de remorque   </t>
  </si>
  <si>
    <t>Rating: Class II. Receiver Opening: 2 in x 2 in. TOURING: requires Hands-Free Power Tailgate Sensor Adaptor. Trailer Hitch Ball, Ball Mount, and Locking Pin sold separately.</t>
  </si>
  <si>
    <t>Classement: Classe II. Ouverture du récepteur: 2 po x 2 po. TOURING: Nécessitent également un capteur de hayon électrique mains libres – adaptateur. Boule d’attelage de remorque, support de boule et goupille de verrouillage vendus séparément.</t>
  </si>
  <si>
    <t>Trailer Hitch Rating: Class II.
Trailer Hitch Receiver Size: 2-in x 2-in.
TOURING: Requires Hands-Free Power Tailgate Sensor Adaptor.</t>
  </si>
  <si>
    <t>Attelage de remorque: Classe II.
Attelage de remorque dimensions du réceptacle: 2 po x 2 po.
TOURING:
Nécessite adaptateur de capteur de hayon électrique mains libres.</t>
  </si>
  <si>
    <t>08T44-SJA-401A</t>
  </si>
  <si>
    <t>08U59-THR-101</t>
  </si>
  <si>
    <t>08U59-THR-300A</t>
  </si>
  <si>
    <t>08L91-THR-300A</t>
  </si>
  <si>
    <t>08U97-THR-111A</t>
  </si>
  <si>
    <t>08U97-THR-100E</t>
  </si>
  <si>
    <t>08E12-THR-100</t>
  </si>
  <si>
    <t>08E12-THR-100A</t>
  </si>
  <si>
    <t>08E10-THR-100</t>
  </si>
  <si>
    <t>08V27-THR-100</t>
  </si>
  <si>
    <t>08V27-THR-100A</t>
  </si>
  <si>
    <t xml:space="preserve">Chauffe-moteur   </t>
  </si>
  <si>
    <t>Le chauffe-moteur permettra de démarrer votre Honda plus rapidement par temps glacial, et de réduire considérablement l’usure et la détérioration de votre batterie et de votre moteur.</t>
  </si>
  <si>
    <t>Hands-Free Power Tailgate Sensor</t>
  </si>
  <si>
    <t>Capteur de hayon électrique mains libres</t>
  </si>
  <si>
    <t>Hands-Free Power Tailgate Sensor - Attachment</t>
  </si>
  <si>
    <t>Fixation du capteur de hayon électrique mains libres</t>
  </si>
  <si>
    <t>Hands-Free Power Tailgate Sensor Adapter</t>
  </si>
  <si>
    <t>Adaptateur de capteur de hayon électrique mains libres</t>
  </si>
  <si>
    <t>Heated Steering Wheel</t>
  </si>
  <si>
    <t>Volant chauffant</t>
  </si>
  <si>
    <t>Heated Steering Wheel Switch Assembly (NH863L)</t>
  </si>
  <si>
    <t>Volant chauffant  - commutateur (NH863L)</t>
  </si>
  <si>
    <t>Illuminated Door Sill Trim - Front &amp; Rear</t>
  </si>
  <si>
    <t>Garniture lumineuses de bas de portière - Avant et arrière</t>
  </si>
  <si>
    <t>Blue LED lights illuminate the Odyssey logo on all four doors when opened. Made of durable, polished stainless steel.</t>
  </si>
  <si>
    <t>Les lampes à DEL bleues illuminent le logo Odyssey lorsque la portière est ouverte. Faites en acier inoxydable poli et durable.</t>
  </si>
  <si>
    <t>Illuminated Door Sill Trim - Front Only</t>
  </si>
  <si>
    <t>Garniture lumineuse de bas de portière - Avant seulement</t>
  </si>
  <si>
    <t>Blue LED lights illuminate the Odyssey logo on the front driver-side and passenger-side doors when opened. Made of durable, polished stainless steel.</t>
  </si>
  <si>
    <t>Les lampes à DEL bleues illuminent le logo Odyssey lorsque la portière du côté conducteur ou la portière du côté passager est ouverte. Faites en acier inoxydable poli et durable.</t>
  </si>
  <si>
    <t>Illuminated Interior</t>
  </si>
  <si>
    <t>Lumières d'amiance</t>
  </si>
  <si>
    <t>Optimate 12V Auto Battery Charger/Maintainer</t>
  </si>
  <si>
    <t>Vie prolongée de la batterie Honda en maintenant la charge au niveau ideal</t>
  </si>
  <si>
    <t>Pattern Projector</t>
  </si>
  <si>
    <t>Projecteurs de motifs</t>
  </si>
  <si>
    <t>Upon opening your vehicle’s door, our Logo Pattern Projector illuminates the ground for added visibility. LED lights project the Odyssey logo.</t>
  </si>
  <si>
    <t>Welcome Lights</t>
  </si>
  <si>
    <t>Lumières d’accueil</t>
  </si>
  <si>
    <t>The Welcome Light illuminates when your Odyssey is unlocked with a key fob or a door is opened to provide a luxurious, upscale appearance. White LED light provides a welcoming ambience</t>
  </si>
  <si>
    <t>Front and Rear Doors Sills.</t>
  </si>
  <si>
    <t>Garniture de portes avant et arrière.</t>
  </si>
  <si>
    <t>Front Doors Sills only.</t>
  </si>
  <si>
    <t>Garniture de portes avant.</t>
  </si>
  <si>
    <t>08U58-THR-100C</t>
  </si>
  <si>
    <t>08U58-THR-110B</t>
  </si>
  <si>
    <t>Wireless Charger</t>
  </si>
  <si>
    <t>Wireless Charger Attachment</t>
  </si>
  <si>
    <t>Protection Package 1</t>
  </si>
  <si>
    <t xml:space="preserve">Protection Package 2 </t>
  </si>
  <si>
    <t xml:space="preserve">Ensemble de protection 1 </t>
  </si>
  <si>
    <t>Ensemble de protection 2</t>
  </si>
  <si>
    <t>Includes All-Season Floor Mats, Cargo Tray - Deep, and Rear Splash Guards.</t>
  </si>
  <si>
    <t>Inclus les tapis pour planchers toutes saisons, plateau de compartiment à bagages et des garde-boue arrière.</t>
  </si>
  <si>
    <t>Includes All-Season Floor Mats, Cargo Tray - Folding, and Rear Splash Guards.</t>
  </si>
  <si>
    <t>Inclus les tapis pour planchers toutes saisons, un bac pliant d’espace de chargement et des garde-boue arrière.</t>
  </si>
  <si>
    <t>21ODY-COLD-PKG</t>
  </si>
  <si>
    <t>Help keep your vehicle running smoothly during the cold winter months with the Cold Weather Package. Includes engine block heater and auto battery charger/maintainer</t>
  </si>
  <si>
    <t>Aidez votre véhicule à fonctionner en douceur pendant les mois d'hiver avec cet ensemble de temps froid. Comprend un chauffe-moteur et un chargeur/mainteneur de charge de batterie automobile.</t>
  </si>
  <si>
    <t>5% discount applied.</t>
  </si>
  <si>
    <t>White 'ODYSSEY' lettering on Floor Mats.
Cargo Tray - Deep.</t>
  </si>
  <si>
    <t>White 'ODYSSEY' lettering on Floor Mats.
Cargo Tray - Folding.</t>
  </si>
  <si>
    <t>Inscription 'ODYSSEY' blanche sur les tapis de sol.
Plateau de chargement - Pliable.</t>
  </si>
  <si>
    <t>Includes: Trailer Hitch, Harness, Locking Pin &amp; Hitch Ball</t>
  </si>
  <si>
    <t>L’ensemble comprend : Attelage de remorque, faisceau, support de boule d’attelage, goupille de verrouillage et boule d'attelage.</t>
  </si>
  <si>
    <t>L’ensemble comprend : Attelage de remorque, faisceau, support de boule d’attelage, goupille de verrouillage, boule d'attelage et adaptateur de capteur de mouvement pour attelage de remorque</t>
  </si>
  <si>
    <t>Includes: Trailer Hitch, Harness, Locking Pin, Trailer Hitch Ball and Kick Sensor Hitch Adaptor</t>
  </si>
  <si>
    <t>25ODY-TOW1</t>
  </si>
  <si>
    <t xml:space="preserve">Towing Package </t>
  </si>
  <si>
    <t xml:space="preserve">Ensemble de remorquage </t>
  </si>
  <si>
    <t>25ODY-TOWA1 ou 
25ODY-TOWB1</t>
  </si>
  <si>
    <t>25ODY-TOW-A1 or 
25ODY-TOW-B1</t>
  </si>
  <si>
    <t>25ODY-TOW-A2 or 
25ODY-TOW-B2</t>
  </si>
  <si>
    <t>25ODY-TOW-A2</t>
  </si>
  <si>
    <t>25ODY-TOW-A2 ou 
25ODY-TOW-B2</t>
  </si>
  <si>
    <t>08L92-SCV-300A or 08L92-SCV-100B</t>
  </si>
  <si>
    <t>08L92-SCV-300A ou 08L92-SCV-100B</t>
  </si>
  <si>
    <t xml:space="preserve">web only </t>
  </si>
  <si>
    <t>Requires Sensor &amp; Attachment.</t>
  </si>
  <si>
    <t>Nécessite un capteur et un accessoire.</t>
  </si>
  <si>
    <t>Requires charger and attachment</t>
  </si>
  <si>
    <t>Chargeur sans fil</t>
  </si>
  <si>
    <t>Fixation du chargeur sans fil</t>
  </si>
  <si>
    <t>Nécessite un chargeur et un fixation</t>
  </si>
  <si>
    <t>10% Discount Applied.
Trailer Hitch Rating: Class II.
Trailer Hitch Receiver Size: 2-in x 2-in.
Towing Capacity: 1,587 kg / 3,500 lbs.</t>
  </si>
  <si>
    <t>Rabais de 10 % est appliqué.
Attelage de remorque: Classe II.
Attelage de remorque dimensions du réceptacle: 2 po x 2 po.
Capacité de remorquage: 1,360 kg / 3,000 lbs.</t>
  </si>
  <si>
    <t>Rabais de 10 % est appliqué.
Black Edition :Nécessite adaptateur de capteur de hayon électrique mains libres puisque le système mains libres est de série.
Attelage de remorque: Classe II.
Attelage de remorque dimensions du réceptacle: 2 po x 2 po.
Capacité de remorquage: 1,360 kg / 3,000 lbs.</t>
  </si>
  <si>
    <t>10% Discount Applied.
Black Edition: Requires Hands-Free Power Tailgate Sensor Adapter since Hands-Free comes standard.
Trailer Hitch Rating: Class II.
Trailer Hitch Receiver Size: 2-in x 2-in.
Towing Capacity: 1,587 kg / 3,500 lbs.</t>
  </si>
  <si>
    <t>Trailer Hitch parts</t>
  </si>
  <si>
    <t>Pièces d’attelage de remorque</t>
  </si>
  <si>
    <t>08L91-THR-XXXX</t>
  </si>
  <si>
    <t>08P67-THR-XXXX</t>
  </si>
  <si>
    <t>Cannot be installed with Door Edge Guards.</t>
  </si>
  <si>
    <t>TUCH-NH932M-A1</t>
  </si>
  <si>
    <t>Inscription 'ODYSSEY' blanche sur les tapis de sol.Plateau de chargement - Profond.</t>
  </si>
  <si>
    <t xml:space="preserve">Crossbars </t>
  </si>
  <si>
    <t xml:space="preserve">Roof Rails - Black </t>
  </si>
  <si>
    <t xml:space="preserve">Rails de toit - Noir </t>
  </si>
  <si>
    <t xml:space="preserve">Rails de toit - Chromées </t>
  </si>
  <si>
    <t xml:space="preserve">Barres transversales </t>
  </si>
  <si>
    <t xml:space="preserve">et </t>
  </si>
  <si>
    <t xml:space="preserve"> &amp; </t>
  </si>
  <si>
    <t>Engine Block Heater - 08T44-SJA-401A
Optimate 12V Auto Battery Charger/Maintainer - 31670-BMS-004H</t>
  </si>
  <si>
    <t>Trailer Hitch - 08L92-THR-300</t>
  </si>
  <si>
    <t>Trailer Hitch - 08L92-THR-300
Trailer Hitch Ball 1 7/8" - 08L92-SCV-300A
Trailer Hitch Ball 2" - 08L92-SCV-100B
Trailer Hitch Harness - 08L91-THR-300
Trailer Hitch Locking Pin - 08L92-SJC-300A</t>
  </si>
  <si>
    <t>Wheel Locks Chrome - 08W42-TK4-301</t>
  </si>
  <si>
    <t>Wheel Locks Black - 08W42-TG7-301A</t>
  </si>
  <si>
    <t>Door Edge Film - 08P20-THR-100</t>
  </si>
  <si>
    <t>Trailer Hitch - 08L92-THR-300
Hands-Free Power Tailgate Sensor Adapter - 08L91-THR-300A
Trailer Hitch Ball 1 7/8" - 08L92-SCV-300A
Trailer Hitch Ball 2" - 08L92-SCV-100B
Trailer Hitch Harness - 08L91-THR-300
Trailer Hitch Locking Pin - 08L92-SJC-300A</t>
  </si>
  <si>
    <t>Roof Rails - Black  - 08L02-THR-102</t>
  </si>
  <si>
    <t>Roof Rails - Black  - 08L02-THR-102
Roof Rails - Chrome - 08L02-THR-102A</t>
  </si>
  <si>
    <t>Roof Rails - Chrome - 08L02-THR-102A</t>
  </si>
  <si>
    <t>Roof Rails - Black  - 08L02-THR-102
Roof Rails - Chrome - 08L02-THR-102A
Crossbars  - 08L04-THR-100</t>
  </si>
  <si>
    <t>Illuminated Door Sill Trim - Front &amp; Rear - 08E12-THR-100</t>
  </si>
  <si>
    <t>Illuminated Door Sill Trim - Front Only - 08E12-THR-100A</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</si>
  <si>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Roof Rails and Crossbars.</t>
  </si>
  <si>
    <t>Honda propose un panier de toit à profil bas qui peut contenir jusqu’à 150 lb. Les parois latérales inclinées facilitent le chargement. Le carénage permet le déplacement de l’air au-dessus de votre chargement. Le panier de toit peut contenir jusqu’à 150 lb. Cependant, le poids combiné du panier de toit et de la charge ne doit pas dépasser 154 lb. Nécessite des rails de toit et des barres transversales.</t>
  </si>
  <si>
    <t>The Fork Mount Bike Attachment features a same-side adjustment dial that provides fast loading and maximum security for your bike. Two bike attachments can be added to the crossbars. Requires Roof Rails and Crossbars.</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</si>
  <si>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Rails and Crossbars.</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</si>
  <si>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 Nécessite des rails de toit et des barres transversales.</t>
  </si>
  <si>
    <t>You can always use more storage space on a road trip, and the Short Roof Box provides just that. 13 cu. ft. of lockable storage space - length 65in, width 34.5 in, height 16in. 110lbs max load capacity. Dual-side opening for easy access. Requires Roof Rails and Crossbars.</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</si>
  <si>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Nécessite des rails de toit et des barres transversales.</t>
  </si>
  <si>
    <t>Handle kayaks up to 36 in wide and weighing up to 75 lbs. Easy loading with the pivoting, felt-lined rear saddles that help glide and center your kayak. Two independent pivoting saddles conform to a limitless range of hull shapes. Requires Roof Rails and Crossbars.</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</si>
  <si>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  Nécessite des rails de toit et des barres transversales.</t>
  </si>
  <si>
    <t>The handy Ski Attachment keeps your skis and snowboards outside so your interior stays clean and dry.  Requires Roof Rails and Crossbars.</t>
  </si>
  <si>
    <t>La fixation pratique pour skis permet de transporter ceux-ci à l’extérieur du véhicule, pour que l’habitacle demeure propre et sec. Nécessite des rails de toit et des barres transversales.</t>
  </si>
  <si>
    <t>The telescoping design allows a custom fit for boards up to 34 in wide. Handles two boards with maximum stability. Soft, weather-resistant padding and strong, durable load straps with adjustable padding protect boards from strap abrasion. Requires Roof Rails and Crossbars.</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</si>
  <si>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Nécessite des rails de toit et des barres transversales.</t>
  </si>
  <si>
    <t>Lors de l’ouverture de la portière du véhicule, le projecteur de logo illumine le sol pour une visibilité accrue. Un éclairage à DEL projette le logo « Odyssey ».</t>
  </si>
  <si>
    <t>La lumière ’accueil allume lorsque votre Odyssey est déverrouillée à l’aide d’un porte-clés ou qu’une porte est ouverte pour lui donner une apparence luxueuse et haut de gamme.</t>
  </si>
  <si>
    <t>08F20-T7S-100C</t>
  </si>
  <si>
    <t>Black Emblem - Sport</t>
  </si>
  <si>
    <t>Black Emblems - H-Mark &amp; Odyssey</t>
  </si>
  <si>
    <t>If attention to detail is important to you then you’re sure to love the look of the Gloss Black Rear Emblems. Their bold feature not only completes your Odyssey’s original unique exterior style, but also accentuates it. The Rear Emblems include Odyssey and the H-Mark, which are made of high-quality material for long-lasting durability.</t>
  </si>
  <si>
    <t>Emblème noir - SPORT</t>
  </si>
  <si>
    <t>Emblèmes noir - Logo « H » et Oydssey</t>
  </si>
  <si>
    <t>Touring</t>
  </si>
  <si>
    <t>08T44-SJA-401AODY</t>
  </si>
  <si>
    <t>25ODY-PRO-PKG1</t>
  </si>
  <si>
    <t>25ODY-PRO-PKG2</t>
  </si>
  <si>
    <t>08P09-THR-300A</t>
  </si>
  <si>
    <t>08L92-THR-300A</t>
  </si>
  <si>
    <t>08F20-TG7-100G</t>
  </si>
  <si>
    <t>Black Emblem - Black Edition</t>
  </si>
  <si>
    <t>Emblème noir  - Black Edition</t>
  </si>
  <si>
    <t>The Door Trim is a stylish accent that gives your Odyssey an even more upscale look.</t>
  </si>
  <si>
    <t>La garniture de porte inférieure représente un élément contrastant stylisé qui confère un surcroît d’élégance.</t>
  </si>
  <si>
    <t>08P05-THR-121</t>
  </si>
  <si>
    <t>Nécessite des rails de toit.</t>
  </si>
  <si>
    <t>Requires Roof Rails.</t>
  </si>
  <si>
    <t>Images</t>
  </si>
  <si>
    <t>Wheels</t>
  </si>
  <si>
    <t>Charging</t>
  </si>
  <si>
    <t>Accessories</t>
  </si>
  <si>
    <t>SiteCore</t>
  </si>
  <si>
    <t>Overlay 1</t>
  </si>
  <si>
    <t>Overlay 2</t>
  </si>
  <si>
    <t>Overlay 3</t>
  </si>
  <si>
    <t>Overlay 4</t>
  </si>
  <si>
    <t>Overlay 5</t>
  </si>
  <si>
    <t>Overlay 6</t>
  </si>
  <si>
    <t>Overlay 7</t>
  </si>
  <si>
    <t>Overlay 8</t>
  </si>
  <si>
    <t>Door Edge Guards - 08P20-THR-110A?</t>
  </si>
  <si>
    <t xml:space="preserve">25ODY-TOW1	Towing Package 
25ODY-TOW-A2	Towing Package </t>
  </si>
  <si>
    <t>21ODY-COLD-PKG	Cold Weather Package</t>
  </si>
  <si>
    <t xml:space="preserve">25ODY-PRO-PKG1	Protection Package 1
25ODY-PRO-PKG2	Protection Package 2 </t>
  </si>
  <si>
    <t xml:space="preserve">Cargo Tray - Folding - 08U45-THR-100B
25ODY-PRO-PKG1	Protection Package 1
25ODY-PRO-PKG2	Protection Package 2 </t>
  </si>
  <si>
    <t xml:space="preserve">Cargo Tray - Deep - 08U45-THR-100A
25ODY-PRO-PKG1	Protection Package 1
25ODY-PRO-PKG2	Protection Package 2 </t>
  </si>
  <si>
    <t>26MY Honda Odyssey</t>
  </si>
  <si>
    <t>TUCH-NH877P-A1</t>
  </si>
  <si>
    <t xml:space="preserve">All-Season Floor Mats - 08P17-THR-110A
Cargo Tray - Deep - 08U45-THR-100A
Rear Splash Guards - 08P09-THR-300
25ODY-PRO-PKG2	Protection Package 2 </t>
  </si>
  <si>
    <t>All-Season Floor Mats - 08P17-THR-110A
Cargo Tray - Folding - 08U45-THR-100B
Rear Splash Guards - 08P09-THR-300
25ODY-PRO-PKG1	Protection Package 1</t>
  </si>
  <si>
    <t xml:space="preserve">Publication Date / Date de publication: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</si>
</sst>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9"/>
      <name val="Calibri"/>
      <family val="2"/>
      <scheme val="minor"/>
    </font>
    <font>
      <b/>
      <sz val="10.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sz val="10"/>
      <color theme="1"/>
      <name val="Calibri"/>
      <family val="2"/>
      <scheme val="minor"/>
    </font>
    <font>
      <b/>
      <sz val="8"/>
      <color theme="0"/>
      <name val="Calibri"/>
      <family val="2"/>
      <scheme val="minor"/>
    </font>
    <font>
      <sz val="8"/>
      <name val="Calibri"/>
      <family val="2"/>
      <scheme val="minor"/>
    </font>
    <font>
      <sz val="8"/>
      <color theme="1"/>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b/>
      <sz val="9"/>
      <color theme="0"/>
      <name val="Calibri"/>
      <family val="2"/>
      <scheme val="minor"/>
    </font>
    <font>
      <sz val="9"/>
      <color indexed="81"/>
      <name val="Tahoma"/>
      <family val="2"/>
    </font>
    <font>
      <i/>
      <sz val="10"/>
      <name val="Arial Narrow"/>
      <family val="2"/>
    </font>
    <font>
      <sz val="10"/>
      <name val="Arial Narrow"/>
      <family val="2"/>
    </font>
    <font>
      <sz val="11"/>
      <name val="Arial Narrow"/>
      <family val="2"/>
    </font>
    <font>
      <i/>
      <sz val="11"/>
      <name val="Arial Narrow"/>
      <family val="2"/>
    </font>
    <font>
      <i/>
      <sz val="14"/>
      <name val="Arial Narrow"/>
      <family val="2"/>
    </font>
    <font>
      <sz val="10"/>
      <color rgb="FFE3173E"/>
      <name val="Calibri"/>
      <family val="2"/>
      <scheme val="minor"/>
    </font>
    <font>
      <b/>
      <sz val="10"/>
      <color rgb="FFE3173E"/>
      <name val="Calibri"/>
      <family val="2"/>
      <scheme val="minor"/>
    </font>
    <font>
      <i/>
      <sz val="10"/>
      <color rgb="FFE3173E"/>
      <name val="Calibri"/>
      <family val="2"/>
      <scheme val="minor"/>
    </font>
    <font>
      <sz val="9"/>
      <color theme="1"/>
      <name val="Calibri"/>
      <family val="2"/>
      <scheme val="minor"/>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6" tint="-0.249977111117893"/>
        <bgColor indexed="64"/>
      </patternFill>
    </fill>
  </fills>
  <borders count="5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705">
    <xf numFmtId="0" fontId="0" fillId="0" borderId="0"/>
    <xf numFmtId="0" fontId="49" fillId="2" borderId="0" applyNumberFormat="0" applyBorder="0" applyAlignment="0" applyProtection="0">
      <alignment vertical="center"/>
    </xf>
    <xf numFmtId="0" fontId="49" fillId="3" borderId="0" applyNumberFormat="0" applyBorder="0" applyAlignment="0" applyProtection="0">
      <alignment vertical="center"/>
    </xf>
    <xf numFmtId="0" fontId="49" fillId="4" borderId="0" applyNumberFormat="0" applyBorder="0" applyAlignment="0" applyProtection="0">
      <alignment vertical="center"/>
    </xf>
    <xf numFmtId="0" fontId="49" fillId="5" borderId="0" applyNumberFormat="0" applyBorder="0" applyAlignment="0" applyProtection="0">
      <alignment vertical="center"/>
    </xf>
    <xf numFmtId="0" fontId="49" fillId="6" borderId="0" applyNumberFormat="0" applyBorder="0" applyAlignment="0" applyProtection="0">
      <alignment vertical="center"/>
    </xf>
    <xf numFmtId="0" fontId="49" fillId="7" borderId="0" applyNumberFormat="0" applyBorder="0" applyAlignment="0" applyProtection="0">
      <alignment vertical="center"/>
    </xf>
    <xf numFmtId="0" fontId="49" fillId="8"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5" borderId="0" applyNumberFormat="0" applyBorder="0" applyAlignment="0" applyProtection="0">
      <alignment vertical="center"/>
    </xf>
    <xf numFmtId="0" fontId="49" fillId="8"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 fontId="42" fillId="0" borderId="0" applyFont="0" applyFill="0" applyBorder="0" applyAlignment="0" applyProtection="0"/>
    <xf numFmtId="40" fontId="41" fillId="0" borderId="0" applyFont="0" applyFill="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8" fontId="41" fillId="0" borderId="0" applyFont="0" applyFill="0" applyBorder="0" applyAlignment="0" applyProtection="0">
      <alignment vertical="center"/>
    </xf>
    <xf numFmtId="44" fontId="38" fillId="0" borderId="0" applyFont="0" applyFill="0" applyBorder="0" applyAlignment="0" applyProtection="0"/>
    <xf numFmtId="44" fontId="38" fillId="0" borderId="0" applyFont="0" applyFill="0" applyBorder="0" applyAlignment="0" applyProtection="0"/>
    <xf numFmtId="44" fontId="47"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73" fillId="0" borderId="0" applyFont="0" applyFill="0" applyBorder="0" applyAlignment="0" applyProtection="0"/>
    <xf numFmtId="44" fontId="73"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0" fontId="51" fillId="0" borderId="0" applyNumberFormat="0" applyFill="0" applyBorder="0" applyAlignment="0" applyProtection="0">
      <alignment vertical="center"/>
      <protection locked="0"/>
    </xf>
    <xf numFmtId="38" fontId="48" fillId="22" borderId="0" applyNumberFormat="0" applyBorder="0" applyAlignment="0" applyProtection="0"/>
    <xf numFmtId="0" fontId="39" fillId="0" borderId="3" applyNumberFormat="0" applyAlignment="0" applyProtection="0">
      <alignment horizontal="left" vertical="center"/>
    </xf>
    <xf numFmtId="0" fontId="39" fillId="0" borderId="4">
      <alignment horizontal="left" vertical="center"/>
    </xf>
    <xf numFmtId="10" fontId="48" fillId="23" borderId="8" applyNumberFormat="0" applyBorder="0" applyAlignment="0" applyProtection="0"/>
    <xf numFmtId="170" fontId="38" fillId="0" borderId="0" applyFont="0" applyFill="0" applyBorder="0" applyAlignment="0" applyProtection="0"/>
    <xf numFmtId="169" fontId="38" fillId="0" borderId="0" applyFont="0" applyFill="0" applyBorder="0" applyAlignment="0" applyProtection="0"/>
    <xf numFmtId="38" fontId="52" fillId="0" borderId="0" applyFont="0" applyFill="0" applyBorder="0" applyAlignment="0" applyProtection="0"/>
    <xf numFmtId="40" fontId="52" fillId="0" borderId="0" applyFont="0" applyFill="0" applyBorder="0" applyAlignment="0" applyProtection="0"/>
    <xf numFmtId="42" fontId="38" fillId="0" borderId="0" applyFont="0" applyFill="0" applyBorder="0" applyAlignment="0" applyProtection="0"/>
    <xf numFmtId="44" fontId="38" fillId="0" borderId="0" applyFont="0" applyFill="0" applyBorder="0" applyAlignment="0" applyProtection="0"/>
    <xf numFmtId="6" fontId="52" fillId="0" borderId="0" applyFont="0" applyFill="0" applyBorder="0" applyAlignment="0" applyProtection="0"/>
    <xf numFmtId="8" fontId="52" fillId="0" borderId="0" applyFont="0" applyFill="0" applyBorder="0" applyAlignment="0" applyProtection="0"/>
    <xf numFmtId="0" fontId="40" fillId="0" borderId="0">
      <alignment horizontal="left" indent="1"/>
    </xf>
    <xf numFmtId="37" fontId="53" fillId="0" borderId="0"/>
    <xf numFmtId="172" fontId="5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71" fillId="0" borderId="0"/>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73" fillId="0" borderId="0"/>
    <xf numFmtId="0" fontId="73" fillId="0" borderId="0"/>
    <xf numFmtId="0" fontId="41" fillId="0" borderId="0">
      <alignment vertical="center"/>
    </xf>
    <xf numFmtId="0" fontId="73" fillId="0" borderId="0"/>
    <xf numFmtId="0" fontId="41" fillId="0" borderId="0">
      <alignment vertical="center"/>
    </xf>
    <xf numFmtId="0" fontId="4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73" fillId="0" borderId="0"/>
    <xf numFmtId="0" fontId="73" fillId="0" borderId="0"/>
    <xf numFmtId="0" fontId="72"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73" fillId="0" borderId="0"/>
    <xf numFmtId="0" fontId="73" fillId="0" borderId="0"/>
    <xf numFmtId="0" fontId="73"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74"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43" fillId="0" borderId="0"/>
    <xf numFmtId="0" fontId="43" fillId="0" borderId="0"/>
    <xf numFmtId="0" fontId="74" fillId="0" borderId="0"/>
    <xf numFmtId="0" fontId="73" fillId="0" borderId="0"/>
    <xf numFmtId="0" fontId="41" fillId="0" borderId="0">
      <alignment vertical="center"/>
    </xf>
    <xf numFmtId="0" fontId="43" fillId="0" borderId="0"/>
    <xf numFmtId="0" fontId="41" fillId="0" borderId="0">
      <alignment vertical="center"/>
    </xf>
    <xf numFmtId="0" fontId="38" fillId="0" borderId="0"/>
    <xf numFmtId="0" fontId="41" fillId="0" borderId="0">
      <alignment vertical="center"/>
    </xf>
    <xf numFmtId="0" fontId="38" fillId="0" borderId="0"/>
    <xf numFmtId="0" fontId="41" fillId="0" borderId="0">
      <alignment vertical="center"/>
    </xf>
    <xf numFmtId="0" fontId="73" fillId="0" borderId="0"/>
    <xf numFmtId="0" fontId="41" fillId="0" borderId="0">
      <alignment vertical="center"/>
    </xf>
    <xf numFmtId="0" fontId="41" fillId="0" borderId="0">
      <alignment vertical="center"/>
    </xf>
    <xf numFmtId="0" fontId="41" fillId="0" borderId="0">
      <alignment vertical="center"/>
    </xf>
    <xf numFmtId="0" fontId="38" fillId="0" borderId="0"/>
    <xf numFmtId="0" fontId="41" fillId="0" borderId="0">
      <alignment vertical="center"/>
    </xf>
    <xf numFmtId="0" fontId="41" fillId="0" borderId="0">
      <alignment vertical="center"/>
    </xf>
    <xf numFmtId="0" fontId="38" fillId="0" borderId="0"/>
    <xf numFmtId="0" fontId="41" fillId="0" borderId="0">
      <alignment vertical="center"/>
    </xf>
    <xf numFmtId="0" fontId="38" fillId="0" borderId="0"/>
    <xf numFmtId="0" fontId="38" fillId="0" borderId="0"/>
    <xf numFmtId="0" fontId="43" fillId="0" borderId="0"/>
    <xf numFmtId="0" fontId="4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41" fillId="0" borderId="0">
      <alignment vertic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73" fillId="0" borderId="0"/>
    <xf numFmtId="0" fontId="38"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alignment vertical="center"/>
    </xf>
    <xf numFmtId="0" fontId="38" fillId="0" borderId="0"/>
    <xf numFmtId="0" fontId="38" fillId="0" borderId="0"/>
    <xf numFmtId="0" fontId="38" fillId="0" borderId="0"/>
    <xf numFmtId="0" fontId="74" fillId="0" borderId="0"/>
    <xf numFmtId="0" fontId="74" fillId="0" borderId="0"/>
    <xf numFmtId="0" fontId="74" fillId="0" borderId="0"/>
    <xf numFmtId="0" fontId="74" fillId="0" borderId="0"/>
    <xf numFmtId="0" fontId="74" fillId="0" borderId="0"/>
    <xf numFmtId="0" fontId="74" fillId="0" borderId="0"/>
    <xf numFmtId="0" fontId="47" fillId="0" borderId="0">
      <alignment vertical="center"/>
    </xf>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47" fillId="0" borderId="0">
      <alignment vertical="center"/>
    </xf>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38" fillId="0" borderId="0"/>
    <xf numFmtId="0" fontId="43" fillId="0" borderId="0"/>
    <xf numFmtId="0" fontId="43" fillId="0" borderId="0"/>
    <xf numFmtId="0" fontId="43" fillId="0" borderId="0"/>
    <xf numFmtId="0" fontId="38" fillId="0" borderId="0"/>
    <xf numFmtId="0" fontId="43" fillId="0" borderId="0"/>
    <xf numFmtId="0" fontId="41"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4" fillId="0" borderId="0"/>
    <xf numFmtId="0" fontId="7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0" fontId="38"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6"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2" fillId="0" borderId="0" applyFont="0" applyFill="0" applyBorder="0" applyAlignment="0" applyProtection="0"/>
    <xf numFmtId="9" fontId="38"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41" fillId="0" borderId="0" applyFont="0" applyFill="0" applyBorder="0" applyAlignment="0" applyProtection="0">
      <alignment vertical="center"/>
    </xf>
    <xf numFmtId="0" fontId="76" fillId="26" borderId="13">
      <alignment horizontal="left" vertical="center" indent="1"/>
    </xf>
    <xf numFmtId="0" fontId="77" fillId="27" borderId="14" applyBorder="0">
      <alignment horizontal="center" vertical="center"/>
    </xf>
    <xf numFmtId="0" fontId="77" fillId="27" borderId="14" applyBorder="0">
      <alignment horizontal="center" vertical="center"/>
    </xf>
    <xf numFmtId="0" fontId="78" fillId="28" borderId="15" applyNumberFormat="0">
      <alignment horizontal="center" vertical="center"/>
    </xf>
    <xf numFmtId="0" fontId="76" fillId="29" borderId="16">
      <alignment horizontal="center"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9" borderId="0" applyNumberFormat="0" applyBorder="0" applyAlignment="0" applyProtection="0">
      <alignment vertical="center"/>
    </xf>
    <xf numFmtId="0" fontId="56" fillId="0" borderId="0" applyNumberFormat="0" applyFill="0" applyBorder="0" applyAlignment="0" applyProtection="0">
      <alignment vertical="center"/>
    </xf>
    <xf numFmtId="0" fontId="57" fillId="21" borderId="2" applyNumberFormat="0" applyAlignment="0" applyProtection="0">
      <alignment vertical="center"/>
    </xf>
    <xf numFmtId="0" fontId="58" fillId="24" borderId="0" applyNumberFormat="0" applyBorder="0" applyAlignment="0" applyProtection="0">
      <alignment vertical="center"/>
    </xf>
    <xf numFmtId="0" fontId="51" fillId="25" borderId="10" applyNumberFormat="0" applyFont="0" applyAlignment="0" applyProtection="0">
      <alignment vertical="center"/>
    </xf>
    <xf numFmtId="0" fontId="59" fillId="0" borderId="9" applyNumberFormat="0" applyFill="0" applyAlignment="0" applyProtection="0">
      <alignment vertical="center"/>
    </xf>
    <xf numFmtId="42" fontId="55" fillId="0" borderId="0" applyFont="0" applyFill="0" applyBorder="0" applyAlignment="0" applyProtection="0"/>
    <xf numFmtId="44" fontId="55" fillId="0" borderId="0" applyFont="0" applyFill="0" applyBorder="0" applyAlignment="0" applyProtection="0"/>
    <xf numFmtId="0" fontId="55" fillId="0" borderId="0"/>
    <xf numFmtId="0" fontId="60" fillId="7" borderId="1" applyNumberFormat="0" applyAlignment="0" applyProtection="0">
      <alignment vertical="center"/>
    </xf>
    <xf numFmtId="0" fontId="61" fillId="20" borderId="11" applyNumberFormat="0" applyAlignment="0" applyProtection="0">
      <alignment vertical="center"/>
    </xf>
    <xf numFmtId="0" fontId="62" fillId="3" borderId="0" applyNumberFormat="0" applyBorder="0" applyAlignment="0" applyProtection="0">
      <alignment vertical="center"/>
    </xf>
    <xf numFmtId="169" fontId="38" fillId="0" borderId="0" applyFont="0" applyFill="0" applyBorder="0" applyAlignment="0" applyProtection="0"/>
    <xf numFmtId="170" fontId="38" fillId="0" borderId="0" applyFont="0" applyFill="0" applyBorder="0" applyAlignment="0" applyProtection="0"/>
    <xf numFmtId="0" fontId="38" fillId="0" borderId="0"/>
    <xf numFmtId="0" fontId="63" fillId="4" borderId="0" applyNumberFormat="0" applyBorder="0" applyAlignment="0" applyProtection="0">
      <alignment vertical="center"/>
    </xf>
    <xf numFmtId="0" fontId="64" fillId="0" borderId="5" applyNumberFormat="0" applyFill="0" applyAlignment="0" applyProtection="0">
      <alignment vertical="center"/>
    </xf>
    <xf numFmtId="0" fontId="65" fillId="0" borderId="6" applyNumberFormat="0" applyFill="0" applyAlignment="0" applyProtection="0">
      <alignment vertical="center"/>
    </xf>
    <xf numFmtId="0" fontId="66" fillId="0" borderId="7" applyNumberFormat="0" applyFill="0" applyAlignment="0" applyProtection="0">
      <alignment vertical="center"/>
    </xf>
    <xf numFmtId="0" fontId="66" fillId="0" borderId="0" applyNumberFormat="0" applyFill="0" applyBorder="0" applyAlignment="0" applyProtection="0">
      <alignment vertical="center"/>
    </xf>
    <xf numFmtId="0" fontId="67" fillId="20" borderId="1" applyNumberFormat="0" applyAlignment="0" applyProtection="0">
      <alignment vertical="center"/>
    </xf>
    <xf numFmtId="0" fontId="68" fillId="0" borderId="0" applyNumberFormat="0" applyFill="0" applyBorder="0" applyAlignment="0" applyProtection="0">
      <alignment vertical="center"/>
    </xf>
    <xf numFmtId="0" fontId="69" fillId="0" borderId="0" applyNumberFormat="0" applyFill="0" applyBorder="0" applyAlignment="0" applyProtection="0">
      <alignment vertical="center"/>
    </xf>
    <xf numFmtId="44" fontId="38" fillId="0" borderId="0" applyFont="0" applyFill="0" applyBorder="0" applyAlignment="0" applyProtection="0"/>
    <xf numFmtId="42" fontId="38" fillId="0" borderId="0" applyFont="0" applyFill="0" applyBorder="0" applyAlignment="0" applyProtection="0"/>
    <xf numFmtId="0" fontId="70" fillId="0" borderId="12" applyNumberFormat="0" applyFill="0" applyAlignment="0" applyProtection="0">
      <alignment vertical="center"/>
    </xf>
    <xf numFmtId="0" fontId="37" fillId="0" borderId="0"/>
    <xf numFmtId="0" fontId="36" fillId="0" borderId="0"/>
    <xf numFmtId="0" fontId="36" fillId="0" borderId="0"/>
    <xf numFmtId="0" fontId="35" fillId="0" borderId="0"/>
    <xf numFmtId="0" fontId="35"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94" fillId="0" borderId="0" applyNumberFormat="0" applyFill="0" applyBorder="0" applyAlignment="0" applyProtection="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92" fillId="35" borderId="0" applyNumberFormat="0" applyBorder="0" applyAlignment="0" applyProtection="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4" fillId="0" borderId="0"/>
    <xf numFmtId="0" fontId="4" fillId="0" borderId="0"/>
    <xf numFmtId="0" fontId="4" fillId="0" borderId="0"/>
    <xf numFmtId="165" fontId="38" fillId="0" borderId="0" applyFont="0" applyFill="0" applyBorder="0" applyAlignment="0" applyProtection="0"/>
    <xf numFmtId="0" fontId="38" fillId="0" borderId="0"/>
  </cellStyleXfs>
  <cellXfs count="415">
    <xf numFmtId="0" fontId="0" fillId="0" borderId="0" xfId="0"/>
    <xf numFmtId="0" fontId="45" fillId="33" borderId="0" xfId="74" applyFont="1" applyFill="1"/>
    <xf numFmtId="0" fontId="82" fillId="33" borderId="15" xfId="594" applyNumberFormat="1" applyFont="1" applyFill="1" applyAlignment="1">
      <alignment vertical="center"/>
    </xf>
    <xf numFmtId="0" fontId="38" fillId="0" borderId="0" xfId="74"/>
    <xf numFmtId="0" fontId="38" fillId="33" borderId="0" xfId="74" applyFill="1"/>
    <xf numFmtId="44" fontId="45" fillId="33" borderId="8" xfId="36" applyFont="1" applyFill="1" applyBorder="1"/>
    <xf numFmtId="49" fontId="45" fillId="33" borderId="8" xfId="74" applyNumberFormat="1" applyFont="1" applyFill="1" applyBorder="1"/>
    <xf numFmtId="8" fontId="38" fillId="33" borderId="0" xfId="74" applyNumberFormat="1" applyFill="1"/>
    <xf numFmtId="0" fontId="94" fillId="0" borderId="0" xfId="652"/>
    <xf numFmtId="0" fontId="95" fillId="0" borderId="0" xfId="74" applyFont="1"/>
    <xf numFmtId="10" fontId="45" fillId="34" borderId="8" xfId="74" applyNumberFormat="1" applyFont="1" applyFill="1" applyBorder="1"/>
    <xf numFmtId="1" fontId="45" fillId="34" borderId="8" xfId="74" applyNumberFormat="1" applyFont="1" applyFill="1" applyBorder="1"/>
    <xf numFmtId="0" fontId="45" fillId="34" borderId="8" xfId="74" applyFont="1" applyFill="1" applyBorder="1"/>
    <xf numFmtId="0" fontId="96" fillId="33" borderId="0" xfId="74" applyFont="1" applyFill="1"/>
    <xf numFmtId="0" fontId="48" fillId="33" borderId="0" xfId="74" applyFont="1" applyFill="1"/>
    <xf numFmtId="0" fontId="84" fillId="33" borderId="15" xfId="592" applyFont="1" applyFill="1" applyBorder="1" applyAlignment="1">
      <alignment vertical="center"/>
    </xf>
    <xf numFmtId="0" fontId="89" fillId="33" borderId="18" xfId="594" applyNumberFormat="1" applyFont="1" applyFill="1" applyBorder="1">
      <alignment horizontal="center" vertical="center"/>
    </xf>
    <xf numFmtId="166" fontId="86" fillId="33" borderId="18" xfId="595" applyNumberFormat="1" applyFont="1" applyFill="1" applyBorder="1">
      <alignment horizontal="center" vertical="center"/>
    </xf>
    <xf numFmtId="166" fontId="89" fillId="33" borderId="18" xfId="594" applyNumberFormat="1" applyFont="1" applyFill="1" applyBorder="1">
      <alignment horizontal="center" vertical="center"/>
    </xf>
    <xf numFmtId="0" fontId="86" fillId="0" borderId="18" xfId="591" applyFont="1" applyFill="1" applyBorder="1" applyAlignment="1">
      <alignment horizontal="left" vertical="center"/>
    </xf>
    <xf numFmtId="0" fontId="86" fillId="33" borderId="18" xfId="591" applyFont="1" applyFill="1" applyBorder="1" applyAlignment="1">
      <alignment horizontal="left" vertical="center"/>
    </xf>
    <xf numFmtId="166" fontId="86" fillId="0" borderId="18" xfId="594" applyNumberFormat="1" applyFont="1" applyFill="1" applyBorder="1">
      <alignment horizontal="center" vertical="center"/>
    </xf>
    <xf numFmtId="0" fontId="86" fillId="0" borderId="18" xfId="594" applyNumberFormat="1" applyFont="1" applyFill="1" applyBorder="1">
      <alignment horizontal="center" vertical="center"/>
    </xf>
    <xf numFmtId="166" fontId="86" fillId="0" borderId="18" xfId="595" applyNumberFormat="1" applyFont="1" applyFill="1" applyBorder="1">
      <alignment horizontal="center" vertical="center"/>
    </xf>
    <xf numFmtId="0" fontId="89" fillId="0" borderId="18" xfId="594" applyNumberFormat="1" applyFont="1" applyFill="1" applyBorder="1">
      <alignment horizontal="center" vertical="center"/>
    </xf>
    <xf numFmtId="0" fontId="86" fillId="0" borderId="18" xfId="595" applyFont="1" applyFill="1" applyBorder="1" applyAlignment="1">
      <alignment horizontal="left" vertical="center" wrapText="1"/>
    </xf>
    <xf numFmtId="1" fontId="89" fillId="33" borderId="18" xfId="594" applyNumberFormat="1" applyFont="1" applyFill="1" applyBorder="1" applyAlignment="1">
      <alignment horizontal="left" vertical="center"/>
    </xf>
    <xf numFmtId="171" fontId="89" fillId="0" borderId="18" xfId="594" applyNumberFormat="1" applyFont="1" applyFill="1" applyBorder="1" applyAlignment="1">
      <alignment horizontal="left" vertical="center"/>
    </xf>
    <xf numFmtId="0" fontId="38" fillId="0" borderId="15" xfId="80" applyBorder="1" applyAlignment="1">
      <alignment vertical="center"/>
    </xf>
    <xf numFmtId="0" fontId="38" fillId="0" borderId="16" xfId="80" applyBorder="1" applyAlignment="1">
      <alignment vertical="center"/>
    </xf>
    <xf numFmtId="0" fontId="38" fillId="0" borderId="13" xfId="80" applyBorder="1" applyAlignment="1">
      <alignment vertical="center"/>
    </xf>
    <xf numFmtId="0" fontId="38" fillId="0" borderId="20" xfId="80" applyBorder="1" applyAlignment="1">
      <alignment vertical="center"/>
    </xf>
    <xf numFmtId="0" fontId="93" fillId="0" borderId="15" xfId="80" applyFont="1" applyBorder="1" applyAlignment="1">
      <alignment vertical="center"/>
    </xf>
    <xf numFmtId="0" fontId="38" fillId="0" borderId="33" xfId="80" applyBorder="1" applyAlignment="1">
      <alignment vertical="center"/>
    </xf>
    <xf numFmtId="0" fontId="38" fillId="0" borderId="0" xfId="80" applyAlignment="1">
      <alignment vertical="center"/>
    </xf>
    <xf numFmtId="0" fontId="38" fillId="0" borderId="18" xfId="80" applyBorder="1" applyAlignment="1">
      <alignment vertical="center"/>
    </xf>
    <xf numFmtId="0" fontId="83" fillId="32" borderId="22" xfId="80" applyFont="1" applyFill="1" applyBorder="1" applyAlignment="1">
      <alignment horizontal="center"/>
    </xf>
    <xf numFmtId="0" fontId="83" fillId="32" borderId="24" xfId="80" applyFont="1" applyFill="1" applyBorder="1" applyAlignment="1">
      <alignment horizontal="center"/>
    </xf>
    <xf numFmtId="0" fontId="92" fillId="35" borderId="27" xfId="80" applyFont="1" applyFill="1" applyBorder="1" applyAlignment="1">
      <alignment horizontal="centerContinuous"/>
    </xf>
    <xf numFmtId="0" fontId="38" fillId="0" borderId="26" xfId="80" applyBorder="1" applyAlignment="1">
      <alignment vertical="center"/>
    </xf>
    <xf numFmtId="0" fontId="92" fillId="35" borderId="28" xfId="80" applyFont="1" applyFill="1" applyBorder="1" applyAlignment="1">
      <alignment horizontal="centerContinuous"/>
    </xf>
    <xf numFmtId="173" fontId="83" fillId="31" borderId="23" xfId="80" applyNumberFormat="1" applyFont="1" applyFill="1" applyBorder="1"/>
    <xf numFmtId="173" fontId="83" fillId="31" borderId="25" xfId="80" applyNumberFormat="1" applyFont="1" applyFill="1" applyBorder="1"/>
    <xf numFmtId="0" fontId="85" fillId="33" borderId="15" xfId="689" applyFont="1" applyFill="1" applyBorder="1" applyAlignment="1">
      <alignment vertical="center"/>
    </xf>
    <xf numFmtId="0" fontId="79" fillId="33" borderId="15" xfId="690" applyFont="1" applyFill="1" applyBorder="1" applyAlignment="1">
      <alignment horizontal="left" vertical="center"/>
    </xf>
    <xf numFmtId="0" fontId="38" fillId="34" borderId="32" xfId="80" applyFill="1" applyBorder="1" applyAlignment="1">
      <alignment horizontal="center" vertical="center"/>
    </xf>
    <xf numFmtId="0" fontId="83" fillId="0" borderId="0" xfId="74" applyFont="1" applyAlignment="1">
      <alignment vertical="center"/>
    </xf>
    <xf numFmtId="0" fontId="83" fillId="30" borderId="0" xfId="74" applyFont="1" applyFill="1" applyAlignment="1">
      <alignment vertical="center"/>
    </xf>
    <xf numFmtId="0" fontId="88" fillId="33" borderId="26" xfId="691" applyFont="1" applyFill="1" applyBorder="1" applyAlignment="1">
      <alignment horizontal="left" vertical="center"/>
    </xf>
    <xf numFmtId="0" fontId="88" fillId="33" borderId="16" xfId="691" applyFont="1" applyFill="1" applyBorder="1" applyAlignment="1">
      <alignment horizontal="left" vertical="center"/>
    </xf>
    <xf numFmtId="0" fontId="102" fillId="33" borderId="0" xfId="74" applyFont="1" applyFill="1" applyAlignment="1">
      <alignment vertical="center"/>
    </xf>
    <xf numFmtId="0" fontId="83" fillId="33" borderId="0" xfId="74" applyFont="1" applyFill="1" applyAlignment="1">
      <alignment vertical="center"/>
    </xf>
    <xf numFmtId="0" fontId="106" fillId="33" borderId="0" xfId="74" applyFont="1" applyFill="1" applyAlignment="1">
      <alignment horizontal="center" vertical="center"/>
    </xf>
    <xf numFmtId="0" fontId="103" fillId="33" borderId="0" xfId="74" applyFont="1" applyFill="1" applyAlignment="1">
      <alignment horizontal="center" vertical="center"/>
    </xf>
    <xf numFmtId="164" fontId="83" fillId="0" borderId="0" xfId="74" applyNumberFormat="1" applyFont="1" applyAlignment="1">
      <alignment vertical="center"/>
    </xf>
    <xf numFmtId="0" fontId="80" fillId="33" borderId="0" xfId="74" applyFont="1" applyFill="1" applyAlignment="1">
      <alignment vertical="center"/>
    </xf>
    <xf numFmtId="0" fontId="106" fillId="33" borderId="0" xfId="74" applyFont="1" applyFill="1" applyAlignment="1">
      <alignment horizontal="center" vertical="top"/>
    </xf>
    <xf numFmtId="8" fontId="81" fillId="33" borderId="0" xfId="74" applyNumberFormat="1" applyFont="1" applyFill="1" applyAlignment="1">
      <alignment horizontal="right" vertical="top"/>
    </xf>
    <xf numFmtId="44" fontId="81" fillId="33" borderId="0" xfId="74" applyNumberFormat="1" applyFont="1" applyFill="1" applyAlignment="1">
      <alignment horizontal="left" vertical="top"/>
    </xf>
    <xf numFmtId="49" fontId="110" fillId="0" borderId="0" xfId="74" applyNumberFormat="1" applyFont="1" applyAlignment="1">
      <alignment vertical="top"/>
    </xf>
    <xf numFmtId="0" fontId="80" fillId="33" borderId="0" xfId="74" applyFont="1" applyFill="1" applyAlignment="1">
      <alignment vertical="top"/>
    </xf>
    <xf numFmtId="0" fontId="83" fillId="33" borderId="0" xfId="74" applyFont="1" applyFill="1" applyAlignment="1">
      <alignment vertical="top"/>
    </xf>
    <xf numFmtId="0" fontId="83" fillId="30" borderId="0" xfId="74" applyFont="1" applyFill="1" applyAlignment="1">
      <alignment vertical="top"/>
    </xf>
    <xf numFmtId="0" fontId="83" fillId="0" borderId="0" xfId="74" applyFont="1" applyAlignment="1">
      <alignment vertical="top"/>
    </xf>
    <xf numFmtId="0" fontId="81" fillId="33" borderId="0" xfId="74" applyFont="1" applyFill="1" applyAlignment="1">
      <alignment vertical="center"/>
    </xf>
    <xf numFmtId="0" fontId="103" fillId="33" borderId="0" xfId="74" applyFont="1" applyFill="1" applyAlignment="1">
      <alignment vertical="center"/>
    </xf>
    <xf numFmtId="0" fontId="109" fillId="33" borderId="0" xfId="74" applyFont="1" applyFill="1" applyAlignment="1">
      <alignment horizontal="left" vertical="center"/>
    </xf>
    <xf numFmtId="0" fontId="108" fillId="33" borderId="0" xfId="74" applyFont="1" applyFill="1" applyAlignment="1">
      <alignment vertical="center"/>
    </xf>
    <xf numFmtId="0" fontId="105" fillId="0" borderId="0" xfId="74" applyFont="1" applyAlignment="1">
      <alignment vertical="center"/>
    </xf>
    <xf numFmtId="0" fontId="105" fillId="33" borderId="0" xfId="74" applyFont="1" applyFill="1" applyAlignment="1">
      <alignment vertical="center"/>
    </xf>
    <xf numFmtId="0" fontId="102" fillId="0" borderId="0" xfId="74" applyFont="1" applyAlignment="1">
      <alignment vertical="center"/>
    </xf>
    <xf numFmtId="10" fontId="5" fillId="0" borderId="0" xfId="522" applyNumberFormat="1" applyFont="1" applyBorder="1" applyAlignment="1">
      <alignment vertical="center"/>
    </xf>
    <xf numFmtId="174" fontId="81" fillId="33" borderId="0" xfId="74" applyNumberFormat="1" applyFont="1" applyFill="1" applyAlignment="1">
      <alignment horizontal="right" vertical="top"/>
    </xf>
    <xf numFmtId="175" fontId="80" fillId="33" borderId="0" xfId="74" applyNumberFormat="1" applyFont="1" applyFill="1" applyAlignment="1">
      <alignment vertical="top"/>
    </xf>
    <xf numFmtId="176" fontId="80" fillId="33" borderId="0" xfId="74" applyNumberFormat="1" applyFont="1" applyFill="1" applyAlignment="1">
      <alignment vertical="top"/>
    </xf>
    <xf numFmtId="9" fontId="110" fillId="33" borderId="0" xfId="74" applyNumberFormat="1" applyFont="1" applyFill="1" applyAlignment="1">
      <alignment vertical="center"/>
    </xf>
    <xf numFmtId="9" fontId="110" fillId="33" borderId="0" xfId="74" applyNumberFormat="1" applyFont="1" applyFill="1" applyAlignment="1">
      <alignment vertical="top"/>
    </xf>
    <xf numFmtId="0" fontId="107" fillId="33" borderId="0" xfId="74" applyFont="1" applyFill="1" applyAlignment="1">
      <alignment vertical="center"/>
    </xf>
    <xf numFmtId="171" fontId="89" fillId="31" borderId="15" xfId="594" applyNumberFormat="1" applyFont="1" applyFill="1" applyAlignment="1">
      <alignment horizontal="left" vertical="center"/>
    </xf>
    <xf numFmtId="171" fontId="89" fillId="31" borderId="18" xfId="594" applyNumberFormat="1" applyFont="1" applyFill="1" applyBorder="1" applyAlignment="1">
      <alignment horizontal="left" vertical="center"/>
    </xf>
    <xf numFmtId="0" fontId="83" fillId="33" borderId="0" xfId="74" applyFont="1" applyFill="1" applyAlignment="1">
      <alignment horizontal="center" vertical="center"/>
    </xf>
    <xf numFmtId="0" fontId="108" fillId="0" borderId="0" xfId="74" applyFont="1" applyAlignment="1">
      <alignment vertical="center"/>
    </xf>
    <xf numFmtId="0" fontId="80" fillId="0" borderId="0" xfId="591" applyFont="1" applyFill="1" applyBorder="1" applyAlignment="1">
      <alignment horizontal="center" vertical="center" wrapText="1"/>
    </xf>
    <xf numFmtId="0" fontId="98" fillId="0" borderId="0" xfId="594" applyNumberFormat="1" applyFont="1" applyFill="1" applyBorder="1">
      <alignment horizontal="center" vertical="center"/>
    </xf>
    <xf numFmtId="0" fontId="115" fillId="33" borderId="0" xfId="74" applyFont="1" applyFill="1"/>
    <xf numFmtId="0" fontId="38" fillId="34" borderId="0" xfId="74" applyFill="1"/>
    <xf numFmtId="178" fontId="114" fillId="33" borderId="0" xfId="74" applyNumberFormat="1" applyFont="1" applyFill="1" applyAlignment="1">
      <alignment horizontal="left" vertical="center"/>
    </xf>
    <xf numFmtId="0" fontId="99" fillId="32" borderId="30" xfId="80" applyFont="1" applyFill="1" applyBorder="1" applyAlignment="1" applyProtection="1">
      <alignment horizontal="center" vertical="center"/>
      <protection locked="0"/>
    </xf>
    <xf numFmtId="0" fontId="90" fillId="30" borderId="29" xfId="80" applyFont="1" applyFill="1" applyBorder="1" applyAlignment="1">
      <alignment horizontal="center" wrapText="1"/>
    </xf>
    <xf numFmtId="0" fontId="82" fillId="33" borderId="0" xfId="594" applyNumberFormat="1" applyFont="1" applyFill="1" applyBorder="1">
      <alignment horizontal="center" vertical="center"/>
    </xf>
    <xf numFmtId="0" fontId="82" fillId="33" borderId="0" xfId="594" applyNumberFormat="1" applyFont="1" applyFill="1" applyBorder="1" applyAlignment="1">
      <alignment vertical="center"/>
    </xf>
    <xf numFmtId="0" fontId="89" fillId="33" borderId="0" xfId="594" applyNumberFormat="1" applyFont="1" applyFill="1" applyBorder="1">
      <alignment horizontal="center" vertical="center"/>
    </xf>
    <xf numFmtId="0" fontId="86" fillId="33" borderId="0" xfId="591" applyFont="1" applyFill="1" applyBorder="1" applyAlignment="1">
      <alignment horizontal="left" vertical="center" wrapText="1"/>
    </xf>
    <xf numFmtId="0" fontId="3" fillId="33" borderId="0" xfId="689" applyFont="1" applyFill="1" applyAlignment="1">
      <alignment vertical="center"/>
    </xf>
    <xf numFmtId="0" fontId="117" fillId="33" borderId="0" xfId="74" applyFont="1" applyFill="1" applyAlignment="1">
      <alignment horizontal="left" vertical="center"/>
    </xf>
    <xf numFmtId="0" fontId="118" fillId="33" borderId="0" xfId="672" applyFont="1" applyFill="1" applyBorder="1" applyAlignment="1">
      <alignment vertical="center"/>
    </xf>
    <xf numFmtId="0" fontId="86" fillId="33" borderId="0" xfId="74" applyFont="1" applyFill="1" applyAlignment="1">
      <alignment vertical="center"/>
    </xf>
    <xf numFmtId="0" fontId="92" fillId="36" borderId="8" xfId="595" applyFont="1" applyFill="1" applyBorder="1" applyAlignment="1">
      <alignment horizontal="center" vertical="center" wrapText="1"/>
    </xf>
    <xf numFmtId="0" fontId="86" fillId="33" borderId="0" xfId="74" applyFont="1" applyFill="1" applyAlignment="1">
      <alignment horizontal="center" vertical="center"/>
    </xf>
    <xf numFmtId="0" fontId="86" fillId="33" borderId="0" xfId="74" applyFont="1" applyFill="1" applyAlignment="1">
      <alignment vertical="center" wrapText="1"/>
    </xf>
    <xf numFmtId="0" fontId="92" fillId="36" borderId="35" xfId="595" applyFont="1" applyFill="1" applyBorder="1" applyAlignment="1">
      <alignment horizontal="center" vertical="center" wrapText="1"/>
    </xf>
    <xf numFmtId="0" fontId="92" fillId="37" borderId="35" xfId="595" applyFont="1" applyFill="1" applyBorder="1" applyAlignment="1">
      <alignment vertical="center" wrapText="1"/>
    </xf>
    <xf numFmtId="0" fontId="83" fillId="33" borderId="37" xfId="74" applyFont="1" applyFill="1" applyBorder="1" applyAlignment="1">
      <alignment vertical="center"/>
    </xf>
    <xf numFmtId="0" fontId="92" fillId="36" borderId="37" xfId="591" applyFont="1" applyFill="1" applyBorder="1" applyAlignment="1">
      <alignment horizontal="left" vertical="center"/>
    </xf>
    <xf numFmtId="0" fontId="83" fillId="33" borderId="37" xfId="74" applyFont="1" applyFill="1" applyBorder="1" applyAlignment="1">
      <alignment horizontal="center" vertical="center"/>
    </xf>
    <xf numFmtId="0" fontId="82" fillId="33" borderId="0" xfId="594" applyNumberFormat="1" applyFont="1" applyFill="1" applyBorder="1" applyAlignment="1">
      <alignment horizontal="center" vertical="center" wrapText="1"/>
    </xf>
    <xf numFmtId="0" fontId="118" fillId="33" borderId="0" xfId="672" applyFont="1" applyFill="1" applyBorder="1" applyAlignment="1">
      <alignment vertical="center" wrapText="1"/>
    </xf>
    <xf numFmtId="0" fontId="83" fillId="33" borderId="37" xfId="74" applyFont="1" applyFill="1" applyBorder="1" applyAlignment="1">
      <alignment vertical="center" wrapText="1"/>
    </xf>
    <xf numFmtId="0" fontId="83" fillId="33" borderId="0" xfId="74" applyFont="1" applyFill="1" applyAlignment="1">
      <alignment vertical="center" wrapText="1"/>
    </xf>
    <xf numFmtId="0" fontId="117" fillId="33" borderId="0" xfId="74" applyFont="1" applyFill="1" applyAlignment="1">
      <alignment horizontal="left" vertical="center" wrapText="1"/>
    </xf>
    <xf numFmtId="0" fontId="122" fillId="33" borderId="37" xfId="74" applyFont="1" applyFill="1" applyBorder="1" applyAlignment="1">
      <alignment vertical="center" wrapText="1"/>
    </xf>
    <xf numFmtId="0" fontId="118" fillId="33" borderId="0" xfId="672" applyFont="1" applyFill="1" applyBorder="1" applyAlignment="1">
      <alignment horizontal="center" vertical="center"/>
    </xf>
    <xf numFmtId="0" fontId="86" fillId="33" borderId="0" xfId="672" applyFont="1" applyFill="1" applyBorder="1" applyAlignment="1">
      <alignment vertical="center"/>
    </xf>
    <xf numFmtId="0" fontId="87" fillId="33" borderId="15" xfId="591" applyFont="1" applyFill="1" applyBorder="1" applyAlignment="1">
      <alignment horizontal="left" vertical="center"/>
    </xf>
    <xf numFmtId="0" fontId="125" fillId="0" borderId="15" xfId="80" applyFont="1" applyBorder="1" applyAlignment="1">
      <alignment vertical="center"/>
    </xf>
    <xf numFmtId="0" fontId="126" fillId="33" borderId="0" xfId="594" applyNumberFormat="1" applyFont="1" applyFill="1" applyBorder="1" applyAlignment="1">
      <alignment horizontal="center" vertical="center" wrapText="1"/>
    </xf>
    <xf numFmtId="0" fontId="128" fillId="33" borderId="0" xfId="689" applyFont="1" applyFill="1" applyAlignment="1">
      <alignment horizontal="center" vertical="center"/>
    </xf>
    <xf numFmtId="0" fontId="129" fillId="33" borderId="0" xfId="594" applyNumberFormat="1" applyFont="1" applyFill="1" applyBorder="1">
      <alignment horizontal="center" vertical="center"/>
    </xf>
    <xf numFmtId="0" fontId="122" fillId="34" borderId="37" xfId="74" applyFont="1" applyFill="1" applyBorder="1" applyAlignment="1">
      <alignment vertical="center" wrapText="1"/>
    </xf>
    <xf numFmtId="0" fontId="122" fillId="33" borderId="0" xfId="74" applyFont="1" applyFill="1" applyAlignment="1">
      <alignment horizontal="center" vertical="center" wrapText="1"/>
    </xf>
    <xf numFmtId="0" fontId="127" fillId="33" borderId="0" xfId="672" applyFont="1" applyFill="1" applyBorder="1" applyAlignment="1">
      <alignment horizontal="center" vertical="center" wrapText="1"/>
    </xf>
    <xf numFmtId="0" fontId="122" fillId="33" borderId="37" xfId="74" applyFont="1" applyFill="1" applyBorder="1" applyAlignment="1">
      <alignment horizontal="center" vertical="center" wrapText="1"/>
    </xf>
    <xf numFmtId="0" fontId="122" fillId="38" borderId="37" xfId="74" applyFont="1" applyFill="1" applyBorder="1" applyAlignment="1">
      <alignment vertical="center" wrapText="1"/>
    </xf>
    <xf numFmtId="0" fontId="83" fillId="38" borderId="37" xfId="74" applyFont="1" applyFill="1" applyBorder="1" applyAlignment="1">
      <alignment horizontal="center" vertical="center"/>
    </xf>
    <xf numFmtId="0" fontId="83" fillId="38" borderId="37" xfId="74" applyFont="1" applyFill="1" applyBorder="1" applyAlignment="1">
      <alignment vertical="center"/>
    </xf>
    <xf numFmtId="0" fontId="2" fillId="33" borderId="15" xfId="689" applyFont="1" applyFill="1" applyBorder="1" applyAlignment="1">
      <alignment horizontal="center" vertical="center"/>
    </xf>
    <xf numFmtId="0" fontId="2" fillId="33" borderId="15" xfId="689" applyFont="1" applyFill="1" applyBorder="1" applyAlignment="1">
      <alignment vertical="center"/>
    </xf>
    <xf numFmtId="0" fontId="2" fillId="33" borderId="16" xfId="689" applyFont="1" applyFill="1" applyBorder="1" applyAlignment="1">
      <alignment vertical="center"/>
    </xf>
    <xf numFmtId="0" fontId="2" fillId="33" borderId="0" xfId="689" applyFont="1" applyFill="1" applyAlignment="1">
      <alignment horizontal="center" vertical="center"/>
    </xf>
    <xf numFmtId="0" fontId="2" fillId="33" borderId="0" xfId="689" applyFont="1" applyFill="1" applyAlignment="1">
      <alignment vertical="center"/>
    </xf>
    <xf numFmtId="0" fontId="117" fillId="0" borderId="0" xfId="74" applyFont="1" applyAlignment="1">
      <alignment horizontal="left" vertical="center"/>
    </xf>
    <xf numFmtId="0" fontId="86" fillId="30" borderId="0" xfId="74" applyFont="1" applyFill="1" applyAlignment="1">
      <alignment vertical="center"/>
    </xf>
    <xf numFmtId="0" fontId="86" fillId="0" borderId="0" xfId="74" applyFont="1" applyAlignment="1">
      <alignment vertical="center"/>
    </xf>
    <xf numFmtId="0" fontId="2" fillId="33" borderId="18" xfId="689" applyFont="1" applyFill="1" applyBorder="1" applyAlignment="1">
      <alignment vertical="center"/>
    </xf>
    <xf numFmtId="178" fontId="100" fillId="33" borderId="0" xfId="74" applyNumberFormat="1" applyFont="1" applyFill="1" applyAlignment="1">
      <alignment horizontal="left" vertical="center"/>
    </xf>
    <xf numFmtId="0" fontId="87" fillId="33" borderId="15" xfId="591" applyFont="1" applyFill="1" applyBorder="1" applyAlignment="1">
      <alignment vertical="center"/>
    </xf>
    <xf numFmtId="0" fontId="87" fillId="33" borderId="16" xfId="591" applyFont="1" applyFill="1" applyBorder="1" applyAlignment="1">
      <alignment vertical="center"/>
    </xf>
    <xf numFmtId="0" fontId="2" fillId="33" borderId="17" xfId="689" applyFont="1" applyFill="1" applyBorder="1" applyAlignment="1">
      <alignment vertical="center"/>
    </xf>
    <xf numFmtId="0" fontId="87" fillId="33" borderId="0" xfId="591" applyFont="1" applyFill="1" applyBorder="1" applyAlignment="1">
      <alignment vertical="center"/>
    </xf>
    <xf numFmtId="0" fontId="87" fillId="33" borderId="0" xfId="591" applyFont="1" applyFill="1" applyBorder="1" applyAlignment="1">
      <alignment horizontal="left" vertical="center"/>
    </xf>
    <xf numFmtId="0" fontId="88" fillId="33" borderId="0" xfId="691" applyFont="1" applyFill="1" applyAlignment="1">
      <alignment horizontal="left" vertical="center"/>
    </xf>
    <xf numFmtId="0" fontId="86" fillId="33" borderId="15" xfId="689" applyFont="1" applyFill="1" applyBorder="1" applyAlignment="1">
      <alignment vertical="center"/>
    </xf>
    <xf numFmtId="0" fontId="86" fillId="33" borderId="16" xfId="689" applyFont="1" applyFill="1" applyBorder="1" applyAlignment="1">
      <alignment vertical="center"/>
    </xf>
    <xf numFmtId="0" fontId="86" fillId="33" borderId="13" xfId="689" applyFont="1" applyFill="1" applyBorder="1" applyAlignment="1">
      <alignment vertical="center"/>
    </xf>
    <xf numFmtId="0" fontId="86" fillId="33" borderId="20" xfId="689" applyFont="1" applyFill="1" applyBorder="1" applyAlignment="1">
      <alignment vertical="center"/>
    </xf>
    <xf numFmtId="0" fontId="86" fillId="33" borderId="18" xfId="689" applyFont="1" applyFill="1" applyBorder="1" applyAlignment="1">
      <alignment vertical="center"/>
    </xf>
    <xf numFmtId="0" fontId="87" fillId="33" borderId="15" xfId="689" applyFont="1" applyFill="1" applyBorder="1" applyAlignment="1">
      <alignment vertical="center"/>
    </xf>
    <xf numFmtId="0" fontId="86" fillId="33" borderId="26" xfId="689" applyFont="1" applyFill="1" applyBorder="1" applyAlignment="1">
      <alignment vertical="center"/>
    </xf>
    <xf numFmtId="0" fontId="83" fillId="33" borderId="0" xfId="591" applyFont="1" applyFill="1" applyBorder="1" applyAlignment="1">
      <alignment horizontal="center" wrapText="1"/>
    </xf>
    <xf numFmtId="0" fontId="118" fillId="39" borderId="0" xfId="672" applyFont="1" applyFill="1" applyBorder="1" applyAlignment="1"/>
    <xf numFmtId="0" fontId="131" fillId="39" borderId="0" xfId="689" applyFont="1" applyFill="1" applyAlignment="1">
      <alignment vertical="center"/>
    </xf>
    <xf numFmtId="0" fontId="84" fillId="33" borderId="20" xfId="592" applyFont="1" applyFill="1" applyBorder="1" applyAlignment="1">
      <alignment vertical="center"/>
    </xf>
    <xf numFmtId="0" fontId="82" fillId="33" borderId="20" xfId="594" applyNumberFormat="1" applyFont="1" applyFill="1" applyBorder="1" applyAlignment="1">
      <alignment vertical="center"/>
    </xf>
    <xf numFmtId="0" fontId="87" fillId="33" borderId="18" xfId="591" applyFont="1" applyFill="1" applyBorder="1" applyAlignment="1">
      <alignment horizontal="left" vertical="center"/>
    </xf>
    <xf numFmtId="0" fontId="84" fillId="39" borderId="0" xfId="672" applyFont="1" applyFill="1" applyBorder="1" applyAlignment="1">
      <alignment vertical="center"/>
    </xf>
    <xf numFmtId="0" fontId="86" fillId="30" borderId="15" xfId="591" applyFont="1" applyFill="1" applyBorder="1" applyAlignment="1">
      <alignment horizontal="left" vertical="center"/>
    </xf>
    <xf numFmtId="0" fontId="82" fillId="32" borderId="15" xfId="594" applyNumberFormat="1" applyFont="1" applyFill="1">
      <alignment horizontal="center" vertical="center"/>
    </xf>
    <xf numFmtId="0" fontId="87" fillId="33" borderId="26" xfId="689" applyFont="1" applyFill="1" applyBorder="1" applyAlignment="1">
      <alignment vertical="center"/>
    </xf>
    <xf numFmtId="2" fontId="3" fillId="33" borderId="37" xfId="689" applyNumberFormat="1" applyFont="1" applyFill="1" applyBorder="1" applyAlignment="1">
      <alignment vertical="center"/>
    </xf>
    <xf numFmtId="0" fontId="119" fillId="40" borderId="35" xfId="595" applyFont="1" applyFill="1" applyBorder="1" applyAlignment="1">
      <alignment horizontal="center" vertical="center" wrapText="1"/>
    </xf>
    <xf numFmtId="0" fontId="119" fillId="36" borderId="38" xfId="595" applyFont="1" applyFill="1" applyBorder="1" applyAlignment="1">
      <alignment horizontal="center" vertical="center" wrapText="1"/>
    </xf>
    <xf numFmtId="2" fontId="83" fillId="33" borderId="37" xfId="74" applyNumberFormat="1" applyFont="1" applyFill="1" applyBorder="1" applyAlignment="1">
      <alignment vertical="center"/>
    </xf>
    <xf numFmtId="167" fontId="83" fillId="33" borderId="37" xfId="74" applyNumberFormat="1" applyFont="1" applyFill="1" applyBorder="1" applyAlignment="1">
      <alignment horizontal="center" vertical="center"/>
    </xf>
    <xf numFmtId="2" fontId="83" fillId="41" borderId="37" xfId="74" applyNumberFormat="1" applyFont="1" applyFill="1" applyBorder="1" applyAlignment="1">
      <alignment vertical="center"/>
    </xf>
    <xf numFmtId="2" fontId="3" fillId="41" borderId="37" xfId="689" applyNumberFormat="1" applyFont="1" applyFill="1" applyBorder="1" applyAlignment="1">
      <alignment vertical="center"/>
    </xf>
    <xf numFmtId="167" fontId="83" fillId="41" borderId="37" xfId="74" applyNumberFormat="1" applyFont="1" applyFill="1" applyBorder="1" applyAlignment="1">
      <alignment horizontal="center" vertical="center"/>
    </xf>
    <xf numFmtId="0" fontId="92" fillId="37" borderId="37" xfId="595" applyFont="1" applyFill="1" applyBorder="1" applyAlignment="1">
      <alignment horizontal="center" vertical="center" wrapText="1"/>
    </xf>
    <xf numFmtId="0" fontId="130" fillId="37" borderId="37" xfId="595" applyFont="1" applyFill="1" applyBorder="1" applyAlignment="1">
      <alignment horizontal="center" vertical="center" wrapText="1"/>
    </xf>
    <xf numFmtId="0" fontId="119" fillId="36" borderId="37" xfId="595" applyFont="1" applyFill="1" applyBorder="1" applyAlignment="1">
      <alignment horizontal="center" vertical="center" wrapText="1"/>
    </xf>
    <xf numFmtId="0" fontId="116" fillId="30" borderId="37" xfId="595" applyFont="1" applyFill="1" applyBorder="1">
      <alignment horizontal="center" vertical="center"/>
    </xf>
    <xf numFmtId="0" fontId="92" fillId="37" borderId="37" xfId="595" applyFont="1" applyFill="1" applyBorder="1" applyAlignment="1">
      <alignment vertical="center" wrapText="1"/>
    </xf>
    <xf numFmtId="0" fontId="83" fillId="28" borderId="37" xfId="74" applyFont="1" applyFill="1" applyBorder="1" applyAlignment="1">
      <alignment horizontal="center" vertical="center"/>
    </xf>
    <xf numFmtId="0" fontId="134" fillId="0" borderId="0" xfId="74" applyFont="1" applyAlignment="1">
      <alignment vertical="center"/>
    </xf>
    <xf numFmtId="0" fontId="135" fillId="0" borderId="0" xfId="74" applyFont="1" applyAlignment="1">
      <alignment vertical="center"/>
    </xf>
    <xf numFmtId="0" fontId="136" fillId="0" borderId="0" xfId="74" applyFont="1" applyAlignment="1">
      <alignment vertical="center"/>
    </xf>
    <xf numFmtId="0" fontId="137" fillId="0" borderId="0" xfId="74" applyFont="1" applyAlignment="1">
      <alignment vertical="center"/>
    </xf>
    <xf numFmtId="0" fontId="137" fillId="30" borderId="0" xfId="74" applyFont="1" applyFill="1" applyAlignment="1">
      <alignment vertical="center"/>
    </xf>
    <xf numFmtId="0" fontId="86" fillId="32" borderId="18" xfId="591" applyFont="1" applyFill="1" applyBorder="1" applyAlignment="1">
      <alignment horizontal="left" vertical="center"/>
    </xf>
    <xf numFmtId="0" fontId="83" fillId="31" borderId="18" xfId="594" applyNumberFormat="1" applyFont="1" applyFill="1" applyBorder="1">
      <alignment horizontal="center" vertical="center"/>
    </xf>
    <xf numFmtId="0" fontId="86" fillId="32" borderId="18" xfId="595" applyFont="1" applyFill="1" applyBorder="1" applyAlignment="1">
      <alignment horizontal="left" vertical="center" wrapText="1"/>
    </xf>
    <xf numFmtId="0" fontId="83" fillId="33" borderId="34" xfId="74" applyFont="1" applyFill="1" applyBorder="1" applyAlignment="1">
      <alignment vertical="center"/>
    </xf>
    <xf numFmtId="0" fontId="89" fillId="33" borderId="34" xfId="594" applyNumberFormat="1" applyFont="1" applyFill="1" applyBorder="1">
      <alignment horizontal="center" vertical="center"/>
    </xf>
    <xf numFmtId="171" fontId="89" fillId="33" borderId="33" xfId="594" applyNumberFormat="1" applyFont="1" applyFill="1" applyBorder="1" applyAlignment="1">
      <alignment horizontal="left" vertical="center"/>
    </xf>
    <xf numFmtId="166" fontId="86" fillId="33" borderId="0" xfId="594" applyNumberFormat="1" applyFont="1" applyFill="1" applyBorder="1">
      <alignment horizontal="center" vertical="center"/>
    </xf>
    <xf numFmtId="0" fontId="86" fillId="33" borderId="0" xfId="594" applyNumberFormat="1" applyFont="1" applyFill="1" applyBorder="1">
      <alignment horizontal="center" vertical="center"/>
    </xf>
    <xf numFmtId="166" fontId="86" fillId="33" borderId="0" xfId="595" applyNumberFormat="1" applyFont="1" applyFill="1" applyBorder="1">
      <alignment horizontal="center" vertical="center"/>
    </xf>
    <xf numFmtId="0" fontId="86" fillId="33" borderId="0" xfId="595" applyFont="1" applyFill="1" applyBorder="1" applyAlignment="1">
      <alignment horizontal="left" vertical="center" wrapText="1"/>
    </xf>
    <xf numFmtId="0" fontId="80" fillId="28" borderId="37" xfId="74" applyFont="1" applyFill="1" applyBorder="1" applyAlignment="1">
      <alignment horizontal="center" vertical="center"/>
    </xf>
    <xf numFmtId="0" fontId="89" fillId="32" borderId="19" xfId="591" applyFont="1" applyFill="1" applyBorder="1" applyAlignment="1">
      <alignment vertical="center"/>
    </xf>
    <xf numFmtId="0" fontId="83" fillId="41" borderId="37" xfId="74" applyFont="1" applyFill="1" applyBorder="1" applyAlignment="1">
      <alignment horizontal="left" vertical="center"/>
    </xf>
    <xf numFmtId="0" fontId="83" fillId="33" borderId="37" xfId="74" applyFont="1" applyFill="1" applyBorder="1" applyAlignment="1">
      <alignment horizontal="left" vertical="center"/>
    </xf>
    <xf numFmtId="0" fontId="86" fillId="32" borderId="15" xfId="591" applyFont="1" applyFill="1" applyBorder="1">
      <alignment horizontal="left" vertical="center" indent="1"/>
    </xf>
    <xf numFmtId="0" fontId="91" fillId="33" borderId="17" xfId="689" applyFont="1" applyFill="1" applyBorder="1" applyAlignment="1">
      <alignment horizontal="center" vertical="center"/>
    </xf>
    <xf numFmtId="0" fontId="88" fillId="33" borderId="15" xfId="691" applyFont="1" applyFill="1" applyBorder="1" applyAlignment="1">
      <alignment horizontal="left" vertical="center"/>
    </xf>
    <xf numFmtId="0" fontId="86" fillId="32" borderId="20" xfId="595" applyFont="1" applyFill="1" applyBorder="1" applyAlignment="1">
      <alignment horizontal="left" vertical="center" wrapText="1"/>
    </xf>
    <xf numFmtId="0" fontId="89" fillId="32" borderId="15" xfId="591" applyFont="1" applyFill="1" applyBorder="1" applyAlignment="1">
      <alignment horizontal="left" vertical="center"/>
    </xf>
    <xf numFmtId="0" fontId="89" fillId="30" borderId="15" xfId="595" applyFont="1" applyFill="1" applyBorder="1" applyAlignment="1">
      <alignment horizontal="center" vertical="center" wrapText="1"/>
    </xf>
    <xf numFmtId="167" fontId="86" fillId="31" borderId="18" xfId="594" applyNumberFormat="1" applyFont="1" applyFill="1" applyBorder="1">
      <alignment horizontal="center" vertical="center"/>
    </xf>
    <xf numFmtId="0" fontId="86" fillId="32" borderId="18" xfId="591" applyFont="1" applyFill="1" applyBorder="1">
      <alignment horizontal="left" vertical="center" indent="1"/>
    </xf>
    <xf numFmtId="0" fontId="89" fillId="32" borderId="18" xfId="591" applyFont="1" applyFill="1" applyBorder="1" applyAlignment="1">
      <alignment horizontal="left" vertical="center"/>
    </xf>
    <xf numFmtId="0" fontId="2" fillId="33" borderId="33" xfId="689" applyFont="1" applyFill="1" applyBorder="1" applyAlignment="1">
      <alignment vertical="center"/>
    </xf>
    <xf numFmtId="0" fontId="91" fillId="33" borderId="0" xfId="689" applyFont="1" applyFill="1" applyAlignment="1">
      <alignment horizontal="center" vertical="center"/>
    </xf>
    <xf numFmtId="0" fontId="138" fillId="0" borderId="0" xfId="74" applyFont="1" applyAlignment="1">
      <alignment horizontal="left" vertical="center"/>
    </xf>
    <xf numFmtId="0" fontId="134" fillId="0" borderId="0" xfId="74" applyFont="1" applyAlignment="1">
      <alignment horizontal="left" vertical="center"/>
    </xf>
    <xf numFmtId="1" fontId="86" fillId="31" borderId="15" xfId="594" applyNumberFormat="1" applyFont="1" applyFill="1" applyAlignment="1">
      <alignment horizontal="left" vertical="center" indent="1"/>
    </xf>
    <xf numFmtId="0" fontId="86" fillId="30" borderId="13" xfId="74" applyFont="1" applyFill="1" applyBorder="1" applyAlignment="1">
      <alignment vertical="center"/>
    </xf>
    <xf numFmtId="0" fontId="86" fillId="30" borderId="19" xfId="74" applyFont="1" applyFill="1" applyBorder="1" applyAlignment="1">
      <alignment vertical="center"/>
    </xf>
    <xf numFmtId="0" fontId="83" fillId="42" borderId="0" xfId="74" applyFont="1" applyFill="1" applyAlignment="1">
      <alignment vertical="center"/>
    </xf>
    <xf numFmtId="0" fontId="83" fillId="42" borderId="37" xfId="74" applyFont="1" applyFill="1" applyBorder="1" applyAlignment="1">
      <alignment vertical="center"/>
    </xf>
    <xf numFmtId="0" fontId="83" fillId="42" borderId="37" xfId="74" applyFont="1" applyFill="1" applyBorder="1" applyAlignment="1">
      <alignment vertical="center" wrapText="1"/>
    </xf>
    <xf numFmtId="0" fontId="122" fillId="42" borderId="37" xfId="74" applyFont="1" applyFill="1" applyBorder="1" applyAlignment="1">
      <alignment vertical="center" wrapText="1"/>
    </xf>
    <xf numFmtId="0" fontId="83" fillId="42" borderId="37" xfId="74" applyFont="1" applyFill="1" applyBorder="1" applyAlignment="1">
      <alignment horizontal="center" vertical="center"/>
    </xf>
    <xf numFmtId="0" fontId="3" fillId="42" borderId="37" xfId="689" applyFont="1" applyFill="1" applyBorder="1" applyAlignment="1">
      <alignment vertical="center"/>
    </xf>
    <xf numFmtId="2" fontId="83" fillId="42" borderId="37" xfId="74" applyNumberFormat="1" applyFont="1" applyFill="1" applyBorder="1" applyAlignment="1">
      <alignment vertical="center"/>
    </xf>
    <xf numFmtId="0" fontId="89" fillId="33" borderId="37" xfId="591" applyFont="1" applyFill="1" applyBorder="1" applyAlignment="1">
      <alignment horizontal="left" vertical="center"/>
    </xf>
    <xf numFmtId="167" fontId="3" fillId="33" borderId="37" xfId="689" applyNumberFormat="1" applyFont="1" applyFill="1" applyBorder="1" applyAlignment="1">
      <alignment horizontal="center" vertical="center"/>
    </xf>
    <xf numFmtId="0" fontId="125" fillId="43" borderId="35" xfId="74" applyFont="1" applyFill="1" applyBorder="1"/>
    <xf numFmtId="0" fontId="125" fillId="43" borderId="8" xfId="74" applyFont="1" applyFill="1" applyBorder="1"/>
    <xf numFmtId="0" fontId="119" fillId="36" borderId="38" xfId="595" applyFont="1" applyFill="1" applyBorder="1" applyAlignment="1">
      <alignment horizontal="center" vertical="center" textRotation="90" wrapText="1"/>
    </xf>
    <xf numFmtId="0" fontId="125" fillId="43" borderId="4" xfId="74" applyFont="1" applyFill="1" applyBorder="1"/>
    <xf numFmtId="0" fontId="125" fillId="43" borderId="39" xfId="74" applyFont="1" applyFill="1" applyBorder="1"/>
    <xf numFmtId="0" fontId="38" fillId="0" borderId="0" xfId="74" applyAlignment="1">
      <alignment horizontal="center"/>
    </xf>
    <xf numFmtId="17" fontId="38" fillId="0" borderId="0" xfId="74" applyNumberFormat="1" applyAlignment="1">
      <alignment horizontal="center"/>
    </xf>
    <xf numFmtId="0" fontId="125" fillId="43" borderId="35" xfId="74" applyFont="1" applyFill="1" applyBorder="1" applyAlignment="1">
      <alignment wrapText="1"/>
    </xf>
    <xf numFmtId="178" fontId="89" fillId="33" borderId="37" xfId="591" applyNumberFormat="1" applyFont="1" applyFill="1" applyBorder="1" applyAlignment="1">
      <alignment horizontal="left" vertical="center"/>
    </xf>
    <xf numFmtId="1" fontId="86" fillId="31" borderId="15" xfId="594" applyNumberFormat="1" applyFont="1" applyFill="1" applyAlignment="1">
      <alignment horizontal="left" vertical="center" wrapText="1" indent="1"/>
    </xf>
    <xf numFmtId="0" fontId="134" fillId="0" borderId="0" xfId="74" applyFont="1" applyAlignment="1">
      <alignment horizontal="left" vertical="center" wrapText="1"/>
    </xf>
    <xf numFmtId="177" fontId="86" fillId="31" borderId="18" xfId="36" applyNumberFormat="1" applyFont="1" applyFill="1" applyBorder="1" applyAlignment="1">
      <alignment horizontal="center" vertical="center"/>
    </xf>
    <xf numFmtId="177" fontId="89" fillId="32" borderId="18" xfId="36" applyNumberFormat="1" applyFont="1" applyFill="1" applyBorder="1" applyAlignment="1">
      <alignment horizontal="center" vertical="center"/>
    </xf>
    <xf numFmtId="0" fontId="86" fillId="32" borderId="15" xfId="591" applyFont="1" applyFill="1" applyBorder="1" applyAlignment="1">
      <alignment horizontal="left" vertical="center"/>
    </xf>
    <xf numFmtId="0" fontId="104" fillId="33" borderId="0" xfId="74" applyFont="1" applyFill="1" applyAlignment="1">
      <alignment vertical="center"/>
    </xf>
    <xf numFmtId="0" fontId="140" fillId="33" borderId="0" xfId="74" applyFont="1" applyFill="1" applyAlignment="1">
      <alignment horizontal="center" vertical="center"/>
    </xf>
    <xf numFmtId="0" fontId="83" fillId="33" borderId="0" xfId="74" applyFont="1" applyFill="1" applyAlignment="1">
      <alignment horizontal="right" vertical="center"/>
    </xf>
    <xf numFmtId="178" fontId="83" fillId="33" borderId="0" xfId="522" applyNumberFormat="1" applyFont="1" applyFill="1" applyBorder="1" applyAlignment="1">
      <alignment horizontal="left" vertical="center"/>
    </xf>
    <xf numFmtId="49" fontId="139" fillId="39" borderId="0" xfId="522" applyNumberFormat="1" applyFont="1" applyFill="1" applyBorder="1" applyAlignment="1">
      <alignment vertical="center"/>
    </xf>
    <xf numFmtId="0" fontId="139" fillId="39" borderId="0" xfId="74" applyFont="1" applyFill="1" applyAlignment="1">
      <alignment horizontal="left" vertical="center"/>
    </xf>
    <xf numFmtId="0" fontId="139" fillId="39" borderId="0" xfId="74" applyFont="1" applyFill="1" applyAlignment="1">
      <alignment vertical="center"/>
    </xf>
    <xf numFmtId="0" fontId="141" fillId="39" borderId="0" xfId="74" applyFont="1" applyFill="1" applyAlignment="1">
      <alignment horizontal="left" vertical="center"/>
    </xf>
    <xf numFmtId="0" fontId="141" fillId="39" borderId="0" xfId="74" applyFont="1" applyFill="1" applyAlignment="1">
      <alignment vertical="center"/>
    </xf>
    <xf numFmtId="0" fontId="141" fillId="39" borderId="0" xfId="74" applyFont="1" applyFill="1" applyAlignment="1">
      <alignment horizontal="center" vertical="center"/>
    </xf>
    <xf numFmtId="0" fontId="114" fillId="33" borderId="0" xfId="74" applyFont="1" applyFill="1" applyAlignment="1">
      <alignment horizontal="right" vertical="center" wrapText="1"/>
    </xf>
    <xf numFmtId="0" fontId="103" fillId="33" borderId="43" xfId="74" applyFont="1" applyFill="1" applyBorder="1" applyAlignment="1">
      <alignment horizontal="center" vertical="center"/>
    </xf>
    <xf numFmtId="0" fontId="108" fillId="33" borderId="43" xfId="74" applyFont="1" applyFill="1" applyBorder="1" applyAlignment="1">
      <alignment horizontal="left" vertical="center"/>
    </xf>
    <xf numFmtId="0" fontId="83" fillId="33" borderId="43" xfId="74" applyFont="1" applyFill="1" applyBorder="1" applyAlignment="1">
      <alignment vertical="center"/>
    </xf>
    <xf numFmtId="0" fontId="83" fillId="33" borderId="43" xfId="74" applyFont="1" applyFill="1" applyBorder="1" applyAlignment="1">
      <alignment horizontal="left" vertical="center"/>
    </xf>
    <xf numFmtId="0" fontId="107" fillId="33" borderId="43" xfId="74" applyFont="1" applyFill="1" applyBorder="1" applyAlignment="1">
      <alignment horizontal="left" vertical="center"/>
    </xf>
    <xf numFmtId="0" fontId="107" fillId="33" borderId="43" xfId="74" applyFont="1" applyFill="1" applyBorder="1" applyAlignment="1">
      <alignment vertical="center"/>
    </xf>
    <xf numFmtId="0" fontId="83" fillId="0" borderId="43" xfId="74" applyFont="1" applyBorder="1" applyAlignment="1">
      <alignment vertical="center"/>
    </xf>
    <xf numFmtId="14" fontId="107" fillId="33" borderId="43" xfId="74" applyNumberFormat="1" applyFont="1" applyFill="1" applyBorder="1" applyAlignment="1">
      <alignment horizontal="left" vertical="center"/>
    </xf>
    <xf numFmtId="0" fontId="83" fillId="31" borderId="37" xfId="74" applyFont="1" applyFill="1" applyBorder="1" applyAlignment="1">
      <alignment horizontal="center" vertical="center"/>
    </xf>
    <xf numFmtId="0" fontId="80" fillId="42" borderId="37" xfId="74" applyFont="1" applyFill="1" applyBorder="1" applyAlignment="1">
      <alignment horizontal="center" vertical="center"/>
    </xf>
    <xf numFmtId="0" fontId="86" fillId="33" borderId="0" xfId="672" applyFont="1" applyFill="1" applyBorder="1" applyAlignment="1">
      <alignment horizontal="center" vertical="center"/>
    </xf>
    <xf numFmtId="0" fontId="92" fillId="37" borderId="44" xfId="595" applyFont="1" applyFill="1" applyBorder="1" applyAlignment="1">
      <alignment horizontal="center" vertical="center" wrapText="1"/>
    </xf>
    <xf numFmtId="0" fontId="83" fillId="33" borderId="40" xfId="74" applyFont="1" applyFill="1" applyBorder="1" applyAlignment="1">
      <alignment horizontal="center" vertical="center"/>
    </xf>
    <xf numFmtId="0" fontId="83" fillId="42" borderId="40" xfId="74" applyFont="1" applyFill="1" applyBorder="1" applyAlignment="1">
      <alignment horizontal="center" vertical="center"/>
    </xf>
    <xf numFmtId="0" fontId="83" fillId="28" borderId="37" xfId="74" applyFont="1" applyFill="1" applyBorder="1" applyAlignment="1">
      <alignment horizontal="left" vertical="center"/>
    </xf>
    <xf numFmtId="0" fontId="83" fillId="42" borderId="37" xfId="74" applyFont="1" applyFill="1" applyBorder="1" applyAlignment="1">
      <alignment horizontal="left" vertical="center"/>
    </xf>
    <xf numFmtId="0" fontId="83" fillId="38" borderId="37" xfId="74" applyFont="1" applyFill="1" applyBorder="1" applyAlignment="1">
      <alignment horizontal="left" vertical="center"/>
    </xf>
    <xf numFmtId="0" fontId="83" fillId="0" borderId="37" xfId="74" applyFont="1" applyBorder="1" applyAlignment="1">
      <alignment horizontal="left" vertical="center"/>
    </xf>
    <xf numFmtId="0" fontId="83" fillId="44" borderId="37" xfId="74" applyFont="1" applyFill="1" applyBorder="1" applyAlignment="1">
      <alignment vertical="center" wrapText="1"/>
    </xf>
    <xf numFmtId="0" fontId="83" fillId="44" borderId="40" xfId="74" applyFont="1" applyFill="1" applyBorder="1" applyAlignment="1">
      <alignment horizontal="left" vertical="center" wrapText="1"/>
    </xf>
    <xf numFmtId="0" fontId="122" fillId="44" borderId="37" xfId="74" applyFont="1" applyFill="1" applyBorder="1" applyAlignment="1">
      <alignment vertical="center" wrapText="1"/>
    </xf>
    <xf numFmtId="0" fontId="120" fillId="0" borderId="37" xfId="689" applyFont="1" applyBorder="1" applyAlignment="1">
      <alignment vertical="center" wrapText="1"/>
    </xf>
    <xf numFmtId="171" fontId="89" fillId="31" borderId="15" xfId="594" applyNumberFormat="1" applyFont="1" applyFill="1" applyAlignment="1">
      <alignment horizontal="left" vertical="center" wrapText="1"/>
    </xf>
    <xf numFmtId="0" fontId="122" fillId="0" borderId="37" xfId="74" applyFont="1" applyBorder="1" applyAlignment="1">
      <alignment vertical="center" wrapText="1"/>
    </xf>
    <xf numFmtId="0" fontId="123" fillId="0" borderId="37" xfId="689" applyFont="1" applyBorder="1" applyAlignment="1">
      <alignment horizontal="center" vertical="center" wrapText="1"/>
    </xf>
    <xf numFmtId="0" fontId="122" fillId="0" borderId="37" xfId="74" applyFont="1" applyBorder="1" applyAlignment="1">
      <alignment horizontal="center" vertical="center" wrapText="1"/>
    </xf>
    <xf numFmtId="0" fontId="83" fillId="0" borderId="37" xfId="74" applyFont="1" applyBorder="1" applyAlignment="1">
      <alignment vertical="center"/>
    </xf>
    <xf numFmtId="0" fontId="83" fillId="0" borderId="37" xfId="74" applyFont="1" applyBorder="1" applyAlignment="1">
      <alignment vertical="center" wrapText="1"/>
    </xf>
    <xf numFmtId="0" fontId="120" fillId="28" borderId="37" xfId="689" applyFont="1" applyFill="1" applyBorder="1" applyAlignment="1">
      <alignment horizontal="center" vertical="center"/>
    </xf>
    <xf numFmtId="0" fontId="122" fillId="44" borderId="37" xfId="74" applyFont="1" applyFill="1" applyBorder="1" applyAlignment="1">
      <alignment horizontal="center" vertical="center" wrapText="1"/>
    </xf>
    <xf numFmtId="0" fontId="83" fillId="44" borderId="40" xfId="74" applyFont="1" applyFill="1" applyBorder="1" applyAlignment="1">
      <alignment horizontal="center" vertical="center"/>
    </xf>
    <xf numFmtId="0" fontId="80" fillId="44" borderId="37" xfId="74" applyFont="1" applyFill="1" applyBorder="1" applyAlignment="1">
      <alignment horizontal="center" vertical="center"/>
    </xf>
    <xf numFmtId="0" fontId="83" fillId="44" borderId="37" xfId="74" applyFont="1" applyFill="1" applyBorder="1" applyAlignment="1">
      <alignment horizontal="center" vertical="center"/>
    </xf>
    <xf numFmtId="0" fontId="83" fillId="44" borderId="37" xfId="74" applyFont="1" applyFill="1" applyBorder="1" applyAlignment="1">
      <alignment horizontal="left" vertical="center"/>
    </xf>
    <xf numFmtId="167" fontId="3" fillId="44" borderId="37" xfId="689" applyNumberFormat="1" applyFont="1" applyFill="1" applyBorder="1" applyAlignment="1">
      <alignment horizontal="center" vertical="center"/>
    </xf>
    <xf numFmtId="0" fontId="83" fillId="44" borderId="37" xfId="74" applyFont="1" applyFill="1" applyBorder="1" applyAlignment="1">
      <alignment vertical="center"/>
    </xf>
    <xf numFmtId="2" fontId="3" fillId="44" borderId="37" xfId="689" applyNumberFormat="1" applyFont="1" applyFill="1" applyBorder="1" applyAlignment="1">
      <alignment vertical="center"/>
    </xf>
    <xf numFmtId="2" fontId="83" fillId="44" borderId="37" xfId="74" applyNumberFormat="1" applyFont="1" applyFill="1" applyBorder="1" applyAlignment="1">
      <alignment vertical="center"/>
    </xf>
    <xf numFmtId="0" fontId="83" fillId="33" borderId="40" xfId="74" applyFont="1" applyFill="1" applyBorder="1" applyAlignment="1">
      <alignment vertical="center"/>
    </xf>
    <xf numFmtId="0" fontId="83" fillId="0" borderId="37" xfId="74" applyFont="1" applyBorder="1" applyAlignment="1">
      <alignment horizontal="center" vertical="center"/>
    </xf>
    <xf numFmtId="0" fontId="122" fillId="33" borderId="42" xfId="74" applyFont="1" applyFill="1" applyBorder="1" applyAlignment="1">
      <alignment horizontal="center" vertical="center" wrapText="1"/>
    </xf>
    <xf numFmtId="167" fontId="83" fillId="0" borderId="37" xfId="74" applyNumberFormat="1" applyFont="1" applyBorder="1" applyAlignment="1">
      <alignment horizontal="center" vertical="center"/>
    </xf>
    <xf numFmtId="167" fontId="83" fillId="44" borderId="37" xfId="74" applyNumberFormat="1" applyFont="1" applyFill="1" applyBorder="1" applyAlignment="1">
      <alignment horizontal="center" vertical="center"/>
    </xf>
    <xf numFmtId="0" fontId="80" fillId="41" borderId="37" xfId="74" applyFont="1" applyFill="1" applyBorder="1" applyAlignment="1">
      <alignment horizontal="center" vertical="center"/>
    </xf>
    <xf numFmtId="44" fontId="83" fillId="33" borderId="37" xfId="36" applyFont="1" applyFill="1" applyBorder="1" applyAlignment="1">
      <alignment vertical="center"/>
    </xf>
    <xf numFmtId="0" fontId="86" fillId="32" borderId="15" xfId="591" applyFont="1" applyFill="1" applyBorder="1" applyAlignment="1">
      <alignment horizontal="left" vertical="center" wrapText="1" indent="1"/>
    </xf>
    <xf numFmtId="0" fontId="83" fillId="45" borderId="37" xfId="74" applyFont="1" applyFill="1" applyBorder="1" applyAlignment="1">
      <alignment horizontal="left" vertical="center"/>
    </xf>
    <xf numFmtId="0" fontId="83" fillId="45" borderId="37" xfId="74" applyFont="1" applyFill="1" applyBorder="1" applyAlignment="1">
      <alignment horizontal="center" vertical="center"/>
    </xf>
    <xf numFmtId="2" fontId="3" fillId="45" borderId="37" xfId="689" applyNumberFormat="1" applyFont="1" applyFill="1" applyBorder="1" applyAlignment="1">
      <alignment vertical="center"/>
    </xf>
    <xf numFmtId="0" fontId="122" fillId="28" borderId="37" xfId="74" applyFont="1" applyFill="1" applyBorder="1" applyAlignment="1">
      <alignment horizontal="left" vertical="center" wrapText="1"/>
    </xf>
    <xf numFmtId="0" fontId="122" fillId="28" borderId="37" xfId="74" applyFont="1" applyFill="1" applyBorder="1" applyAlignment="1">
      <alignment horizontal="left" vertical="center"/>
    </xf>
    <xf numFmtId="0" fontId="83" fillId="0" borderId="42" xfId="74" applyFont="1" applyBorder="1" applyAlignment="1">
      <alignment horizontal="center" vertical="center"/>
    </xf>
    <xf numFmtId="0" fontId="83" fillId="44" borderId="45" xfId="74" applyFont="1" applyFill="1" applyBorder="1" applyAlignment="1">
      <alignment horizontal="left" vertical="center"/>
    </xf>
    <xf numFmtId="0" fontId="83" fillId="28" borderId="39" xfId="74" applyFont="1" applyFill="1" applyBorder="1" applyAlignment="1">
      <alignment horizontal="left" vertical="center"/>
    </xf>
    <xf numFmtId="2" fontId="86" fillId="33" borderId="37" xfId="689" applyNumberFormat="1" applyFont="1" applyFill="1" applyBorder="1" applyAlignment="1">
      <alignment vertical="center"/>
    </xf>
    <xf numFmtId="167" fontId="83" fillId="33" borderId="37" xfId="74" applyNumberFormat="1" applyFont="1" applyFill="1" applyBorder="1" applyAlignment="1">
      <alignment horizontal="center" vertical="center" wrapText="1"/>
    </xf>
    <xf numFmtId="2" fontId="83" fillId="33" borderId="37" xfId="74" applyNumberFormat="1" applyFont="1" applyFill="1" applyBorder="1" applyAlignment="1">
      <alignment vertical="center" wrapText="1"/>
    </xf>
    <xf numFmtId="0" fontId="83" fillId="33" borderId="37" xfId="704" applyFont="1" applyFill="1" applyBorder="1" applyAlignment="1">
      <alignment horizontal="center" vertical="center"/>
    </xf>
    <xf numFmtId="2" fontId="1" fillId="44" borderId="37" xfId="689" applyNumberFormat="1" applyFont="1" applyFill="1" applyBorder="1" applyAlignment="1">
      <alignment vertical="center"/>
    </xf>
    <xf numFmtId="0" fontId="112" fillId="33" borderId="0" xfId="594" applyNumberFormat="1" applyFont="1" applyFill="1" applyBorder="1" applyAlignment="1">
      <alignment horizontal="center" vertical="center" wrapText="1"/>
    </xf>
    <xf numFmtId="0" fontId="132" fillId="33" borderId="0" xfId="672" applyFont="1" applyFill="1" applyBorder="1" applyAlignment="1">
      <alignment vertical="center" wrapText="1"/>
    </xf>
    <xf numFmtId="0" fontId="87" fillId="33" borderId="0" xfId="74" applyFont="1" applyFill="1" applyAlignment="1">
      <alignment vertical="center" wrapText="1"/>
    </xf>
    <xf numFmtId="0" fontId="132" fillId="37" borderId="35" xfId="595" applyFont="1" applyFill="1" applyBorder="1" applyAlignment="1">
      <alignment horizontal="center" vertical="center" wrapText="1"/>
    </xf>
    <xf numFmtId="0" fontId="142" fillId="33" borderId="37" xfId="689" applyFont="1" applyFill="1" applyBorder="1" applyAlignment="1">
      <alignment vertical="center" wrapText="1"/>
    </xf>
    <xf numFmtId="0" fontId="87" fillId="33" borderId="37" xfId="74" applyFont="1" applyFill="1" applyBorder="1" applyAlignment="1">
      <alignment vertical="center" wrapText="1"/>
    </xf>
    <xf numFmtId="0" fontId="142" fillId="0" borderId="37" xfId="689" applyFont="1" applyBorder="1" applyAlignment="1">
      <alignment vertical="center" wrapText="1"/>
    </xf>
    <xf numFmtId="0" fontId="87" fillId="0" borderId="37" xfId="74" applyFont="1" applyBorder="1" applyAlignment="1">
      <alignment vertical="center" wrapText="1"/>
    </xf>
    <xf numFmtId="0" fontId="87" fillId="44" borderId="37" xfId="74" applyFont="1" applyFill="1" applyBorder="1" applyAlignment="1">
      <alignment vertical="center" wrapText="1"/>
    </xf>
    <xf numFmtId="0" fontId="87" fillId="42" borderId="37" xfId="74" applyFont="1" applyFill="1" applyBorder="1" applyAlignment="1">
      <alignment vertical="center" wrapText="1"/>
    </xf>
    <xf numFmtId="0" fontId="87" fillId="34" borderId="37" xfId="74" applyFont="1" applyFill="1" applyBorder="1" applyAlignment="1">
      <alignment vertical="center" wrapText="1"/>
    </xf>
    <xf numFmtId="0" fontId="87" fillId="0" borderId="40" xfId="74" applyFont="1" applyBorder="1" applyAlignment="1">
      <alignment vertical="center" wrapText="1"/>
    </xf>
    <xf numFmtId="0" fontId="87" fillId="38" borderId="37" xfId="74" applyFont="1" applyFill="1" applyBorder="1" applyAlignment="1">
      <alignment vertical="center" wrapText="1"/>
    </xf>
    <xf numFmtId="0" fontId="83" fillId="28" borderId="37" xfId="74" applyFont="1" applyFill="1" applyBorder="1" applyAlignment="1">
      <alignment vertical="center" wrapText="1"/>
    </xf>
    <xf numFmtId="0" fontId="83" fillId="28" borderId="37" xfId="74" applyFont="1" applyFill="1" applyBorder="1" applyAlignment="1">
      <alignment horizontal="left" vertical="center" wrapText="1"/>
    </xf>
    <xf numFmtId="0" fontId="122" fillId="28" borderId="40" xfId="74" applyFont="1" applyFill="1" applyBorder="1" applyAlignment="1">
      <alignment horizontal="left" vertical="center" wrapText="1"/>
    </xf>
    <xf numFmtId="0" fontId="87" fillId="33" borderId="0" xfId="672" applyFont="1" applyFill="1" applyBorder="1" applyAlignment="1">
      <alignment horizontal="center" vertical="center"/>
    </xf>
    <xf numFmtId="0" fontId="80" fillId="28" borderId="40" xfId="74" applyFont="1" applyFill="1" applyBorder="1" applyAlignment="1">
      <alignment horizontal="center" vertical="center"/>
    </xf>
    <xf numFmtId="0" fontId="87" fillId="33" borderId="0" xfId="672" applyFont="1" applyFill="1" applyBorder="1" applyAlignment="1">
      <alignment vertical="center"/>
    </xf>
    <xf numFmtId="0" fontId="121" fillId="46" borderId="35" xfId="595" applyFont="1" applyFill="1" applyBorder="1" applyAlignment="1">
      <alignment horizontal="center" vertical="center" wrapText="1"/>
    </xf>
    <xf numFmtId="0" fontId="119" fillId="47" borderId="8" xfId="595" applyFont="1" applyFill="1" applyBorder="1" applyAlignment="1">
      <alignment horizontal="center" vertical="center" wrapText="1"/>
    </xf>
    <xf numFmtId="0" fontId="92" fillId="47" borderId="8" xfId="74" applyFont="1" applyFill="1" applyBorder="1" applyAlignment="1">
      <alignment vertical="center"/>
    </xf>
    <xf numFmtId="0" fontId="83" fillId="38" borderId="37" xfId="74" applyFont="1" applyFill="1" applyBorder="1" applyAlignment="1">
      <alignment vertical="center" wrapText="1"/>
    </xf>
    <xf numFmtId="44" fontId="86" fillId="31" borderId="15" xfId="36" applyFont="1" applyFill="1" applyBorder="1" applyAlignment="1">
      <alignment horizontal="center" vertical="center"/>
    </xf>
    <xf numFmtId="44" fontId="89" fillId="32" borderId="15" xfId="36" applyFont="1" applyFill="1" applyBorder="1" applyAlignment="1">
      <alignment horizontal="center" vertical="center"/>
    </xf>
    <xf numFmtId="0" fontId="87" fillId="33" borderId="31" xfId="591" applyFont="1" applyFill="1" applyBorder="1" applyAlignment="1">
      <alignment horizontal="left" vertical="center"/>
    </xf>
    <xf numFmtId="0" fontId="87" fillId="33" borderId="20" xfId="591" applyFont="1" applyFill="1" applyBorder="1" applyAlignment="1">
      <alignment horizontal="left" vertical="center"/>
    </xf>
    <xf numFmtId="0" fontId="87" fillId="33" borderId="26" xfId="591" applyFont="1" applyFill="1" applyBorder="1" applyAlignment="1">
      <alignment horizontal="left" vertical="center"/>
    </xf>
    <xf numFmtId="0" fontId="83" fillId="0" borderId="37" xfId="74" applyFont="1" applyBorder="1" applyAlignment="1">
      <alignment horizontal="left" vertical="center" wrapText="1"/>
    </xf>
    <xf numFmtId="0" fontId="120" fillId="0" borderId="37" xfId="689" applyFont="1" applyBorder="1" applyAlignment="1">
      <alignment vertical="center"/>
    </xf>
    <xf numFmtId="0" fontId="83" fillId="0" borderId="40" xfId="74" applyFont="1" applyBorder="1" applyAlignment="1">
      <alignment horizontal="left" vertical="center" wrapText="1"/>
    </xf>
    <xf numFmtId="0" fontId="83" fillId="0" borderId="42" xfId="74" applyFont="1" applyBorder="1" applyAlignment="1">
      <alignment vertical="center" wrapText="1"/>
    </xf>
    <xf numFmtId="0" fontId="86" fillId="31" borderId="15" xfId="594" applyNumberFormat="1" applyFont="1" applyFill="1">
      <alignment horizontal="center" vertical="center"/>
    </xf>
    <xf numFmtId="0" fontId="83" fillId="31" borderId="15" xfId="594" applyNumberFormat="1" applyFont="1" applyFill="1">
      <alignment horizontal="center" vertical="center"/>
    </xf>
    <xf numFmtId="0" fontId="86" fillId="32" borderId="17" xfId="595" applyFont="1" applyFill="1" applyBorder="1" applyAlignment="1">
      <alignment horizontal="left" vertical="center" wrapText="1"/>
    </xf>
    <xf numFmtId="0" fontId="86" fillId="30" borderId="20" xfId="74" applyFont="1" applyFill="1" applyBorder="1" applyAlignment="1">
      <alignment horizontal="left" vertical="center"/>
    </xf>
    <xf numFmtId="0" fontId="86" fillId="30" borderId="0" xfId="74" applyFont="1" applyFill="1" applyAlignment="1">
      <alignment horizontal="left" vertical="center"/>
    </xf>
    <xf numFmtId="0" fontId="2" fillId="33" borderId="0" xfId="689" applyFont="1" applyFill="1" applyAlignment="1">
      <alignment horizontal="left" vertical="center"/>
    </xf>
    <xf numFmtId="0" fontId="86" fillId="32" borderId="15" xfId="595" applyFont="1" applyFill="1" applyBorder="1" applyAlignment="1">
      <alignment horizontal="left" vertical="center" wrapText="1"/>
    </xf>
    <xf numFmtId="0" fontId="2" fillId="33" borderId="17" xfId="689" applyFont="1" applyFill="1" applyBorder="1" applyAlignment="1">
      <alignment horizontal="left" vertical="center"/>
    </xf>
    <xf numFmtId="0" fontId="0" fillId="0" borderId="0" xfId="0" applyAlignment="1">
      <alignment horizontal="right"/>
    </xf>
    <xf numFmtId="0" fontId="95" fillId="0" borderId="0" xfId="74" applyFont="1" applyAlignment="1">
      <alignment horizontal="left" vertical="center" wrapText="1"/>
    </xf>
    <xf numFmtId="0" fontId="95" fillId="0" borderId="0" xfId="74" applyFont="1" applyAlignment="1">
      <alignment horizontal="left" vertical="top" wrapText="1"/>
    </xf>
    <xf numFmtId="0" fontId="125" fillId="43" borderId="16" xfId="74" applyFont="1" applyFill="1" applyBorder="1" applyAlignment="1">
      <alignment horizontal="center" vertical="center" wrapText="1"/>
    </xf>
    <xf numFmtId="0" fontId="125" fillId="43" borderId="17" xfId="74" applyFont="1" applyFill="1" applyBorder="1" applyAlignment="1">
      <alignment horizontal="center" vertical="center" wrapText="1"/>
    </xf>
    <xf numFmtId="0" fontId="125" fillId="43" borderId="15" xfId="74" applyFont="1" applyFill="1" applyBorder="1" applyAlignment="1">
      <alignment horizontal="center" vertical="center"/>
    </xf>
    <xf numFmtId="0" fontId="125" fillId="43" borderId="15" xfId="74" applyFont="1" applyFill="1" applyBorder="1" applyAlignment="1">
      <alignment horizontal="center" vertical="center" wrapText="1"/>
    </xf>
    <xf numFmtId="0" fontId="125" fillId="43" borderId="16" xfId="74" applyFont="1" applyFill="1" applyBorder="1" applyAlignment="1">
      <alignment horizontal="center" vertical="center"/>
    </xf>
    <xf numFmtId="0" fontId="125" fillId="43" borderId="17" xfId="74" applyFont="1" applyFill="1" applyBorder="1" applyAlignment="1">
      <alignment horizontal="center" vertical="center"/>
    </xf>
    <xf numFmtId="0" fontId="87" fillId="33" borderId="0" xfId="672" applyFont="1" applyFill="1" applyBorder="1" applyAlignment="1">
      <alignment horizontal="center" vertical="center"/>
    </xf>
    <xf numFmtId="0" fontId="92" fillId="36" borderId="46" xfId="74" applyFont="1" applyFill="1" applyBorder="1" applyAlignment="1">
      <alignment horizontal="center" vertical="center"/>
    </xf>
    <xf numFmtId="0" fontId="92" fillId="36" borderId="4" xfId="74" applyFont="1" applyFill="1" applyBorder="1" applyAlignment="1">
      <alignment horizontal="center" vertical="center"/>
    </xf>
    <xf numFmtId="0" fontId="92" fillId="36" borderId="47" xfId="74" applyFont="1" applyFill="1" applyBorder="1" applyAlignment="1">
      <alignment horizontal="center" vertical="center"/>
    </xf>
    <xf numFmtId="0" fontId="121" fillId="46" borderId="36" xfId="74" applyFont="1" applyFill="1" applyBorder="1" applyAlignment="1">
      <alignment horizontal="center" vertical="center" wrapText="1"/>
    </xf>
    <xf numFmtId="0" fontId="121" fillId="46" borderId="49" xfId="74" applyFont="1" applyFill="1" applyBorder="1" applyAlignment="1">
      <alignment horizontal="center" vertical="center" wrapText="1"/>
    </xf>
    <xf numFmtId="0" fontId="92" fillId="36" borderId="50" xfId="595" applyFont="1" applyFill="1" applyBorder="1">
      <alignment horizontal="center" vertical="center"/>
    </xf>
    <xf numFmtId="0" fontId="92" fillId="36" borderId="51" xfId="595" applyFont="1" applyFill="1" applyBorder="1">
      <alignment horizontal="center" vertical="center"/>
    </xf>
    <xf numFmtId="0" fontId="130" fillId="36" borderId="8" xfId="74" applyFont="1" applyFill="1" applyBorder="1" applyAlignment="1">
      <alignment horizontal="center" vertical="center"/>
    </xf>
    <xf numFmtId="0" fontId="130" fillId="36" borderId="35" xfId="74" applyFont="1" applyFill="1" applyBorder="1" applyAlignment="1">
      <alignment horizontal="center" vertical="center"/>
    </xf>
    <xf numFmtId="0" fontId="130" fillId="36" borderId="48" xfId="74" applyFont="1" applyFill="1" applyBorder="1" applyAlignment="1">
      <alignment horizontal="center" vertical="center"/>
    </xf>
    <xf numFmtId="0" fontId="130" fillId="36" borderId="35" xfId="595" applyFont="1" applyFill="1" applyBorder="1" applyAlignment="1">
      <alignment horizontal="center" vertical="center" wrapText="1"/>
    </xf>
    <xf numFmtId="0" fontId="130" fillId="36" borderId="48" xfId="595" applyFont="1" applyFill="1" applyBorder="1" applyAlignment="1">
      <alignment horizontal="center" vertical="center" wrapText="1"/>
    </xf>
    <xf numFmtId="44" fontId="86" fillId="31" borderId="16" xfId="36" applyFont="1" applyFill="1" applyBorder="1" applyAlignment="1">
      <alignment horizontal="center" vertical="center"/>
    </xf>
    <xf numFmtId="44" fontId="86" fillId="31" borderId="17" xfId="36" applyFont="1" applyFill="1" applyBorder="1" applyAlignment="1">
      <alignment horizontal="center" vertical="center"/>
    </xf>
    <xf numFmtId="44" fontId="86" fillId="31" borderId="18" xfId="36" applyFont="1" applyFill="1" applyBorder="1" applyAlignment="1">
      <alignment horizontal="center" vertical="center"/>
    </xf>
    <xf numFmtId="0" fontId="86" fillId="31" borderId="16" xfId="594" applyNumberFormat="1" applyFont="1" applyFill="1" applyBorder="1">
      <alignment horizontal="center" vertical="center"/>
    </xf>
    <xf numFmtId="0" fontId="86" fillId="31" borderId="17" xfId="594" applyNumberFormat="1" applyFont="1" applyFill="1" applyBorder="1">
      <alignment horizontal="center" vertical="center"/>
    </xf>
    <xf numFmtId="0" fontId="86" fillId="31" borderId="18" xfId="594" applyNumberFormat="1" applyFont="1" applyFill="1" applyBorder="1">
      <alignment horizontal="center" vertical="center"/>
    </xf>
    <xf numFmtId="44" fontId="89" fillId="32" borderId="16" xfId="36" applyFont="1" applyFill="1" applyBorder="1" applyAlignment="1">
      <alignment horizontal="center" vertical="center"/>
    </xf>
    <xf numFmtId="44" fontId="89" fillId="32" borderId="17" xfId="36" applyFont="1" applyFill="1" applyBorder="1" applyAlignment="1">
      <alignment horizontal="center" vertical="center"/>
    </xf>
    <xf numFmtId="44" fontId="89" fillId="32" borderId="18" xfId="36" applyFont="1" applyFill="1" applyBorder="1" applyAlignment="1">
      <alignment horizontal="center" vertical="center"/>
    </xf>
    <xf numFmtId="0" fontId="86" fillId="32" borderId="16" xfId="595" applyFont="1" applyFill="1" applyAlignment="1">
      <alignment horizontal="left" vertical="center" wrapText="1"/>
    </xf>
    <xf numFmtId="0" fontId="86" fillId="32" borderId="17" xfId="595" applyFont="1" applyFill="1" applyBorder="1" applyAlignment="1">
      <alignment horizontal="left" vertical="center" wrapText="1"/>
    </xf>
    <xf numFmtId="0" fontId="86" fillId="32" borderId="18" xfId="595" applyFont="1" applyFill="1" applyBorder="1" applyAlignment="1">
      <alignment horizontal="left" vertical="center" wrapText="1"/>
    </xf>
    <xf numFmtId="0" fontId="89" fillId="30" borderId="15" xfId="595" applyFont="1" applyFill="1" applyBorder="1">
      <alignment horizontal="center" vertical="center"/>
    </xf>
    <xf numFmtId="0" fontId="83" fillId="31" borderId="16" xfId="594" applyNumberFormat="1" applyFont="1" applyFill="1" applyBorder="1">
      <alignment horizontal="center" vertical="center"/>
    </xf>
    <xf numFmtId="0" fontId="83" fillId="31" borderId="17" xfId="594" applyNumberFormat="1" applyFont="1" applyFill="1" applyBorder="1">
      <alignment horizontal="center" vertical="center"/>
    </xf>
    <xf numFmtId="0" fontId="83" fillId="31" borderId="18" xfId="594" applyNumberFormat="1" applyFont="1" applyFill="1" applyBorder="1">
      <alignment horizontal="center" vertical="center"/>
    </xf>
    <xf numFmtId="0" fontId="83" fillId="31" borderId="16" xfId="594" applyNumberFormat="1" applyFont="1" applyFill="1" applyBorder="1" applyAlignment="1">
      <alignment horizontal="center" vertical="center" wrapText="1"/>
    </xf>
    <xf numFmtId="0" fontId="83" fillId="31" borderId="17" xfId="594" applyNumberFormat="1" applyFont="1" applyFill="1" applyBorder="1" applyAlignment="1">
      <alignment horizontal="center" vertical="center" wrapText="1"/>
    </xf>
    <xf numFmtId="0" fontId="83" fillId="31" borderId="18" xfId="594" applyNumberFormat="1" applyFont="1" applyFill="1" applyBorder="1" applyAlignment="1">
      <alignment horizontal="center" vertical="center" wrapText="1"/>
    </xf>
    <xf numFmtId="0" fontId="89" fillId="30" borderId="15" xfId="595" applyFont="1" applyFill="1" applyBorder="1" applyAlignment="1">
      <alignment horizontal="center" vertical="center" wrapText="1"/>
    </xf>
    <xf numFmtId="0" fontId="81" fillId="32" borderId="40" xfId="74" applyFont="1" applyFill="1" applyBorder="1" applyAlignment="1">
      <alignment horizontal="center" vertical="center"/>
    </xf>
    <xf numFmtId="0" fontId="81" fillId="32" borderId="41" xfId="74" applyFont="1" applyFill="1" applyBorder="1" applyAlignment="1">
      <alignment horizontal="center" vertical="center"/>
    </xf>
    <xf numFmtId="0" fontId="81" fillId="32" borderId="42" xfId="74" applyFont="1" applyFill="1" applyBorder="1" applyAlignment="1">
      <alignment horizontal="center" vertical="center"/>
    </xf>
    <xf numFmtId="0" fontId="111" fillId="33" borderId="0" xfId="74" applyFont="1" applyFill="1" applyAlignment="1">
      <alignment horizontal="center" vertical="center"/>
    </xf>
    <xf numFmtId="0" fontId="84" fillId="39" borderId="0" xfId="74" applyFont="1" applyFill="1" applyAlignment="1">
      <alignment horizontal="center" vertical="center"/>
    </xf>
    <xf numFmtId="0" fontId="83" fillId="33" borderId="0" xfId="74" applyFont="1" applyFill="1" applyAlignment="1">
      <alignment horizontal="center" vertical="center"/>
    </xf>
    <xf numFmtId="0" fontId="113" fillId="32" borderId="40" xfId="74" applyFont="1" applyFill="1" applyBorder="1" applyAlignment="1">
      <alignment horizontal="center" vertical="center" wrapText="1"/>
    </xf>
    <xf numFmtId="0" fontId="113" fillId="32" borderId="41" xfId="74" applyFont="1" applyFill="1" applyBorder="1" applyAlignment="1">
      <alignment horizontal="center" vertical="center"/>
    </xf>
    <xf numFmtId="0" fontId="113" fillId="32" borderId="42" xfId="74" applyFont="1" applyFill="1" applyBorder="1" applyAlignment="1">
      <alignment horizontal="center" vertical="center"/>
    </xf>
    <xf numFmtId="0" fontId="108" fillId="33" borderId="0" xfId="74" applyFont="1" applyFill="1" applyAlignment="1">
      <alignment horizontal="left" vertical="center" wrapText="1"/>
    </xf>
    <xf numFmtId="0" fontId="107" fillId="33" borderId="43" xfId="74" applyFont="1" applyFill="1" applyBorder="1" applyAlignment="1">
      <alignment horizontal="right" vertical="center"/>
    </xf>
    <xf numFmtId="2" fontId="81" fillId="32" borderId="40" xfId="74" applyNumberFormat="1" applyFont="1" applyFill="1" applyBorder="1" applyAlignment="1">
      <alignment horizontal="center" vertical="center"/>
    </xf>
    <xf numFmtId="0" fontId="81" fillId="32" borderId="40" xfId="74" applyFont="1" applyFill="1" applyBorder="1" applyAlignment="1">
      <alignment horizontal="center" vertical="center" wrapText="1"/>
    </xf>
    <xf numFmtId="0" fontId="81" fillId="32" borderId="41" xfId="74" applyFont="1" applyFill="1" applyBorder="1" applyAlignment="1">
      <alignment horizontal="center" vertical="center" wrapText="1"/>
    </xf>
    <xf numFmtId="0" fontId="81" fillId="32" borderId="42" xfId="74" applyFont="1" applyFill="1" applyBorder="1" applyAlignment="1">
      <alignment horizontal="center" vertical="center" wrapText="1"/>
    </xf>
    <xf numFmtId="0" fontId="87" fillId="33" borderId="33" xfId="591" applyFont="1" applyFill="1" applyBorder="1" applyAlignment="1">
      <alignment horizontal="left" vertical="center"/>
    </xf>
    <xf numFmtId="0" fontId="87" fillId="33" borderId="34" xfId="591" applyFont="1" applyFill="1" applyBorder="1" applyAlignment="1">
      <alignment horizontal="left" vertical="center"/>
    </xf>
    <xf numFmtId="0" fontId="87" fillId="33" borderId="31" xfId="591" applyFont="1" applyFill="1" applyBorder="1" applyAlignment="1">
      <alignment horizontal="left" vertical="center"/>
    </xf>
    <xf numFmtId="0" fontId="87" fillId="33" borderId="13" xfId="591" applyFont="1" applyFill="1" applyAlignment="1">
      <alignment horizontal="left" vertical="center"/>
    </xf>
    <xf numFmtId="0" fontId="87" fillId="33" borderId="19" xfId="591" applyFont="1" applyFill="1" applyBorder="1" applyAlignment="1">
      <alignment horizontal="left" vertical="center"/>
    </xf>
    <xf numFmtId="0" fontId="87" fillId="33" borderId="20" xfId="591" applyFont="1" applyFill="1" applyBorder="1" applyAlignment="1">
      <alignment horizontal="left" vertical="center"/>
    </xf>
    <xf numFmtId="0" fontId="87" fillId="33" borderId="14" xfId="591" applyFont="1" applyFill="1" applyBorder="1" applyAlignment="1">
      <alignment horizontal="left" vertical="center"/>
    </xf>
    <xf numFmtId="0" fontId="87" fillId="33" borderId="21" xfId="591" applyFont="1" applyFill="1" applyBorder="1" applyAlignment="1">
      <alignment horizontal="left" vertical="center"/>
    </xf>
    <xf numFmtId="0" fontId="87" fillId="33" borderId="26" xfId="591" applyFont="1" applyFill="1" applyBorder="1" applyAlignment="1">
      <alignment horizontal="left" vertical="center"/>
    </xf>
    <xf numFmtId="0" fontId="89" fillId="32" borderId="40" xfId="74" applyFont="1" applyFill="1" applyBorder="1" applyAlignment="1">
      <alignment horizontal="center" vertical="center"/>
    </xf>
    <xf numFmtId="0" fontId="89" fillId="32" borderId="41" xfId="74" applyFont="1" applyFill="1" applyBorder="1" applyAlignment="1">
      <alignment horizontal="center" vertical="center"/>
    </xf>
    <xf numFmtId="0" fontId="89" fillId="32" borderId="42" xfId="74" applyFont="1" applyFill="1" applyBorder="1" applyAlignment="1">
      <alignment horizontal="center" vertical="center"/>
    </xf>
    <xf numFmtId="0" fontId="100" fillId="32" borderId="40" xfId="74" applyFont="1" applyFill="1" applyBorder="1" applyAlignment="1">
      <alignment horizontal="center" vertical="center" wrapText="1"/>
    </xf>
    <xf numFmtId="0" fontId="100" fillId="32" borderId="41" xfId="74" applyFont="1" applyFill="1" applyBorder="1" applyAlignment="1">
      <alignment horizontal="center" vertical="center" wrapText="1"/>
    </xf>
    <xf numFmtId="0" fontId="100" fillId="32" borderId="42" xfId="74" applyFont="1" applyFill="1" applyBorder="1" applyAlignment="1">
      <alignment horizontal="center" vertical="center" wrapText="1"/>
    </xf>
    <xf numFmtId="0" fontId="112" fillId="32" borderId="40" xfId="74" applyFont="1" applyFill="1" applyBorder="1" applyAlignment="1">
      <alignment horizontal="center" vertical="center"/>
    </xf>
    <xf numFmtId="0" fontId="112" fillId="32" borderId="41" xfId="74" applyFont="1" applyFill="1" applyBorder="1" applyAlignment="1">
      <alignment horizontal="center" vertical="center"/>
    </xf>
    <xf numFmtId="0" fontId="112" fillId="32" borderId="42" xfId="74" applyFont="1" applyFill="1" applyBorder="1" applyAlignment="1">
      <alignment horizontal="center" vertical="center"/>
    </xf>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0 2" xfId="704" xr:uid="{7E5E00CD-96DA-491B-B25C-6C0AB056D88C}"/>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2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00FF00"/>
      <color rgb="FF66FF99"/>
      <color rgb="FFE3173E"/>
      <color rgb="FF414012"/>
      <color rgb="FFC8102E"/>
      <color rgb="FF032842"/>
      <color rgb="FFE4E4E4"/>
      <color rgb="FFD5D5D5"/>
      <color rgb="FFD1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5MY_ODYSSEY_APP_FR'!Print_Area"/><Relationship Id="rId2" Type="http://schemas.openxmlformats.org/officeDocument/2006/relationships/hyperlink" Target="#'25MY_ODYSSEY_APP_EN'!Print_Area"/><Relationship Id="rId1" Type="http://schemas.openxmlformats.org/officeDocument/2006/relationships/hyperlink" Target="#'25MY_ODYSSEY_SELL-EN'!Print_Area"/><Relationship Id="rId4" Type="http://schemas.openxmlformats.org/officeDocument/2006/relationships/hyperlink" Target="#'25MY_ODYSSEY_SELL-FR'!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6.png"/><Relationship Id="rId2" Type="http://schemas.openxmlformats.org/officeDocument/2006/relationships/image" Target="../media/image7.png"/><Relationship Id="rId1" Type="http://schemas.openxmlformats.org/officeDocument/2006/relationships/image" Target="../media/image4.png"/><Relationship Id="rId6" Type="http://schemas.openxmlformats.org/officeDocument/2006/relationships/image" Target="../media/image11.png"/><Relationship Id="rId11" Type="http://schemas.openxmlformats.org/officeDocument/2006/relationships/image" Target="../media/image5.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3692752</xdr:colOff>
      <xdr:row>8</xdr:row>
      <xdr:rowOff>114574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xdr:col>
      <xdr:colOff>448237</xdr:colOff>
      <xdr:row>2</xdr:row>
      <xdr:rowOff>306294</xdr:rowOff>
    </xdr:from>
    <xdr:to>
      <xdr:col>8</xdr:col>
      <xdr:colOff>485589</xdr:colOff>
      <xdr:row>4</xdr:row>
      <xdr:rowOff>356646</xdr:rowOff>
    </xdr:to>
    <xdr:pic>
      <xdr:nvPicPr>
        <xdr:cNvPr id="2" name="Picture 1">
          <a:extLst>
            <a:ext uri="{FF2B5EF4-FFF2-40B4-BE49-F238E27FC236}">
              <a16:creationId xmlns:a16="http://schemas.microsoft.com/office/drawing/2014/main" id="{B58B9100-58CF-F949-F8DE-744E400F13F5}"/>
            </a:ext>
          </a:extLst>
        </xdr:cNvPr>
        <xdr:cNvPicPr>
          <a:picLocks noChangeAspect="1"/>
        </xdr:cNvPicPr>
      </xdr:nvPicPr>
      <xdr:blipFill>
        <a:blip xmlns:r="http://schemas.openxmlformats.org/officeDocument/2006/relationships" r:embed="rId2"/>
        <a:stretch>
          <a:fillRect/>
        </a:stretch>
      </xdr:blipFill>
      <xdr:spPr>
        <a:xfrm>
          <a:off x="1070537" y="699994"/>
          <a:ext cx="5028452" cy="2526852"/>
        </a:xfrm>
        <a:prstGeom prst="rect">
          <a:avLst/>
        </a:prstGeom>
      </xdr:spPr>
    </xdr:pic>
    <xdr:clientData/>
  </xdr:twoCellAnchor>
  <xdr:twoCellAnchor editAs="oneCell">
    <xdr:from>
      <xdr:col>10</xdr:col>
      <xdr:colOff>44824</xdr:colOff>
      <xdr:row>3</xdr:row>
      <xdr:rowOff>194235</xdr:rowOff>
    </xdr:from>
    <xdr:to>
      <xdr:col>16</xdr:col>
      <xdr:colOff>357208</xdr:colOff>
      <xdr:row>4</xdr:row>
      <xdr:rowOff>347857</xdr:rowOff>
    </xdr:to>
    <xdr:pic>
      <xdr:nvPicPr>
        <xdr:cNvPr id="3" name="Picture 2">
          <a:extLst>
            <a:ext uri="{FF2B5EF4-FFF2-40B4-BE49-F238E27FC236}">
              <a16:creationId xmlns:a16="http://schemas.microsoft.com/office/drawing/2014/main" id="{C9AF6AAA-0E37-5BF5-6ECE-B18E22BA00B5}"/>
            </a:ext>
          </a:extLst>
        </xdr:cNvPr>
        <xdr:cNvPicPr>
          <a:picLocks noChangeAspect="1"/>
        </xdr:cNvPicPr>
      </xdr:nvPicPr>
      <xdr:blipFill>
        <a:blip xmlns:r="http://schemas.openxmlformats.org/officeDocument/2006/relationships" r:embed="rId3"/>
        <a:stretch>
          <a:fillRect/>
        </a:stretch>
      </xdr:blipFill>
      <xdr:spPr>
        <a:xfrm>
          <a:off x="6835589" y="911411"/>
          <a:ext cx="4518325" cy="2312622"/>
        </a:xfrm>
        <a:prstGeom prst="rect">
          <a:avLst/>
        </a:prstGeom>
      </xdr:spPr>
    </xdr:pic>
    <xdr:clientData/>
  </xdr:twoCellAnchor>
  <xdr:twoCellAnchor editAs="oneCell">
    <xdr:from>
      <xdr:col>7</xdr:col>
      <xdr:colOff>22413</xdr:colOff>
      <xdr:row>7</xdr:row>
      <xdr:rowOff>44827</xdr:rowOff>
    </xdr:from>
    <xdr:to>
      <xdr:col>10</xdr:col>
      <xdr:colOff>732117</xdr:colOff>
      <xdr:row>8</xdr:row>
      <xdr:rowOff>46981</xdr:rowOff>
    </xdr:to>
    <xdr:pic>
      <xdr:nvPicPr>
        <xdr:cNvPr id="4" name="Picture 3">
          <a:extLst>
            <a:ext uri="{FF2B5EF4-FFF2-40B4-BE49-F238E27FC236}">
              <a16:creationId xmlns:a16="http://schemas.microsoft.com/office/drawing/2014/main" id="{5632D017-3AF6-DFC0-7555-21288628D20B}"/>
            </a:ext>
          </a:extLst>
        </xdr:cNvPr>
        <xdr:cNvPicPr>
          <a:picLocks noChangeAspect="1"/>
        </xdr:cNvPicPr>
      </xdr:nvPicPr>
      <xdr:blipFill rotWithShape="1">
        <a:blip xmlns:r="http://schemas.openxmlformats.org/officeDocument/2006/relationships" r:embed="rId4"/>
        <a:srcRect t="4959"/>
        <a:stretch/>
      </xdr:blipFill>
      <xdr:spPr>
        <a:xfrm>
          <a:off x="4743825" y="3877239"/>
          <a:ext cx="2779057" cy="1907154"/>
        </a:xfrm>
        <a:prstGeom prst="rect">
          <a:avLst/>
        </a:prstGeom>
      </xdr:spPr>
    </xdr:pic>
    <xdr:clientData/>
  </xdr:twoCellAnchor>
  <xdr:twoCellAnchor editAs="oneCell">
    <xdr:from>
      <xdr:col>12</xdr:col>
      <xdr:colOff>14941</xdr:colOff>
      <xdr:row>7</xdr:row>
      <xdr:rowOff>47925</xdr:rowOff>
    </xdr:from>
    <xdr:to>
      <xdr:col>16</xdr:col>
      <xdr:colOff>14941</xdr:colOff>
      <xdr:row>8</xdr:row>
      <xdr:rowOff>52294</xdr:rowOff>
    </xdr:to>
    <xdr:pic>
      <xdr:nvPicPr>
        <xdr:cNvPr id="6" name="Picture 5">
          <a:extLst>
            <a:ext uri="{FF2B5EF4-FFF2-40B4-BE49-F238E27FC236}">
              <a16:creationId xmlns:a16="http://schemas.microsoft.com/office/drawing/2014/main" id="{8D932AC3-723B-48DE-B01C-AE9B05EE09F9}"/>
            </a:ext>
          </a:extLst>
        </xdr:cNvPr>
        <xdr:cNvPicPr>
          <a:picLocks noChangeAspect="1"/>
        </xdr:cNvPicPr>
      </xdr:nvPicPr>
      <xdr:blipFill rotWithShape="1">
        <a:blip xmlns:r="http://schemas.openxmlformats.org/officeDocument/2006/relationships" r:embed="rId5"/>
        <a:srcRect t="4580"/>
        <a:stretch/>
      </xdr:blipFill>
      <xdr:spPr>
        <a:xfrm>
          <a:off x="8202706" y="3880337"/>
          <a:ext cx="2808941" cy="1909369"/>
        </a:xfrm>
        <a:prstGeom prst="rect">
          <a:avLst/>
        </a:prstGeom>
      </xdr:spPr>
    </xdr:pic>
    <xdr:clientData/>
  </xdr:twoCellAnchor>
  <xdr:twoCellAnchor editAs="oneCell">
    <xdr:from>
      <xdr:col>2</xdr:col>
      <xdr:colOff>29883</xdr:colOff>
      <xdr:row>12</xdr:row>
      <xdr:rowOff>96377</xdr:rowOff>
    </xdr:from>
    <xdr:to>
      <xdr:col>6</xdr:col>
      <xdr:colOff>7471</xdr:colOff>
      <xdr:row>13</xdr:row>
      <xdr:rowOff>52295</xdr:rowOff>
    </xdr:to>
    <xdr:pic>
      <xdr:nvPicPr>
        <xdr:cNvPr id="7" name="Picture 6">
          <a:extLst>
            <a:ext uri="{FF2B5EF4-FFF2-40B4-BE49-F238E27FC236}">
              <a16:creationId xmlns:a16="http://schemas.microsoft.com/office/drawing/2014/main" id="{5F9F4BC3-932B-CE1D-295A-79822D47D3E0}"/>
            </a:ext>
          </a:extLst>
        </xdr:cNvPr>
        <xdr:cNvPicPr>
          <a:picLocks noChangeAspect="1"/>
        </xdr:cNvPicPr>
      </xdr:nvPicPr>
      <xdr:blipFill rotWithShape="1">
        <a:blip xmlns:r="http://schemas.openxmlformats.org/officeDocument/2006/relationships" r:embed="rId6"/>
        <a:srcRect l="6140" r="2987"/>
        <a:stretch/>
      </xdr:blipFill>
      <xdr:spPr>
        <a:xfrm>
          <a:off x="1284942" y="6580848"/>
          <a:ext cx="2786529" cy="1860918"/>
        </a:xfrm>
        <a:prstGeom prst="rect">
          <a:avLst/>
        </a:prstGeom>
      </xdr:spPr>
    </xdr:pic>
    <xdr:clientData/>
  </xdr:twoCellAnchor>
  <xdr:twoCellAnchor editAs="oneCell">
    <xdr:from>
      <xdr:col>2</xdr:col>
      <xdr:colOff>52294</xdr:colOff>
      <xdr:row>17</xdr:row>
      <xdr:rowOff>141946</xdr:rowOff>
    </xdr:from>
    <xdr:to>
      <xdr:col>6</xdr:col>
      <xdr:colOff>0</xdr:colOff>
      <xdr:row>18</xdr:row>
      <xdr:rowOff>44824</xdr:rowOff>
    </xdr:to>
    <xdr:pic>
      <xdr:nvPicPr>
        <xdr:cNvPr id="8" name="Picture 7">
          <a:extLst>
            <a:ext uri="{FF2B5EF4-FFF2-40B4-BE49-F238E27FC236}">
              <a16:creationId xmlns:a16="http://schemas.microsoft.com/office/drawing/2014/main" id="{3C990322-5382-66A9-9284-E2310BB3CB6A}"/>
            </a:ext>
          </a:extLst>
        </xdr:cNvPr>
        <xdr:cNvPicPr>
          <a:picLocks noChangeAspect="1"/>
        </xdr:cNvPicPr>
      </xdr:nvPicPr>
      <xdr:blipFill rotWithShape="1">
        <a:blip xmlns:r="http://schemas.openxmlformats.org/officeDocument/2006/relationships" r:embed="rId7"/>
        <a:srcRect b="8932"/>
        <a:stretch/>
      </xdr:blipFill>
      <xdr:spPr>
        <a:xfrm>
          <a:off x="1307353" y="9308358"/>
          <a:ext cx="2756647" cy="1807878"/>
        </a:xfrm>
        <a:prstGeom prst="rect">
          <a:avLst/>
        </a:prstGeom>
      </xdr:spPr>
    </xdr:pic>
    <xdr:clientData/>
  </xdr:twoCellAnchor>
  <xdr:twoCellAnchor editAs="oneCell">
    <xdr:from>
      <xdr:col>7</xdr:col>
      <xdr:colOff>1121</xdr:colOff>
      <xdr:row>17</xdr:row>
      <xdr:rowOff>156892</xdr:rowOff>
    </xdr:from>
    <xdr:to>
      <xdr:col>11</xdr:col>
      <xdr:colOff>7472</xdr:colOff>
      <xdr:row>18</xdr:row>
      <xdr:rowOff>52298</xdr:rowOff>
    </xdr:to>
    <xdr:pic>
      <xdr:nvPicPr>
        <xdr:cNvPr id="9" name="Picture 8">
          <a:extLst>
            <a:ext uri="{FF2B5EF4-FFF2-40B4-BE49-F238E27FC236}">
              <a16:creationId xmlns:a16="http://schemas.microsoft.com/office/drawing/2014/main" id="{B3861414-AF7F-543C-4FCE-6F5124B881C1}"/>
            </a:ext>
          </a:extLst>
        </xdr:cNvPr>
        <xdr:cNvPicPr>
          <a:picLocks noChangeAspect="1"/>
        </xdr:cNvPicPr>
      </xdr:nvPicPr>
      <xdr:blipFill rotWithShape="1">
        <a:blip xmlns:r="http://schemas.openxmlformats.org/officeDocument/2006/relationships" r:embed="rId8"/>
        <a:srcRect l="2506" r="3250" b="8221"/>
        <a:stretch/>
      </xdr:blipFill>
      <xdr:spPr>
        <a:xfrm>
          <a:off x="4722533" y="9323304"/>
          <a:ext cx="2815292" cy="1800406"/>
        </a:xfrm>
        <a:prstGeom prst="rect">
          <a:avLst/>
        </a:prstGeom>
      </xdr:spPr>
    </xdr:pic>
    <xdr:clientData/>
  </xdr:twoCellAnchor>
  <xdr:twoCellAnchor editAs="oneCell">
    <xdr:from>
      <xdr:col>7</xdr:col>
      <xdr:colOff>7464</xdr:colOff>
      <xdr:row>12</xdr:row>
      <xdr:rowOff>45893</xdr:rowOff>
    </xdr:from>
    <xdr:to>
      <xdr:col>11</xdr:col>
      <xdr:colOff>14941</xdr:colOff>
      <xdr:row>13</xdr:row>
      <xdr:rowOff>48329</xdr:rowOff>
    </xdr:to>
    <xdr:pic>
      <xdr:nvPicPr>
        <xdr:cNvPr id="11" name="Picture 10">
          <a:extLst>
            <a:ext uri="{FF2B5EF4-FFF2-40B4-BE49-F238E27FC236}">
              <a16:creationId xmlns:a16="http://schemas.microsoft.com/office/drawing/2014/main" id="{B0FF31A9-BA23-3F1D-4A6C-AD3049859F8F}"/>
            </a:ext>
          </a:extLst>
        </xdr:cNvPr>
        <xdr:cNvPicPr>
          <a:picLocks noChangeAspect="1"/>
        </xdr:cNvPicPr>
      </xdr:nvPicPr>
      <xdr:blipFill rotWithShape="1">
        <a:blip xmlns:r="http://schemas.openxmlformats.org/officeDocument/2006/relationships" r:embed="rId9"/>
        <a:srcRect l="3218" r="10115"/>
        <a:stretch/>
      </xdr:blipFill>
      <xdr:spPr>
        <a:xfrm>
          <a:off x="4728876" y="6530364"/>
          <a:ext cx="2816418" cy="1907436"/>
        </a:xfrm>
        <a:prstGeom prst="rect">
          <a:avLst/>
        </a:prstGeom>
      </xdr:spPr>
    </xdr:pic>
    <xdr:clientData/>
  </xdr:twoCellAnchor>
  <xdr:twoCellAnchor editAs="oneCell">
    <xdr:from>
      <xdr:col>2</xdr:col>
      <xdr:colOff>14942</xdr:colOff>
      <xdr:row>7</xdr:row>
      <xdr:rowOff>45299</xdr:rowOff>
    </xdr:from>
    <xdr:to>
      <xdr:col>6</xdr:col>
      <xdr:colOff>1</xdr:colOff>
      <xdr:row>8</xdr:row>
      <xdr:rowOff>44822</xdr:rowOff>
    </xdr:to>
    <xdr:pic>
      <xdr:nvPicPr>
        <xdr:cNvPr id="12" name="Picture 11">
          <a:extLst>
            <a:ext uri="{FF2B5EF4-FFF2-40B4-BE49-F238E27FC236}">
              <a16:creationId xmlns:a16="http://schemas.microsoft.com/office/drawing/2014/main" id="{9708FEDE-A102-0623-94A9-C984D74B40D3}"/>
            </a:ext>
          </a:extLst>
        </xdr:cNvPr>
        <xdr:cNvPicPr>
          <a:picLocks noChangeAspect="1"/>
        </xdr:cNvPicPr>
      </xdr:nvPicPr>
      <xdr:blipFill rotWithShape="1">
        <a:blip xmlns:r="http://schemas.openxmlformats.org/officeDocument/2006/relationships" r:embed="rId10"/>
        <a:srcRect l="3543" r="8118"/>
        <a:stretch/>
      </xdr:blipFill>
      <xdr:spPr>
        <a:xfrm>
          <a:off x="1270001" y="3877711"/>
          <a:ext cx="2794000" cy="1904523"/>
        </a:xfrm>
        <a:prstGeom prst="rect">
          <a:avLst/>
        </a:prstGeom>
      </xdr:spPr>
    </xdr:pic>
    <xdr:clientData/>
  </xdr:twoCellAnchor>
  <xdr:twoCellAnchor editAs="oneCell">
    <xdr:from>
      <xdr:col>12</xdr:col>
      <xdr:colOff>44823</xdr:colOff>
      <xdr:row>17</xdr:row>
      <xdr:rowOff>241582</xdr:rowOff>
    </xdr:from>
    <xdr:to>
      <xdr:col>16</xdr:col>
      <xdr:colOff>29882</xdr:colOff>
      <xdr:row>18</xdr:row>
      <xdr:rowOff>44922</xdr:rowOff>
    </xdr:to>
    <xdr:pic>
      <xdr:nvPicPr>
        <xdr:cNvPr id="13" name="Picture 12">
          <a:extLst>
            <a:ext uri="{FF2B5EF4-FFF2-40B4-BE49-F238E27FC236}">
              <a16:creationId xmlns:a16="http://schemas.microsoft.com/office/drawing/2014/main" id="{AFF7D0FB-7857-14BB-0637-9D60F8E27DC2}"/>
            </a:ext>
          </a:extLst>
        </xdr:cNvPr>
        <xdr:cNvPicPr>
          <a:picLocks noChangeAspect="1"/>
        </xdr:cNvPicPr>
      </xdr:nvPicPr>
      <xdr:blipFill rotWithShape="1">
        <a:blip xmlns:r="http://schemas.openxmlformats.org/officeDocument/2006/relationships" r:embed="rId11"/>
        <a:srcRect l="6031"/>
        <a:stretch/>
      </xdr:blipFill>
      <xdr:spPr>
        <a:xfrm>
          <a:off x="8232588" y="9407994"/>
          <a:ext cx="2794000" cy="1708340"/>
        </a:xfrm>
        <a:prstGeom prst="rect">
          <a:avLst/>
        </a:prstGeom>
      </xdr:spPr>
    </xdr:pic>
    <xdr:clientData/>
  </xdr:twoCellAnchor>
  <xdr:twoCellAnchor editAs="oneCell">
    <xdr:from>
      <xdr:col>12</xdr:col>
      <xdr:colOff>37353</xdr:colOff>
      <xdr:row>12</xdr:row>
      <xdr:rowOff>52294</xdr:rowOff>
    </xdr:from>
    <xdr:to>
      <xdr:col>15</xdr:col>
      <xdr:colOff>724648</xdr:colOff>
      <xdr:row>13</xdr:row>
      <xdr:rowOff>37353</xdr:rowOff>
    </xdr:to>
    <xdr:pic>
      <xdr:nvPicPr>
        <xdr:cNvPr id="14" name="Picture 13">
          <a:extLst>
            <a:ext uri="{FF2B5EF4-FFF2-40B4-BE49-F238E27FC236}">
              <a16:creationId xmlns:a16="http://schemas.microsoft.com/office/drawing/2014/main" id="{8DB57B2B-BBEF-42EA-A846-CF5CE76C7023}"/>
            </a:ext>
          </a:extLst>
        </xdr:cNvPr>
        <xdr:cNvPicPr>
          <a:picLocks noChangeAspect="1"/>
        </xdr:cNvPicPr>
      </xdr:nvPicPr>
      <xdr:blipFill rotWithShape="1">
        <a:blip xmlns:r="http://schemas.openxmlformats.org/officeDocument/2006/relationships" r:embed="rId12"/>
        <a:srcRect l="1571" t="5575" r="1832" b="6256"/>
        <a:stretch/>
      </xdr:blipFill>
      <xdr:spPr>
        <a:xfrm>
          <a:off x="8225118" y="6536765"/>
          <a:ext cx="2756648" cy="189005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3692752</xdr:colOff>
      <xdr:row>8</xdr:row>
      <xdr:rowOff>114574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7</xdr:col>
      <xdr:colOff>7471</xdr:colOff>
      <xdr:row>7</xdr:row>
      <xdr:rowOff>0</xdr:rowOff>
    </xdr:from>
    <xdr:to>
      <xdr:col>10</xdr:col>
      <xdr:colOff>717175</xdr:colOff>
      <xdr:row>8</xdr:row>
      <xdr:rowOff>2154</xdr:rowOff>
    </xdr:to>
    <xdr:pic>
      <xdr:nvPicPr>
        <xdr:cNvPr id="2" name="Picture 1">
          <a:extLst>
            <a:ext uri="{FF2B5EF4-FFF2-40B4-BE49-F238E27FC236}">
              <a16:creationId xmlns:a16="http://schemas.microsoft.com/office/drawing/2014/main" id="{ABF14816-83DD-44BD-B9D9-810ADC2A0B3F}"/>
            </a:ext>
          </a:extLst>
        </xdr:cNvPr>
        <xdr:cNvPicPr>
          <a:picLocks noChangeAspect="1"/>
        </xdr:cNvPicPr>
      </xdr:nvPicPr>
      <xdr:blipFill rotWithShape="1">
        <a:blip xmlns:r="http://schemas.openxmlformats.org/officeDocument/2006/relationships" r:embed="rId2"/>
        <a:srcRect t="4959"/>
        <a:stretch/>
      </xdr:blipFill>
      <xdr:spPr>
        <a:xfrm>
          <a:off x="4728883" y="3526118"/>
          <a:ext cx="2779057" cy="1907154"/>
        </a:xfrm>
        <a:prstGeom prst="rect">
          <a:avLst/>
        </a:prstGeom>
      </xdr:spPr>
    </xdr:pic>
    <xdr:clientData/>
  </xdr:twoCellAnchor>
  <xdr:twoCellAnchor editAs="oneCell">
    <xdr:from>
      <xdr:col>11</xdr:col>
      <xdr:colOff>657411</xdr:colOff>
      <xdr:row>7</xdr:row>
      <xdr:rowOff>3098</xdr:rowOff>
    </xdr:from>
    <xdr:to>
      <xdr:col>15</xdr:col>
      <xdr:colOff>733237</xdr:colOff>
      <xdr:row>8</xdr:row>
      <xdr:rowOff>7467</xdr:rowOff>
    </xdr:to>
    <xdr:pic>
      <xdr:nvPicPr>
        <xdr:cNvPr id="3" name="Picture 2">
          <a:extLst>
            <a:ext uri="{FF2B5EF4-FFF2-40B4-BE49-F238E27FC236}">
              <a16:creationId xmlns:a16="http://schemas.microsoft.com/office/drawing/2014/main" id="{606C36D2-8745-4220-B9D9-DF113B2AD7D5}"/>
            </a:ext>
          </a:extLst>
        </xdr:cNvPr>
        <xdr:cNvPicPr>
          <a:picLocks noChangeAspect="1"/>
        </xdr:cNvPicPr>
      </xdr:nvPicPr>
      <xdr:blipFill rotWithShape="1">
        <a:blip xmlns:r="http://schemas.openxmlformats.org/officeDocument/2006/relationships" r:embed="rId3"/>
        <a:srcRect t="4580"/>
        <a:stretch/>
      </xdr:blipFill>
      <xdr:spPr>
        <a:xfrm>
          <a:off x="8187764" y="3529216"/>
          <a:ext cx="2808941" cy="1909369"/>
        </a:xfrm>
        <a:prstGeom prst="rect">
          <a:avLst/>
        </a:prstGeom>
      </xdr:spPr>
    </xdr:pic>
    <xdr:clientData/>
  </xdr:twoCellAnchor>
  <xdr:twoCellAnchor editAs="oneCell">
    <xdr:from>
      <xdr:col>2</xdr:col>
      <xdr:colOff>14941</xdr:colOff>
      <xdr:row>12</xdr:row>
      <xdr:rowOff>51551</xdr:rowOff>
    </xdr:from>
    <xdr:to>
      <xdr:col>5</xdr:col>
      <xdr:colOff>732117</xdr:colOff>
      <xdr:row>13</xdr:row>
      <xdr:rowOff>7469</xdr:rowOff>
    </xdr:to>
    <xdr:pic>
      <xdr:nvPicPr>
        <xdr:cNvPr id="4" name="Picture 3">
          <a:extLst>
            <a:ext uri="{FF2B5EF4-FFF2-40B4-BE49-F238E27FC236}">
              <a16:creationId xmlns:a16="http://schemas.microsoft.com/office/drawing/2014/main" id="{79E5358A-0E47-4586-8579-7E0BCC2246D1}"/>
            </a:ext>
          </a:extLst>
        </xdr:cNvPr>
        <xdr:cNvPicPr>
          <a:picLocks noChangeAspect="1"/>
        </xdr:cNvPicPr>
      </xdr:nvPicPr>
      <xdr:blipFill rotWithShape="1">
        <a:blip xmlns:r="http://schemas.openxmlformats.org/officeDocument/2006/relationships" r:embed="rId4"/>
        <a:srcRect l="6140" r="2987"/>
        <a:stretch/>
      </xdr:blipFill>
      <xdr:spPr>
        <a:xfrm>
          <a:off x="1270000" y="6229727"/>
          <a:ext cx="2786529" cy="1860918"/>
        </a:xfrm>
        <a:prstGeom prst="rect">
          <a:avLst/>
        </a:prstGeom>
      </xdr:spPr>
    </xdr:pic>
    <xdr:clientData/>
  </xdr:twoCellAnchor>
  <xdr:twoCellAnchor editAs="oneCell">
    <xdr:from>
      <xdr:col>2</xdr:col>
      <xdr:colOff>37352</xdr:colOff>
      <xdr:row>17</xdr:row>
      <xdr:rowOff>97119</xdr:rowOff>
    </xdr:from>
    <xdr:to>
      <xdr:col>5</xdr:col>
      <xdr:colOff>724646</xdr:colOff>
      <xdr:row>17</xdr:row>
      <xdr:rowOff>1904997</xdr:rowOff>
    </xdr:to>
    <xdr:pic>
      <xdr:nvPicPr>
        <xdr:cNvPr id="5" name="Picture 4">
          <a:extLst>
            <a:ext uri="{FF2B5EF4-FFF2-40B4-BE49-F238E27FC236}">
              <a16:creationId xmlns:a16="http://schemas.microsoft.com/office/drawing/2014/main" id="{7EB0E23F-B872-4407-9AE7-63A590017DFB}"/>
            </a:ext>
          </a:extLst>
        </xdr:cNvPr>
        <xdr:cNvPicPr>
          <a:picLocks noChangeAspect="1"/>
        </xdr:cNvPicPr>
      </xdr:nvPicPr>
      <xdr:blipFill rotWithShape="1">
        <a:blip xmlns:r="http://schemas.openxmlformats.org/officeDocument/2006/relationships" r:embed="rId5"/>
        <a:srcRect b="8932"/>
        <a:stretch/>
      </xdr:blipFill>
      <xdr:spPr>
        <a:xfrm>
          <a:off x="1292411" y="8957237"/>
          <a:ext cx="2756647" cy="1807878"/>
        </a:xfrm>
        <a:prstGeom prst="rect">
          <a:avLst/>
        </a:prstGeom>
      </xdr:spPr>
    </xdr:pic>
    <xdr:clientData/>
  </xdr:twoCellAnchor>
  <xdr:twoCellAnchor editAs="oneCell">
    <xdr:from>
      <xdr:col>6</xdr:col>
      <xdr:colOff>643591</xdr:colOff>
      <xdr:row>17</xdr:row>
      <xdr:rowOff>112065</xdr:rowOff>
    </xdr:from>
    <xdr:to>
      <xdr:col>10</xdr:col>
      <xdr:colOff>732118</xdr:colOff>
      <xdr:row>18</xdr:row>
      <xdr:rowOff>7471</xdr:rowOff>
    </xdr:to>
    <xdr:pic>
      <xdr:nvPicPr>
        <xdr:cNvPr id="7" name="Picture 6">
          <a:extLst>
            <a:ext uri="{FF2B5EF4-FFF2-40B4-BE49-F238E27FC236}">
              <a16:creationId xmlns:a16="http://schemas.microsoft.com/office/drawing/2014/main" id="{1C5F7FD3-A68A-4B2E-8B72-86DD70C877BB}"/>
            </a:ext>
          </a:extLst>
        </xdr:cNvPr>
        <xdr:cNvPicPr>
          <a:picLocks noChangeAspect="1"/>
        </xdr:cNvPicPr>
      </xdr:nvPicPr>
      <xdr:blipFill rotWithShape="1">
        <a:blip xmlns:r="http://schemas.openxmlformats.org/officeDocument/2006/relationships" r:embed="rId6"/>
        <a:srcRect l="2506" r="3250" b="8221"/>
        <a:stretch/>
      </xdr:blipFill>
      <xdr:spPr>
        <a:xfrm>
          <a:off x="4707591" y="8972183"/>
          <a:ext cx="2815292" cy="1800406"/>
        </a:xfrm>
        <a:prstGeom prst="rect">
          <a:avLst/>
        </a:prstGeom>
      </xdr:spPr>
    </xdr:pic>
    <xdr:clientData/>
  </xdr:twoCellAnchor>
  <xdr:twoCellAnchor editAs="oneCell">
    <xdr:from>
      <xdr:col>6</xdr:col>
      <xdr:colOff>649934</xdr:colOff>
      <xdr:row>12</xdr:row>
      <xdr:rowOff>1067</xdr:rowOff>
    </xdr:from>
    <xdr:to>
      <xdr:col>10</xdr:col>
      <xdr:colOff>739587</xdr:colOff>
      <xdr:row>13</xdr:row>
      <xdr:rowOff>3503</xdr:rowOff>
    </xdr:to>
    <xdr:pic>
      <xdr:nvPicPr>
        <xdr:cNvPr id="8" name="Picture 7">
          <a:extLst>
            <a:ext uri="{FF2B5EF4-FFF2-40B4-BE49-F238E27FC236}">
              <a16:creationId xmlns:a16="http://schemas.microsoft.com/office/drawing/2014/main" id="{453B5F21-8AD9-43CB-A84A-3E4C60AA0C99}"/>
            </a:ext>
          </a:extLst>
        </xdr:cNvPr>
        <xdr:cNvPicPr>
          <a:picLocks noChangeAspect="1"/>
        </xdr:cNvPicPr>
      </xdr:nvPicPr>
      <xdr:blipFill rotWithShape="1">
        <a:blip xmlns:r="http://schemas.openxmlformats.org/officeDocument/2006/relationships" r:embed="rId7"/>
        <a:srcRect l="3218" r="10115"/>
        <a:stretch/>
      </xdr:blipFill>
      <xdr:spPr>
        <a:xfrm>
          <a:off x="4713934" y="6179243"/>
          <a:ext cx="2816418" cy="1907436"/>
        </a:xfrm>
        <a:prstGeom prst="rect">
          <a:avLst/>
        </a:prstGeom>
      </xdr:spPr>
    </xdr:pic>
    <xdr:clientData/>
  </xdr:twoCellAnchor>
  <xdr:twoCellAnchor editAs="oneCell">
    <xdr:from>
      <xdr:col>2</xdr:col>
      <xdr:colOff>0</xdr:colOff>
      <xdr:row>7</xdr:row>
      <xdr:rowOff>472</xdr:rowOff>
    </xdr:from>
    <xdr:to>
      <xdr:col>5</xdr:col>
      <xdr:colOff>724647</xdr:colOff>
      <xdr:row>7</xdr:row>
      <xdr:rowOff>1904995</xdr:rowOff>
    </xdr:to>
    <xdr:pic>
      <xdr:nvPicPr>
        <xdr:cNvPr id="9" name="Picture 8">
          <a:extLst>
            <a:ext uri="{FF2B5EF4-FFF2-40B4-BE49-F238E27FC236}">
              <a16:creationId xmlns:a16="http://schemas.microsoft.com/office/drawing/2014/main" id="{C4AE4A82-C0F1-47AD-85CF-2614DD6AC316}"/>
            </a:ext>
          </a:extLst>
        </xdr:cNvPr>
        <xdr:cNvPicPr>
          <a:picLocks noChangeAspect="1"/>
        </xdr:cNvPicPr>
      </xdr:nvPicPr>
      <xdr:blipFill rotWithShape="1">
        <a:blip xmlns:r="http://schemas.openxmlformats.org/officeDocument/2006/relationships" r:embed="rId8"/>
        <a:srcRect l="3543" r="8118"/>
        <a:stretch/>
      </xdr:blipFill>
      <xdr:spPr>
        <a:xfrm>
          <a:off x="1255059" y="3526590"/>
          <a:ext cx="2794000" cy="1904523"/>
        </a:xfrm>
        <a:prstGeom prst="rect">
          <a:avLst/>
        </a:prstGeom>
      </xdr:spPr>
    </xdr:pic>
    <xdr:clientData/>
  </xdr:twoCellAnchor>
  <xdr:twoCellAnchor editAs="oneCell">
    <xdr:from>
      <xdr:col>12</xdr:col>
      <xdr:colOff>29881</xdr:colOff>
      <xdr:row>17</xdr:row>
      <xdr:rowOff>196755</xdr:rowOff>
    </xdr:from>
    <xdr:to>
      <xdr:col>16</xdr:col>
      <xdr:colOff>14940</xdr:colOff>
      <xdr:row>18</xdr:row>
      <xdr:rowOff>95</xdr:rowOff>
    </xdr:to>
    <xdr:pic>
      <xdr:nvPicPr>
        <xdr:cNvPr id="10" name="Picture 9">
          <a:extLst>
            <a:ext uri="{FF2B5EF4-FFF2-40B4-BE49-F238E27FC236}">
              <a16:creationId xmlns:a16="http://schemas.microsoft.com/office/drawing/2014/main" id="{253F76B0-5A3D-4B9D-8F0E-CC5450108F7F}"/>
            </a:ext>
          </a:extLst>
        </xdr:cNvPr>
        <xdr:cNvPicPr>
          <a:picLocks noChangeAspect="1"/>
        </xdr:cNvPicPr>
      </xdr:nvPicPr>
      <xdr:blipFill rotWithShape="1">
        <a:blip xmlns:r="http://schemas.openxmlformats.org/officeDocument/2006/relationships" r:embed="rId9"/>
        <a:srcRect l="6031"/>
        <a:stretch/>
      </xdr:blipFill>
      <xdr:spPr>
        <a:xfrm>
          <a:off x="8217646" y="9056873"/>
          <a:ext cx="2794000" cy="1708340"/>
        </a:xfrm>
        <a:prstGeom prst="rect">
          <a:avLst/>
        </a:prstGeom>
      </xdr:spPr>
    </xdr:pic>
    <xdr:clientData/>
  </xdr:twoCellAnchor>
  <xdr:twoCellAnchor editAs="oneCell">
    <xdr:from>
      <xdr:col>12</xdr:col>
      <xdr:colOff>22411</xdr:colOff>
      <xdr:row>12</xdr:row>
      <xdr:rowOff>7468</xdr:rowOff>
    </xdr:from>
    <xdr:to>
      <xdr:col>15</xdr:col>
      <xdr:colOff>709706</xdr:colOff>
      <xdr:row>12</xdr:row>
      <xdr:rowOff>1897527</xdr:rowOff>
    </xdr:to>
    <xdr:pic>
      <xdr:nvPicPr>
        <xdr:cNvPr id="11" name="Picture 10">
          <a:extLst>
            <a:ext uri="{FF2B5EF4-FFF2-40B4-BE49-F238E27FC236}">
              <a16:creationId xmlns:a16="http://schemas.microsoft.com/office/drawing/2014/main" id="{D2C5CF33-E8C3-411F-84A7-94B829E08427}"/>
            </a:ext>
          </a:extLst>
        </xdr:cNvPr>
        <xdr:cNvPicPr>
          <a:picLocks noChangeAspect="1"/>
        </xdr:cNvPicPr>
      </xdr:nvPicPr>
      <xdr:blipFill rotWithShape="1">
        <a:blip xmlns:r="http://schemas.openxmlformats.org/officeDocument/2006/relationships" r:embed="rId10"/>
        <a:srcRect l="1571" t="5575" r="1832" b="6256"/>
        <a:stretch/>
      </xdr:blipFill>
      <xdr:spPr>
        <a:xfrm>
          <a:off x="8210176" y="6185644"/>
          <a:ext cx="2756648" cy="1890059"/>
        </a:xfrm>
        <a:prstGeom prst="rect">
          <a:avLst/>
        </a:prstGeom>
      </xdr:spPr>
    </xdr:pic>
    <xdr:clientData/>
  </xdr:twoCellAnchor>
  <xdr:twoCellAnchor editAs="oneCell">
    <xdr:from>
      <xdr:col>1</xdr:col>
      <xdr:colOff>586177</xdr:colOff>
      <xdr:row>3</xdr:row>
      <xdr:rowOff>37353</xdr:rowOff>
    </xdr:from>
    <xdr:to>
      <xdr:col>8</xdr:col>
      <xdr:colOff>209176</xdr:colOff>
      <xdr:row>4</xdr:row>
      <xdr:rowOff>379057</xdr:rowOff>
    </xdr:to>
    <xdr:pic>
      <xdr:nvPicPr>
        <xdr:cNvPr id="12" name="Picture 11">
          <a:extLst>
            <a:ext uri="{FF2B5EF4-FFF2-40B4-BE49-F238E27FC236}">
              <a16:creationId xmlns:a16="http://schemas.microsoft.com/office/drawing/2014/main" id="{88FF85F8-44F5-47B1-8E54-81F2240D393A}"/>
            </a:ext>
          </a:extLst>
        </xdr:cNvPr>
        <xdr:cNvPicPr>
          <a:picLocks noChangeAspect="1"/>
        </xdr:cNvPicPr>
      </xdr:nvPicPr>
      <xdr:blipFill>
        <a:blip xmlns:r="http://schemas.openxmlformats.org/officeDocument/2006/relationships" r:embed="rId11"/>
        <a:stretch>
          <a:fillRect/>
        </a:stretch>
      </xdr:blipFill>
      <xdr:spPr>
        <a:xfrm>
          <a:off x="1206236" y="627529"/>
          <a:ext cx="4598411" cy="2321410"/>
        </a:xfrm>
        <a:prstGeom prst="rect">
          <a:avLst/>
        </a:prstGeom>
      </xdr:spPr>
    </xdr:pic>
    <xdr:clientData/>
  </xdr:twoCellAnchor>
  <xdr:twoCellAnchor editAs="oneCell">
    <xdr:from>
      <xdr:col>9</xdr:col>
      <xdr:colOff>560294</xdr:colOff>
      <xdr:row>3</xdr:row>
      <xdr:rowOff>116943</xdr:rowOff>
    </xdr:from>
    <xdr:to>
      <xdr:col>16</xdr:col>
      <xdr:colOff>177913</xdr:colOff>
      <xdr:row>4</xdr:row>
      <xdr:rowOff>400151</xdr:rowOff>
    </xdr:to>
    <xdr:pic>
      <xdr:nvPicPr>
        <xdr:cNvPr id="13" name="Picture 12">
          <a:extLst>
            <a:ext uri="{FF2B5EF4-FFF2-40B4-BE49-F238E27FC236}">
              <a16:creationId xmlns:a16="http://schemas.microsoft.com/office/drawing/2014/main" id="{F1A1E9DD-DDC5-4B36-978A-AAF87DDA6D85}"/>
            </a:ext>
          </a:extLst>
        </xdr:cNvPr>
        <xdr:cNvPicPr>
          <a:picLocks noChangeAspect="1"/>
        </xdr:cNvPicPr>
      </xdr:nvPicPr>
      <xdr:blipFill>
        <a:blip xmlns:r="http://schemas.openxmlformats.org/officeDocument/2006/relationships" r:embed="rId12"/>
        <a:stretch>
          <a:fillRect/>
        </a:stretch>
      </xdr:blipFill>
      <xdr:spPr>
        <a:xfrm>
          <a:off x="6753412" y="707119"/>
          <a:ext cx="4421207" cy="22629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personal/vanessa_chan_ch_honda_com/Documents/Documents/1_Vanessa%20Main/3_MODELS/24MY%20Passport/EVL_EXPORT_3CP_E2_2023.08.16.xlsm" TargetMode="External"/><Relationship Id="rId1" Type="http://schemas.openxmlformats.org/officeDocument/2006/relationships/externalLinkPath" Target="/personal/vanessa_chan_ch_honda_com/Documents/Documents/1_Vanessa%20Main/3_MODELS/24MY%20Passport/EVL_EXPORT_3CP_E2_2023.08.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VL"/>
    </sheetNames>
    <sheetDataSet>
      <sheetData sheetId="0">
        <row r="5">
          <cell r="F5"/>
        </row>
        <row r="6">
          <cell r="E6"/>
          <cell r="F6"/>
        </row>
        <row r="7">
          <cell r="E7"/>
          <cell r="F7"/>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168.99</v>
          </cell>
          <cell r="D176">
            <v>395</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09375" defaultRowHeight="13.2" outlineLevelRow="1"/>
  <cols>
    <col min="1" max="1" width="9.109375" style="3"/>
    <col min="2" max="2" width="32" style="3" bestFit="1" customWidth="1"/>
    <col min="3" max="3" width="30.5546875" style="3" bestFit="1" customWidth="1"/>
    <col min="4" max="16384" width="9.109375" style="3"/>
  </cols>
  <sheetData>
    <row r="1" spans="1:4">
      <c r="A1" s="4"/>
      <c r="B1" s="4"/>
      <c r="C1" s="4"/>
      <c r="D1" s="4"/>
    </row>
    <row r="2" spans="1:4" ht="15">
      <c r="A2" s="4"/>
      <c r="B2" s="1" t="s">
        <v>34</v>
      </c>
      <c r="C2" s="10">
        <v>6.9900000000000004E-2</v>
      </c>
      <c r="D2" s="14" t="s">
        <v>53</v>
      </c>
    </row>
    <row r="3" spans="1:4" ht="15">
      <c r="A3" s="4"/>
      <c r="B3" s="1" t="s">
        <v>35</v>
      </c>
      <c r="C3" s="11">
        <v>52</v>
      </c>
      <c r="D3" s="14" t="s">
        <v>53</v>
      </c>
    </row>
    <row r="4" spans="1:4" ht="15">
      <c r="A4" s="4"/>
      <c r="B4" s="1" t="s">
        <v>36</v>
      </c>
      <c r="C4" s="12">
        <v>5</v>
      </c>
      <c r="D4" s="14" t="s">
        <v>53</v>
      </c>
    </row>
    <row r="5" spans="1:4" ht="15">
      <c r="A5" s="4"/>
      <c r="B5" s="1" t="s">
        <v>37</v>
      </c>
      <c r="C5" s="5">
        <v>10000</v>
      </c>
      <c r="D5" s="14" t="s">
        <v>54</v>
      </c>
    </row>
    <row r="6" spans="1:4" ht="15">
      <c r="A6" s="4"/>
      <c r="B6" s="1"/>
      <c r="C6" s="1"/>
      <c r="D6" s="4"/>
    </row>
    <row r="7" spans="1:4" ht="15">
      <c r="A7" s="4"/>
      <c r="B7" s="1" t="s">
        <v>38</v>
      </c>
      <c r="C7" s="6" t="s">
        <v>39</v>
      </c>
      <c r="D7" s="4"/>
    </row>
    <row r="8" spans="1:4" ht="13.8">
      <c r="A8" s="4"/>
      <c r="B8" s="4"/>
      <c r="C8" s="7">
        <f>-PMT(C2/C3,C4*C3,C5)</f>
        <v>45.598988283683823</v>
      </c>
      <c r="D8" s="13" t="s">
        <v>52</v>
      </c>
    </row>
    <row r="9" spans="1:4">
      <c r="A9" s="4"/>
      <c r="C9" s="4"/>
      <c r="D9" s="4"/>
    </row>
    <row r="10" spans="1:4">
      <c r="A10" s="4"/>
      <c r="B10" s="84" t="s">
        <v>107</v>
      </c>
      <c r="C10" s="4"/>
      <c r="D10" s="4"/>
    </row>
    <row r="11" spans="1:4">
      <c r="A11" s="4"/>
      <c r="B11" s="4"/>
      <c r="C11" s="4"/>
      <c r="D11" s="4"/>
    </row>
    <row r="13" spans="1:4">
      <c r="B13" s="3" t="s">
        <v>40</v>
      </c>
    </row>
    <row r="15" spans="1:4">
      <c r="B15" s="9" t="s">
        <v>41</v>
      </c>
    </row>
    <row r="16" spans="1:4">
      <c r="B16" s="9" t="s">
        <v>42</v>
      </c>
    </row>
    <row r="19" spans="2:11">
      <c r="B19" s="3" t="s">
        <v>43</v>
      </c>
    </row>
    <row r="21" spans="2:11" ht="76.5" hidden="1" customHeight="1" outlineLevel="1">
      <c r="B21" s="341" t="s">
        <v>45</v>
      </c>
      <c r="C21" s="341"/>
      <c r="D21" s="341"/>
      <c r="E21" s="341"/>
      <c r="F21" s="341"/>
      <c r="G21" s="341"/>
      <c r="H21" s="341"/>
      <c r="I21" s="341"/>
      <c r="J21" s="341"/>
      <c r="K21" s="341"/>
    </row>
    <row r="22" spans="2:11" ht="86.25" hidden="1" customHeight="1" outlineLevel="1">
      <c r="B22" s="342" t="s">
        <v>47</v>
      </c>
      <c r="C22" s="342"/>
      <c r="D22" s="342"/>
      <c r="E22" s="342"/>
      <c r="F22" s="342"/>
      <c r="G22" s="342"/>
      <c r="H22" s="342"/>
      <c r="I22" s="342"/>
      <c r="J22" s="342"/>
      <c r="K22" s="342"/>
    </row>
    <row r="23" spans="2:11" hidden="1" outlineLevel="1">
      <c r="B23" s="3" t="s">
        <v>31</v>
      </c>
    </row>
    <row r="24" spans="2:11" hidden="1" outlineLevel="1">
      <c r="B24" s="3" t="s">
        <v>48</v>
      </c>
    </row>
    <row r="25" spans="2:11" hidden="1" outlineLevel="1"/>
    <row r="26" spans="2:11" hidden="1" outlineLevel="1">
      <c r="B26" s="3" t="s">
        <v>32</v>
      </c>
    </row>
    <row r="27" spans="2:11" hidden="1" outlineLevel="1">
      <c r="B27" s="3" t="s">
        <v>33</v>
      </c>
    </row>
    <row r="28" spans="2:11" hidden="1" outlineLevel="1">
      <c r="B28" s="3" t="s">
        <v>46</v>
      </c>
    </row>
    <row r="29" spans="2:11" hidden="1" outlineLevel="1"/>
    <row r="30" spans="2:11" hidden="1" outlineLevel="1">
      <c r="B30" s="3" t="s">
        <v>49</v>
      </c>
    </row>
    <row r="31" spans="2:11" hidden="1" outlineLevel="1">
      <c r="B31" s="3" t="s">
        <v>50</v>
      </c>
    </row>
    <row r="32" spans="2:11" hidden="1" outlineLevel="1">
      <c r="B32" s="3" t="s">
        <v>51</v>
      </c>
    </row>
    <row r="33" spans="2:2" collapsed="1"/>
    <row r="35" spans="2:2">
      <c r="B35" s="85" t="s">
        <v>44</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63"/>
  <sheetViews>
    <sheetView workbookViewId="0">
      <pane ySplit="1" topLeftCell="A35" activePane="bottomLeft" state="frozen"/>
      <selection activeCell="B35" sqref="B35"/>
      <selection pane="bottomLeft" activeCell="J49" sqref="J49"/>
    </sheetView>
  </sheetViews>
  <sheetFormatPr defaultColWidth="8.88671875" defaultRowHeight="13.2" outlineLevelCol="1"/>
  <cols>
    <col min="1" max="1" width="22.44140625" style="3" customWidth="1" outlineLevel="1"/>
    <col min="2" max="2" width="3.88671875" style="3" customWidth="1" outlineLevel="1"/>
    <col min="3" max="3" width="41.44140625" style="3" customWidth="1" outlineLevel="1"/>
    <col min="4" max="4" width="39.44140625" style="3" bestFit="1" customWidth="1"/>
    <col min="5" max="5" width="2.88671875" style="3" bestFit="1" customWidth="1"/>
    <col min="6" max="6" width="6.88671875" style="3" bestFit="1" customWidth="1"/>
    <col min="7" max="7" width="6.88671875" style="3" customWidth="1"/>
    <col min="8" max="8" width="7.88671875" style="3" bestFit="1" customWidth="1"/>
    <col min="9" max="9" width="10.44140625" style="3" bestFit="1" customWidth="1"/>
    <col min="10" max="10" width="7.5546875" style="3" bestFit="1" customWidth="1"/>
    <col min="11" max="11" width="5.88671875" style="3" bestFit="1" customWidth="1"/>
    <col min="12" max="12" width="6.109375" style="3" bestFit="1" customWidth="1"/>
    <col min="13" max="13" width="7.109375" style="3" bestFit="1" customWidth="1"/>
    <col min="14" max="16384" width="8.88671875" style="3"/>
  </cols>
  <sheetData>
    <row r="1" spans="1:13" ht="48">
      <c r="A1" s="223" t="s">
        <v>168</v>
      </c>
      <c r="B1" s="217"/>
      <c r="C1" s="216"/>
      <c r="D1" s="160" t="s">
        <v>166</v>
      </c>
      <c r="E1" s="218" t="s">
        <v>167</v>
      </c>
      <c r="F1" s="160" t="s">
        <v>127</v>
      </c>
      <c r="G1" s="160" t="s">
        <v>128</v>
      </c>
      <c r="H1" s="160" t="s">
        <v>129</v>
      </c>
      <c r="I1" s="160" t="s">
        <v>130</v>
      </c>
      <c r="J1" s="160" t="s">
        <v>131</v>
      </c>
      <c r="K1" s="160" t="s">
        <v>132</v>
      </c>
      <c r="L1" s="160" t="s">
        <v>133</v>
      </c>
      <c r="M1" s="160" t="s">
        <v>134</v>
      </c>
    </row>
    <row r="2" spans="1:13">
      <c r="A2" s="343" t="s">
        <v>161</v>
      </c>
      <c r="B2" s="219">
        <v>1</v>
      </c>
      <c r="C2" s="220" t="s">
        <v>442</v>
      </c>
      <c r="D2" s="3" t="s">
        <v>442</v>
      </c>
      <c r="E2" s="3">
        <v>1</v>
      </c>
      <c r="F2" s="221"/>
      <c r="G2" s="221"/>
      <c r="H2" s="222"/>
      <c r="I2" s="221"/>
      <c r="J2" s="221"/>
      <c r="K2" s="221"/>
      <c r="L2" s="221"/>
    </row>
    <row r="3" spans="1:13">
      <c r="A3" s="344"/>
      <c r="B3" s="219">
        <v>2</v>
      </c>
      <c r="C3" s="220" t="s">
        <v>443</v>
      </c>
      <c r="D3" s="3" t="s">
        <v>443</v>
      </c>
      <c r="E3" s="3">
        <v>2</v>
      </c>
      <c r="F3" s="221"/>
      <c r="G3" s="221"/>
      <c r="H3" s="222"/>
      <c r="I3" s="221"/>
      <c r="J3" s="221"/>
      <c r="K3" s="221"/>
      <c r="L3" s="221"/>
    </row>
    <row r="4" spans="1:13">
      <c r="A4" s="344"/>
      <c r="B4" s="219">
        <v>3</v>
      </c>
      <c r="C4" s="220" t="s">
        <v>462</v>
      </c>
      <c r="D4" s="3" t="s">
        <v>462</v>
      </c>
      <c r="E4" s="3">
        <v>3</v>
      </c>
      <c r="F4" s="221"/>
      <c r="G4" s="221"/>
      <c r="H4" s="222"/>
      <c r="I4" s="221"/>
      <c r="J4" s="221"/>
      <c r="K4" s="221"/>
      <c r="L4" s="221"/>
    </row>
    <row r="5" spans="1:13">
      <c r="A5" s="344"/>
      <c r="B5" s="219">
        <v>4</v>
      </c>
      <c r="C5" s="220" t="s">
        <v>462</v>
      </c>
      <c r="D5" s="3" t="s">
        <v>462</v>
      </c>
      <c r="E5" s="3">
        <v>4</v>
      </c>
      <c r="F5" s="221"/>
      <c r="G5" s="221"/>
      <c r="H5" s="222"/>
      <c r="I5" s="221"/>
      <c r="J5" s="221"/>
      <c r="K5" s="221"/>
      <c r="L5" s="221"/>
    </row>
    <row r="6" spans="1:13">
      <c r="A6" s="344"/>
      <c r="B6" s="219">
        <v>5</v>
      </c>
      <c r="C6" s="220" t="s">
        <v>197</v>
      </c>
      <c r="D6" s="3" t="s">
        <v>197</v>
      </c>
      <c r="E6" s="3">
        <v>5</v>
      </c>
      <c r="F6" s="221"/>
      <c r="G6" s="221"/>
      <c r="H6" s="222"/>
      <c r="I6" s="221"/>
      <c r="J6" s="221"/>
      <c r="K6" s="221"/>
      <c r="L6" s="221"/>
    </row>
    <row r="7" spans="1:13">
      <c r="A7" s="345" t="s">
        <v>149</v>
      </c>
      <c r="B7" s="219">
        <v>6</v>
      </c>
      <c r="C7" s="220" t="s">
        <v>319</v>
      </c>
      <c r="D7" s="3" t="s">
        <v>319</v>
      </c>
      <c r="E7" s="3">
        <v>6</v>
      </c>
      <c r="F7" s="221"/>
      <c r="G7" s="221"/>
      <c r="H7" s="222"/>
      <c r="I7" s="221"/>
      <c r="J7" s="221"/>
      <c r="K7" s="221"/>
      <c r="L7" s="221"/>
    </row>
    <row r="8" spans="1:13">
      <c r="A8" s="345"/>
      <c r="B8" s="219">
        <v>7</v>
      </c>
      <c r="C8" s="220" t="s">
        <v>333</v>
      </c>
      <c r="D8" s="3" t="s">
        <v>333</v>
      </c>
      <c r="E8" s="3">
        <v>7</v>
      </c>
      <c r="F8" s="221"/>
      <c r="G8" s="221"/>
      <c r="H8" s="222"/>
      <c r="I8" s="221"/>
      <c r="J8" s="221"/>
      <c r="K8" s="221"/>
      <c r="L8" s="221"/>
    </row>
    <row r="9" spans="1:13">
      <c r="A9" s="345"/>
      <c r="B9" s="219">
        <v>8</v>
      </c>
      <c r="C9" s="220" t="s">
        <v>336</v>
      </c>
      <c r="D9" s="3" t="s">
        <v>336</v>
      </c>
      <c r="E9" s="3">
        <v>8</v>
      </c>
      <c r="F9" s="221"/>
      <c r="G9" s="221"/>
      <c r="H9" s="222"/>
      <c r="I9" s="221"/>
      <c r="J9" s="221"/>
      <c r="K9" s="221"/>
      <c r="L9" s="221"/>
    </row>
    <row r="10" spans="1:13">
      <c r="A10" s="343" t="s">
        <v>175</v>
      </c>
      <c r="B10" s="219">
        <v>9</v>
      </c>
      <c r="C10" s="220" t="s">
        <v>101</v>
      </c>
      <c r="D10" s="3" t="s">
        <v>101</v>
      </c>
      <c r="E10" s="3">
        <v>9</v>
      </c>
      <c r="F10" s="221"/>
      <c r="G10" s="221"/>
      <c r="H10" s="221"/>
      <c r="I10" s="221"/>
      <c r="J10" s="221"/>
      <c r="K10" s="221"/>
      <c r="L10" s="221"/>
    </row>
    <row r="11" spans="1:13">
      <c r="A11" s="344"/>
      <c r="B11" s="219">
        <v>10</v>
      </c>
      <c r="C11" s="220" t="s">
        <v>102</v>
      </c>
      <c r="D11" s="3" t="s">
        <v>102</v>
      </c>
      <c r="E11" s="3">
        <v>10</v>
      </c>
      <c r="F11" s="221"/>
      <c r="G11" s="221"/>
      <c r="H11" s="221"/>
      <c r="I11" s="221"/>
      <c r="J11" s="221"/>
      <c r="K11" s="221"/>
      <c r="L11" s="221"/>
    </row>
    <row r="12" spans="1:13">
      <c r="A12" s="346" t="s">
        <v>150</v>
      </c>
      <c r="B12" s="219">
        <v>11</v>
      </c>
      <c r="C12" s="220" t="s">
        <v>380</v>
      </c>
      <c r="D12" s="3" t="s">
        <v>380</v>
      </c>
      <c r="E12" s="3">
        <v>11</v>
      </c>
      <c r="F12" s="221"/>
      <c r="G12" s="221"/>
      <c r="H12" s="221"/>
      <c r="I12" s="221"/>
      <c r="J12" s="221"/>
      <c r="K12" s="221"/>
      <c r="L12" s="221"/>
    </row>
    <row r="13" spans="1:13">
      <c r="A13" s="346"/>
      <c r="B13" s="219">
        <v>12</v>
      </c>
      <c r="C13" s="220" t="s">
        <v>218</v>
      </c>
      <c r="D13" s="3" t="s">
        <v>218</v>
      </c>
      <c r="E13" s="3">
        <v>12</v>
      </c>
      <c r="F13" s="221"/>
      <c r="G13" s="221"/>
      <c r="H13" s="221"/>
      <c r="I13" s="221"/>
      <c r="J13" s="221"/>
      <c r="K13" s="221"/>
      <c r="L13" s="221"/>
    </row>
    <row r="14" spans="1:13">
      <c r="A14" s="346"/>
      <c r="B14" s="219">
        <v>13</v>
      </c>
      <c r="C14" s="220" t="s">
        <v>369</v>
      </c>
      <c r="D14" s="3" t="s">
        <v>369</v>
      </c>
      <c r="E14" s="3">
        <v>13</v>
      </c>
      <c r="F14" s="221"/>
      <c r="G14" s="221"/>
      <c r="H14" s="221"/>
      <c r="I14" s="221"/>
      <c r="J14" s="221"/>
      <c r="K14" s="221"/>
      <c r="L14" s="221"/>
    </row>
    <row r="15" spans="1:13">
      <c r="A15" s="346"/>
      <c r="B15" s="219">
        <v>14</v>
      </c>
      <c r="C15" s="220" t="s">
        <v>20</v>
      </c>
      <c r="D15" s="3" t="s">
        <v>20</v>
      </c>
      <c r="E15" s="3">
        <v>14</v>
      </c>
      <c r="F15" s="221"/>
      <c r="G15" s="221"/>
      <c r="H15" s="221"/>
      <c r="I15" s="221"/>
      <c r="J15" s="221"/>
      <c r="K15" s="221"/>
      <c r="L15" s="221"/>
    </row>
    <row r="16" spans="1:13">
      <c r="A16" s="346"/>
      <c r="B16" s="219">
        <v>15</v>
      </c>
      <c r="C16" s="220" t="s">
        <v>361</v>
      </c>
      <c r="D16" s="3" t="s">
        <v>361</v>
      </c>
      <c r="E16" s="3">
        <v>15</v>
      </c>
      <c r="F16" s="221"/>
      <c r="G16" s="221"/>
      <c r="H16" s="221"/>
      <c r="I16" s="221"/>
      <c r="J16" s="221"/>
      <c r="K16" s="221"/>
      <c r="L16" s="221"/>
    </row>
    <row r="17" spans="1:12">
      <c r="A17" s="346"/>
      <c r="B17" s="219">
        <v>16</v>
      </c>
      <c r="C17" s="220" t="s">
        <v>364</v>
      </c>
      <c r="D17" s="3" t="s">
        <v>364</v>
      </c>
      <c r="E17" s="3">
        <v>16</v>
      </c>
      <c r="F17" s="221"/>
      <c r="G17" s="221"/>
      <c r="H17" s="221"/>
      <c r="I17" s="221"/>
      <c r="J17" s="221"/>
      <c r="K17" s="221"/>
      <c r="L17" s="221"/>
    </row>
    <row r="18" spans="1:12">
      <c r="A18" s="346"/>
      <c r="B18" s="219">
        <v>17</v>
      </c>
      <c r="C18" s="220" t="s">
        <v>410</v>
      </c>
      <c r="D18" s="3" t="s">
        <v>410</v>
      </c>
      <c r="E18" s="3">
        <v>17</v>
      </c>
      <c r="F18" s="221"/>
      <c r="G18" s="221"/>
      <c r="H18" s="221"/>
      <c r="I18" s="221"/>
      <c r="J18" s="221"/>
      <c r="K18" s="221"/>
      <c r="L18" s="221"/>
    </row>
    <row r="19" spans="1:12">
      <c r="A19" s="346"/>
      <c r="B19" s="219">
        <v>18</v>
      </c>
      <c r="C19" s="220" t="s">
        <v>428</v>
      </c>
      <c r="D19" s="3" t="s">
        <v>428</v>
      </c>
      <c r="E19" s="3">
        <v>18</v>
      </c>
      <c r="F19" s="221"/>
      <c r="G19" s="221"/>
      <c r="H19" s="221"/>
      <c r="I19" s="221"/>
      <c r="J19" s="221"/>
      <c r="K19" s="221"/>
      <c r="L19" s="221"/>
    </row>
    <row r="20" spans="1:12">
      <c r="A20" s="346"/>
      <c r="B20" s="219">
        <v>19</v>
      </c>
      <c r="C20" s="220" t="s">
        <v>431</v>
      </c>
      <c r="D20" s="3" t="s">
        <v>431</v>
      </c>
      <c r="E20" s="3">
        <v>19</v>
      </c>
      <c r="F20" s="221"/>
      <c r="G20" s="221"/>
      <c r="H20" s="221"/>
      <c r="I20" s="221"/>
      <c r="J20" s="221"/>
      <c r="K20" s="221"/>
      <c r="L20" s="221"/>
    </row>
    <row r="21" spans="1:12">
      <c r="A21" s="343" t="s">
        <v>207</v>
      </c>
      <c r="B21" s="219">
        <v>20</v>
      </c>
      <c r="C21" s="220" t="s">
        <v>207</v>
      </c>
      <c r="D21" s="3" t="s">
        <v>207</v>
      </c>
      <c r="E21" s="3">
        <v>20</v>
      </c>
      <c r="F21" s="221"/>
      <c r="G21" s="221"/>
      <c r="H21" s="221"/>
      <c r="I21" s="221"/>
      <c r="J21" s="221"/>
      <c r="K21" s="221"/>
      <c r="L21" s="221"/>
    </row>
    <row r="22" spans="1:12">
      <c r="A22" s="344"/>
      <c r="B22" s="219">
        <v>21</v>
      </c>
      <c r="C22" s="220" t="s">
        <v>210</v>
      </c>
      <c r="D22" s="3" t="s">
        <v>210</v>
      </c>
      <c r="E22" s="3">
        <v>21</v>
      </c>
      <c r="F22" s="221"/>
      <c r="G22" s="221"/>
      <c r="H22" s="221"/>
      <c r="I22" s="221"/>
      <c r="J22" s="221"/>
      <c r="K22" s="221"/>
      <c r="L22" s="221"/>
    </row>
    <row r="23" spans="1:12">
      <c r="A23" s="344"/>
      <c r="B23" s="219">
        <v>22</v>
      </c>
      <c r="C23" s="220" t="s">
        <v>212</v>
      </c>
      <c r="D23" s="3" t="s">
        <v>212</v>
      </c>
      <c r="E23" s="3">
        <v>22</v>
      </c>
      <c r="F23" s="221"/>
      <c r="G23" s="221"/>
      <c r="H23" s="221"/>
      <c r="I23" s="221"/>
      <c r="J23" s="221"/>
      <c r="K23" s="221"/>
      <c r="L23" s="221"/>
    </row>
    <row r="24" spans="1:12">
      <c r="A24" s="344"/>
      <c r="B24" s="219">
        <v>23</v>
      </c>
      <c r="C24" s="220" t="s">
        <v>208</v>
      </c>
      <c r="D24" s="3" t="s">
        <v>208</v>
      </c>
      <c r="E24" s="3">
        <v>23</v>
      </c>
      <c r="F24" s="221"/>
      <c r="G24" s="221"/>
      <c r="H24" s="221"/>
      <c r="I24" s="221"/>
      <c r="J24" s="221"/>
      <c r="K24" s="221"/>
      <c r="L24" s="221"/>
    </row>
    <row r="25" spans="1:12">
      <c r="A25" s="344"/>
      <c r="B25" s="219">
        <v>24</v>
      </c>
      <c r="C25" s="220" t="s">
        <v>214</v>
      </c>
      <c r="D25" s="3" t="s">
        <v>214</v>
      </c>
      <c r="E25" s="3">
        <v>24</v>
      </c>
      <c r="F25" s="221"/>
      <c r="G25" s="221"/>
      <c r="H25" s="221"/>
      <c r="I25" s="221"/>
      <c r="J25" s="221"/>
      <c r="K25" s="221"/>
      <c r="L25" s="221"/>
    </row>
    <row r="26" spans="1:12">
      <c r="A26" s="346" t="s">
        <v>151</v>
      </c>
      <c r="B26" s="219">
        <v>25</v>
      </c>
      <c r="C26" s="220" t="s">
        <v>245</v>
      </c>
      <c r="D26" s="3" t="s">
        <v>245</v>
      </c>
      <c r="E26" s="3">
        <v>25</v>
      </c>
      <c r="F26" s="221"/>
      <c r="G26" s="221"/>
      <c r="H26" s="221"/>
      <c r="I26" s="221"/>
      <c r="J26" s="221"/>
      <c r="K26" s="221"/>
      <c r="L26" s="221"/>
    </row>
    <row r="27" spans="1:12">
      <c r="A27" s="345"/>
      <c r="B27" s="219">
        <v>26</v>
      </c>
      <c r="C27" s="220" t="s">
        <v>426</v>
      </c>
      <c r="D27" s="3" t="s">
        <v>426</v>
      </c>
      <c r="E27" s="3">
        <v>26</v>
      </c>
      <c r="F27" s="221"/>
      <c r="G27" s="221"/>
      <c r="H27" s="221"/>
      <c r="I27" s="221"/>
      <c r="J27" s="221"/>
      <c r="K27" s="221"/>
      <c r="L27" s="221"/>
    </row>
    <row r="28" spans="1:12">
      <c r="A28" s="347" t="s">
        <v>266</v>
      </c>
      <c r="B28" s="219">
        <v>27</v>
      </c>
      <c r="C28" s="220" t="s">
        <v>490</v>
      </c>
      <c r="D28" s="3" t="s">
        <v>490</v>
      </c>
      <c r="E28" s="3">
        <v>27</v>
      </c>
      <c r="F28" s="221"/>
      <c r="G28" s="221"/>
      <c r="H28" s="221"/>
      <c r="I28" s="221"/>
      <c r="J28" s="221"/>
      <c r="K28" s="221"/>
      <c r="L28" s="221"/>
    </row>
    <row r="29" spans="1:12">
      <c r="A29" s="348"/>
      <c r="B29" s="219">
        <v>28</v>
      </c>
      <c r="C29" s="220" t="s">
        <v>294</v>
      </c>
      <c r="D29" s="3" t="s">
        <v>294</v>
      </c>
      <c r="E29" s="3">
        <v>28</v>
      </c>
      <c r="F29" s="221"/>
      <c r="G29" s="221"/>
      <c r="H29" s="221"/>
      <c r="I29" s="221"/>
      <c r="J29" s="221"/>
      <c r="K29" s="221"/>
      <c r="L29" s="221"/>
    </row>
    <row r="30" spans="1:12">
      <c r="A30" s="348"/>
      <c r="B30" s="219">
        <v>29</v>
      </c>
      <c r="C30" s="220" t="s">
        <v>489</v>
      </c>
      <c r="D30" s="3" t="s">
        <v>489</v>
      </c>
      <c r="E30" s="3">
        <v>29</v>
      </c>
      <c r="F30" s="221"/>
      <c r="G30" s="221"/>
      <c r="H30" s="221"/>
      <c r="I30" s="221"/>
      <c r="J30" s="221"/>
      <c r="K30" s="221"/>
      <c r="L30" s="221"/>
    </row>
    <row r="31" spans="1:12">
      <c r="A31" s="348"/>
      <c r="B31" s="219">
        <v>30</v>
      </c>
      <c r="C31" s="220" t="s">
        <v>190</v>
      </c>
      <c r="D31" s="3" t="s">
        <v>190</v>
      </c>
      <c r="E31" s="3">
        <v>30</v>
      </c>
      <c r="F31" s="221"/>
      <c r="G31" s="221"/>
      <c r="H31" s="221"/>
      <c r="I31" s="221"/>
      <c r="J31" s="221"/>
      <c r="K31" s="221"/>
      <c r="L31" s="221"/>
    </row>
    <row r="32" spans="1:12">
      <c r="A32" s="348"/>
      <c r="B32" s="219">
        <v>31</v>
      </c>
      <c r="C32" s="220" t="s">
        <v>224</v>
      </c>
      <c r="D32" s="3" t="s">
        <v>224</v>
      </c>
      <c r="E32" s="3">
        <v>31</v>
      </c>
      <c r="F32" s="221"/>
      <c r="G32" s="221"/>
      <c r="H32" s="221"/>
      <c r="I32" s="221"/>
      <c r="J32" s="221"/>
      <c r="K32" s="221"/>
      <c r="L32" s="221"/>
    </row>
    <row r="33" spans="1:12">
      <c r="A33" s="348"/>
      <c r="B33" s="219">
        <v>32</v>
      </c>
      <c r="C33" s="220" t="s">
        <v>227</v>
      </c>
      <c r="D33" s="3" t="s">
        <v>227</v>
      </c>
      <c r="E33" s="3">
        <v>32</v>
      </c>
      <c r="F33" s="221"/>
      <c r="G33" s="221"/>
      <c r="H33" s="221"/>
      <c r="I33" s="221"/>
      <c r="J33" s="221"/>
      <c r="K33" s="221"/>
      <c r="L33" s="221"/>
    </row>
    <row r="34" spans="1:12">
      <c r="A34" s="348"/>
      <c r="B34" s="219">
        <v>33</v>
      </c>
      <c r="C34" s="220" t="s">
        <v>231</v>
      </c>
      <c r="D34" s="3" t="s">
        <v>231</v>
      </c>
      <c r="E34" s="3">
        <v>33</v>
      </c>
      <c r="F34" s="221"/>
      <c r="G34" s="221"/>
      <c r="H34" s="221"/>
      <c r="I34" s="221"/>
      <c r="J34" s="221"/>
      <c r="K34" s="221"/>
      <c r="L34" s="221"/>
    </row>
    <row r="35" spans="1:12">
      <c r="A35" s="348"/>
      <c r="B35" s="219">
        <v>34</v>
      </c>
      <c r="C35" s="220" t="s">
        <v>189</v>
      </c>
      <c r="D35" s="3" t="s">
        <v>189</v>
      </c>
      <c r="E35" s="3">
        <v>34</v>
      </c>
      <c r="F35" s="221"/>
      <c r="G35" s="221"/>
      <c r="H35" s="221"/>
      <c r="I35" s="221"/>
      <c r="J35" s="221"/>
      <c r="K35" s="221"/>
      <c r="L35" s="221"/>
    </row>
    <row r="36" spans="1:12">
      <c r="A36" s="348"/>
      <c r="B36" s="219">
        <v>35</v>
      </c>
      <c r="C36" s="220" t="s">
        <v>191</v>
      </c>
      <c r="D36" s="3" t="s">
        <v>191</v>
      </c>
      <c r="E36" s="3">
        <v>35</v>
      </c>
      <c r="F36" s="221"/>
      <c r="G36" s="221"/>
      <c r="H36" s="221"/>
      <c r="I36" s="221"/>
      <c r="J36" s="221"/>
      <c r="K36" s="221"/>
      <c r="L36" s="221"/>
    </row>
    <row r="37" spans="1:12">
      <c r="A37" s="348"/>
      <c r="B37" s="219">
        <v>36</v>
      </c>
      <c r="C37" s="220" t="s">
        <v>192</v>
      </c>
      <c r="D37" s="3" t="s">
        <v>192</v>
      </c>
      <c r="E37" s="3">
        <v>36</v>
      </c>
      <c r="F37" s="221"/>
      <c r="G37" s="221"/>
      <c r="H37" s="221"/>
      <c r="I37" s="221"/>
      <c r="J37" s="221"/>
      <c r="K37" s="221"/>
      <c r="L37" s="221"/>
    </row>
    <row r="38" spans="1:12">
      <c r="A38" s="348"/>
      <c r="B38" s="219">
        <v>37</v>
      </c>
      <c r="C38" s="220" t="s">
        <v>236</v>
      </c>
      <c r="D38" s="3" t="s">
        <v>236</v>
      </c>
      <c r="E38" s="3">
        <v>37</v>
      </c>
      <c r="F38" s="221"/>
      <c r="G38" s="221"/>
      <c r="H38" s="221"/>
      <c r="I38" s="221"/>
      <c r="J38" s="221"/>
      <c r="K38" s="221"/>
      <c r="L38" s="221"/>
    </row>
    <row r="39" spans="1:12">
      <c r="A39" s="345" t="s">
        <v>152</v>
      </c>
      <c r="B39" s="219">
        <v>38</v>
      </c>
      <c r="C39" s="220" t="s">
        <v>193</v>
      </c>
      <c r="D39" s="3" t="s">
        <v>193</v>
      </c>
      <c r="E39" s="3">
        <v>38</v>
      </c>
      <c r="F39" s="221"/>
      <c r="G39" s="221"/>
      <c r="H39" s="221"/>
      <c r="I39" s="221"/>
      <c r="J39" s="221"/>
      <c r="K39" s="221"/>
      <c r="L39" s="221"/>
    </row>
    <row r="40" spans="1:12">
      <c r="A40" s="345"/>
      <c r="B40" s="219">
        <v>39</v>
      </c>
      <c r="C40" s="220" t="s">
        <v>374</v>
      </c>
      <c r="D40" s="3" t="s">
        <v>374</v>
      </c>
      <c r="E40" s="3">
        <v>39</v>
      </c>
      <c r="F40" s="221"/>
      <c r="G40" s="221"/>
      <c r="H40" s="221"/>
      <c r="I40" s="221"/>
      <c r="J40" s="221"/>
      <c r="K40" s="221"/>
      <c r="L40" s="221"/>
    </row>
    <row r="41" spans="1:12">
      <c r="A41" s="345"/>
      <c r="B41" s="219">
        <v>40</v>
      </c>
      <c r="C41" s="220" t="s">
        <v>351</v>
      </c>
      <c r="D41" s="3" t="s">
        <v>351</v>
      </c>
      <c r="E41" s="3">
        <v>40</v>
      </c>
      <c r="F41" s="221"/>
      <c r="G41" s="221"/>
      <c r="H41" s="221"/>
      <c r="I41" s="221"/>
      <c r="J41" s="221"/>
      <c r="K41" s="221"/>
      <c r="L41" s="221"/>
    </row>
    <row r="42" spans="1:12">
      <c r="A42" s="345"/>
      <c r="B42" s="219">
        <v>41</v>
      </c>
      <c r="C42" s="220" t="s">
        <v>99</v>
      </c>
      <c r="D42" s="3" t="s">
        <v>99</v>
      </c>
      <c r="E42" s="3">
        <v>41</v>
      </c>
      <c r="F42" s="221"/>
      <c r="G42" s="221"/>
      <c r="H42" s="221"/>
      <c r="I42" s="221"/>
      <c r="J42" s="221"/>
      <c r="K42" s="221"/>
      <c r="L42" s="221"/>
    </row>
    <row r="43" spans="1:12">
      <c r="A43" s="345"/>
      <c r="B43" s="219">
        <v>42</v>
      </c>
      <c r="C43" s="220" t="s">
        <v>100</v>
      </c>
      <c r="D43" s="3" t="s">
        <v>100</v>
      </c>
      <c r="E43" s="3">
        <v>42</v>
      </c>
      <c r="F43" s="221"/>
      <c r="G43" s="221"/>
      <c r="H43" s="221"/>
      <c r="I43" s="221"/>
      <c r="J43" s="221"/>
      <c r="K43" s="221"/>
      <c r="L43" s="221"/>
    </row>
    <row r="44" spans="1:12">
      <c r="A44" s="345"/>
      <c r="B44" s="219">
        <v>43</v>
      </c>
      <c r="C44" s="220" t="s">
        <v>300</v>
      </c>
      <c r="D44" s="3" t="s">
        <v>300</v>
      </c>
      <c r="E44" s="3">
        <v>43</v>
      </c>
      <c r="F44" s="221"/>
      <c r="G44" s="221"/>
      <c r="H44" s="221"/>
      <c r="I44" s="221"/>
      <c r="J44" s="221"/>
      <c r="K44" s="221"/>
      <c r="L44" s="221"/>
    </row>
    <row r="45" spans="1:12">
      <c r="A45" s="346" t="s">
        <v>153</v>
      </c>
      <c r="B45" s="219">
        <v>44</v>
      </c>
      <c r="C45" s="220" t="s">
        <v>416</v>
      </c>
      <c r="D45" s="3" t="s">
        <v>416</v>
      </c>
      <c r="E45" s="3">
        <v>44</v>
      </c>
      <c r="F45" s="221"/>
      <c r="G45" s="221"/>
      <c r="H45" s="221"/>
      <c r="I45" s="221"/>
      <c r="J45" s="221"/>
      <c r="K45" s="221"/>
      <c r="L45" s="221"/>
    </row>
    <row r="46" spans="1:12">
      <c r="A46" s="345"/>
      <c r="B46" s="219">
        <v>45</v>
      </c>
      <c r="C46" s="220" t="s">
        <v>420</v>
      </c>
      <c r="D46" s="3" t="s">
        <v>420</v>
      </c>
      <c r="E46" s="3">
        <v>45</v>
      </c>
      <c r="F46" s="221"/>
      <c r="G46" s="221"/>
      <c r="H46" s="221"/>
      <c r="I46" s="221"/>
      <c r="J46" s="221"/>
      <c r="K46" s="221"/>
      <c r="L46" s="221"/>
    </row>
    <row r="47" spans="1:12">
      <c r="A47" s="345"/>
      <c r="B47" s="219">
        <v>46</v>
      </c>
      <c r="C47" s="220" t="s">
        <v>424</v>
      </c>
      <c r="D47" s="3" t="s">
        <v>424</v>
      </c>
      <c r="E47" s="3">
        <v>46</v>
      </c>
      <c r="F47" s="221"/>
      <c r="G47" s="221"/>
      <c r="H47" s="221"/>
      <c r="I47" s="221"/>
      <c r="J47" s="221"/>
      <c r="K47" s="221"/>
      <c r="L47" s="221"/>
    </row>
    <row r="48" spans="1:12">
      <c r="A48" s="345"/>
      <c r="B48" s="219">
        <v>47</v>
      </c>
      <c r="C48" s="220" t="s">
        <v>410</v>
      </c>
      <c r="D48" s="3" t="s">
        <v>410</v>
      </c>
      <c r="E48" s="3">
        <v>47</v>
      </c>
      <c r="F48" s="221"/>
      <c r="G48" s="221"/>
      <c r="H48" s="221"/>
      <c r="I48" s="221"/>
      <c r="J48" s="221"/>
      <c r="K48" s="221"/>
      <c r="L48" s="221"/>
    </row>
    <row r="49" spans="1:12">
      <c r="A49" s="345" t="s">
        <v>154</v>
      </c>
      <c r="B49" s="219">
        <v>48</v>
      </c>
      <c r="C49" s="220" t="s">
        <v>341</v>
      </c>
      <c r="D49" s="3" t="s">
        <v>341</v>
      </c>
      <c r="E49" s="3">
        <v>48</v>
      </c>
      <c r="F49" s="221"/>
      <c r="G49" s="221"/>
      <c r="H49" s="221"/>
      <c r="I49" s="221"/>
      <c r="J49" s="221"/>
      <c r="K49" s="221"/>
      <c r="L49" s="221"/>
    </row>
    <row r="50" spans="1:12">
      <c r="A50" s="345"/>
      <c r="B50" s="219">
        <v>49</v>
      </c>
      <c r="C50" s="220" t="s">
        <v>344</v>
      </c>
      <c r="D50" s="3" t="s">
        <v>344</v>
      </c>
      <c r="E50" s="3">
        <v>49</v>
      </c>
      <c r="F50" s="221"/>
      <c r="G50" s="221"/>
      <c r="H50" s="221"/>
      <c r="I50" s="221"/>
      <c r="J50" s="221"/>
      <c r="K50" s="221"/>
      <c r="L50" s="221"/>
    </row>
    <row r="51" spans="1:12">
      <c r="A51" s="345"/>
      <c r="B51" s="219">
        <v>50</v>
      </c>
      <c r="C51" s="220" t="s">
        <v>256</v>
      </c>
      <c r="D51" s="3" t="s">
        <v>256</v>
      </c>
      <c r="E51" s="3">
        <v>50</v>
      </c>
      <c r="F51" s="221"/>
      <c r="G51" s="221"/>
      <c r="H51" s="221"/>
      <c r="I51" s="221"/>
      <c r="J51" s="221"/>
      <c r="K51" s="221"/>
      <c r="L51" s="221"/>
    </row>
    <row r="52" spans="1:12">
      <c r="A52" s="345"/>
      <c r="B52" s="219">
        <v>51</v>
      </c>
      <c r="C52" s="220" t="s">
        <v>326</v>
      </c>
      <c r="D52" s="3" t="s">
        <v>326</v>
      </c>
      <c r="E52" s="3">
        <v>51</v>
      </c>
      <c r="F52" s="221"/>
      <c r="G52" s="221"/>
      <c r="H52" s="221"/>
      <c r="I52" s="221"/>
      <c r="J52" s="221"/>
      <c r="K52" s="221"/>
      <c r="L52" s="221"/>
    </row>
    <row r="53" spans="1:12">
      <c r="A53" s="345"/>
      <c r="B53" s="219">
        <v>52</v>
      </c>
      <c r="C53" s="220" t="s">
        <v>98</v>
      </c>
      <c r="D53" s="3" t="s">
        <v>98</v>
      </c>
      <c r="E53" s="3">
        <v>52</v>
      </c>
      <c r="F53" s="221"/>
      <c r="G53" s="221"/>
      <c r="H53" s="221"/>
      <c r="I53" s="221"/>
      <c r="J53" s="221"/>
      <c r="K53" s="221"/>
      <c r="L53" s="221"/>
    </row>
    <row r="54" spans="1:12">
      <c r="A54" s="345" t="s">
        <v>155</v>
      </c>
      <c r="B54" s="219">
        <v>53</v>
      </c>
      <c r="C54" s="220" t="s">
        <v>137</v>
      </c>
      <c r="D54" s="3" t="s">
        <v>137</v>
      </c>
      <c r="E54" s="3">
        <v>53</v>
      </c>
      <c r="F54" s="221"/>
      <c r="G54" s="221"/>
      <c r="H54" s="221"/>
      <c r="I54" s="221"/>
      <c r="J54" s="221"/>
      <c r="K54" s="221"/>
      <c r="L54" s="221"/>
    </row>
    <row r="55" spans="1:12">
      <c r="A55" s="345"/>
      <c r="B55" s="219">
        <v>54</v>
      </c>
      <c r="C55" s="220" t="s">
        <v>384</v>
      </c>
      <c r="D55" s="3" t="s">
        <v>384</v>
      </c>
      <c r="E55" s="3">
        <v>54</v>
      </c>
      <c r="F55" s="221"/>
      <c r="G55" s="221"/>
      <c r="H55" s="221"/>
      <c r="I55" s="221"/>
      <c r="J55" s="221"/>
      <c r="K55" s="221"/>
      <c r="L55" s="221"/>
    </row>
    <row r="63" spans="1:12">
      <c r="F63" s="221"/>
      <c r="G63" s="221"/>
      <c r="H63" s="221"/>
      <c r="I63" s="221"/>
      <c r="J63" s="221"/>
      <c r="K63" s="221"/>
      <c r="L63" s="221"/>
    </row>
  </sheetData>
  <autoFilter ref="D1:M62" xr:uid="{DBECACE9-DEFD-4D1C-8455-027E3820AAFA}">
    <sortState xmlns:xlrd2="http://schemas.microsoft.com/office/spreadsheetml/2017/richdata2" ref="D11:M47">
      <sortCondition ref="E1:E62"/>
    </sortState>
  </autoFilter>
  <mergeCells count="11">
    <mergeCell ref="A2:A6"/>
    <mergeCell ref="A49:A53"/>
    <mergeCell ref="A54:A55"/>
    <mergeCell ref="A7:A9"/>
    <mergeCell ref="A12:A20"/>
    <mergeCell ref="A26:A27"/>
    <mergeCell ref="A39:A44"/>
    <mergeCell ref="A45:A48"/>
    <mergeCell ref="A10:A11"/>
    <mergeCell ref="A21:A25"/>
    <mergeCell ref="A28:A38"/>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S129"/>
  <sheetViews>
    <sheetView zoomScale="70" zoomScaleNormal="70" zoomScaleSheetLayoutView="100" workbookViewId="0">
      <pane ySplit="6" topLeftCell="A7" activePane="bottomLeft" state="frozen"/>
      <selection activeCell="I37" sqref="I1:I1048576"/>
      <selection pane="bottomLeft" activeCell="D35" sqref="D35"/>
    </sheetView>
  </sheetViews>
  <sheetFormatPr defaultColWidth="9.109375" defaultRowHeight="14.4" outlineLevelRow="1" outlineLevelCol="1"/>
  <cols>
    <col min="1" max="1" width="6.88671875" style="51" customWidth="1"/>
    <col min="2" max="2" width="28.109375" style="51" bestFit="1" customWidth="1"/>
    <col min="3" max="3" width="22.109375" style="51" bestFit="1" customWidth="1"/>
    <col min="4" max="4" width="30.44140625" style="108" bestFit="1" customWidth="1"/>
    <col min="5" max="5" width="42.109375" style="108" customWidth="1" outlineLevel="1"/>
    <col min="6" max="6" width="74.109375" style="302" customWidth="1" outlineLevel="1"/>
    <col min="7" max="7" width="82.109375" style="302" customWidth="1" outlineLevel="1"/>
    <col min="8" max="8" width="4" style="80" customWidth="1"/>
    <col min="9" max="9" width="7.88671875" style="51" customWidth="1"/>
    <col min="10" max="10" width="9.88671875" style="51" customWidth="1"/>
    <col min="11" max="11" width="10.88671875" style="51" customWidth="1"/>
    <col min="12" max="12" width="10.5546875" style="51" customWidth="1"/>
    <col min="13" max="13" width="3.5546875" style="51" customWidth="1"/>
    <col min="14" max="14" width="5.6640625" style="51" customWidth="1"/>
    <col min="15" max="15" width="8.44140625" style="51" customWidth="1"/>
    <col min="16" max="16" width="10.33203125" style="51" customWidth="1"/>
    <col min="17" max="17" width="8.5546875" style="51" customWidth="1"/>
    <col min="18" max="20" width="3.109375" style="51" customWidth="1"/>
    <col min="21" max="21" width="63.5546875" style="51" customWidth="1"/>
    <col min="22" max="22" width="78.88671875" style="51" customWidth="1"/>
    <col min="23" max="23" width="7" style="80" customWidth="1"/>
    <col min="24" max="24" width="4.44140625" style="119" customWidth="1"/>
    <col min="25" max="32" width="7" style="80" customWidth="1"/>
    <col min="33" max="33" width="6.109375" style="80" customWidth="1"/>
    <col min="34" max="34" width="6" style="80" customWidth="1"/>
    <col min="35" max="35" width="7" style="96" customWidth="1"/>
    <col min="36" max="36" width="9.109375" style="96" customWidth="1"/>
    <col min="37" max="37" width="5.88671875" style="96" customWidth="1"/>
    <col min="38" max="38" width="8.6640625" style="96" customWidth="1"/>
    <col min="39" max="40" width="6.44140625" style="96" customWidth="1"/>
    <col min="41" max="41" width="7.88671875" style="96" customWidth="1"/>
    <col min="42" max="42" width="7.5546875" style="96" customWidth="1"/>
    <col min="43" max="43" width="30" style="96" customWidth="1"/>
    <col min="44" max="44" width="42.109375" style="96" customWidth="1"/>
    <col min="45" max="16384" width="9.109375" style="51"/>
  </cols>
  <sheetData>
    <row r="1" spans="1:45" ht="25.8">
      <c r="B1" s="103" t="s">
        <v>15</v>
      </c>
      <c r="C1" s="214" t="s">
        <v>267</v>
      </c>
      <c r="D1" s="105"/>
      <c r="E1" s="92"/>
      <c r="F1" s="300"/>
      <c r="G1" s="300"/>
      <c r="H1" s="89"/>
      <c r="I1" s="89"/>
      <c r="J1" s="89"/>
      <c r="K1" s="89"/>
      <c r="L1" s="89"/>
      <c r="M1" s="116" t="s">
        <v>143</v>
      </c>
      <c r="N1" s="116"/>
      <c r="O1" s="117" t="s">
        <v>19</v>
      </c>
      <c r="P1" s="117" t="s">
        <v>142</v>
      </c>
      <c r="Q1" s="117" t="s">
        <v>21</v>
      </c>
      <c r="R1" s="117" t="s">
        <v>21</v>
      </c>
      <c r="S1" s="117" t="s">
        <v>21</v>
      </c>
      <c r="T1" s="117" t="s">
        <v>21</v>
      </c>
      <c r="U1" s="93"/>
      <c r="W1" s="89"/>
      <c r="X1" s="115" t="s">
        <v>140</v>
      </c>
      <c r="Y1" s="89"/>
      <c r="Z1" s="89"/>
      <c r="AA1" s="89"/>
      <c r="AB1" s="89"/>
      <c r="AC1" s="89"/>
      <c r="AD1" s="89"/>
      <c r="AE1" s="89"/>
      <c r="AF1" s="89"/>
      <c r="AG1" s="89"/>
      <c r="AH1" s="89"/>
      <c r="AI1" s="91"/>
      <c r="AJ1" s="91"/>
      <c r="AK1" s="91"/>
      <c r="AL1" s="91"/>
      <c r="AM1" s="91"/>
      <c r="AN1" s="91"/>
      <c r="AO1" s="91"/>
      <c r="AP1" s="91"/>
      <c r="AQ1" s="91"/>
      <c r="AR1" s="91"/>
    </row>
    <row r="2" spans="1:45" ht="25.8">
      <c r="B2" s="103" t="s">
        <v>16</v>
      </c>
      <c r="C2" s="214">
        <v>2026</v>
      </c>
      <c r="D2" s="105"/>
      <c r="E2" s="92"/>
      <c r="F2" s="300"/>
      <c r="G2" s="300"/>
      <c r="H2" s="89"/>
      <c r="I2" s="89"/>
      <c r="J2" s="89"/>
      <c r="K2" s="89"/>
      <c r="L2" s="89"/>
      <c r="M2" s="89"/>
      <c r="N2" s="89"/>
      <c r="O2" s="89"/>
      <c r="P2" s="90"/>
      <c r="Q2" s="90"/>
      <c r="R2" s="90"/>
      <c r="S2" s="90"/>
      <c r="T2" s="90"/>
      <c r="U2" s="93"/>
      <c r="W2" s="89"/>
      <c r="X2" s="115" t="s">
        <v>141</v>
      </c>
      <c r="Y2" s="89"/>
      <c r="Z2" s="89"/>
      <c r="AA2" s="89"/>
      <c r="AB2" s="89"/>
      <c r="AC2" s="89"/>
      <c r="AD2" s="89"/>
      <c r="AE2" s="89"/>
      <c r="AF2" s="89"/>
      <c r="AG2" s="89"/>
      <c r="AH2" s="89"/>
      <c r="AI2" s="91"/>
      <c r="AJ2" s="91"/>
      <c r="AK2" s="91"/>
      <c r="AL2" s="91"/>
      <c r="AM2" s="91"/>
      <c r="AN2" s="91"/>
      <c r="AO2" s="91"/>
      <c r="AP2" s="91"/>
      <c r="AQ2" s="91"/>
      <c r="AR2" s="91"/>
    </row>
    <row r="3" spans="1:45" ht="25.8">
      <c r="B3" s="103" t="s">
        <v>169</v>
      </c>
      <c r="C3" s="224">
        <v>46113</v>
      </c>
      <c r="D3" s="105"/>
      <c r="E3" s="92"/>
      <c r="F3" s="300"/>
      <c r="G3" s="300"/>
      <c r="H3" s="89"/>
      <c r="I3" s="89"/>
      <c r="J3" s="89"/>
      <c r="K3" s="89"/>
      <c r="L3" s="89"/>
      <c r="M3" s="89"/>
      <c r="N3" s="89"/>
      <c r="O3" s="89"/>
      <c r="P3" s="90"/>
      <c r="Q3" s="90"/>
      <c r="R3" s="90"/>
      <c r="S3" s="90"/>
      <c r="T3" s="90"/>
      <c r="U3" s="93"/>
      <c r="W3" s="89"/>
      <c r="X3" s="115"/>
      <c r="Y3" s="89"/>
      <c r="Z3" s="89"/>
      <c r="AA3" s="89"/>
      <c r="AB3" s="89"/>
      <c r="AC3" s="89"/>
      <c r="AD3" s="89"/>
      <c r="AE3" s="89"/>
      <c r="AF3" s="89"/>
      <c r="AG3" s="89"/>
      <c r="AH3" s="89"/>
      <c r="AI3" s="91"/>
      <c r="AJ3" s="91"/>
      <c r="AK3" s="91"/>
      <c r="AL3" s="91"/>
      <c r="AM3" s="91"/>
      <c r="AN3" s="91"/>
      <c r="AO3" s="91"/>
      <c r="AP3" s="91"/>
      <c r="AQ3" s="91"/>
      <c r="AR3" s="91"/>
    </row>
    <row r="4" spans="1:45" s="94" customFormat="1" ht="25.8">
      <c r="D4" s="106"/>
      <c r="E4" s="109"/>
      <c r="F4" s="301"/>
      <c r="G4" s="301"/>
      <c r="H4" s="111"/>
      <c r="I4" s="95"/>
      <c r="J4" s="95"/>
      <c r="K4" s="95"/>
      <c r="L4" s="89"/>
      <c r="M4" s="349" t="s">
        <v>135</v>
      </c>
      <c r="N4" s="349"/>
      <c r="O4" s="349"/>
      <c r="P4" s="349"/>
      <c r="Q4" s="349"/>
      <c r="R4" s="349"/>
      <c r="S4" s="349"/>
      <c r="T4" s="316"/>
      <c r="U4" s="112"/>
      <c r="V4" s="112"/>
      <c r="W4" s="111"/>
      <c r="X4" s="120"/>
      <c r="Y4" s="111"/>
      <c r="Z4" s="111"/>
      <c r="AA4" s="111"/>
      <c r="AB4" s="111"/>
      <c r="AC4" s="111"/>
      <c r="AD4" s="111"/>
      <c r="AE4" s="111"/>
      <c r="AF4" s="111"/>
      <c r="AG4" s="111"/>
      <c r="AH4" s="111"/>
      <c r="AI4" s="318"/>
      <c r="AJ4" s="112"/>
      <c r="AK4" s="112"/>
      <c r="AL4" s="112"/>
      <c r="AM4" s="112"/>
      <c r="AN4" s="112"/>
      <c r="AO4" s="112"/>
      <c r="AP4" s="251"/>
      <c r="AQ4" s="251"/>
      <c r="AR4" s="251"/>
      <c r="AS4" s="112"/>
    </row>
    <row r="5" spans="1:45" s="96" customFormat="1" ht="18.600000000000001" customHeight="1">
      <c r="B5" s="97" t="s">
        <v>120</v>
      </c>
      <c r="C5" s="97" t="s">
        <v>121</v>
      </c>
      <c r="D5" s="99"/>
      <c r="E5" s="99"/>
      <c r="F5" s="302"/>
      <c r="G5" s="302"/>
      <c r="H5" s="111"/>
      <c r="L5" s="169" t="str">
        <f>prov_cd</f>
        <v>YT</v>
      </c>
      <c r="M5" s="355" t="s">
        <v>136</v>
      </c>
      <c r="N5" s="356"/>
      <c r="O5" s="356"/>
      <c r="P5" s="356"/>
      <c r="Q5" s="356"/>
      <c r="R5" s="356"/>
      <c r="S5" s="356"/>
      <c r="T5" s="356"/>
      <c r="W5" s="98"/>
      <c r="X5" s="353" t="s">
        <v>544</v>
      </c>
      <c r="Y5" s="353"/>
      <c r="Z5" s="353"/>
      <c r="AA5" s="353"/>
      <c r="AB5" s="353"/>
      <c r="AC5" s="353"/>
      <c r="AD5" s="353"/>
      <c r="AE5" s="353"/>
      <c r="AF5" s="354"/>
      <c r="AG5" s="357" t="s">
        <v>545</v>
      </c>
      <c r="AH5" s="358" t="s">
        <v>546</v>
      </c>
      <c r="AI5" s="360" t="s">
        <v>127</v>
      </c>
      <c r="AJ5" s="350" t="s">
        <v>547</v>
      </c>
      <c r="AK5" s="351"/>
      <c r="AL5" s="351"/>
      <c r="AM5" s="351"/>
      <c r="AN5" s="351"/>
      <c r="AO5" s="351"/>
      <c r="AP5" s="352"/>
      <c r="AQ5" s="251"/>
      <c r="AR5" s="251"/>
    </row>
    <row r="6" spans="1:45" s="99" customFormat="1" ht="36">
      <c r="B6" s="100" t="s">
        <v>115</v>
      </c>
      <c r="C6" s="100" t="s">
        <v>10</v>
      </c>
      <c r="D6" s="101" t="s">
        <v>117</v>
      </c>
      <c r="E6" s="101" t="s">
        <v>118</v>
      </c>
      <c r="F6" s="303" t="s">
        <v>119</v>
      </c>
      <c r="G6" s="303" t="s">
        <v>116</v>
      </c>
      <c r="H6" s="166" t="s">
        <v>12</v>
      </c>
      <c r="I6" s="167" t="s">
        <v>181</v>
      </c>
      <c r="J6" s="166" t="s">
        <v>17</v>
      </c>
      <c r="K6" s="166" t="s">
        <v>122</v>
      </c>
      <c r="L6" s="166" t="s">
        <v>124</v>
      </c>
      <c r="M6" s="168"/>
      <c r="N6" s="168" t="s">
        <v>199</v>
      </c>
      <c r="O6" s="168" t="s">
        <v>302</v>
      </c>
      <c r="P6" s="168" t="s">
        <v>530</v>
      </c>
      <c r="Q6" s="168" t="s">
        <v>200</v>
      </c>
      <c r="R6" s="168"/>
      <c r="S6" s="168"/>
      <c r="T6" s="168"/>
      <c r="U6" s="170" t="s">
        <v>125</v>
      </c>
      <c r="V6" s="170" t="s">
        <v>126</v>
      </c>
      <c r="W6" s="252" t="s">
        <v>123</v>
      </c>
      <c r="X6" s="319" t="s">
        <v>548</v>
      </c>
      <c r="Y6" s="319" t="s">
        <v>549</v>
      </c>
      <c r="Z6" s="319" t="s">
        <v>550</v>
      </c>
      <c r="AA6" s="319" t="s">
        <v>551</v>
      </c>
      <c r="AB6" s="319" t="s">
        <v>552</v>
      </c>
      <c r="AC6" s="319" t="s">
        <v>553</v>
      </c>
      <c r="AD6" s="319" t="s">
        <v>554</v>
      </c>
      <c r="AE6" s="319" t="s">
        <v>555</v>
      </c>
      <c r="AF6" s="319" t="s">
        <v>556</v>
      </c>
      <c r="AG6" s="357"/>
      <c r="AH6" s="359"/>
      <c r="AI6" s="361"/>
      <c r="AJ6" s="320" t="s">
        <v>129</v>
      </c>
      <c r="AK6" s="320" t="s">
        <v>130</v>
      </c>
      <c r="AL6" s="320" t="s">
        <v>131</v>
      </c>
      <c r="AM6" s="320" t="s">
        <v>132</v>
      </c>
      <c r="AN6" s="320" t="s">
        <v>133</v>
      </c>
      <c r="AO6" s="320" t="s">
        <v>134</v>
      </c>
      <c r="AP6" s="321"/>
      <c r="AQ6" s="159" t="s">
        <v>163</v>
      </c>
      <c r="AR6" s="159" t="s">
        <v>164</v>
      </c>
    </row>
    <row r="7" spans="1:45" ht="40.799999999999997">
      <c r="B7" s="328" t="s">
        <v>532</v>
      </c>
      <c r="C7" s="268" t="str">
        <f>B7</f>
        <v>25ODY-PRO-PKG1</v>
      </c>
      <c r="D7" s="329" t="s">
        <v>442</v>
      </c>
      <c r="E7" s="107" t="s">
        <v>444</v>
      </c>
      <c r="F7" s="304" t="s">
        <v>446</v>
      </c>
      <c r="G7" s="305" t="s">
        <v>447</v>
      </c>
      <c r="H7" s="215">
        <f>H94+H98+H42</f>
        <v>0.60000000000000009</v>
      </c>
      <c r="I7" s="102"/>
      <c r="J7" s="215">
        <f>(J94+J98+J42)*0.9</f>
        <v>387</v>
      </c>
      <c r="K7" s="215">
        <f>K94+K98+K42</f>
        <v>717</v>
      </c>
      <c r="L7" s="285">
        <f t="shared" ref="L7:L12" si="0">K7+(H7*VLOOKUP(prov_cd,rate_table,2,FALSE))</f>
        <v>825.6</v>
      </c>
      <c r="M7" s="187"/>
      <c r="N7" s="187" t="s">
        <v>18</v>
      </c>
      <c r="O7" s="187" t="s">
        <v>18</v>
      </c>
      <c r="P7" s="187" t="s">
        <v>18</v>
      </c>
      <c r="Q7" s="187" t="s">
        <v>18</v>
      </c>
      <c r="R7" s="187"/>
      <c r="S7" s="187"/>
      <c r="T7" s="187"/>
      <c r="U7" s="264" t="s">
        <v>454</v>
      </c>
      <c r="V7" s="264" t="s">
        <v>488</v>
      </c>
      <c r="W7" s="104">
        <v>1</v>
      </c>
      <c r="X7" s="266"/>
      <c r="Y7" s="253"/>
      <c r="Z7" s="253"/>
      <c r="AA7" s="253"/>
      <c r="AB7" s="253"/>
      <c r="AC7" s="253"/>
      <c r="AD7" s="253"/>
      <c r="AE7" s="253"/>
      <c r="AF7" s="253"/>
      <c r="AG7" s="187"/>
      <c r="AH7" s="187"/>
      <c r="AI7" s="187" t="s">
        <v>18</v>
      </c>
      <c r="AJ7" s="187"/>
      <c r="AK7" s="187"/>
      <c r="AL7" s="187" t="s">
        <v>18</v>
      </c>
      <c r="AM7" s="187"/>
      <c r="AN7" s="187"/>
      <c r="AO7" s="187"/>
      <c r="AP7" s="187"/>
      <c r="AQ7" s="255"/>
      <c r="AR7" s="290" t="s">
        <v>565</v>
      </c>
    </row>
    <row r="8" spans="1:45" ht="40.799999999999997">
      <c r="B8" s="330" t="s">
        <v>533</v>
      </c>
      <c r="C8" s="268" t="str">
        <f>B8</f>
        <v>25ODY-PRO-PKG2</v>
      </c>
      <c r="D8" s="331" t="s">
        <v>443</v>
      </c>
      <c r="E8" s="107" t="s">
        <v>445</v>
      </c>
      <c r="F8" s="304" t="s">
        <v>448</v>
      </c>
      <c r="G8" s="305" t="s">
        <v>449</v>
      </c>
      <c r="H8" s="215">
        <f>H94+H99+H42</f>
        <v>0.60000000000000009</v>
      </c>
      <c r="I8" s="102"/>
      <c r="J8" s="215">
        <f>(J94+J99+J42)*0.9</f>
        <v>405.90000000000003</v>
      </c>
      <c r="K8" s="215">
        <f>K94+K99+K42</f>
        <v>752</v>
      </c>
      <c r="L8" s="285">
        <f t="shared" si="0"/>
        <v>860.6</v>
      </c>
      <c r="M8" s="187"/>
      <c r="N8" s="187" t="s">
        <v>18</v>
      </c>
      <c r="O8" s="187" t="s">
        <v>18</v>
      </c>
      <c r="P8" s="187" t="s">
        <v>18</v>
      </c>
      <c r="Q8" s="187" t="s">
        <v>18</v>
      </c>
      <c r="R8" s="187"/>
      <c r="S8" s="187"/>
      <c r="T8" s="187"/>
      <c r="U8" s="264" t="s">
        <v>455</v>
      </c>
      <c r="V8" s="264" t="s">
        <v>456</v>
      </c>
      <c r="W8" s="104">
        <v>2</v>
      </c>
      <c r="X8" s="266"/>
      <c r="Y8" s="253"/>
      <c r="Z8" s="253"/>
      <c r="AA8" s="253"/>
      <c r="AB8" s="253"/>
      <c r="AC8" s="253"/>
      <c r="AD8" s="253"/>
      <c r="AE8" s="253"/>
      <c r="AF8" s="253"/>
      <c r="AG8" s="187"/>
      <c r="AH8" s="187"/>
      <c r="AI8" s="187" t="s">
        <v>18</v>
      </c>
      <c r="AJ8" s="187"/>
      <c r="AK8" s="187"/>
      <c r="AL8" s="187" t="s">
        <v>18</v>
      </c>
      <c r="AM8" s="187"/>
      <c r="AN8" s="187"/>
      <c r="AO8" s="187"/>
      <c r="AP8" s="187"/>
      <c r="AQ8" s="255"/>
      <c r="AR8" s="290" t="s">
        <v>566</v>
      </c>
    </row>
    <row r="9" spans="1:45" ht="30.6">
      <c r="B9" s="258" t="s">
        <v>450</v>
      </c>
      <c r="C9" s="258" t="str">
        <f>B9</f>
        <v>21ODY-COLD-PKG</v>
      </c>
      <c r="D9" s="329" t="s">
        <v>197</v>
      </c>
      <c r="E9" s="262" t="s">
        <v>198</v>
      </c>
      <c r="F9" s="306" t="s">
        <v>451</v>
      </c>
      <c r="G9" s="306" t="s">
        <v>452</v>
      </c>
      <c r="H9" s="215">
        <f>H63+H77</f>
        <v>1.4</v>
      </c>
      <c r="I9" s="102"/>
      <c r="J9" s="215">
        <f>(J63+J77)*0.95</f>
        <v>230.85</v>
      </c>
      <c r="K9" s="215">
        <f>(K63+K77)*0.95</f>
        <v>384.75</v>
      </c>
      <c r="L9" s="285">
        <f t="shared" si="0"/>
        <v>638.15</v>
      </c>
      <c r="M9" s="171"/>
      <c r="N9" s="187" t="s">
        <v>18</v>
      </c>
      <c r="O9" s="187" t="s">
        <v>18</v>
      </c>
      <c r="P9" s="187" t="s">
        <v>18</v>
      </c>
      <c r="Q9" s="187" t="s">
        <v>18</v>
      </c>
      <c r="R9" s="187"/>
      <c r="S9" s="187"/>
      <c r="T9" s="187"/>
      <c r="U9" s="110" t="s">
        <v>453</v>
      </c>
      <c r="V9" s="110" t="s">
        <v>205</v>
      </c>
      <c r="W9" s="104">
        <v>5</v>
      </c>
      <c r="X9" s="266"/>
      <c r="Y9" s="253"/>
      <c r="Z9" s="253"/>
      <c r="AA9" s="253"/>
      <c r="AB9" s="253"/>
      <c r="AC9" s="253"/>
      <c r="AD9" s="253"/>
      <c r="AE9" s="253"/>
      <c r="AF9" s="253"/>
      <c r="AG9" s="187"/>
      <c r="AH9" s="187"/>
      <c r="AI9" s="187" t="s">
        <v>18</v>
      </c>
      <c r="AJ9" s="187"/>
      <c r="AK9" s="187" t="s">
        <v>18</v>
      </c>
      <c r="AL9" s="187"/>
      <c r="AM9" s="187"/>
      <c r="AN9" s="187"/>
      <c r="AO9" s="187"/>
      <c r="AP9" s="187"/>
      <c r="AQ9" s="255"/>
      <c r="AR9" s="290" t="s">
        <v>496</v>
      </c>
    </row>
    <row r="10" spans="1:45" ht="51">
      <c r="A10" s="108"/>
      <c r="B10" s="268" t="s">
        <v>465</v>
      </c>
      <c r="C10" s="268" t="s">
        <v>461</v>
      </c>
      <c r="D10" s="268" t="s">
        <v>462</v>
      </c>
      <c r="E10" s="268" t="s">
        <v>463</v>
      </c>
      <c r="F10" s="307" t="s">
        <v>457</v>
      </c>
      <c r="G10" s="307" t="s">
        <v>458</v>
      </c>
      <c r="H10" s="215">
        <f>H46+H49+H47+H50</f>
        <v>2.2999999999999998</v>
      </c>
      <c r="I10" s="102"/>
      <c r="J10" s="215">
        <f>(J46+J49+J47+J50)*0.9</f>
        <v>806.4</v>
      </c>
      <c r="K10" s="215">
        <f>(K46+K49+K47+K50)*0.9</f>
        <v>1331.1000000000001</v>
      </c>
      <c r="L10" s="285">
        <f t="shared" si="0"/>
        <v>1747.4</v>
      </c>
      <c r="M10" s="187"/>
      <c r="N10" s="187" t="s">
        <v>18</v>
      </c>
      <c r="O10" s="187" t="s">
        <v>18</v>
      </c>
      <c r="P10" s="269" t="s">
        <v>19</v>
      </c>
      <c r="Q10" s="269" t="s">
        <v>19</v>
      </c>
      <c r="R10" s="187"/>
      <c r="S10" s="187"/>
      <c r="T10" s="187"/>
      <c r="U10" s="110" t="s">
        <v>478</v>
      </c>
      <c r="V10" s="110" t="s">
        <v>479</v>
      </c>
      <c r="W10" s="104">
        <v>3</v>
      </c>
      <c r="X10" s="266"/>
      <c r="Y10" s="253"/>
      <c r="Z10" s="253"/>
      <c r="AA10" s="253"/>
      <c r="AB10" s="253"/>
      <c r="AC10" s="253"/>
      <c r="AD10" s="253"/>
      <c r="AE10" s="253"/>
      <c r="AF10" s="253"/>
      <c r="AG10" s="187"/>
      <c r="AH10" s="187"/>
      <c r="AI10" s="187" t="s">
        <v>18</v>
      </c>
      <c r="AJ10" s="187"/>
      <c r="AK10" s="187"/>
      <c r="AL10" s="187" t="s">
        <v>18</v>
      </c>
      <c r="AM10" s="187"/>
      <c r="AN10" s="187"/>
      <c r="AO10" s="187"/>
      <c r="AP10" s="187"/>
      <c r="AQ10" s="255"/>
      <c r="AR10" s="290" t="s">
        <v>498</v>
      </c>
    </row>
    <row r="11" spans="1:45" ht="51" hidden="1">
      <c r="B11" s="268" t="s">
        <v>464</v>
      </c>
      <c r="C11" s="268" t="s">
        <v>165</v>
      </c>
      <c r="D11" s="268"/>
      <c r="E11" s="268" t="str">
        <f>E10</f>
        <v xml:space="preserve">Ensemble de remorquage </v>
      </c>
      <c r="F11" s="307"/>
      <c r="G11" s="307" t="str">
        <f>G10</f>
        <v>L’ensemble comprend : Attelage de remorque, faisceau, support de boule d’attelage, goupille de verrouillage et boule d'attelage.</v>
      </c>
      <c r="H11" s="275">
        <f>H10</f>
        <v>2.2999999999999998</v>
      </c>
      <c r="I11" s="276"/>
      <c r="J11" s="277">
        <f>J10</f>
        <v>806.4</v>
      </c>
      <c r="K11" s="277">
        <f>K10</f>
        <v>1331.1000000000001</v>
      </c>
      <c r="L11" s="278">
        <f>L10</f>
        <v>1747.4</v>
      </c>
      <c r="M11" s="272"/>
      <c r="N11" s="272" t="str">
        <f>N10</f>
        <v>•</v>
      </c>
      <c r="O11" s="272" t="str">
        <f>O10</f>
        <v>•</v>
      </c>
      <c r="P11" s="272" t="str">
        <f>P10</f>
        <v>N/A</v>
      </c>
      <c r="Q11" s="272" t="str">
        <f>Q10</f>
        <v>N/A</v>
      </c>
      <c r="R11" s="272"/>
      <c r="S11" s="272"/>
      <c r="T11" s="272"/>
      <c r="U11" s="261" t="str">
        <f>U10</f>
        <v>10% Discount Applied.
Trailer Hitch Rating: Class II.
Trailer Hitch Receiver Size: 2-in x 2-in.
Towing Capacity: 1,587 kg / 3,500 lbs.</v>
      </c>
      <c r="V11" s="261" t="str">
        <f>V10</f>
        <v>Rabais de 10 % est appliqué.
Attelage de remorque: Classe II.
Attelage de remorque dimensions du réceptacle: 2 po x 2 po.
Capacité de remorquage: 1,360 kg / 3,000 lbs.</v>
      </c>
      <c r="W11" s="104"/>
      <c r="X11" s="270"/>
      <c r="Y11" s="271"/>
      <c r="Z11" s="271"/>
      <c r="AA11" s="271"/>
      <c r="AB11" s="271"/>
      <c r="AC11" s="271"/>
      <c r="AD11" s="271"/>
      <c r="AE11" s="271"/>
      <c r="AF11" s="271"/>
      <c r="AG11" s="187"/>
      <c r="AH11" s="187"/>
      <c r="AI11" s="187" t="s">
        <v>18</v>
      </c>
      <c r="AJ11" s="272"/>
      <c r="AK11" s="272"/>
      <c r="AL11" s="272"/>
      <c r="AM11" s="272"/>
      <c r="AN11" s="272"/>
      <c r="AO11" s="272"/>
      <c r="AP11" s="272"/>
      <c r="AQ11" s="274"/>
      <c r="AR11" s="274"/>
    </row>
    <row r="12" spans="1:45" ht="81.599999999999994">
      <c r="A12" s="108"/>
      <c r="B12" s="268" t="s">
        <v>466</v>
      </c>
      <c r="C12" s="268" t="s">
        <v>467</v>
      </c>
      <c r="D12" s="268" t="s">
        <v>462</v>
      </c>
      <c r="E12" s="268" t="s">
        <v>463</v>
      </c>
      <c r="F12" s="307" t="s">
        <v>460</v>
      </c>
      <c r="G12" s="307" t="s">
        <v>459</v>
      </c>
      <c r="H12" s="215">
        <f>H46+H49+H47+H50+H70</f>
        <v>2.5</v>
      </c>
      <c r="I12" s="102"/>
      <c r="J12" s="215">
        <f>(J46+J49+J47+J50+J70)*0.9</f>
        <v>1026.9000000000001</v>
      </c>
      <c r="K12" s="215">
        <f>(K46+K49+K47+K50+K70)*0.9</f>
        <v>1698.3</v>
      </c>
      <c r="L12" s="285">
        <f t="shared" si="0"/>
        <v>2150.8000000000002</v>
      </c>
      <c r="M12" s="187"/>
      <c r="N12" s="269" t="s">
        <v>19</v>
      </c>
      <c r="O12" s="269" t="s">
        <v>19</v>
      </c>
      <c r="P12" s="187" t="s">
        <v>18</v>
      </c>
      <c r="Q12" s="187" t="s">
        <v>18</v>
      </c>
      <c r="R12" s="187"/>
      <c r="S12" s="187"/>
      <c r="T12" s="187"/>
      <c r="U12" s="110" t="s">
        <v>481</v>
      </c>
      <c r="V12" s="110" t="s">
        <v>480</v>
      </c>
      <c r="W12" s="104">
        <v>4</v>
      </c>
      <c r="X12" s="266"/>
      <c r="Y12" s="253"/>
      <c r="Z12" s="253"/>
      <c r="AA12" s="253"/>
      <c r="AB12" s="253"/>
      <c r="AC12" s="253"/>
      <c r="AD12" s="253"/>
      <c r="AE12" s="253"/>
      <c r="AF12" s="253"/>
      <c r="AG12" s="187"/>
      <c r="AH12" s="187"/>
      <c r="AI12" s="187" t="s">
        <v>18</v>
      </c>
      <c r="AJ12" s="187"/>
      <c r="AK12" s="187"/>
      <c r="AL12" s="187" t="s">
        <v>18</v>
      </c>
      <c r="AM12" s="187"/>
      <c r="AN12" s="187"/>
      <c r="AO12" s="187"/>
      <c r="AP12" s="187"/>
      <c r="AQ12" s="255"/>
      <c r="AR12" s="290" t="s">
        <v>502</v>
      </c>
    </row>
    <row r="13" spans="1:45" ht="81.599999999999994" hidden="1">
      <c r="B13" s="260" t="s">
        <v>468</v>
      </c>
      <c r="C13" s="259" t="s">
        <v>165</v>
      </c>
      <c r="D13" s="259"/>
      <c r="E13" s="259" t="str">
        <f>E12</f>
        <v xml:space="preserve">Ensemble de remorquage </v>
      </c>
      <c r="F13" s="308"/>
      <c r="G13" s="308" t="str">
        <f>G12</f>
        <v>L’ensemble comprend : Attelage de remorque, faisceau, support de boule d’attelage, goupille de verrouillage, boule d'attelage et adaptateur de capteur de mouvement pour attelage de remorque</v>
      </c>
      <c r="H13" s="275">
        <f>H12</f>
        <v>2.5</v>
      </c>
      <c r="I13" s="276"/>
      <c r="J13" s="277">
        <f>J12</f>
        <v>1026.9000000000001</v>
      </c>
      <c r="K13" s="277">
        <f>K12</f>
        <v>1698.3</v>
      </c>
      <c r="L13" s="278">
        <f>L12</f>
        <v>2150.8000000000002</v>
      </c>
      <c r="M13" s="272"/>
      <c r="N13" s="272" t="str">
        <f>N12</f>
        <v>N/A</v>
      </c>
      <c r="O13" s="272" t="str">
        <f>O12</f>
        <v>N/A</v>
      </c>
      <c r="P13" s="272" t="str">
        <f>P12</f>
        <v>•</v>
      </c>
      <c r="Q13" s="272" t="str">
        <f>Q12</f>
        <v>•</v>
      </c>
      <c r="R13" s="272"/>
      <c r="S13" s="272"/>
      <c r="T13" s="272"/>
      <c r="U13" s="261" t="str">
        <f>U12</f>
        <v>10% Discount Applied.
Black Edition: Requires Hands-Free Power Tailgate Sensor Adapter since Hands-Free comes standard.
Trailer Hitch Rating: Class II.
Trailer Hitch Receiver Size: 2-in x 2-in.
Towing Capacity: 1,587 kg / 3,500 lbs.</v>
      </c>
      <c r="V13" s="261" t="str">
        <f>V12</f>
        <v>Rabais de 10 % est appliqué.
Black Edition :Nécessite adaptateur de capteur de hayon électrique mains libres puisque le système mains libres est de série.
Attelage de remorque: Classe II.
Attelage de remorque dimensions du réceptacle: 2 po x 2 po.
Capacité de remorquage: 1,360 kg / 3,000 lbs.</v>
      </c>
      <c r="W13" s="273"/>
      <c r="X13" s="270"/>
      <c r="Y13" s="271"/>
      <c r="Z13" s="271"/>
      <c r="AA13" s="271"/>
      <c r="AB13" s="271"/>
      <c r="AC13" s="271"/>
      <c r="AD13" s="271"/>
      <c r="AE13" s="271"/>
      <c r="AF13" s="271"/>
      <c r="AG13" s="273"/>
      <c r="AH13" s="273"/>
      <c r="AI13" s="272"/>
      <c r="AJ13" s="272"/>
      <c r="AK13" s="272"/>
      <c r="AL13" s="272"/>
      <c r="AM13" s="272"/>
      <c r="AN13" s="272"/>
      <c r="AO13" s="272"/>
      <c r="AP13" s="272"/>
      <c r="AQ13" s="274"/>
      <c r="AR13" s="274"/>
    </row>
    <row r="14" spans="1:45" ht="15.6" hidden="1">
      <c r="B14" s="276" t="s">
        <v>469</v>
      </c>
      <c r="C14" s="276" t="s">
        <v>165</v>
      </c>
      <c r="D14" s="259" t="s">
        <v>263</v>
      </c>
      <c r="E14" s="259"/>
      <c r="F14" s="308"/>
      <c r="G14" s="308"/>
      <c r="H14" s="275"/>
      <c r="I14" s="276"/>
      <c r="J14" s="277"/>
      <c r="K14" s="277"/>
      <c r="L14" s="278"/>
      <c r="M14" s="272"/>
      <c r="N14" s="272"/>
      <c r="O14" s="272"/>
      <c r="P14" s="272"/>
      <c r="Q14" s="272"/>
      <c r="R14" s="272"/>
      <c r="S14" s="272"/>
      <c r="T14" s="272"/>
      <c r="U14" s="261"/>
      <c r="V14" s="261"/>
      <c r="W14" s="273"/>
      <c r="X14" s="270"/>
      <c r="Y14" s="271"/>
      <c r="Z14" s="271"/>
      <c r="AA14" s="271"/>
      <c r="AB14" s="271"/>
      <c r="AC14" s="271"/>
      <c r="AD14" s="271"/>
      <c r="AE14" s="271"/>
      <c r="AF14" s="271"/>
      <c r="AG14" s="273"/>
      <c r="AH14" s="273"/>
      <c r="AI14" s="272"/>
      <c r="AJ14" s="272"/>
      <c r="AK14" s="272"/>
      <c r="AL14" s="272"/>
      <c r="AM14" s="272"/>
      <c r="AN14" s="272"/>
      <c r="AO14" s="272"/>
      <c r="AP14" s="272"/>
      <c r="AQ14" s="274"/>
      <c r="AR14" s="274"/>
    </row>
    <row r="15" spans="1:45" ht="15.6" hidden="1">
      <c r="B15" s="276" t="s">
        <v>470</v>
      </c>
      <c r="C15" s="276" t="s">
        <v>165</v>
      </c>
      <c r="D15" s="259"/>
      <c r="E15" s="259" t="s">
        <v>264</v>
      </c>
      <c r="F15" s="308"/>
      <c r="G15" s="308"/>
      <c r="H15" s="275"/>
      <c r="I15" s="276"/>
      <c r="J15" s="277"/>
      <c r="K15" s="277"/>
      <c r="L15" s="278"/>
      <c r="M15" s="272"/>
      <c r="N15" s="272"/>
      <c r="O15" s="272"/>
      <c r="P15" s="272"/>
      <c r="Q15" s="272"/>
      <c r="R15" s="272"/>
      <c r="S15" s="272"/>
      <c r="T15" s="272"/>
      <c r="U15" s="261"/>
      <c r="V15" s="261"/>
      <c r="W15" s="273"/>
      <c r="X15" s="270"/>
      <c r="Y15" s="271"/>
      <c r="Z15" s="271"/>
      <c r="AA15" s="271"/>
      <c r="AB15" s="271"/>
      <c r="AC15" s="271"/>
      <c r="AD15" s="271"/>
      <c r="AE15" s="271"/>
      <c r="AF15" s="271"/>
      <c r="AG15" s="273"/>
      <c r="AH15" s="273"/>
      <c r="AI15" s="272"/>
      <c r="AJ15" s="272"/>
      <c r="AK15" s="272"/>
      <c r="AL15" s="272"/>
      <c r="AM15" s="272"/>
      <c r="AN15" s="272"/>
      <c r="AO15" s="272"/>
      <c r="AP15" s="272"/>
      <c r="AQ15" s="274"/>
      <c r="AR15" s="274"/>
    </row>
    <row r="16" spans="1:45" ht="15.6" hidden="1">
      <c r="B16" s="102"/>
      <c r="C16" s="102"/>
      <c r="D16" s="107"/>
      <c r="E16" s="107"/>
      <c r="F16" s="305"/>
      <c r="G16" s="305"/>
      <c r="H16" s="215"/>
      <c r="I16" s="102"/>
      <c r="J16" s="158"/>
      <c r="K16" s="158"/>
      <c r="L16" s="161"/>
      <c r="M16" s="187"/>
      <c r="N16" s="187"/>
      <c r="O16" s="187"/>
      <c r="P16" s="187"/>
      <c r="Q16" s="187"/>
      <c r="R16" s="187"/>
      <c r="S16" s="187"/>
      <c r="T16" s="187"/>
      <c r="U16" s="110"/>
      <c r="V16" s="110"/>
      <c r="W16" s="249"/>
      <c r="X16" s="121"/>
      <c r="Y16" s="253"/>
      <c r="Z16" s="253"/>
      <c r="AA16" s="253"/>
      <c r="AB16" s="253"/>
      <c r="AC16" s="253"/>
      <c r="AD16" s="253"/>
      <c r="AE16" s="253"/>
      <c r="AF16" s="253"/>
      <c r="AG16" s="249"/>
      <c r="AH16" s="249"/>
      <c r="AI16" s="187"/>
      <c r="AJ16" s="187"/>
      <c r="AK16" s="187"/>
      <c r="AL16" s="187"/>
      <c r="AM16" s="187"/>
      <c r="AN16" s="187"/>
      <c r="AO16" s="187"/>
      <c r="AP16" s="187"/>
      <c r="AQ16" s="255"/>
      <c r="AR16" s="255"/>
    </row>
    <row r="17" spans="1:45" ht="15.6" hidden="1">
      <c r="B17" s="102"/>
      <c r="C17" s="102"/>
      <c r="D17" s="107"/>
      <c r="E17" s="107"/>
      <c r="F17" s="305"/>
      <c r="G17" s="305"/>
      <c r="H17" s="215"/>
      <c r="I17" s="102"/>
      <c r="J17" s="158"/>
      <c r="K17" s="158"/>
      <c r="L17" s="161"/>
      <c r="M17" s="187"/>
      <c r="N17" s="187"/>
      <c r="O17" s="187"/>
      <c r="P17" s="187"/>
      <c r="Q17" s="187"/>
      <c r="R17" s="187"/>
      <c r="S17" s="187"/>
      <c r="T17" s="187"/>
      <c r="U17" s="110"/>
      <c r="V17" s="110"/>
      <c r="W17" s="249"/>
      <c r="X17" s="121"/>
      <c r="Y17" s="253"/>
      <c r="Z17" s="253"/>
      <c r="AA17" s="253"/>
      <c r="AB17" s="253"/>
      <c r="AC17" s="253"/>
      <c r="AD17" s="253"/>
      <c r="AE17" s="253"/>
      <c r="AF17" s="253"/>
      <c r="AG17" s="249"/>
      <c r="AH17" s="249"/>
      <c r="AI17" s="187"/>
      <c r="AJ17" s="187"/>
      <c r="AK17" s="187"/>
      <c r="AL17" s="187"/>
      <c r="AM17" s="187"/>
      <c r="AN17" s="187"/>
      <c r="AO17" s="187"/>
      <c r="AP17" s="187"/>
      <c r="AQ17" s="255"/>
      <c r="AR17" s="255"/>
    </row>
    <row r="18" spans="1:45" ht="15.6" hidden="1">
      <c r="B18" s="102"/>
      <c r="C18" s="102"/>
      <c r="D18" s="107"/>
      <c r="E18" s="107"/>
      <c r="F18" s="305"/>
      <c r="G18" s="305"/>
      <c r="H18" s="215"/>
      <c r="I18" s="102"/>
      <c r="J18" s="158"/>
      <c r="K18" s="158"/>
      <c r="L18" s="161"/>
      <c r="M18" s="187"/>
      <c r="N18" s="187"/>
      <c r="O18" s="187"/>
      <c r="P18" s="187"/>
      <c r="Q18" s="187"/>
      <c r="R18" s="187"/>
      <c r="S18" s="187"/>
      <c r="T18" s="187"/>
      <c r="U18" s="110"/>
      <c r="V18" s="110"/>
      <c r="W18" s="249"/>
      <c r="X18" s="121"/>
      <c r="Y18" s="253"/>
      <c r="Z18" s="253"/>
      <c r="AA18" s="253"/>
      <c r="AB18" s="253"/>
      <c r="AC18" s="253"/>
      <c r="AD18" s="253"/>
      <c r="AE18" s="253"/>
      <c r="AF18" s="253"/>
      <c r="AG18" s="249"/>
      <c r="AH18" s="249"/>
      <c r="AI18" s="187"/>
      <c r="AJ18" s="187"/>
      <c r="AK18" s="187"/>
      <c r="AL18" s="187"/>
      <c r="AM18" s="187"/>
      <c r="AN18" s="187"/>
      <c r="AO18" s="187"/>
      <c r="AP18" s="187"/>
      <c r="AQ18" s="255"/>
      <c r="AR18" s="255"/>
    </row>
    <row r="19" spans="1:45" ht="15.6" hidden="1">
      <c r="B19" s="102"/>
      <c r="C19" s="102"/>
      <c r="D19" s="107"/>
      <c r="E19" s="107"/>
      <c r="F19" s="305"/>
      <c r="G19" s="305"/>
      <c r="H19" s="215"/>
      <c r="I19" s="102"/>
      <c r="J19" s="158"/>
      <c r="K19" s="158"/>
      <c r="L19" s="161"/>
      <c r="M19" s="187"/>
      <c r="N19" s="187"/>
      <c r="O19" s="187"/>
      <c r="P19" s="187"/>
      <c r="Q19" s="187"/>
      <c r="R19" s="187"/>
      <c r="S19" s="187"/>
      <c r="T19" s="187"/>
      <c r="U19" s="110"/>
      <c r="V19" s="110"/>
      <c r="W19" s="249"/>
      <c r="X19" s="121"/>
      <c r="Y19" s="253"/>
      <c r="Z19" s="253"/>
      <c r="AA19" s="253"/>
      <c r="AB19" s="253"/>
      <c r="AC19" s="253"/>
      <c r="AD19" s="253"/>
      <c r="AE19" s="253"/>
      <c r="AF19" s="253"/>
      <c r="AG19" s="249"/>
      <c r="AH19" s="249"/>
      <c r="AI19" s="187"/>
      <c r="AJ19" s="187"/>
      <c r="AK19" s="187"/>
      <c r="AL19" s="187"/>
      <c r="AM19" s="187"/>
      <c r="AN19" s="187"/>
      <c r="AO19" s="187"/>
      <c r="AP19" s="187"/>
      <c r="AQ19" s="255"/>
      <c r="AR19" s="255"/>
    </row>
    <row r="20" spans="1:45" ht="15.6" hidden="1">
      <c r="B20" s="102"/>
      <c r="C20" s="102"/>
      <c r="D20" s="107"/>
      <c r="E20" s="107"/>
      <c r="F20" s="305"/>
      <c r="G20" s="305"/>
      <c r="H20" s="215"/>
      <c r="I20" s="102"/>
      <c r="J20" s="158"/>
      <c r="K20" s="158"/>
      <c r="L20" s="161"/>
      <c r="M20" s="187"/>
      <c r="N20" s="187"/>
      <c r="O20" s="187"/>
      <c r="P20" s="187"/>
      <c r="Q20" s="187"/>
      <c r="R20" s="187"/>
      <c r="S20" s="187"/>
      <c r="T20" s="187"/>
      <c r="U20" s="110"/>
      <c r="V20" s="110"/>
      <c r="W20" s="249"/>
      <c r="X20" s="121"/>
      <c r="Y20" s="253"/>
      <c r="Z20" s="253"/>
      <c r="AA20" s="253"/>
      <c r="AB20" s="253"/>
      <c r="AC20" s="253"/>
      <c r="AD20" s="253"/>
      <c r="AE20" s="253"/>
      <c r="AF20" s="253"/>
      <c r="AG20" s="249"/>
      <c r="AH20" s="249"/>
      <c r="AI20" s="187"/>
      <c r="AJ20" s="187"/>
      <c r="AK20" s="187"/>
      <c r="AL20" s="187"/>
      <c r="AM20" s="187"/>
      <c r="AN20" s="187"/>
      <c r="AO20" s="187"/>
      <c r="AP20" s="187"/>
      <c r="AQ20" s="255"/>
      <c r="AR20" s="255"/>
    </row>
    <row r="21" spans="1:45" ht="15.6" hidden="1">
      <c r="B21" s="102"/>
      <c r="C21" s="102"/>
      <c r="D21" s="107"/>
      <c r="E21" s="107"/>
      <c r="F21" s="305"/>
      <c r="G21" s="305"/>
      <c r="H21" s="215"/>
      <c r="I21" s="102"/>
      <c r="J21" s="158"/>
      <c r="K21" s="158"/>
      <c r="L21" s="161"/>
      <c r="M21" s="187"/>
      <c r="N21" s="187"/>
      <c r="O21" s="187"/>
      <c r="P21" s="187"/>
      <c r="Q21" s="187"/>
      <c r="R21" s="187"/>
      <c r="S21" s="187"/>
      <c r="T21" s="187"/>
      <c r="U21" s="110"/>
      <c r="V21" s="110"/>
      <c r="W21" s="249"/>
      <c r="X21" s="121"/>
      <c r="Y21" s="253"/>
      <c r="Z21" s="253"/>
      <c r="AA21" s="253"/>
      <c r="AB21" s="253"/>
      <c r="AC21" s="253"/>
      <c r="AD21" s="253"/>
      <c r="AE21" s="253"/>
      <c r="AF21" s="253"/>
      <c r="AG21" s="249"/>
      <c r="AH21" s="249"/>
      <c r="AI21" s="187"/>
      <c r="AJ21" s="187"/>
      <c r="AK21" s="187"/>
      <c r="AL21" s="187"/>
      <c r="AM21" s="187"/>
      <c r="AN21" s="187"/>
      <c r="AO21" s="187"/>
      <c r="AP21" s="187"/>
      <c r="AQ21" s="255"/>
      <c r="AR21" s="255"/>
    </row>
    <row r="22" spans="1:45" ht="15.6" hidden="1">
      <c r="B22" s="102"/>
      <c r="C22" s="102"/>
      <c r="D22" s="107"/>
      <c r="E22" s="107"/>
      <c r="F22" s="305"/>
      <c r="G22" s="305"/>
      <c r="H22" s="215"/>
      <c r="I22" s="102"/>
      <c r="J22" s="158"/>
      <c r="K22" s="158"/>
      <c r="L22" s="161"/>
      <c r="M22" s="187"/>
      <c r="N22" s="187"/>
      <c r="O22" s="187"/>
      <c r="P22" s="187"/>
      <c r="Q22" s="187"/>
      <c r="R22" s="187"/>
      <c r="S22" s="187"/>
      <c r="T22" s="187"/>
      <c r="U22" s="110"/>
      <c r="V22" s="110"/>
      <c r="W22" s="249"/>
      <c r="X22" s="121"/>
      <c r="Y22" s="253"/>
      <c r="Z22" s="253"/>
      <c r="AA22" s="253"/>
      <c r="AB22" s="253"/>
      <c r="AC22" s="253"/>
      <c r="AD22" s="253"/>
      <c r="AE22" s="253"/>
      <c r="AF22" s="253"/>
      <c r="AG22" s="249"/>
      <c r="AH22" s="249"/>
      <c r="AI22" s="187"/>
      <c r="AJ22" s="187"/>
      <c r="AK22" s="187"/>
      <c r="AL22" s="187"/>
      <c r="AM22" s="187"/>
      <c r="AN22" s="187"/>
      <c r="AO22" s="187"/>
      <c r="AP22" s="187"/>
      <c r="AQ22" s="255"/>
      <c r="AR22" s="255"/>
    </row>
    <row r="23" spans="1:45" ht="15.6" hidden="1">
      <c r="B23" s="102"/>
      <c r="C23" s="102"/>
      <c r="D23" s="107"/>
      <c r="E23" s="107"/>
      <c r="F23" s="305"/>
      <c r="G23" s="305"/>
      <c r="H23" s="215"/>
      <c r="I23" s="102"/>
      <c r="J23" s="158"/>
      <c r="K23" s="158"/>
      <c r="L23" s="161"/>
      <c r="M23" s="187"/>
      <c r="N23" s="187"/>
      <c r="O23" s="187"/>
      <c r="P23" s="187"/>
      <c r="Q23" s="187"/>
      <c r="R23" s="187"/>
      <c r="S23" s="187"/>
      <c r="T23" s="187"/>
      <c r="U23" s="110"/>
      <c r="V23" s="110"/>
      <c r="W23" s="249"/>
      <c r="X23" s="121"/>
      <c r="Y23" s="253"/>
      <c r="Z23" s="253"/>
      <c r="AA23" s="253"/>
      <c r="AB23" s="253"/>
      <c r="AC23" s="253"/>
      <c r="AD23" s="253"/>
      <c r="AE23" s="253"/>
      <c r="AF23" s="253"/>
      <c r="AG23" s="249"/>
      <c r="AH23" s="249"/>
      <c r="AI23" s="187"/>
      <c r="AJ23" s="187"/>
      <c r="AK23" s="187"/>
      <c r="AL23" s="187"/>
      <c r="AM23" s="187"/>
      <c r="AN23" s="187"/>
      <c r="AO23" s="187"/>
      <c r="AP23" s="187"/>
      <c r="AQ23" s="255"/>
      <c r="AR23" s="255"/>
    </row>
    <row r="24" spans="1:45" ht="15.6" hidden="1">
      <c r="B24" s="102"/>
      <c r="C24" s="102"/>
      <c r="D24" s="107"/>
      <c r="E24" s="107"/>
      <c r="F24" s="305"/>
      <c r="G24" s="305"/>
      <c r="H24" s="215"/>
      <c r="I24" s="102"/>
      <c r="J24" s="158"/>
      <c r="K24" s="158"/>
      <c r="L24" s="161"/>
      <c r="M24" s="187"/>
      <c r="N24" s="187"/>
      <c r="O24" s="171"/>
      <c r="P24" s="171"/>
      <c r="Q24" s="171"/>
      <c r="R24" s="171"/>
      <c r="S24" s="171"/>
      <c r="T24" s="171"/>
      <c r="U24" s="110"/>
      <c r="V24" s="110"/>
      <c r="W24" s="249"/>
      <c r="X24" s="121"/>
      <c r="Y24" s="253"/>
      <c r="Z24" s="253"/>
      <c r="AA24" s="253"/>
      <c r="AB24" s="253"/>
      <c r="AC24" s="253"/>
      <c r="AD24" s="253"/>
      <c r="AE24" s="253"/>
      <c r="AF24" s="253"/>
      <c r="AG24" s="249"/>
      <c r="AH24" s="249"/>
      <c r="AI24" s="187"/>
      <c r="AJ24" s="187"/>
      <c r="AK24" s="187"/>
      <c r="AL24" s="187"/>
      <c r="AM24" s="187"/>
      <c r="AN24" s="187"/>
      <c r="AO24" s="187"/>
      <c r="AP24" s="187"/>
      <c r="AQ24" s="255"/>
      <c r="AR24" s="255"/>
    </row>
    <row r="25" spans="1:45" ht="15.6" hidden="1">
      <c r="A25" s="108"/>
      <c r="B25" s="102"/>
      <c r="C25" s="102"/>
      <c r="D25" s="107"/>
      <c r="E25" s="107"/>
      <c r="F25" s="305"/>
      <c r="G25" s="305"/>
      <c r="H25" s="215"/>
      <c r="I25" s="102"/>
      <c r="J25" s="158"/>
      <c r="K25" s="158"/>
      <c r="L25" s="161"/>
      <c r="M25" s="187"/>
      <c r="N25" s="187"/>
      <c r="O25" s="187"/>
      <c r="P25" s="171"/>
      <c r="Q25" s="171"/>
      <c r="R25" s="171"/>
      <c r="S25" s="171"/>
      <c r="T25" s="171"/>
      <c r="U25" s="110"/>
      <c r="V25" s="110"/>
      <c r="W25" s="249"/>
      <c r="X25" s="121"/>
      <c r="Y25" s="253"/>
      <c r="Z25" s="253"/>
      <c r="AA25" s="253"/>
      <c r="AB25" s="253"/>
      <c r="AC25" s="253"/>
      <c r="AD25" s="253"/>
      <c r="AE25" s="253"/>
      <c r="AF25" s="253"/>
      <c r="AG25" s="249"/>
      <c r="AH25" s="249"/>
      <c r="AI25" s="187"/>
      <c r="AJ25" s="187"/>
      <c r="AK25" s="187"/>
      <c r="AL25" s="187"/>
      <c r="AM25" s="187"/>
      <c r="AN25" s="187"/>
      <c r="AO25" s="187"/>
      <c r="AP25" s="187"/>
      <c r="AQ25" s="255"/>
      <c r="AR25" s="255"/>
    </row>
    <row r="26" spans="1:45" ht="15.6" hidden="1">
      <c r="B26" s="102"/>
      <c r="C26" s="102"/>
      <c r="D26" s="107"/>
      <c r="E26" s="107"/>
      <c r="F26" s="305"/>
      <c r="G26" s="305"/>
      <c r="H26" s="215"/>
      <c r="I26" s="102"/>
      <c r="J26" s="158"/>
      <c r="K26" s="158"/>
      <c r="L26" s="161"/>
      <c r="M26" s="171"/>
      <c r="N26" s="171"/>
      <c r="O26" s="171"/>
      <c r="P26" s="187"/>
      <c r="Q26" s="187"/>
      <c r="R26" s="187"/>
      <c r="S26" s="187"/>
      <c r="T26" s="187"/>
      <c r="U26" s="110"/>
      <c r="V26" s="110"/>
      <c r="W26" s="249"/>
      <c r="X26" s="121"/>
      <c r="Y26" s="253"/>
      <c r="Z26" s="253"/>
      <c r="AA26" s="253"/>
      <c r="AB26" s="253"/>
      <c r="AC26" s="253"/>
      <c r="AD26" s="253"/>
      <c r="AE26" s="253"/>
      <c r="AF26" s="253"/>
      <c r="AG26" s="249"/>
      <c r="AH26" s="249"/>
      <c r="AI26" s="187"/>
      <c r="AJ26" s="187"/>
      <c r="AK26" s="187"/>
      <c r="AL26" s="187"/>
      <c r="AM26" s="187"/>
      <c r="AN26" s="187"/>
      <c r="AO26" s="187"/>
      <c r="AP26" s="187"/>
      <c r="AQ26" s="255"/>
      <c r="AR26" s="255"/>
    </row>
    <row r="27" spans="1:45" ht="15.6" hidden="1">
      <c r="B27" s="102"/>
      <c r="C27" s="102"/>
      <c r="D27" s="107"/>
      <c r="E27" s="107"/>
      <c r="F27" s="305"/>
      <c r="G27" s="305"/>
      <c r="H27" s="215"/>
      <c r="I27" s="102"/>
      <c r="J27" s="158"/>
      <c r="K27" s="158"/>
      <c r="L27" s="161"/>
      <c r="M27" s="187"/>
      <c r="N27" s="187"/>
      <c r="O27" s="187"/>
      <c r="P27" s="187"/>
      <c r="Q27" s="187"/>
      <c r="R27" s="187"/>
      <c r="S27" s="187"/>
      <c r="T27" s="187"/>
      <c r="U27" s="110"/>
      <c r="V27" s="110"/>
      <c r="W27" s="249"/>
      <c r="X27" s="121"/>
      <c r="Y27" s="253"/>
      <c r="Z27" s="253"/>
      <c r="AA27" s="253"/>
      <c r="AB27" s="253"/>
      <c r="AC27" s="253"/>
      <c r="AD27" s="253"/>
      <c r="AE27" s="253"/>
      <c r="AF27" s="253"/>
      <c r="AG27" s="249"/>
      <c r="AH27" s="249"/>
      <c r="AI27" s="187"/>
      <c r="AJ27" s="187"/>
      <c r="AK27" s="187"/>
      <c r="AL27" s="187"/>
      <c r="AM27" s="187"/>
      <c r="AN27" s="187"/>
      <c r="AO27" s="187"/>
      <c r="AP27" s="187"/>
      <c r="AQ27" s="255"/>
      <c r="AR27" s="255"/>
    </row>
    <row r="28" spans="1:45" hidden="1">
      <c r="B28" s="207"/>
      <c r="C28" s="207"/>
      <c r="D28" s="209"/>
      <c r="E28" s="209"/>
      <c r="F28" s="309"/>
      <c r="G28" s="309"/>
      <c r="H28" s="211"/>
      <c r="I28" s="208"/>
      <c r="J28" s="212"/>
      <c r="K28" s="208"/>
      <c r="L28" s="213"/>
      <c r="M28" s="208"/>
      <c r="N28" s="208"/>
      <c r="O28" s="208"/>
      <c r="P28" s="208"/>
      <c r="Q28" s="208"/>
      <c r="R28" s="208"/>
      <c r="S28" s="208"/>
      <c r="T28" s="208"/>
      <c r="U28" s="210"/>
      <c r="V28" s="210"/>
      <c r="W28" s="254"/>
      <c r="X28" s="210"/>
      <c r="Y28" s="210"/>
      <c r="Z28" s="210"/>
      <c r="AA28" s="210"/>
      <c r="AB28" s="210"/>
      <c r="AC28" s="210"/>
      <c r="AD28" s="210"/>
      <c r="AE28" s="210"/>
      <c r="AF28" s="210"/>
      <c r="AG28" s="254"/>
      <c r="AH28" s="211"/>
      <c r="AI28" s="211"/>
      <c r="AJ28" s="211"/>
      <c r="AK28" s="211"/>
      <c r="AL28" s="211"/>
      <c r="AM28" s="211"/>
      <c r="AN28" s="211"/>
      <c r="AO28" s="211"/>
      <c r="AP28" s="211"/>
      <c r="AQ28" s="256"/>
      <c r="AR28" s="256"/>
      <c r="AS28" s="207"/>
    </row>
    <row r="29" spans="1:45" ht="15.6">
      <c r="B29" s="279" t="s">
        <v>204</v>
      </c>
      <c r="C29" s="102" t="str">
        <f>B29</f>
        <v>08W42-TK4-301</v>
      </c>
      <c r="D29" s="102" t="s">
        <v>102</v>
      </c>
      <c r="E29" s="107" t="s">
        <v>297</v>
      </c>
      <c r="F29" s="305" t="s">
        <v>201</v>
      </c>
      <c r="G29" s="307" t="s">
        <v>298</v>
      </c>
      <c r="H29" s="104">
        <v>0.2</v>
      </c>
      <c r="I29" s="102"/>
      <c r="J29" s="158">
        <f>VLOOKUP(B29,'[3]MASTER PART LIST'!$B:$C,2,FALSE)</f>
        <v>94</v>
      </c>
      <c r="K29" s="161">
        <f>VLOOKUP(B29,'[3]MASTER PART LIST'!$B:$D,3,FALSE)</f>
        <v>157</v>
      </c>
      <c r="L29" s="161">
        <f t="shared" ref="L29:L92" si="1">K29+(H29*VLOOKUP(prov_cd,rate_table,2,FALSE))</f>
        <v>193.2</v>
      </c>
      <c r="M29" s="187"/>
      <c r="N29" s="187" t="s">
        <v>18</v>
      </c>
      <c r="O29" s="187" t="s">
        <v>18</v>
      </c>
      <c r="P29" s="187" t="s">
        <v>18</v>
      </c>
      <c r="Q29" s="187" t="s">
        <v>18</v>
      </c>
      <c r="R29" s="187"/>
      <c r="S29" s="187"/>
      <c r="T29" s="187"/>
      <c r="U29" s="110"/>
      <c r="V29" s="110"/>
      <c r="W29" s="104">
        <v>7</v>
      </c>
      <c r="X29" s="265"/>
      <c r="Y29" s="253"/>
      <c r="Z29" s="253"/>
      <c r="AA29" s="253"/>
      <c r="AB29" s="253"/>
      <c r="AC29" s="253"/>
      <c r="AD29" s="253"/>
      <c r="AE29" s="253"/>
      <c r="AF29" s="253"/>
      <c r="AG29" s="187"/>
      <c r="AH29" s="187"/>
      <c r="AI29" s="187"/>
      <c r="AJ29" s="187" t="s">
        <v>18</v>
      </c>
      <c r="AK29" s="269"/>
      <c r="AL29" s="187"/>
      <c r="AM29" s="269"/>
      <c r="AN29" s="187"/>
      <c r="AO29" s="187"/>
      <c r="AP29" s="187"/>
      <c r="AQ29" s="255"/>
      <c r="AR29" s="255" t="s">
        <v>500</v>
      </c>
    </row>
    <row r="30" spans="1:45" ht="15.6">
      <c r="B30" s="102" t="s">
        <v>203</v>
      </c>
      <c r="C30" s="102" t="str">
        <f>B30</f>
        <v>08W42-TG7-301A</v>
      </c>
      <c r="D30" s="102" t="s">
        <v>101</v>
      </c>
      <c r="E30" s="107" t="s">
        <v>299</v>
      </c>
      <c r="F30" s="305" t="s">
        <v>201</v>
      </c>
      <c r="G30" s="307" t="s">
        <v>202</v>
      </c>
      <c r="H30" s="104">
        <v>0.2</v>
      </c>
      <c r="I30" s="102"/>
      <c r="J30" s="158">
        <f>VLOOKUP(B30,'[3]MASTER PART LIST'!$B:$C,2,FALSE)</f>
        <v>88</v>
      </c>
      <c r="K30" s="161">
        <f>VLOOKUP(B30,'[3]MASTER PART LIST'!$B:$D,3,FALSE)</f>
        <v>147</v>
      </c>
      <c r="L30" s="161">
        <f t="shared" si="1"/>
        <v>183.2</v>
      </c>
      <c r="M30" s="187"/>
      <c r="N30" s="187" t="s">
        <v>18</v>
      </c>
      <c r="O30" s="187" t="s">
        <v>18</v>
      </c>
      <c r="P30" s="187" t="s">
        <v>18</v>
      </c>
      <c r="Q30" s="187" t="s">
        <v>18</v>
      </c>
      <c r="R30" s="187"/>
      <c r="S30" s="187"/>
      <c r="T30" s="187"/>
      <c r="U30" s="264"/>
      <c r="V30" s="264"/>
      <c r="W30" s="104">
        <v>6</v>
      </c>
      <c r="X30" s="266"/>
      <c r="Y30" s="253"/>
      <c r="Z30" s="253"/>
      <c r="AA30" s="253"/>
      <c r="AB30" s="253"/>
      <c r="AC30" s="253"/>
      <c r="AD30" s="253"/>
      <c r="AE30" s="253"/>
      <c r="AF30" s="253"/>
      <c r="AG30" s="187"/>
      <c r="AH30" s="187"/>
      <c r="AI30" s="187"/>
      <c r="AJ30" s="187" t="s">
        <v>18</v>
      </c>
      <c r="AK30" s="269"/>
      <c r="AL30" s="187"/>
      <c r="AM30" s="269"/>
      <c r="AN30" s="187"/>
      <c r="AO30" s="187"/>
      <c r="AP30" s="187"/>
      <c r="AQ30" s="255"/>
      <c r="AR30" s="255" t="s">
        <v>499</v>
      </c>
    </row>
    <row r="31" spans="1:45" ht="15.6" hidden="1">
      <c r="B31" s="267"/>
      <c r="C31" s="102"/>
      <c r="D31" s="268"/>
      <c r="E31" s="268"/>
      <c r="F31" s="307"/>
      <c r="G31" s="307"/>
      <c r="H31" s="280"/>
      <c r="I31" s="102"/>
      <c r="J31" s="158"/>
      <c r="K31" s="161"/>
      <c r="L31" s="161"/>
      <c r="M31" s="171"/>
      <c r="N31" s="171"/>
      <c r="O31" s="171"/>
      <c r="P31" s="187"/>
      <c r="Q31" s="187"/>
      <c r="R31" s="171"/>
      <c r="S31" s="171"/>
      <c r="T31" s="171"/>
      <c r="U31" s="110"/>
      <c r="V31" s="110"/>
      <c r="W31" s="104"/>
      <c r="X31" s="121"/>
      <c r="Y31" s="253"/>
      <c r="Z31" s="253"/>
      <c r="AA31" s="253"/>
      <c r="AB31" s="253"/>
      <c r="AC31" s="253"/>
      <c r="AD31" s="253"/>
      <c r="AE31" s="253"/>
      <c r="AF31" s="253"/>
      <c r="AG31" s="187"/>
      <c r="AH31" s="187"/>
      <c r="AI31" s="187"/>
      <c r="AJ31" s="269"/>
      <c r="AK31" s="269"/>
      <c r="AL31" s="187"/>
      <c r="AM31" s="187"/>
      <c r="AN31" s="187"/>
      <c r="AO31" s="187"/>
      <c r="AP31" s="187"/>
      <c r="AQ31" s="291"/>
      <c r="AR31" s="255"/>
    </row>
    <row r="32" spans="1:45" ht="24">
      <c r="B32" s="267" t="s">
        <v>350</v>
      </c>
      <c r="C32" s="102" t="str">
        <f>B32</f>
        <v>08P01-THR-100</v>
      </c>
      <c r="D32" s="102" t="s">
        <v>351</v>
      </c>
      <c r="E32" s="268" t="s">
        <v>352</v>
      </c>
      <c r="F32" s="307" t="s">
        <v>353</v>
      </c>
      <c r="G32" s="307" t="s">
        <v>354</v>
      </c>
      <c r="H32" s="280">
        <v>0.8</v>
      </c>
      <c r="I32" s="102"/>
      <c r="J32" s="158">
        <f>VLOOKUP(B32,'[3]MASTER PART LIST'!$B:$C,2,FALSE)</f>
        <v>39.99</v>
      </c>
      <c r="K32" s="161">
        <f>VLOOKUP(B32,'[3]MASTER PART LIST'!$B:$D,3,FALSE)</f>
        <v>175</v>
      </c>
      <c r="L32" s="161">
        <f t="shared" ref="L32:L43" si="2">K32+(H32*VLOOKUP(prov_cd,rate_table,2,FALSE))</f>
        <v>319.8</v>
      </c>
      <c r="M32" s="171"/>
      <c r="N32" s="187" t="s">
        <v>18</v>
      </c>
      <c r="O32" s="187" t="s">
        <v>18</v>
      </c>
      <c r="P32" s="187" t="s">
        <v>18</v>
      </c>
      <c r="Q32" s="187" t="s">
        <v>18</v>
      </c>
      <c r="R32" s="187"/>
      <c r="S32" s="187"/>
      <c r="T32" s="187"/>
      <c r="U32" s="110"/>
      <c r="V32" s="110"/>
      <c r="W32" s="104">
        <v>8</v>
      </c>
      <c r="X32" s="121"/>
      <c r="Y32" s="253"/>
      <c r="Z32" s="253"/>
      <c r="AA32" s="253"/>
      <c r="AB32" s="253"/>
      <c r="AC32" s="253"/>
      <c r="AD32" s="253"/>
      <c r="AE32" s="253"/>
      <c r="AF32" s="253"/>
      <c r="AG32" s="187"/>
      <c r="AH32" s="187"/>
      <c r="AI32" s="187"/>
      <c r="AJ32" s="187" t="s">
        <v>18</v>
      </c>
      <c r="AK32" s="269"/>
      <c r="AL32" s="187"/>
      <c r="AM32" s="187"/>
      <c r="AN32" s="187"/>
      <c r="AO32" s="187"/>
      <c r="AP32" s="187"/>
      <c r="AQ32" s="291"/>
      <c r="AR32" s="255"/>
    </row>
    <row r="33" spans="1:44" ht="24">
      <c r="B33" s="267" t="s">
        <v>355</v>
      </c>
      <c r="C33" s="102" t="str">
        <f t="shared" ref="C33:C43" si="3">B33</f>
        <v>08P20-THR-100</v>
      </c>
      <c r="D33" s="102" t="s">
        <v>99</v>
      </c>
      <c r="E33" s="268" t="s">
        <v>87</v>
      </c>
      <c r="F33" s="307" t="s">
        <v>219</v>
      </c>
      <c r="G33" s="307" t="s">
        <v>220</v>
      </c>
      <c r="H33" s="280">
        <v>0.2</v>
      </c>
      <c r="I33" s="102"/>
      <c r="J33" s="158">
        <f>VLOOKUP(B33,'[3]MASTER PART LIST'!$B:$C,2,FALSE)</f>
        <v>12.99</v>
      </c>
      <c r="K33" s="161">
        <f>VLOOKUP(B33,'[3]MASTER PART LIST'!$B:$D,3,FALSE)</f>
        <v>50</v>
      </c>
      <c r="L33" s="161">
        <f t="shared" si="2"/>
        <v>86.2</v>
      </c>
      <c r="M33" s="171"/>
      <c r="N33" s="187" t="s">
        <v>18</v>
      </c>
      <c r="O33" s="187" t="s">
        <v>18</v>
      </c>
      <c r="P33" s="187" t="s">
        <v>18</v>
      </c>
      <c r="Q33" s="187" t="s">
        <v>18</v>
      </c>
      <c r="R33" s="187"/>
      <c r="S33" s="187"/>
      <c r="T33" s="187"/>
      <c r="U33" s="110" t="s">
        <v>486</v>
      </c>
      <c r="V33" s="110" t="s">
        <v>176</v>
      </c>
      <c r="W33" s="104">
        <v>45</v>
      </c>
      <c r="X33" s="121"/>
      <c r="Y33" s="253"/>
      <c r="Z33" s="253"/>
      <c r="AA33" s="253"/>
      <c r="AB33" s="253"/>
      <c r="AC33" s="253"/>
      <c r="AD33" s="253"/>
      <c r="AE33" s="253"/>
      <c r="AF33" s="253"/>
      <c r="AG33" s="187"/>
      <c r="AH33" s="187"/>
      <c r="AI33" s="187"/>
      <c r="AJ33" s="187" t="s">
        <v>18</v>
      </c>
      <c r="AK33" s="269"/>
      <c r="AL33" s="187"/>
      <c r="AM33" s="187"/>
      <c r="AN33" s="187"/>
      <c r="AO33" s="187"/>
      <c r="AP33" s="187"/>
      <c r="AQ33" s="291"/>
      <c r="AR33" s="255" t="s">
        <v>557</v>
      </c>
    </row>
    <row r="34" spans="1:44" ht="24">
      <c r="B34" s="267" t="s">
        <v>356</v>
      </c>
      <c r="C34" s="102" t="str">
        <f t="shared" si="3"/>
        <v>08R04-THR-102</v>
      </c>
      <c r="D34" s="267" t="s">
        <v>218</v>
      </c>
      <c r="E34" s="268" t="s">
        <v>357</v>
      </c>
      <c r="F34" s="307" t="s">
        <v>358</v>
      </c>
      <c r="G34" s="307" t="s">
        <v>359</v>
      </c>
      <c r="H34" s="280">
        <v>0.5</v>
      </c>
      <c r="I34" s="102"/>
      <c r="J34" s="158">
        <f>VLOOKUP(B34,'[3]MASTER PART LIST'!$B:$C,2,FALSE)</f>
        <v>241</v>
      </c>
      <c r="K34" s="161">
        <f>VLOOKUP(B34,'[3]MASTER PART LIST'!$B:$D,3,FALSE)</f>
        <v>402</v>
      </c>
      <c r="L34" s="161">
        <f t="shared" si="2"/>
        <v>492.5</v>
      </c>
      <c r="M34" s="171"/>
      <c r="N34" s="187" t="s">
        <v>18</v>
      </c>
      <c r="O34" s="187" t="s">
        <v>18</v>
      </c>
      <c r="P34" s="187" t="s">
        <v>18</v>
      </c>
      <c r="Q34" s="187" t="s">
        <v>18</v>
      </c>
      <c r="R34" s="187"/>
      <c r="S34" s="187"/>
      <c r="T34" s="187"/>
      <c r="U34" s="110"/>
      <c r="V34" s="110"/>
      <c r="W34" s="104">
        <v>9</v>
      </c>
      <c r="X34" s="121"/>
      <c r="Y34" s="253"/>
      <c r="Z34" s="253"/>
      <c r="AA34" s="253"/>
      <c r="AB34" s="253"/>
      <c r="AC34" s="253"/>
      <c r="AD34" s="253"/>
      <c r="AE34" s="253"/>
      <c r="AF34" s="253"/>
      <c r="AG34" s="187"/>
      <c r="AH34" s="187"/>
      <c r="AI34" s="187"/>
      <c r="AJ34" s="269"/>
      <c r="AK34" s="269"/>
      <c r="AL34" s="187" t="s">
        <v>18</v>
      </c>
      <c r="AM34" s="187"/>
      <c r="AN34" s="187"/>
      <c r="AO34" s="187"/>
      <c r="AP34" s="187"/>
      <c r="AQ34" s="291"/>
      <c r="AR34" s="255"/>
    </row>
    <row r="35" spans="1:44" ht="48">
      <c r="A35" s="108"/>
      <c r="B35" s="267" t="s">
        <v>360</v>
      </c>
      <c r="C35" s="102" t="str">
        <f t="shared" si="3"/>
        <v>08F20-THR-100</v>
      </c>
      <c r="D35" s="267" t="s">
        <v>526</v>
      </c>
      <c r="E35" s="268" t="s">
        <v>529</v>
      </c>
      <c r="F35" s="307" t="s">
        <v>527</v>
      </c>
      <c r="G35" s="307" t="s">
        <v>362</v>
      </c>
      <c r="H35" s="280">
        <v>0.9</v>
      </c>
      <c r="I35" s="102"/>
      <c r="J35" s="158">
        <f>VLOOKUP(B35,'[3]MASTER PART LIST'!$B:$C,2,FALSE)</f>
        <v>71</v>
      </c>
      <c r="K35" s="161">
        <f>VLOOKUP(B35,'[3]MASTER PART LIST'!$B:$D,3,FALSE)</f>
        <v>118</v>
      </c>
      <c r="L35" s="161">
        <f t="shared" si="2"/>
        <v>280.89999999999998</v>
      </c>
      <c r="M35" s="171"/>
      <c r="N35" s="187" t="s">
        <v>18</v>
      </c>
      <c r="O35" s="187" t="s">
        <v>18</v>
      </c>
      <c r="P35" s="187" t="s">
        <v>18</v>
      </c>
      <c r="Q35" s="187" t="s">
        <v>18</v>
      </c>
      <c r="R35" s="187"/>
      <c r="S35" s="187"/>
      <c r="T35" s="187"/>
      <c r="U35" s="110"/>
      <c r="V35" s="110"/>
      <c r="W35" s="104">
        <v>13</v>
      </c>
      <c r="X35" s="121"/>
      <c r="Y35" s="253"/>
      <c r="Z35" s="253"/>
      <c r="AA35" s="253"/>
      <c r="AB35" s="253"/>
      <c r="AC35" s="253"/>
      <c r="AD35" s="253"/>
      <c r="AE35" s="253"/>
      <c r="AF35" s="253"/>
      <c r="AG35" s="187"/>
      <c r="AH35" s="187"/>
      <c r="AI35" s="187"/>
      <c r="AJ35" s="269"/>
      <c r="AK35" s="269"/>
      <c r="AL35" s="187"/>
      <c r="AM35" s="187"/>
      <c r="AN35" s="187" t="s">
        <v>18</v>
      </c>
      <c r="AO35" s="187"/>
      <c r="AP35" s="187"/>
      <c r="AQ35" s="291"/>
      <c r="AR35" s="255"/>
    </row>
    <row r="36" spans="1:44" ht="15.6">
      <c r="A36" s="108"/>
      <c r="B36" s="267" t="s">
        <v>524</v>
      </c>
      <c r="C36" s="102" t="str">
        <f t="shared" si="3"/>
        <v>08F20-T7S-100C</v>
      </c>
      <c r="D36" s="267" t="s">
        <v>525</v>
      </c>
      <c r="E36" s="268" t="s">
        <v>528</v>
      </c>
      <c r="F36" s="307"/>
      <c r="G36" s="307"/>
      <c r="H36" s="280">
        <v>0.3</v>
      </c>
      <c r="I36" s="102"/>
      <c r="J36" s="158">
        <f>VLOOKUP(B36,'[3]MASTER PART LIST'!$B:$C,2,FALSE)</f>
        <v>43</v>
      </c>
      <c r="K36" s="161">
        <f>VLOOKUP(B36,'[3]MASTER PART LIST'!$B:$D,3,FALSE)</f>
        <v>72</v>
      </c>
      <c r="L36" s="161">
        <f t="shared" si="2"/>
        <v>126.3</v>
      </c>
      <c r="M36" s="171"/>
      <c r="N36" s="187" t="s">
        <v>18</v>
      </c>
      <c r="O36" s="187" t="s">
        <v>18</v>
      </c>
      <c r="P36" s="187" t="s">
        <v>19</v>
      </c>
      <c r="Q36" s="187" t="s">
        <v>19</v>
      </c>
      <c r="R36" s="187"/>
      <c r="S36" s="187"/>
      <c r="T36" s="187"/>
      <c r="U36" s="110"/>
      <c r="V36" s="110"/>
      <c r="W36" s="104">
        <v>14</v>
      </c>
      <c r="X36" s="121"/>
      <c r="Y36" s="253"/>
      <c r="Z36" s="253"/>
      <c r="AA36" s="253"/>
      <c r="AB36" s="253"/>
      <c r="AC36" s="253"/>
      <c r="AD36" s="253"/>
      <c r="AE36" s="253"/>
      <c r="AF36" s="253"/>
      <c r="AG36" s="187"/>
      <c r="AH36" s="187"/>
      <c r="AI36" s="187"/>
      <c r="AJ36" s="269"/>
      <c r="AK36" s="269"/>
      <c r="AL36" s="187"/>
      <c r="AM36" s="187"/>
      <c r="AN36" s="187" t="s">
        <v>18</v>
      </c>
      <c r="AO36" s="187"/>
      <c r="AP36" s="187"/>
      <c r="AQ36" s="291"/>
      <c r="AR36" s="255"/>
    </row>
    <row r="37" spans="1:44" ht="15.6">
      <c r="A37" s="108"/>
      <c r="B37" s="267" t="s">
        <v>536</v>
      </c>
      <c r="C37" s="102" t="str">
        <f t="shared" si="3"/>
        <v>08F20-TG7-100G</v>
      </c>
      <c r="D37" s="267" t="s">
        <v>537</v>
      </c>
      <c r="E37" s="267" t="s">
        <v>538</v>
      </c>
      <c r="F37" s="307"/>
      <c r="G37" s="307"/>
      <c r="H37" s="280">
        <v>0.3</v>
      </c>
      <c r="I37" s="102"/>
      <c r="J37" s="158">
        <f>VLOOKUP(B37,'[3]MASTER PART LIST'!$B:$C,2,FALSE)</f>
        <v>72</v>
      </c>
      <c r="K37" s="161">
        <f>VLOOKUP(B37,'[3]MASTER PART LIST'!$B:$D,3,FALSE)</f>
        <v>120</v>
      </c>
      <c r="L37" s="161">
        <f t="shared" ref="L37" si="4">K37+(H37*VLOOKUP(prov_cd,rate_table,2,FALSE))</f>
        <v>174.3</v>
      </c>
      <c r="M37" s="171"/>
      <c r="N37" s="187" t="s">
        <v>19</v>
      </c>
      <c r="O37" s="187" t="s">
        <v>19</v>
      </c>
      <c r="P37" s="187" t="s">
        <v>19</v>
      </c>
      <c r="Q37" s="187" t="s">
        <v>18</v>
      </c>
      <c r="R37" s="187"/>
      <c r="S37" s="187"/>
      <c r="T37" s="187"/>
      <c r="U37" s="110"/>
      <c r="V37" s="110"/>
      <c r="W37" s="104">
        <v>15</v>
      </c>
      <c r="X37" s="121"/>
      <c r="Y37" s="253"/>
      <c r="Z37" s="253"/>
      <c r="AA37" s="253"/>
      <c r="AB37" s="253"/>
      <c r="AC37" s="253"/>
      <c r="AD37" s="253"/>
      <c r="AE37" s="253"/>
      <c r="AF37" s="253"/>
      <c r="AG37" s="187"/>
      <c r="AH37" s="187"/>
      <c r="AI37" s="187"/>
      <c r="AJ37" s="269"/>
      <c r="AK37" s="269"/>
      <c r="AL37" s="187"/>
      <c r="AM37" s="187"/>
      <c r="AN37" s="187" t="s">
        <v>18</v>
      </c>
      <c r="AO37" s="187"/>
      <c r="AP37" s="187"/>
      <c r="AQ37" s="291"/>
      <c r="AR37" s="255"/>
    </row>
    <row r="38" spans="1:44" ht="15.6">
      <c r="B38" s="267" t="s">
        <v>363</v>
      </c>
      <c r="C38" s="102" t="str">
        <f t="shared" si="3"/>
        <v>08F59-THR-100A</v>
      </c>
      <c r="D38" s="102" t="s">
        <v>364</v>
      </c>
      <c r="E38" s="268" t="s">
        <v>365</v>
      </c>
      <c r="F38" s="307" t="s">
        <v>366</v>
      </c>
      <c r="G38" s="307" t="s">
        <v>367</v>
      </c>
      <c r="H38" s="280">
        <v>0.2</v>
      </c>
      <c r="I38" s="102"/>
      <c r="J38" s="158">
        <f>VLOOKUP(B38,'[3]MASTER PART LIST'!$B:$C,2,FALSE)</f>
        <v>142</v>
      </c>
      <c r="K38" s="161">
        <f>VLOOKUP(B38,'[3]MASTER PART LIST'!$B:$D,3,FALSE)</f>
        <v>203</v>
      </c>
      <c r="L38" s="161">
        <f t="shared" si="2"/>
        <v>239.2</v>
      </c>
      <c r="M38" s="171"/>
      <c r="N38" s="187" t="s">
        <v>18</v>
      </c>
      <c r="O38" s="187" t="s">
        <v>18</v>
      </c>
      <c r="P38" s="187" t="s">
        <v>18</v>
      </c>
      <c r="Q38" s="187" t="s">
        <v>18</v>
      </c>
      <c r="R38" s="187"/>
      <c r="S38" s="187"/>
      <c r="T38" s="187"/>
      <c r="U38" s="110"/>
      <c r="V38" s="110"/>
      <c r="W38" s="104">
        <v>16</v>
      </c>
      <c r="X38" s="121"/>
      <c r="Y38" s="253"/>
      <c r="Z38" s="253"/>
      <c r="AA38" s="253"/>
      <c r="AB38" s="253"/>
      <c r="AC38" s="253"/>
      <c r="AD38" s="253"/>
      <c r="AE38" s="253"/>
      <c r="AF38" s="253"/>
      <c r="AG38" s="187"/>
      <c r="AH38" s="187"/>
      <c r="AI38" s="187"/>
      <c r="AJ38" s="269"/>
      <c r="AK38" s="269"/>
      <c r="AL38" s="187"/>
      <c r="AM38" s="187"/>
      <c r="AN38" s="187" t="s">
        <v>18</v>
      </c>
      <c r="AO38" s="187"/>
      <c r="AP38" s="187"/>
      <c r="AQ38" s="291"/>
      <c r="AR38" s="255"/>
    </row>
    <row r="39" spans="1:44" ht="24">
      <c r="B39" s="267" t="s">
        <v>368</v>
      </c>
      <c r="C39" s="102" t="str">
        <f t="shared" si="3"/>
        <v>08P47-THR-301</v>
      </c>
      <c r="D39" s="102" t="s">
        <v>369</v>
      </c>
      <c r="E39" s="268" t="s">
        <v>370</v>
      </c>
      <c r="F39" s="307" t="s">
        <v>371</v>
      </c>
      <c r="G39" s="307" t="s">
        <v>372</v>
      </c>
      <c r="H39" s="280">
        <v>0.5</v>
      </c>
      <c r="I39" s="102"/>
      <c r="J39" s="158">
        <f>VLOOKUP(B39,'[3]MASTER PART LIST'!$B:$C,2,FALSE)</f>
        <v>210</v>
      </c>
      <c r="K39" s="161">
        <f>VLOOKUP(B39,'[3]MASTER PART LIST'!$B:$D,3,FALSE)</f>
        <v>350</v>
      </c>
      <c r="L39" s="161">
        <f t="shared" si="2"/>
        <v>440.5</v>
      </c>
      <c r="M39" s="171"/>
      <c r="N39" s="187" t="s">
        <v>18</v>
      </c>
      <c r="O39" s="187" t="s">
        <v>18</v>
      </c>
      <c r="P39" s="187" t="s">
        <v>18</v>
      </c>
      <c r="Q39" s="187" t="s">
        <v>18</v>
      </c>
      <c r="R39" s="187"/>
      <c r="S39" s="187"/>
      <c r="T39" s="187"/>
      <c r="U39" s="110"/>
      <c r="V39" s="110"/>
      <c r="W39" s="104">
        <v>53</v>
      </c>
      <c r="X39" s="121"/>
      <c r="Y39" s="253"/>
      <c r="Z39" s="253"/>
      <c r="AA39" s="253"/>
      <c r="AB39" s="253"/>
      <c r="AC39" s="253"/>
      <c r="AD39" s="253"/>
      <c r="AE39" s="253"/>
      <c r="AF39" s="253"/>
      <c r="AG39" s="187"/>
      <c r="AH39" s="187"/>
      <c r="AI39" s="187"/>
      <c r="AJ39" s="269"/>
      <c r="AK39" s="269"/>
      <c r="AL39" s="187" t="s">
        <v>18</v>
      </c>
      <c r="AM39" s="187"/>
      <c r="AN39" s="187"/>
      <c r="AO39" s="187"/>
      <c r="AP39" s="187"/>
      <c r="AQ39" s="291"/>
      <c r="AR39" s="255"/>
    </row>
    <row r="40" spans="1:44" ht="15.6">
      <c r="B40" s="267" t="s">
        <v>373</v>
      </c>
      <c r="C40" s="102" t="str">
        <f t="shared" si="3"/>
        <v>08F57-THR-101</v>
      </c>
      <c r="D40" s="102" t="s">
        <v>374</v>
      </c>
      <c r="E40" s="268" t="s">
        <v>375</v>
      </c>
      <c r="F40" s="307" t="s">
        <v>539</v>
      </c>
      <c r="G40" s="307" t="s">
        <v>540</v>
      </c>
      <c r="H40" s="280">
        <v>0.4</v>
      </c>
      <c r="I40" s="102"/>
      <c r="J40" s="158">
        <f>VLOOKUP(B40,'[3]MASTER PART LIST'!$B:$C,2,FALSE)</f>
        <v>50.99</v>
      </c>
      <c r="K40" s="161">
        <f>VLOOKUP(B40,'[3]MASTER PART LIST'!$B:$D,3,FALSE)</f>
        <v>220</v>
      </c>
      <c r="L40" s="161">
        <f t="shared" si="2"/>
        <v>292.39999999999998</v>
      </c>
      <c r="M40" s="171"/>
      <c r="N40" s="187" t="s">
        <v>18</v>
      </c>
      <c r="O40" s="187" t="s">
        <v>18</v>
      </c>
      <c r="P40" s="187" t="s">
        <v>18</v>
      </c>
      <c r="Q40" s="187" t="s">
        <v>18</v>
      </c>
      <c r="R40" s="187"/>
      <c r="S40" s="187"/>
      <c r="T40" s="187"/>
      <c r="U40" s="110"/>
      <c r="V40" s="110"/>
      <c r="W40" s="104">
        <v>12</v>
      </c>
      <c r="X40" s="121"/>
      <c r="Y40" s="253"/>
      <c r="Z40" s="253"/>
      <c r="AA40" s="253"/>
      <c r="AB40" s="253"/>
      <c r="AC40" s="253"/>
      <c r="AD40" s="253"/>
      <c r="AE40" s="253"/>
      <c r="AF40" s="253"/>
      <c r="AG40" s="187"/>
      <c r="AH40" s="187"/>
      <c r="AI40" s="187"/>
      <c r="AJ40" s="269"/>
      <c r="AK40" s="269"/>
      <c r="AL40" s="187"/>
      <c r="AM40" s="187"/>
      <c r="AN40" s="187" t="s">
        <v>18</v>
      </c>
      <c r="AO40" s="187"/>
      <c r="AP40" s="187"/>
      <c r="AQ40" s="291"/>
      <c r="AR40" s="255"/>
    </row>
    <row r="41" spans="1:44" ht="24">
      <c r="B41" s="267" t="s">
        <v>376</v>
      </c>
      <c r="C41" s="102" t="str">
        <f t="shared" si="3"/>
        <v>08R01-THR-301</v>
      </c>
      <c r="D41" s="102" t="s">
        <v>20</v>
      </c>
      <c r="E41" s="268" t="s">
        <v>377</v>
      </c>
      <c r="F41" s="307" t="s">
        <v>378</v>
      </c>
      <c r="G41" s="307" t="s">
        <v>379</v>
      </c>
      <c r="H41" s="280">
        <v>0.3</v>
      </c>
      <c r="I41" s="102"/>
      <c r="J41" s="158">
        <f>VLOOKUP(B41,'[3]MASTER PART LIST'!$B:$C,2,FALSE)</f>
        <v>176</v>
      </c>
      <c r="K41" s="161">
        <f>VLOOKUP(B41,'[3]MASTER PART LIST'!$B:$D,3,FALSE)</f>
        <v>293</v>
      </c>
      <c r="L41" s="161">
        <f t="shared" si="2"/>
        <v>347.3</v>
      </c>
      <c r="M41" s="171"/>
      <c r="N41" s="187" t="s">
        <v>18</v>
      </c>
      <c r="O41" s="187" t="s">
        <v>18</v>
      </c>
      <c r="P41" s="187" t="s">
        <v>18</v>
      </c>
      <c r="Q41" s="187" t="s">
        <v>18</v>
      </c>
      <c r="R41" s="187"/>
      <c r="S41" s="187"/>
      <c r="T41" s="187"/>
      <c r="U41" s="110"/>
      <c r="V41" s="110"/>
      <c r="W41" s="104">
        <v>10</v>
      </c>
      <c r="X41" s="121"/>
      <c r="Y41" s="253"/>
      <c r="Z41" s="253"/>
      <c r="AA41" s="253"/>
      <c r="AB41" s="253"/>
      <c r="AC41" s="253"/>
      <c r="AD41" s="253"/>
      <c r="AE41" s="253"/>
      <c r="AF41" s="253"/>
      <c r="AG41" s="187"/>
      <c r="AH41" s="187"/>
      <c r="AI41" s="187"/>
      <c r="AJ41" s="269"/>
      <c r="AK41" s="269"/>
      <c r="AL41" s="187" t="s">
        <v>18</v>
      </c>
      <c r="AM41" s="187"/>
      <c r="AN41" s="187"/>
      <c r="AO41" s="187"/>
      <c r="AP41" s="187"/>
      <c r="AQ41" s="291"/>
      <c r="AR41" s="255"/>
    </row>
    <row r="42" spans="1:44" ht="27.6">
      <c r="B42" s="267" t="s">
        <v>534</v>
      </c>
      <c r="C42" s="102" t="str">
        <f t="shared" si="3"/>
        <v>08P09-THR-300A</v>
      </c>
      <c r="D42" s="102" t="s">
        <v>380</v>
      </c>
      <c r="E42" s="268" t="s">
        <v>381</v>
      </c>
      <c r="F42" s="307" t="s">
        <v>382</v>
      </c>
      <c r="G42" s="307" t="s">
        <v>383</v>
      </c>
      <c r="H42" s="280">
        <v>0.4</v>
      </c>
      <c r="I42" s="102"/>
      <c r="J42" s="158">
        <f>VLOOKUP(B42,'[3]MASTER PART LIST'!$B:$C,2,FALSE)</f>
        <v>85</v>
      </c>
      <c r="K42" s="161">
        <f>VLOOKUP(B42,'[3]MASTER PART LIST'!$B:$D,3,FALSE)</f>
        <v>142</v>
      </c>
      <c r="L42" s="161">
        <f t="shared" si="2"/>
        <v>214.4</v>
      </c>
      <c r="M42" s="171"/>
      <c r="N42" s="187" t="s">
        <v>18</v>
      </c>
      <c r="O42" s="187" t="s">
        <v>18</v>
      </c>
      <c r="P42" s="187" t="s">
        <v>18</v>
      </c>
      <c r="Q42" s="187" t="s">
        <v>18</v>
      </c>
      <c r="R42" s="187"/>
      <c r="S42" s="187"/>
      <c r="T42" s="187"/>
      <c r="U42" s="110"/>
      <c r="V42" s="110"/>
      <c r="W42" s="104">
        <v>54</v>
      </c>
      <c r="X42" s="121"/>
      <c r="Y42" s="253"/>
      <c r="Z42" s="253"/>
      <c r="AA42" s="253"/>
      <c r="AB42" s="253"/>
      <c r="AC42" s="253"/>
      <c r="AD42" s="253"/>
      <c r="AE42" s="253"/>
      <c r="AF42" s="253"/>
      <c r="AG42" s="187"/>
      <c r="AH42" s="187"/>
      <c r="AI42" s="187"/>
      <c r="AJ42" s="269"/>
      <c r="AK42" s="269"/>
      <c r="AL42" s="187" t="s">
        <v>18</v>
      </c>
      <c r="AM42" s="187"/>
      <c r="AN42" s="187"/>
      <c r="AO42" s="187"/>
      <c r="AP42" s="187"/>
      <c r="AQ42" s="291"/>
      <c r="AR42" s="314" t="s">
        <v>560</v>
      </c>
    </row>
    <row r="43" spans="1:44" ht="48">
      <c r="B43" s="267" t="s">
        <v>238</v>
      </c>
      <c r="C43" s="102" t="str">
        <f t="shared" si="3"/>
        <v>08Z04-SCV-110B</v>
      </c>
      <c r="D43" s="102" t="s">
        <v>384</v>
      </c>
      <c r="E43" s="268" t="s">
        <v>239</v>
      </c>
      <c r="F43" s="307" t="s">
        <v>240</v>
      </c>
      <c r="G43" s="307" t="s">
        <v>241</v>
      </c>
      <c r="H43" s="280">
        <v>0</v>
      </c>
      <c r="I43" s="102"/>
      <c r="J43" s="158">
        <f>VLOOKUP(B43,'[3]MASTER PART LIST'!$B:$C,2,FALSE)</f>
        <v>490</v>
      </c>
      <c r="K43" s="161">
        <f>VLOOKUP(B43,'[3]MASTER PART LIST'!$B:$D,3,FALSE)</f>
        <v>700</v>
      </c>
      <c r="L43" s="161">
        <f t="shared" si="2"/>
        <v>700</v>
      </c>
      <c r="M43" s="187"/>
      <c r="N43" s="187" t="s">
        <v>18</v>
      </c>
      <c r="O43" s="187" t="s">
        <v>18</v>
      </c>
      <c r="P43" s="187" t="s">
        <v>18</v>
      </c>
      <c r="Q43" s="187" t="s">
        <v>18</v>
      </c>
      <c r="R43" s="187"/>
      <c r="S43" s="187"/>
      <c r="T43" s="187"/>
      <c r="U43" s="110"/>
      <c r="V43" s="110"/>
      <c r="W43" s="104">
        <v>52</v>
      </c>
      <c r="X43" s="121"/>
      <c r="Y43" s="253"/>
      <c r="Z43" s="253"/>
      <c r="AA43" s="253"/>
      <c r="AB43" s="253"/>
      <c r="AC43" s="253"/>
      <c r="AD43" s="253"/>
      <c r="AE43" s="253"/>
      <c r="AF43" s="253"/>
      <c r="AG43" s="187"/>
      <c r="AH43" s="187"/>
      <c r="AI43" s="187"/>
      <c r="AJ43" s="269"/>
      <c r="AK43" s="269"/>
      <c r="AL43" s="187" t="s">
        <v>18</v>
      </c>
      <c r="AM43" s="187"/>
      <c r="AN43" s="187"/>
      <c r="AO43" s="187"/>
      <c r="AP43" s="187"/>
      <c r="AQ43" s="255"/>
      <c r="AR43" s="291"/>
    </row>
    <row r="44" spans="1:44" ht="15.6" hidden="1">
      <c r="B44" s="267"/>
      <c r="C44" s="102"/>
      <c r="D44" s="268"/>
      <c r="E44" s="268"/>
      <c r="F44" s="307"/>
      <c r="G44" s="307"/>
      <c r="H44" s="280"/>
      <c r="I44" s="102"/>
      <c r="J44" s="158" t="e">
        <f>VLOOKUP(B44,'[3]MASTER PART LIST'!$B:$C,2,FALSE)</f>
        <v>#N/A</v>
      </c>
      <c r="K44" s="161" t="e">
        <f>VLOOKUP(B44,'[3]MASTER PART LIST'!$B:$D,3,FALSE)</f>
        <v>#N/A</v>
      </c>
      <c r="L44" s="161" t="e">
        <f t="shared" ref="L44:L50" si="5">K44+(H44*VLOOKUP(prov_cd,rate_table,2,FALSE))</f>
        <v>#N/A</v>
      </c>
      <c r="M44" s="171"/>
      <c r="N44" s="187"/>
      <c r="O44" s="187"/>
      <c r="P44" s="187"/>
      <c r="Q44" s="187"/>
      <c r="R44" s="187"/>
      <c r="S44" s="187"/>
      <c r="T44" s="187"/>
      <c r="U44" s="110"/>
      <c r="V44" s="110"/>
      <c r="W44" s="104"/>
      <c r="X44" s="121"/>
      <c r="Y44" s="253"/>
      <c r="Z44" s="253"/>
      <c r="AA44" s="253"/>
      <c r="AB44" s="253"/>
      <c r="AC44" s="253"/>
      <c r="AD44" s="253"/>
      <c r="AE44" s="253"/>
      <c r="AF44" s="253"/>
      <c r="AG44" s="187"/>
      <c r="AH44" s="187"/>
      <c r="AI44" s="187"/>
      <c r="AJ44" s="269"/>
      <c r="AK44" s="269"/>
      <c r="AL44" s="187"/>
      <c r="AM44" s="187"/>
      <c r="AN44" s="187"/>
      <c r="AO44" s="187"/>
      <c r="AP44" s="187"/>
      <c r="AQ44" s="255"/>
      <c r="AR44" s="291"/>
    </row>
    <row r="45" spans="1:44" ht="27.6" hidden="1">
      <c r="B45" s="276" t="s">
        <v>484</v>
      </c>
      <c r="C45" s="259" t="s">
        <v>165</v>
      </c>
      <c r="D45" s="259" t="s">
        <v>482</v>
      </c>
      <c r="E45" s="259" t="s">
        <v>483</v>
      </c>
      <c r="F45" s="308"/>
      <c r="G45" s="308"/>
      <c r="H45" s="273"/>
      <c r="I45" s="276"/>
      <c r="J45" s="299"/>
      <c r="K45" s="278"/>
      <c r="L45" s="278"/>
      <c r="M45" s="272"/>
      <c r="N45" s="272"/>
      <c r="O45" s="272"/>
      <c r="P45" s="272"/>
      <c r="Q45" s="272"/>
      <c r="R45" s="272"/>
      <c r="S45" s="272"/>
      <c r="T45" s="272"/>
      <c r="U45" s="261"/>
      <c r="V45" s="261"/>
      <c r="W45" s="104"/>
      <c r="X45" s="270"/>
      <c r="Y45" s="271"/>
      <c r="Z45" s="271"/>
      <c r="AA45" s="271"/>
      <c r="AB45" s="271"/>
      <c r="AC45" s="271"/>
      <c r="AD45" s="271"/>
      <c r="AE45" s="271"/>
      <c r="AF45" s="271"/>
      <c r="AG45" s="272"/>
      <c r="AH45" s="272"/>
      <c r="AI45" s="272"/>
      <c r="AJ45" s="272"/>
      <c r="AK45" s="272"/>
      <c r="AL45" s="272"/>
      <c r="AM45" s="272"/>
      <c r="AN45" s="272"/>
      <c r="AO45" s="272"/>
      <c r="AP45" s="272"/>
      <c r="AQ45" s="274"/>
      <c r="AR45" s="274"/>
    </row>
    <row r="46" spans="1:44" ht="51">
      <c r="B46" s="267" t="s">
        <v>535</v>
      </c>
      <c r="C46" s="102" t="str">
        <f>B46</f>
        <v>08L92-THR-300A</v>
      </c>
      <c r="D46" s="268" t="s">
        <v>207</v>
      </c>
      <c r="E46" s="268" t="s">
        <v>388</v>
      </c>
      <c r="F46" s="307" t="s">
        <v>389</v>
      </c>
      <c r="G46" s="307" t="s">
        <v>390</v>
      </c>
      <c r="H46" s="280">
        <v>1.5</v>
      </c>
      <c r="I46" s="102"/>
      <c r="J46" s="158">
        <f>VLOOKUP(B46,'[3]MASTER PART LIST'!$B:$C,2,FALSE)</f>
        <v>591</v>
      </c>
      <c r="K46" s="161">
        <f>VLOOKUP(B46,'[3]MASTER PART LIST'!$B:$D,3,FALSE)</f>
        <v>985</v>
      </c>
      <c r="L46" s="161">
        <f t="shared" si="5"/>
        <v>1256.5</v>
      </c>
      <c r="M46" s="187"/>
      <c r="N46" s="187" t="s">
        <v>18</v>
      </c>
      <c r="O46" s="187" t="s">
        <v>18</v>
      </c>
      <c r="P46" s="187" t="s">
        <v>18</v>
      </c>
      <c r="Q46" s="187" t="s">
        <v>18</v>
      </c>
      <c r="R46" s="187"/>
      <c r="S46" s="187"/>
      <c r="T46" s="187"/>
      <c r="U46" s="110" t="s">
        <v>391</v>
      </c>
      <c r="V46" s="110" t="s">
        <v>392</v>
      </c>
      <c r="W46" s="104">
        <v>22</v>
      </c>
      <c r="X46" s="281"/>
      <c r="Y46" s="253"/>
      <c r="Z46" s="253"/>
      <c r="AA46" s="253"/>
      <c r="AB46" s="253"/>
      <c r="AC46" s="253"/>
      <c r="AD46" s="253"/>
      <c r="AE46" s="253"/>
      <c r="AF46" s="253"/>
      <c r="AG46" s="187"/>
      <c r="AH46" s="187"/>
      <c r="AI46" s="187"/>
      <c r="AJ46" s="187"/>
      <c r="AK46" s="187"/>
      <c r="AL46" s="187" t="s">
        <v>18</v>
      </c>
      <c r="AM46" s="187"/>
      <c r="AN46" s="187"/>
      <c r="AO46" s="187"/>
      <c r="AP46" s="187"/>
      <c r="AQ46" s="255"/>
      <c r="AR46" s="314" t="s">
        <v>558</v>
      </c>
    </row>
    <row r="47" spans="1:44" ht="27.6">
      <c r="B47" s="267" t="s">
        <v>385</v>
      </c>
      <c r="C47" s="102" t="str">
        <f t="shared" ref="C47:C53" si="6">B47</f>
        <v>08L92-SCV-300A</v>
      </c>
      <c r="D47" s="268" t="s">
        <v>210</v>
      </c>
      <c r="E47" s="268" t="s">
        <v>211</v>
      </c>
      <c r="F47" s="307" t="s">
        <v>210</v>
      </c>
      <c r="G47" s="307" t="s">
        <v>211</v>
      </c>
      <c r="H47" s="280">
        <v>0</v>
      </c>
      <c r="I47" s="102"/>
      <c r="J47" s="158">
        <f>VLOOKUP(B47,'[3]MASTER PART LIST'!$B:$C,2,FALSE)</f>
        <v>29</v>
      </c>
      <c r="K47" s="161">
        <f>VLOOKUP(B47,'[3]MASTER PART LIST'!$B:$D,3,FALSE)</f>
        <v>48</v>
      </c>
      <c r="L47" s="161">
        <f t="shared" si="5"/>
        <v>48</v>
      </c>
      <c r="M47" s="187"/>
      <c r="N47" s="187" t="s">
        <v>18</v>
      </c>
      <c r="O47" s="187" t="s">
        <v>18</v>
      </c>
      <c r="P47" s="187" t="s">
        <v>18</v>
      </c>
      <c r="Q47" s="187" t="s">
        <v>18</v>
      </c>
      <c r="R47" s="187"/>
      <c r="S47" s="187"/>
      <c r="T47" s="187"/>
      <c r="U47" s="110"/>
      <c r="V47" s="110"/>
      <c r="W47" s="104">
        <v>23</v>
      </c>
      <c r="X47" s="281"/>
      <c r="Y47" s="253"/>
      <c r="Z47" s="253"/>
      <c r="AA47" s="253"/>
      <c r="AB47" s="253"/>
      <c r="AC47" s="253"/>
      <c r="AD47" s="253"/>
      <c r="AE47" s="253"/>
      <c r="AF47" s="253"/>
      <c r="AG47" s="187"/>
      <c r="AH47" s="187"/>
      <c r="AI47" s="187"/>
      <c r="AJ47" s="187"/>
      <c r="AK47" s="187"/>
      <c r="AL47" s="187" t="s">
        <v>18</v>
      </c>
      <c r="AM47" s="187"/>
      <c r="AN47" s="187"/>
      <c r="AO47" s="187"/>
      <c r="AP47" s="187"/>
      <c r="AQ47" s="255" t="s">
        <v>497</v>
      </c>
      <c r="AR47" s="314" t="s">
        <v>558</v>
      </c>
    </row>
    <row r="48" spans="1:44" ht="27.6">
      <c r="B48" s="267" t="s">
        <v>386</v>
      </c>
      <c r="C48" s="102" t="str">
        <f t="shared" si="6"/>
        <v>08L92-SCV-100B</v>
      </c>
      <c r="D48" s="268" t="s">
        <v>212</v>
      </c>
      <c r="E48" s="268" t="s">
        <v>213</v>
      </c>
      <c r="F48" s="307" t="s">
        <v>212</v>
      </c>
      <c r="G48" s="307" t="s">
        <v>213</v>
      </c>
      <c r="H48" s="282">
        <v>0</v>
      </c>
      <c r="I48" s="102"/>
      <c r="J48" s="158">
        <f>VLOOKUP(B48,'[3]MASTER PART LIST'!$B:$C,2,FALSE)</f>
        <v>29</v>
      </c>
      <c r="K48" s="161">
        <f>VLOOKUP(B48,'[3]MASTER PART LIST'!$B:$D,3,FALSE)</f>
        <v>48</v>
      </c>
      <c r="L48" s="161">
        <f t="shared" si="5"/>
        <v>48</v>
      </c>
      <c r="M48" s="187"/>
      <c r="N48" s="187" t="s">
        <v>18</v>
      </c>
      <c r="O48" s="187" t="s">
        <v>18</v>
      </c>
      <c r="P48" s="187" t="s">
        <v>18</v>
      </c>
      <c r="Q48" s="187" t="s">
        <v>18</v>
      </c>
      <c r="R48" s="187"/>
      <c r="S48" s="187"/>
      <c r="T48" s="187"/>
      <c r="U48" s="110"/>
      <c r="V48" s="110"/>
      <c r="W48" s="104">
        <v>24</v>
      </c>
      <c r="X48" s="281"/>
      <c r="Y48" s="253"/>
      <c r="Z48" s="253"/>
      <c r="AA48" s="253"/>
      <c r="AB48" s="253"/>
      <c r="AC48" s="253"/>
      <c r="AD48" s="253"/>
      <c r="AE48" s="253"/>
      <c r="AF48" s="253"/>
      <c r="AG48" s="187"/>
      <c r="AH48" s="187"/>
      <c r="AI48" s="187"/>
      <c r="AJ48" s="187"/>
      <c r="AK48" s="187"/>
      <c r="AL48" s="187" t="s">
        <v>18</v>
      </c>
      <c r="AM48" s="187"/>
      <c r="AN48" s="187"/>
      <c r="AO48" s="187"/>
      <c r="AP48" s="187"/>
      <c r="AQ48" s="255" t="s">
        <v>497</v>
      </c>
      <c r="AR48" s="314" t="s">
        <v>558</v>
      </c>
    </row>
    <row r="49" spans="1:44" ht="27.6">
      <c r="B49" s="267" t="s">
        <v>387</v>
      </c>
      <c r="C49" s="258" t="str">
        <f t="shared" si="6"/>
        <v>08L91-THR-300</v>
      </c>
      <c r="D49" s="268" t="s">
        <v>208</v>
      </c>
      <c r="E49" s="268" t="s">
        <v>209</v>
      </c>
      <c r="F49" s="307"/>
      <c r="G49" s="307"/>
      <c r="H49" s="280">
        <v>0.8</v>
      </c>
      <c r="I49" s="102"/>
      <c r="J49" s="158">
        <f>VLOOKUP(B49,'[3]MASTER PART LIST'!$B:$C,2,FALSE)</f>
        <v>167</v>
      </c>
      <c r="K49" s="161">
        <f>VLOOKUP(B49,'[3]MASTER PART LIST'!$B:$D,3,FALSE)</f>
        <v>278</v>
      </c>
      <c r="L49" s="161">
        <f t="shared" si="5"/>
        <v>422.8</v>
      </c>
      <c r="M49" s="187"/>
      <c r="N49" s="187" t="s">
        <v>18</v>
      </c>
      <c r="O49" s="187" t="s">
        <v>18</v>
      </c>
      <c r="P49" s="187" t="s">
        <v>18</v>
      </c>
      <c r="Q49" s="187" t="s">
        <v>18</v>
      </c>
      <c r="R49" s="187"/>
      <c r="S49" s="187"/>
      <c r="T49" s="187"/>
      <c r="U49" s="110"/>
      <c r="V49" s="110"/>
      <c r="W49" s="104">
        <v>25</v>
      </c>
      <c r="X49" s="266"/>
      <c r="Y49" s="280"/>
      <c r="Z49" s="280"/>
      <c r="AA49" s="280"/>
      <c r="AB49" s="280"/>
      <c r="AC49" s="280"/>
      <c r="AD49" s="280"/>
      <c r="AE49" s="280"/>
      <c r="AF49" s="280"/>
      <c r="AG49" s="269"/>
      <c r="AH49" s="269"/>
      <c r="AI49" s="269"/>
      <c r="AJ49" s="187"/>
      <c r="AK49" s="269"/>
      <c r="AL49" s="187" t="s">
        <v>18</v>
      </c>
      <c r="AM49" s="269"/>
      <c r="AN49" s="269"/>
      <c r="AO49" s="269"/>
      <c r="AP49" s="269"/>
      <c r="AQ49" s="255" t="s">
        <v>497</v>
      </c>
      <c r="AR49" s="314" t="s">
        <v>558</v>
      </c>
    </row>
    <row r="50" spans="1:44" ht="27.6">
      <c r="B50" s="267" t="s">
        <v>206</v>
      </c>
      <c r="C50" s="102" t="str">
        <f t="shared" si="6"/>
        <v>08L92-SJC-300A</v>
      </c>
      <c r="D50" s="268" t="s">
        <v>214</v>
      </c>
      <c r="E50" s="268" t="s">
        <v>215</v>
      </c>
      <c r="F50" s="311" t="s">
        <v>216</v>
      </c>
      <c r="G50" s="307" t="s">
        <v>217</v>
      </c>
      <c r="H50" s="280">
        <v>0</v>
      </c>
      <c r="I50" s="102"/>
      <c r="J50" s="158">
        <f>VLOOKUP(B50,'[3]MASTER PART LIST'!$B:$C,2,FALSE)</f>
        <v>109</v>
      </c>
      <c r="K50" s="161">
        <f>VLOOKUP(B50,'[3]MASTER PART LIST'!$B:$D,3,FALSE)</f>
        <v>168</v>
      </c>
      <c r="L50" s="161">
        <f t="shared" si="5"/>
        <v>168</v>
      </c>
      <c r="M50" s="187"/>
      <c r="N50" s="187" t="s">
        <v>18</v>
      </c>
      <c r="O50" s="187" t="s">
        <v>18</v>
      </c>
      <c r="P50" s="187" t="s">
        <v>18</v>
      </c>
      <c r="Q50" s="187" t="s">
        <v>18</v>
      </c>
      <c r="R50" s="187"/>
      <c r="S50" s="187"/>
      <c r="T50" s="187"/>
      <c r="U50" s="110"/>
      <c r="V50" s="110"/>
      <c r="W50" s="104">
        <v>26</v>
      </c>
      <c r="X50" s="281"/>
      <c r="Y50" s="253"/>
      <c r="Z50" s="253"/>
      <c r="AA50" s="253"/>
      <c r="AB50" s="253"/>
      <c r="AC50" s="253"/>
      <c r="AD50" s="253"/>
      <c r="AE50" s="253"/>
      <c r="AF50" s="253"/>
      <c r="AG50" s="187"/>
      <c r="AH50" s="187"/>
      <c r="AI50" s="187"/>
      <c r="AJ50" s="187"/>
      <c r="AK50" s="187"/>
      <c r="AL50" s="187" t="s">
        <v>18</v>
      </c>
      <c r="AM50" s="187"/>
      <c r="AN50" s="187"/>
      <c r="AO50" s="187"/>
      <c r="AP50" s="187"/>
      <c r="AQ50" s="255" t="s">
        <v>497</v>
      </c>
      <c r="AR50" s="314" t="s">
        <v>558</v>
      </c>
    </row>
    <row r="51" spans="1:44" ht="36">
      <c r="B51" s="267" t="s">
        <v>290</v>
      </c>
      <c r="C51" s="102" t="str">
        <f t="shared" si="6"/>
        <v>08L02-THR-102</v>
      </c>
      <c r="D51" s="102" t="s">
        <v>490</v>
      </c>
      <c r="E51" s="268" t="s">
        <v>491</v>
      </c>
      <c r="F51" s="307" t="s">
        <v>291</v>
      </c>
      <c r="G51" s="311" t="s">
        <v>292</v>
      </c>
      <c r="H51" s="282">
        <v>1</v>
      </c>
      <c r="I51" s="102"/>
      <c r="J51" s="158">
        <f>VLOOKUP(B51,'[3]MASTER PART LIST'!$B:$C,2,FALSE)</f>
        <v>472</v>
      </c>
      <c r="K51" s="161">
        <f>VLOOKUP(B51,'[3]MASTER PART LIST'!$B:$D,3,FALSE)</f>
        <v>787</v>
      </c>
      <c r="L51" s="161">
        <f t="shared" ref="L51:L63" si="7">K51+(H51*VLOOKUP(prov_cd,rate_table,2,FALSE))</f>
        <v>968</v>
      </c>
      <c r="M51" s="187"/>
      <c r="N51" s="187" t="s">
        <v>18</v>
      </c>
      <c r="O51" s="187" t="s">
        <v>18</v>
      </c>
      <c r="P51" s="187" t="s">
        <v>18</v>
      </c>
      <c r="Q51" s="187" t="s">
        <v>18</v>
      </c>
      <c r="R51" s="187"/>
      <c r="S51" s="187"/>
      <c r="T51" s="187"/>
      <c r="U51" s="110"/>
      <c r="V51" s="110"/>
      <c r="W51" s="104">
        <v>29</v>
      </c>
      <c r="X51" s="281"/>
      <c r="Y51" s="253"/>
      <c r="Z51" s="253"/>
      <c r="AA51" s="253"/>
      <c r="AB51" s="253"/>
      <c r="AC51" s="253"/>
      <c r="AD51" s="253"/>
      <c r="AE51" s="253"/>
      <c r="AF51" s="253"/>
      <c r="AG51" s="187"/>
      <c r="AH51" s="187"/>
      <c r="AI51" s="187"/>
      <c r="AJ51" s="187"/>
      <c r="AK51" s="187"/>
      <c r="AL51" s="187" t="s">
        <v>18</v>
      </c>
      <c r="AM51" s="187"/>
      <c r="AN51" s="187"/>
      <c r="AO51" s="187"/>
      <c r="AP51" s="187"/>
      <c r="AQ51" s="255"/>
      <c r="AR51" s="255" t="s">
        <v>505</v>
      </c>
    </row>
    <row r="52" spans="1:44" ht="36">
      <c r="B52" s="267" t="s">
        <v>293</v>
      </c>
      <c r="C52" s="102" t="str">
        <f t="shared" si="6"/>
        <v>08L02-THR-102A</v>
      </c>
      <c r="D52" s="102" t="s">
        <v>294</v>
      </c>
      <c r="E52" s="268" t="s">
        <v>492</v>
      </c>
      <c r="F52" s="307" t="s">
        <v>291</v>
      </c>
      <c r="G52" s="311" t="s">
        <v>292</v>
      </c>
      <c r="H52" s="282">
        <v>1</v>
      </c>
      <c r="I52" s="102"/>
      <c r="J52" s="158">
        <f>VLOOKUP(B52,'[3]MASTER PART LIST'!$B:$C,2,FALSE)</f>
        <v>673</v>
      </c>
      <c r="K52" s="161">
        <f>VLOOKUP(B52,'[3]MASTER PART LIST'!$B:$D,3,FALSE)</f>
        <v>1035</v>
      </c>
      <c r="L52" s="161">
        <f t="shared" ref="L52" si="8">K52+(H52*VLOOKUP(prov_cd,rate_table,2,FALSE))</f>
        <v>1216</v>
      </c>
      <c r="M52" s="187"/>
      <c r="N52" s="187" t="s">
        <v>18</v>
      </c>
      <c r="O52" s="187" t="s">
        <v>18</v>
      </c>
      <c r="P52" s="187" t="s">
        <v>18</v>
      </c>
      <c r="Q52" s="187" t="s">
        <v>18</v>
      </c>
      <c r="R52" s="187"/>
      <c r="S52" s="187"/>
      <c r="T52" s="187"/>
      <c r="U52" s="110"/>
      <c r="V52" s="110"/>
      <c r="W52" s="104">
        <v>30</v>
      </c>
      <c r="X52" s="281"/>
      <c r="Y52" s="253"/>
      <c r="Z52" s="253"/>
      <c r="AA52" s="253"/>
      <c r="AB52" s="253"/>
      <c r="AC52" s="253"/>
      <c r="AD52" s="253"/>
      <c r="AE52" s="253"/>
      <c r="AF52" s="253"/>
      <c r="AG52" s="187"/>
      <c r="AH52" s="187"/>
      <c r="AI52" s="187"/>
      <c r="AJ52" s="187"/>
      <c r="AK52" s="187"/>
      <c r="AL52" s="187" t="s">
        <v>18</v>
      </c>
      <c r="AM52" s="187"/>
      <c r="AN52" s="187"/>
      <c r="AO52" s="187"/>
      <c r="AP52" s="187"/>
      <c r="AQ52" s="255"/>
      <c r="AR52" s="255" t="s">
        <v>503</v>
      </c>
    </row>
    <row r="53" spans="1:44" ht="41.4">
      <c r="B53" s="267" t="s">
        <v>295</v>
      </c>
      <c r="C53" s="102" t="str">
        <f t="shared" si="6"/>
        <v>08L04-THR-100</v>
      </c>
      <c r="D53" s="102" t="s">
        <v>489</v>
      </c>
      <c r="E53" s="268" t="s">
        <v>493</v>
      </c>
      <c r="F53" s="307" t="s">
        <v>296</v>
      </c>
      <c r="G53" s="311" t="s">
        <v>221</v>
      </c>
      <c r="H53" s="280">
        <v>0.2</v>
      </c>
      <c r="I53" s="102"/>
      <c r="J53" s="158">
        <f>VLOOKUP(B53,'[3]MASTER PART LIST'!$B:$C,2,FALSE)</f>
        <v>222</v>
      </c>
      <c r="K53" s="161">
        <f>VLOOKUP(B53,'[3]MASTER PART LIST'!$B:$D,3,FALSE)</f>
        <v>370</v>
      </c>
      <c r="L53" s="161">
        <f t="shared" si="7"/>
        <v>406.2</v>
      </c>
      <c r="M53" s="187"/>
      <c r="N53" s="187" t="s">
        <v>18</v>
      </c>
      <c r="O53" s="187" t="s">
        <v>18</v>
      </c>
      <c r="P53" s="187" t="s">
        <v>18</v>
      </c>
      <c r="Q53" s="187" t="s">
        <v>18</v>
      </c>
      <c r="R53" s="187"/>
      <c r="S53" s="187"/>
      <c r="T53" s="187"/>
      <c r="U53" s="110" t="s">
        <v>543</v>
      </c>
      <c r="V53" s="110" t="s">
        <v>542</v>
      </c>
      <c r="W53" s="104">
        <v>31</v>
      </c>
      <c r="X53" s="281"/>
      <c r="Y53" s="253"/>
      <c r="Z53" s="253"/>
      <c r="AA53" s="253"/>
      <c r="AB53" s="253"/>
      <c r="AC53" s="253"/>
      <c r="AD53" s="253"/>
      <c r="AE53" s="253"/>
      <c r="AF53" s="253"/>
      <c r="AG53" s="187"/>
      <c r="AH53" s="187"/>
      <c r="AI53" s="187"/>
      <c r="AJ53" s="187"/>
      <c r="AK53" s="187"/>
      <c r="AL53" s="187" t="s">
        <v>18</v>
      </c>
      <c r="AM53" s="187"/>
      <c r="AN53" s="187"/>
      <c r="AO53" s="187"/>
      <c r="AP53" s="187"/>
      <c r="AQ53" s="314" t="s">
        <v>504</v>
      </c>
      <c r="AR53" s="255"/>
    </row>
    <row r="54" spans="1:44" ht="15.6" hidden="1">
      <c r="B54" s="189" t="s">
        <v>194</v>
      </c>
      <c r="C54" s="276" t="s">
        <v>265</v>
      </c>
      <c r="D54" s="259" t="s">
        <v>195</v>
      </c>
      <c r="E54" s="259" t="s">
        <v>196</v>
      </c>
      <c r="F54" s="308"/>
      <c r="G54" s="308"/>
      <c r="H54" s="283"/>
      <c r="I54" s="276"/>
      <c r="J54" s="277"/>
      <c r="K54" s="278"/>
      <c r="L54" s="278"/>
      <c r="M54" s="272"/>
      <c r="N54" s="272"/>
      <c r="O54" s="272"/>
      <c r="P54" s="272"/>
      <c r="Q54" s="272"/>
      <c r="R54" s="272"/>
      <c r="S54" s="272"/>
      <c r="T54" s="272"/>
      <c r="U54" s="261"/>
      <c r="V54" s="261"/>
      <c r="W54" s="271"/>
      <c r="X54" s="270"/>
      <c r="Y54" s="271"/>
      <c r="Z54" s="271"/>
      <c r="AA54" s="271"/>
      <c r="AB54" s="271"/>
      <c r="AC54" s="271"/>
      <c r="AD54" s="271"/>
      <c r="AE54" s="271"/>
      <c r="AF54" s="271"/>
      <c r="AG54" s="272"/>
      <c r="AH54" s="272"/>
      <c r="AI54" s="272"/>
      <c r="AJ54" s="272"/>
      <c r="AK54" s="272"/>
      <c r="AL54" s="272"/>
      <c r="AM54" s="272"/>
      <c r="AN54" s="272"/>
      <c r="AO54" s="272"/>
      <c r="AP54" s="272"/>
      <c r="AQ54" s="274"/>
      <c r="AR54" s="293"/>
    </row>
    <row r="55" spans="1:44" ht="48">
      <c r="B55" s="267" t="s">
        <v>184</v>
      </c>
      <c r="C55" s="267" t="str">
        <f t="shared" ref="C55:C62" si="9">B55</f>
        <v>08L20-E09-101C</v>
      </c>
      <c r="D55" s="268" t="s">
        <v>190</v>
      </c>
      <c r="E55" s="268" t="s">
        <v>222</v>
      </c>
      <c r="F55" s="311" t="s">
        <v>509</v>
      </c>
      <c r="G55" s="307" t="s">
        <v>510</v>
      </c>
      <c r="H55" s="292">
        <v>0.4</v>
      </c>
      <c r="I55" s="102"/>
      <c r="J55" s="158">
        <f>VLOOKUP(B55,'[3]MASTER PART LIST'!$B:$C,2,FALSE)</f>
        <v>586</v>
      </c>
      <c r="K55" s="161">
        <f>VLOOKUP(B55,'[3]MASTER PART LIST'!$B:$D,3,FALSE)</f>
        <v>977</v>
      </c>
      <c r="L55" s="161">
        <f t="shared" si="7"/>
        <v>1049.4000000000001</v>
      </c>
      <c r="M55" s="187"/>
      <c r="N55" s="187" t="s">
        <v>18</v>
      </c>
      <c r="O55" s="187" t="s">
        <v>18</v>
      </c>
      <c r="P55" s="187" t="s">
        <v>18</v>
      </c>
      <c r="Q55" s="187" t="s">
        <v>18</v>
      </c>
      <c r="R55" s="187"/>
      <c r="S55" s="187"/>
      <c r="T55" s="187"/>
      <c r="U55" s="110" t="s">
        <v>288</v>
      </c>
      <c r="V55" s="110" t="s">
        <v>289</v>
      </c>
      <c r="W55" s="104">
        <v>32</v>
      </c>
      <c r="X55" s="281"/>
      <c r="Y55" s="253"/>
      <c r="Z55" s="253"/>
      <c r="AA55" s="253"/>
      <c r="AB55" s="253"/>
      <c r="AC55" s="253"/>
      <c r="AD55" s="253"/>
      <c r="AE55" s="253"/>
      <c r="AF55" s="253"/>
      <c r="AG55" s="187"/>
      <c r="AH55" s="187"/>
      <c r="AI55" s="187"/>
      <c r="AJ55" s="187"/>
      <c r="AK55" s="187"/>
      <c r="AL55" s="187" t="s">
        <v>18</v>
      </c>
      <c r="AM55" s="187"/>
      <c r="AN55" s="187"/>
      <c r="AO55" s="187"/>
      <c r="AP55" s="317"/>
      <c r="AQ55" s="315" t="s">
        <v>506</v>
      </c>
      <c r="AR55" s="294"/>
    </row>
    <row r="56" spans="1:44" ht="36">
      <c r="B56" s="267" t="s">
        <v>223</v>
      </c>
      <c r="C56" s="267" t="str">
        <f t="shared" si="9"/>
        <v>08L07-E09-300A</v>
      </c>
      <c r="D56" s="268" t="s">
        <v>224</v>
      </c>
      <c r="E56" s="268" t="s">
        <v>225</v>
      </c>
      <c r="F56" s="311" t="s">
        <v>511</v>
      </c>
      <c r="G56" s="307" t="s">
        <v>226</v>
      </c>
      <c r="H56" s="292">
        <v>0.4</v>
      </c>
      <c r="I56" s="102"/>
      <c r="J56" s="158">
        <f>VLOOKUP(B56,'[3]MASTER PART LIST'!$B:$C,2,FALSE)</f>
        <v>300</v>
      </c>
      <c r="K56" s="161">
        <f>VLOOKUP(B56,'[3]MASTER PART LIST'!$B:$D,3,FALSE)</f>
        <v>500</v>
      </c>
      <c r="L56" s="161">
        <f t="shared" si="7"/>
        <v>572.4</v>
      </c>
      <c r="M56" s="187"/>
      <c r="N56" s="187" t="s">
        <v>18</v>
      </c>
      <c r="O56" s="187" t="s">
        <v>18</v>
      </c>
      <c r="P56" s="187" t="s">
        <v>18</v>
      </c>
      <c r="Q56" s="187" t="s">
        <v>18</v>
      </c>
      <c r="R56" s="187"/>
      <c r="S56" s="187"/>
      <c r="T56" s="187"/>
      <c r="U56" s="110" t="s">
        <v>288</v>
      </c>
      <c r="V56" s="110" t="s">
        <v>289</v>
      </c>
      <c r="W56" s="104">
        <v>47</v>
      </c>
      <c r="X56" s="281"/>
      <c r="Y56" s="253"/>
      <c r="Z56" s="253"/>
      <c r="AA56" s="253"/>
      <c r="AB56" s="253"/>
      <c r="AC56" s="253"/>
      <c r="AD56" s="253"/>
      <c r="AE56" s="253"/>
      <c r="AF56" s="253"/>
      <c r="AG56" s="187"/>
      <c r="AH56" s="187"/>
      <c r="AI56" s="187"/>
      <c r="AJ56" s="187"/>
      <c r="AK56" s="187"/>
      <c r="AL56" s="187" t="s">
        <v>18</v>
      </c>
      <c r="AM56" s="187"/>
      <c r="AN56" s="187"/>
      <c r="AO56" s="187"/>
      <c r="AP56" s="317"/>
      <c r="AQ56" s="315" t="s">
        <v>506</v>
      </c>
      <c r="AR56" s="294"/>
    </row>
    <row r="57" spans="1:44" ht="30.6">
      <c r="B57" s="267" t="s">
        <v>185</v>
      </c>
      <c r="C57" s="267" t="str">
        <f t="shared" si="9"/>
        <v>08L07-E09-101</v>
      </c>
      <c r="D57" s="268" t="s">
        <v>227</v>
      </c>
      <c r="E57" s="268" t="s">
        <v>228</v>
      </c>
      <c r="F57" s="311" t="s">
        <v>229</v>
      </c>
      <c r="G57" s="307" t="s">
        <v>230</v>
      </c>
      <c r="H57" s="292">
        <v>0.6</v>
      </c>
      <c r="I57" s="102"/>
      <c r="J57" s="158">
        <f>VLOOKUP(B57,'[3]MASTER PART LIST'!$B:$C,2,FALSE)</f>
        <v>393</v>
      </c>
      <c r="K57" s="161">
        <f>VLOOKUP(B57,'[3]MASTER PART LIST'!$B:$D,3,FALSE)</f>
        <v>561</v>
      </c>
      <c r="L57" s="161">
        <f t="shared" si="7"/>
        <v>669.6</v>
      </c>
      <c r="M57" s="187"/>
      <c r="N57" s="187" t="s">
        <v>18</v>
      </c>
      <c r="O57" s="187" t="s">
        <v>18</v>
      </c>
      <c r="P57" s="187" t="s">
        <v>18</v>
      </c>
      <c r="Q57" s="187" t="s">
        <v>18</v>
      </c>
      <c r="R57" s="187"/>
      <c r="S57" s="187"/>
      <c r="T57" s="187"/>
      <c r="U57" s="110" t="s">
        <v>288</v>
      </c>
      <c r="V57" s="110" t="s">
        <v>289</v>
      </c>
      <c r="W57" s="104">
        <v>33</v>
      </c>
      <c r="X57" s="281"/>
      <c r="Y57" s="253"/>
      <c r="Z57" s="253"/>
      <c r="AA57" s="253"/>
      <c r="AB57" s="253"/>
      <c r="AC57" s="253"/>
      <c r="AD57" s="253"/>
      <c r="AE57" s="253"/>
      <c r="AF57" s="253"/>
      <c r="AG57" s="187"/>
      <c r="AH57" s="187"/>
      <c r="AI57" s="187"/>
      <c r="AJ57" s="187"/>
      <c r="AK57" s="187"/>
      <c r="AL57" s="187" t="s">
        <v>18</v>
      </c>
      <c r="AM57" s="187"/>
      <c r="AN57" s="187"/>
      <c r="AO57" s="187"/>
      <c r="AP57" s="317"/>
      <c r="AQ57" s="315" t="s">
        <v>506</v>
      </c>
      <c r="AR57" s="294"/>
    </row>
    <row r="58" spans="1:44" ht="48">
      <c r="B58" s="267" t="s">
        <v>182</v>
      </c>
      <c r="C58" s="267" t="str">
        <f t="shared" si="9"/>
        <v>08L20-E09-300A</v>
      </c>
      <c r="D58" s="268" t="s">
        <v>231</v>
      </c>
      <c r="E58" s="268" t="s">
        <v>232</v>
      </c>
      <c r="F58" s="311" t="s">
        <v>512</v>
      </c>
      <c r="G58" s="307" t="s">
        <v>513</v>
      </c>
      <c r="H58" s="292">
        <v>0.2</v>
      </c>
      <c r="I58" s="102"/>
      <c r="J58" s="158">
        <f>VLOOKUP(B58,'[3]MASTER PART LIST'!$B:$C,2,FALSE)</f>
        <v>898</v>
      </c>
      <c r="K58" s="161">
        <f>VLOOKUP(B58,'[3]MASTER PART LIST'!$B:$D,3,FALSE)</f>
        <v>1497</v>
      </c>
      <c r="L58" s="161">
        <f t="shared" si="7"/>
        <v>1533.2</v>
      </c>
      <c r="M58" s="187"/>
      <c r="N58" s="187" t="s">
        <v>18</v>
      </c>
      <c r="O58" s="187" t="s">
        <v>18</v>
      </c>
      <c r="P58" s="187" t="s">
        <v>18</v>
      </c>
      <c r="Q58" s="187" t="s">
        <v>18</v>
      </c>
      <c r="R58" s="187"/>
      <c r="S58" s="187"/>
      <c r="T58" s="187"/>
      <c r="U58" s="110" t="s">
        <v>288</v>
      </c>
      <c r="V58" s="110" t="s">
        <v>289</v>
      </c>
      <c r="W58" s="104">
        <v>48</v>
      </c>
      <c r="X58" s="281"/>
      <c r="Y58" s="253"/>
      <c r="Z58" s="253"/>
      <c r="AA58" s="253"/>
      <c r="AB58" s="253"/>
      <c r="AC58" s="253"/>
      <c r="AD58" s="253"/>
      <c r="AE58" s="253"/>
      <c r="AF58" s="253"/>
      <c r="AG58" s="187"/>
      <c r="AH58" s="187"/>
      <c r="AI58" s="187"/>
      <c r="AJ58" s="187"/>
      <c r="AK58" s="187"/>
      <c r="AL58" s="187" t="s">
        <v>18</v>
      </c>
      <c r="AM58" s="187"/>
      <c r="AN58" s="187"/>
      <c r="AO58" s="187"/>
      <c r="AP58" s="317"/>
      <c r="AQ58" s="315" t="s">
        <v>506</v>
      </c>
      <c r="AR58" s="294"/>
    </row>
    <row r="59" spans="1:44" ht="48">
      <c r="B59" s="267" t="s">
        <v>183</v>
      </c>
      <c r="C59" s="267" t="str">
        <f t="shared" si="9"/>
        <v>08L20-E09-300B</v>
      </c>
      <c r="D59" s="268" t="s">
        <v>189</v>
      </c>
      <c r="E59" s="268" t="s">
        <v>233</v>
      </c>
      <c r="F59" s="311" t="s">
        <v>514</v>
      </c>
      <c r="G59" s="307" t="s">
        <v>515</v>
      </c>
      <c r="H59" s="292">
        <v>0.2</v>
      </c>
      <c r="I59" s="102"/>
      <c r="J59" s="158">
        <f>VLOOKUP(B59,'[3]MASTER PART LIST'!$B:$C,2,FALSE)</f>
        <v>820</v>
      </c>
      <c r="K59" s="161">
        <f>VLOOKUP(B59,'[3]MASTER PART LIST'!$B:$D,3,FALSE)</f>
        <v>1367</v>
      </c>
      <c r="L59" s="161">
        <f t="shared" si="7"/>
        <v>1403.2</v>
      </c>
      <c r="M59" s="187"/>
      <c r="N59" s="187" t="s">
        <v>18</v>
      </c>
      <c r="O59" s="187" t="s">
        <v>18</v>
      </c>
      <c r="P59" s="187" t="s">
        <v>18</v>
      </c>
      <c r="Q59" s="187" t="s">
        <v>18</v>
      </c>
      <c r="R59" s="187"/>
      <c r="S59" s="187"/>
      <c r="T59" s="187"/>
      <c r="U59" s="110" t="s">
        <v>288</v>
      </c>
      <c r="V59" s="110" t="s">
        <v>289</v>
      </c>
      <c r="W59" s="104">
        <v>49</v>
      </c>
      <c r="X59" s="281"/>
      <c r="Y59" s="253"/>
      <c r="Z59" s="253"/>
      <c r="AA59" s="253"/>
      <c r="AB59" s="253"/>
      <c r="AC59" s="253"/>
      <c r="AD59" s="253"/>
      <c r="AE59" s="253"/>
      <c r="AF59" s="253"/>
      <c r="AG59" s="187"/>
      <c r="AH59" s="187"/>
      <c r="AI59" s="187"/>
      <c r="AJ59" s="187"/>
      <c r="AK59" s="187"/>
      <c r="AL59" s="187" t="s">
        <v>18</v>
      </c>
      <c r="AM59" s="187"/>
      <c r="AN59" s="187"/>
      <c r="AO59" s="187"/>
      <c r="AP59" s="317"/>
      <c r="AQ59" s="315" t="s">
        <v>506</v>
      </c>
      <c r="AR59" s="294"/>
    </row>
    <row r="60" spans="1:44" ht="48">
      <c r="B60" s="267" t="s">
        <v>186</v>
      </c>
      <c r="C60" s="267" t="str">
        <f t="shared" si="9"/>
        <v>08L09-E09-101</v>
      </c>
      <c r="D60" s="268" t="s">
        <v>191</v>
      </c>
      <c r="E60" s="268" t="s">
        <v>234</v>
      </c>
      <c r="F60" s="311" t="s">
        <v>516</v>
      </c>
      <c r="G60" s="307" t="s">
        <v>517</v>
      </c>
      <c r="H60" s="292">
        <v>0.2</v>
      </c>
      <c r="I60" s="102"/>
      <c r="J60" s="158">
        <f>VLOOKUP(B60,'[3]MASTER PART LIST'!$B:$C,2,FALSE)</f>
        <v>442</v>
      </c>
      <c r="K60" s="161">
        <f>VLOOKUP(B60,'[3]MASTER PART LIST'!$B:$D,3,FALSE)</f>
        <v>737</v>
      </c>
      <c r="L60" s="161">
        <f t="shared" si="7"/>
        <v>773.2</v>
      </c>
      <c r="M60" s="187"/>
      <c r="N60" s="187" t="s">
        <v>18</v>
      </c>
      <c r="O60" s="187" t="s">
        <v>18</v>
      </c>
      <c r="P60" s="187" t="s">
        <v>18</v>
      </c>
      <c r="Q60" s="187" t="s">
        <v>18</v>
      </c>
      <c r="R60" s="187"/>
      <c r="S60" s="187"/>
      <c r="T60" s="187"/>
      <c r="U60" s="110" t="s">
        <v>288</v>
      </c>
      <c r="V60" s="110" t="s">
        <v>289</v>
      </c>
      <c r="W60" s="104">
        <v>50</v>
      </c>
      <c r="X60" s="281"/>
      <c r="Y60" s="253"/>
      <c r="Z60" s="253"/>
      <c r="AA60" s="253"/>
      <c r="AB60" s="253"/>
      <c r="AC60" s="253"/>
      <c r="AD60" s="253"/>
      <c r="AE60" s="253"/>
      <c r="AF60" s="253"/>
      <c r="AG60" s="187"/>
      <c r="AH60" s="187"/>
      <c r="AI60" s="187"/>
      <c r="AJ60" s="187"/>
      <c r="AK60" s="187"/>
      <c r="AL60" s="187" t="s">
        <v>18</v>
      </c>
      <c r="AM60" s="187"/>
      <c r="AN60" s="187"/>
      <c r="AO60" s="187"/>
      <c r="AP60" s="317"/>
      <c r="AQ60" s="315" t="s">
        <v>506</v>
      </c>
      <c r="AR60" s="294"/>
    </row>
    <row r="61" spans="1:44" ht="30.6">
      <c r="A61" s="108"/>
      <c r="B61" s="267" t="s">
        <v>187</v>
      </c>
      <c r="C61" s="267" t="str">
        <f t="shared" si="9"/>
        <v>08L03-E09-300C</v>
      </c>
      <c r="D61" s="268" t="s">
        <v>192</v>
      </c>
      <c r="E61" s="268" t="s">
        <v>235</v>
      </c>
      <c r="F61" s="311" t="s">
        <v>518</v>
      </c>
      <c r="G61" s="307" t="s">
        <v>519</v>
      </c>
      <c r="H61" s="292">
        <v>0.2</v>
      </c>
      <c r="I61" s="102"/>
      <c r="J61" s="158">
        <f>VLOOKUP(B61,'[3]MASTER PART LIST'!$B:$C,2,FALSE)</f>
        <v>426</v>
      </c>
      <c r="K61" s="161">
        <f>VLOOKUP(B61,'[3]MASTER PART LIST'!$B:$D,3,FALSE)</f>
        <v>710</v>
      </c>
      <c r="L61" s="161">
        <f t="shared" si="7"/>
        <v>746.2</v>
      </c>
      <c r="M61" s="187"/>
      <c r="N61" s="187" t="s">
        <v>18</v>
      </c>
      <c r="O61" s="187" t="s">
        <v>18</v>
      </c>
      <c r="P61" s="187" t="s">
        <v>18</v>
      </c>
      <c r="Q61" s="187" t="s">
        <v>18</v>
      </c>
      <c r="R61" s="187"/>
      <c r="S61" s="187"/>
      <c r="T61" s="187"/>
      <c r="U61" s="110" t="s">
        <v>288</v>
      </c>
      <c r="V61" s="110" t="s">
        <v>289</v>
      </c>
      <c r="W61" s="104">
        <v>34</v>
      </c>
      <c r="X61" s="281"/>
      <c r="Y61" s="253"/>
      <c r="Z61" s="253"/>
      <c r="AA61" s="253"/>
      <c r="AB61" s="253"/>
      <c r="AC61" s="253"/>
      <c r="AD61" s="253"/>
      <c r="AE61" s="253"/>
      <c r="AF61" s="253"/>
      <c r="AG61" s="187"/>
      <c r="AH61" s="187"/>
      <c r="AI61" s="187"/>
      <c r="AJ61" s="187"/>
      <c r="AK61" s="187"/>
      <c r="AL61" s="187" t="s">
        <v>18</v>
      </c>
      <c r="AM61" s="187"/>
      <c r="AN61" s="187"/>
      <c r="AO61" s="187"/>
      <c r="AP61" s="317"/>
      <c r="AQ61" s="315" t="s">
        <v>506</v>
      </c>
      <c r="AR61" s="294"/>
    </row>
    <row r="62" spans="1:44" ht="48">
      <c r="B62" s="267" t="s">
        <v>188</v>
      </c>
      <c r="C62" s="267" t="str">
        <f t="shared" si="9"/>
        <v>08L05-E09-100</v>
      </c>
      <c r="D62" s="268" t="s">
        <v>236</v>
      </c>
      <c r="E62" s="268" t="s">
        <v>237</v>
      </c>
      <c r="F62" s="311" t="s">
        <v>520</v>
      </c>
      <c r="G62" s="307" t="s">
        <v>521</v>
      </c>
      <c r="H62" s="292">
        <v>0.2</v>
      </c>
      <c r="I62" s="102"/>
      <c r="J62" s="158">
        <f>VLOOKUP(B62,'[3]MASTER PART LIST'!$B:$C,2,FALSE)</f>
        <v>213</v>
      </c>
      <c r="K62" s="161">
        <f>VLOOKUP(B62,'[3]MASTER PART LIST'!$B:$D,3,FALSE)</f>
        <v>355</v>
      </c>
      <c r="L62" s="161">
        <f t="shared" si="7"/>
        <v>391.2</v>
      </c>
      <c r="M62" s="187"/>
      <c r="N62" s="187" t="s">
        <v>18</v>
      </c>
      <c r="O62" s="187" t="s">
        <v>18</v>
      </c>
      <c r="P62" s="187" t="s">
        <v>18</v>
      </c>
      <c r="Q62" s="187" t="s">
        <v>18</v>
      </c>
      <c r="R62" s="187"/>
      <c r="S62" s="187"/>
      <c r="T62" s="187"/>
      <c r="U62" s="110" t="s">
        <v>288</v>
      </c>
      <c r="V62" s="110" t="s">
        <v>289</v>
      </c>
      <c r="W62" s="104">
        <v>51</v>
      </c>
      <c r="X62" s="281"/>
      <c r="Y62" s="253"/>
      <c r="Z62" s="253"/>
      <c r="AA62" s="253"/>
      <c r="AB62" s="253"/>
      <c r="AC62" s="253"/>
      <c r="AD62" s="253"/>
      <c r="AE62" s="253"/>
      <c r="AF62" s="253"/>
      <c r="AG62" s="187"/>
      <c r="AH62" s="187"/>
      <c r="AI62" s="187"/>
      <c r="AJ62" s="187"/>
      <c r="AK62" s="187"/>
      <c r="AL62" s="187" t="s">
        <v>18</v>
      </c>
      <c r="AM62" s="187"/>
      <c r="AN62" s="187"/>
      <c r="AO62" s="187"/>
      <c r="AP62" s="317"/>
      <c r="AQ62" s="315" t="s">
        <v>506</v>
      </c>
      <c r="AR62" s="294"/>
    </row>
    <row r="63" spans="1:44" ht="24">
      <c r="B63" s="267" t="s">
        <v>393</v>
      </c>
      <c r="C63" s="276" t="s">
        <v>531</v>
      </c>
      <c r="D63" s="268" t="s">
        <v>245</v>
      </c>
      <c r="E63" s="268" t="s">
        <v>404</v>
      </c>
      <c r="F63" s="311" t="s">
        <v>246</v>
      </c>
      <c r="G63" s="307" t="s">
        <v>405</v>
      </c>
      <c r="H63" s="298">
        <v>1.4</v>
      </c>
      <c r="I63" s="102"/>
      <c r="J63" s="158">
        <f>VLOOKUP(B63,'[3]MASTER PART LIST'!$B:$C,2,FALSE)</f>
        <v>149</v>
      </c>
      <c r="K63" s="161">
        <f>VLOOKUP(B63,'[3]MASTER PART LIST'!$B:$D,3,FALSE)</f>
        <v>248</v>
      </c>
      <c r="L63" s="161">
        <f t="shared" si="7"/>
        <v>501.4</v>
      </c>
      <c r="M63" s="187"/>
      <c r="N63" s="187" t="s">
        <v>18</v>
      </c>
      <c r="O63" s="187" t="s">
        <v>18</v>
      </c>
      <c r="P63" s="187" t="s">
        <v>18</v>
      </c>
      <c r="Q63" s="187" t="s">
        <v>18</v>
      </c>
      <c r="R63" s="187"/>
      <c r="S63" s="187"/>
      <c r="T63" s="187"/>
      <c r="U63" s="110"/>
      <c r="V63" s="110"/>
      <c r="W63" s="104">
        <v>35</v>
      </c>
      <c r="X63" s="281"/>
      <c r="Y63" s="253"/>
      <c r="Z63" s="253"/>
      <c r="AA63" s="253"/>
      <c r="AB63" s="253"/>
      <c r="AC63" s="253"/>
      <c r="AD63" s="253"/>
      <c r="AE63" s="253"/>
      <c r="AF63" s="253"/>
      <c r="AG63" s="187"/>
      <c r="AH63" s="187"/>
      <c r="AI63" s="187"/>
      <c r="AJ63" s="187"/>
      <c r="AK63" s="187" t="s">
        <v>18</v>
      </c>
      <c r="AL63" s="187"/>
      <c r="AM63" s="187"/>
      <c r="AN63" s="187"/>
      <c r="AO63" s="187"/>
      <c r="AP63" s="187"/>
      <c r="AQ63" s="291"/>
      <c r="AR63" s="290" t="s">
        <v>559</v>
      </c>
    </row>
    <row r="64" spans="1:44" ht="15.6" hidden="1">
      <c r="B64" s="267"/>
      <c r="C64" s="102"/>
      <c r="D64" s="268"/>
      <c r="E64" s="268"/>
      <c r="F64" s="311"/>
      <c r="G64" s="307"/>
      <c r="H64" s="298"/>
      <c r="I64" s="102"/>
      <c r="J64" s="158"/>
      <c r="K64" s="161"/>
      <c r="L64" s="161"/>
      <c r="M64" s="187"/>
      <c r="N64" s="187"/>
      <c r="O64" s="187"/>
      <c r="P64" s="187"/>
      <c r="Q64" s="187"/>
      <c r="R64" s="187"/>
      <c r="S64" s="187"/>
      <c r="T64" s="187"/>
      <c r="U64" s="110"/>
      <c r="V64" s="110"/>
      <c r="W64" s="104"/>
      <c r="X64" s="281"/>
      <c r="Y64" s="253"/>
      <c r="Z64" s="253"/>
      <c r="AA64" s="253"/>
      <c r="AB64" s="253"/>
      <c r="AC64" s="253"/>
      <c r="AD64" s="253"/>
      <c r="AE64" s="253"/>
      <c r="AF64" s="253"/>
      <c r="AG64" s="187"/>
      <c r="AH64" s="187"/>
      <c r="AI64" s="187"/>
      <c r="AJ64" s="187"/>
      <c r="AK64" s="187"/>
      <c r="AL64" s="187"/>
      <c r="AM64" s="187"/>
      <c r="AN64" s="187"/>
      <c r="AO64" s="187"/>
      <c r="AP64" s="187"/>
      <c r="AQ64" s="291"/>
      <c r="AR64" s="290"/>
    </row>
    <row r="65" spans="2:44" ht="15.6" hidden="1">
      <c r="B65" s="267"/>
      <c r="C65" s="102"/>
      <c r="D65" s="268"/>
      <c r="E65" s="268"/>
      <c r="F65" s="311"/>
      <c r="G65" s="307"/>
      <c r="H65" s="298"/>
      <c r="I65" s="102"/>
      <c r="J65" s="158"/>
      <c r="K65" s="161"/>
      <c r="L65" s="161"/>
      <c r="M65" s="187"/>
      <c r="N65" s="187"/>
      <c r="O65" s="187"/>
      <c r="P65" s="187"/>
      <c r="Q65" s="187"/>
      <c r="R65" s="187"/>
      <c r="S65" s="187"/>
      <c r="T65" s="187"/>
      <c r="U65" s="110"/>
      <c r="V65" s="110"/>
      <c r="W65" s="104"/>
      <c r="X65" s="281"/>
      <c r="Y65" s="253"/>
      <c r="Z65" s="253"/>
      <c r="AA65" s="253"/>
      <c r="AB65" s="253"/>
      <c r="AC65" s="253"/>
      <c r="AD65" s="253"/>
      <c r="AE65" s="253"/>
      <c r="AF65" s="253"/>
      <c r="AG65" s="187"/>
      <c r="AH65" s="187"/>
      <c r="AI65" s="187"/>
      <c r="AJ65" s="187"/>
      <c r="AK65" s="187"/>
      <c r="AL65" s="187"/>
      <c r="AM65" s="187"/>
      <c r="AN65" s="187"/>
      <c r="AO65" s="187"/>
      <c r="AP65" s="187"/>
      <c r="AQ65" s="291"/>
      <c r="AR65" s="290"/>
    </row>
    <row r="66" spans="2:44" ht="15.6" hidden="1">
      <c r="B66" s="267"/>
      <c r="C66" s="102"/>
      <c r="D66" s="268"/>
      <c r="E66" s="268"/>
      <c r="F66" s="311"/>
      <c r="G66" s="307"/>
      <c r="H66" s="298"/>
      <c r="I66" s="102"/>
      <c r="J66" s="158"/>
      <c r="K66" s="161"/>
      <c r="L66" s="161"/>
      <c r="M66" s="187"/>
      <c r="N66" s="187"/>
      <c r="O66" s="187"/>
      <c r="P66" s="187"/>
      <c r="Q66" s="187"/>
      <c r="R66" s="187"/>
      <c r="S66" s="187"/>
      <c r="T66" s="187"/>
      <c r="U66" s="110"/>
      <c r="V66" s="110"/>
      <c r="W66" s="104"/>
      <c r="X66" s="281"/>
      <c r="Y66" s="253"/>
      <c r="Z66" s="253"/>
      <c r="AA66" s="253"/>
      <c r="AB66" s="253"/>
      <c r="AC66" s="253"/>
      <c r="AD66" s="253"/>
      <c r="AE66" s="253"/>
      <c r="AF66" s="253"/>
      <c r="AG66" s="187"/>
      <c r="AH66" s="187"/>
      <c r="AI66" s="187"/>
      <c r="AJ66" s="187"/>
      <c r="AK66" s="187"/>
      <c r="AL66" s="187"/>
      <c r="AM66" s="187"/>
      <c r="AN66" s="187"/>
      <c r="AO66" s="187"/>
      <c r="AP66" s="187"/>
      <c r="AQ66" s="291"/>
      <c r="AR66" s="290"/>
    </row>
    <row r="67" spans="2:44" ht="15.6">
      <c r="B67" s="276" t="s">
        <v>471</v>
      </c>
      <c r="C67" s="102" t="str">
        <f>B68</f>
        <v>08U59-THR-101</v>
      </c>
      <c r="D67" s="268" t="str">
        <f>D68</f>
        <v>Hands-Free Power Tailgate Sensor</v>
      </c>
      <c r="E67" s="268" t="str">
        <f>E68</f>
        <v>Capteur de hayon électrique mains libres</v>
      </c>
      <c r="F67" s="311"/>
      <c r="G67" s="307"/>
      <c r="H67" s="298">
        <f>H68+H69</f>
        <v>1.4</v>
      </c>
      <c r="I67" s="102"/>
      <c r="J67" s="158">
        <f>J68+J69</f>
        <v>411</v>
      </c>
      <c r="K67" s="158">
        <f>K68+K69</f>
        <v>618</v>
      </c>
      <c r="L67" s="161">
        <f t="shared" ref="L67:L70" si="10">K67+(H67*VLOOKUP(prov_cd,rate_table,2,FALSE))</f>
        <v>871.4</v>
      </c>
      <c r="M67" s="187"/>
      <c r="N67" s="187" t="s">
        <v>18</v>
      </c>
      <c r="O67" s="187" t="s">
        <v>18</v>
      </c>
      <c r="P67" s="187" t="s">
        <v>142</v>
      </c>
      <c r="Q67" s="187" t="s">
        <v>142</v>
      </c>
      <c r="R67" s="187"/>
      <c r="S67" s="187"/>
      <c r="T67" s="187"/>
      <c r="U67" s="110" t="s">
        <v>472</v>
      </c>
      <c r="V67" s="110" t="s">
        <v>473</v>
      </c>
      <c r="W67" s="104">
        <v>27</v>
      </c>
      <c r="X67" s="281"/>
      <c r="Y67" s="253"/>
      <c r="Z67" s="253"/>
      <c r="AA67" s="253"/>
      <c r="AB67" s="253"/>
      <c r="AC67" s="253"/>
      <c r="AD67" s="253"/>
      <c r="AE67" s="253"/>
      <c r="AF67" s="253"/>
      <c r="AG67" s="187"/>
      <c r="AH67" s="187"/>
      <c r="AI67" s="187"/>
      <c r="AJ67" s="187"/>
      <c r="AK67" s="187"/>
      <c r="AL67" s="187" t="s">
        <v>18</v>
      </c>
      <c r="AM67" s="187"/>
      <c r="AN67" s="187"/>
      <c r="AO67" s="187"/>
      <c r="AP67" s="187"/>
      <c r="AQ67" s="291"/>
      <c r="AR67" s="290"/>
    </row>
    <row r="68" spans="2:44" ht="15.6" hidden="1">
      <c r="B68" s="267" t="s">
        <v>394</v>
      </c>
      <c r="C68" s="102" t="s">
        <v>19</v>
      </c>
      <c r="D68" s="268" t="s">
        <v>406</v>
      </c>
      <c r="E68" s="268" t="s">
        <v>407</v>
      </c>
      <c r="F68" s="311"/>
      <c r="G68" s="307"/>
      <c r="H68" s="280">
        <v>0.2</v>
      </c>
      <c r="I68" s="102"/>
      <c r="J68" s="158">
        <f>VLOOKUP(B68,'[3]MASTER PART LIST'!$B:$C,2,FALSE)</f>
        <v>281</v>
      </c>
      <c r="K68" s="161">
        <f>VLOOKUP(B68,'[3]MASTER PART LIST'!$B:$D,3,FALSE)</f>
        <v>401</v>
      </c>
      <c r="L68" s="161">
        <f t="shared" si="10"/>
        <v>437.2</v>
      </c>
      <c r="M68" s="187"/>
      <c r="N68" s="187" t="s">
        <v>18</v>
      </c>
      <c r="O68" s="187" t="s">
        <v>18</v>
      </c>
      <c r="P68" s="187" t="s">
        <v>142</v>
      </c>
      <c r="Q68" s="187" t="s">
        <v>142</v>
      </c>
      <c r="R68" s="187"/>
      <c r="S68" s="187"/>
      <c r="T68" s="187"/>
      <c r="U68" s="110" t="s">
        <v>472</v>
      </c>
      <c r="V68" s="110" t="s">
        <v>473</v>
      </c>
      <c r="W68" s="104"/>
      <c r="X68" s="281"/>
      <c r="Y68" s="253"/>
      <c r="Z68" s="253"/>
      <c r="AA68" s="253"/>
      <c r="AB68" s="253"/>
      <c r="AC68" s="253"/>
      <c r="AD68" s="253"/>
      <c r="AE68" s="253"/>
      <c r="AF68" s="253"/>
      <c r="AG68" s="187"/>
      <c r="AH68" s="187"/>
      <c r="AI68" s="187"/>
      <c r="AJ68" s="187"/>
      <c r="AK68" s="187"/>
      <c r="AL68" s="187"/>
      <c r="AM68" s="187"/>
      <c r="AN68" s="187"/>
      <c r="AO68" s="187"/>
      <c r="AP68" s="187"/>
      <c r="AQ68" s="255"/>
      <c r="AR68" s="290"/>
    </row>
    <row r="69" spans="2:44" ht="27.6" hidden="1">
      <c r="B69" s="267" t="s">
        <v>395</v>
      </c>
      <c r="C69" s="102" t="s">
        <v>19</v>
      </c>
      <c r="D69" s="268" t="s">
        <v>408</v>
      </c>
      <c r="E69" s="268" t="s">
        <v>409</v>
      </c>
      <c r="F69" s="311"/>
      <c r="G69" s="307"/>
      <c r="H69" s="280">
        <v>1.2</v>
      </c>
      <c r="I69" s="102"/>
      <c r="J69" s="158">
        <f>VLOOKUP(B69,'[3]MASTER PART LIST'!$B:$C,2,FALSE)</f>
        <v>130</v>
      </c>
      <c r="K69" s="161">
        <f>VLOOKUP(B69,'[3]MASTER PART LIST'!$B:$D,3,FALSE)</f>
        <v>217</v>
      </c>
      <c r="L69" s="161">
        <f t="shared" si="10"/>
        <v>434.2</v>
      </c>
      <c r="M69" s="187"/>
      <c r="N69" s="187" t="s">
        <v>18</v>
      </c>
      <c r="O69" s="187" t="s">
        <v>18</v>
      </c>
      <c r="P69" s="187" t="s">
        <v>142</v>
      </c>
      <c r="Q69" s="187" t="s">
        <v>142</v>
      </c>
      <c r="R69" s="187"/>
      <c r="S69" s="187"/>
      <c r="T69" s="187"/>
      <c r="U69" s="110" t="s">
        <v>472</v>
      </c>
      <c r="V69" s="110" t="s">
        <v>473</v>
      </c>
      <c r="W69" s="104"/>
      <c r="X69" s="281"/>
      <c r="Y69" s="253"/>
      <c r="Z69" s="253"/>
      <c r="AA69" s="253"/>
      <c r="AB69" s="253"/>
      <c r="AC69" s="253"/>
      <c r="AD69" s="253"/>
      <c r="AE69" s="253"/>
      <c r="AF69" s="253"/>
      <c r="AG69" s="187"/>
      <c r="AH69" s="187"/>
      <c r="AI69" s="187"/>
      <c r="AJ69" s="187"/>
      <c r="AK69" s="187"/>
      <c r="AL69" s="187"/>
      <c r="AM69" s="187"/>
      <c r="AN69" s="187"/>
      <c r="AO69" s="187"/>
      <c r="AP69" s="187"/>
      <c r="AQ69" s="255"/>
      <c r="AR69" s="290"/>
    </row>
    <row r="70" spans="2:44" ht="27.6">
      <c r="B70" s="267" t="s">
        <v>396</v>
      </c>
      <c r="C70" s="102" t="str">
        <f>B70</f>
        <v>08L91-THR-300A</v>
      </c>
      <c r="D70" s="268" t="s">
        <v>410</v>
      </c>
      <c r="E70" s="268" t="s">
        <v>411</v>
      </c>
      <c r="F70" s="311"/>
      <c r="G70" s="307"/>
      <c r="H70" s="280">
        <v>0.2</v>
      </c>
      <c r="I70" s="102"/>
      <c r="J70" s="158">
        <f>VLOOKUP(B70,'[3]MASTER PART LIST'!$B:$C,2,FALSE)</f>
        <v>245</v>
      </c>
      <c r="K70" s="161">
        <f>VLOOKUP(B70,'[3]MASTER PART LIST'!$B:$D,3,FALSE)</f>
        <v>408</v>
      </c>
      <c r="L70" s="161">
        <f t="shared" si="10"/>
        <v>444.2</v>
      </c>
      <c r="M70" s="187"/>
      <c r="N70" s="187" t="s">
        <v>18</v>
      </c>
      <c r="O70" s="187" t="s">
        <v>18</v>
      </c>
      <c r="P70" s="187" t="s">
        <v>18</v>
      </c>
      <c r="Q70" s="187" t="s">
        <v>18</v>
      </c>
      <c r="R70" s="187"/>
      <c r="S70" s="187"/>
      <c r="T70" s="187"/>
      <c r="U70" s="110"/>
      <c r="V70" s="110"/>
      <c r="W70" s="104">
        <v>28</v>
      </c>
      <c r="X70" s="281"/>
      <c r="Y70" s="253"/>
      <c r="Z70" s="253"/>
      <c r="AA70" s="253"/>
      <c r="AB70" s="253"/>
      <c r="AC70" s="253"/>
      <c r="AD70" s="253"/>
      <c r="AE70" s="253"/>
      <c r="AF70" s="253"/>
      <c r="AG70" s="187"/>
      <c r="AH70" s="187"/>
      <c r="AI70" s="187"/>
      <c r="AJ70" s="187"/>
      <c r="AK70" s="187"/>
      <c r="AL70" s="187" t="s">
        <v>18</v>
      </c>
      <c r="AM70" s="187"/>
      <c r="AN70" s="187"/>
      <c r="AO70" s="187"/>
      <c r="AP70" s="187"/>
      <c r="AQ70" s="255"/>
      <c r="AR70" s="290"/>
    </row>
    <row r="71" spans="2:44" ht="15.6" hidden="1">
      <c r="B71" s="267"/>
      <c r="C71" s="102"/>
      <c r="D71" s="268"/>
      <c r="E71" s="268"/>
      <c r="F71" s="311"/>
      <c r="G71" s="307"/>
      <c r="H71" s="280"/>
      <c r="I71" s="102"/>
      <c r="J71" s="158"/>
      <c r="K71" s="161"/>
      <c r="L71" s="161"/>
      <c r="M71" s="187"/>
      <c r="N71" s="187"/>
      <c r="O71" s="187"/>
      <c r="P71" s="187"/>
      <c r="Q71" s="187"/>
      <c r="R71" s="187"/>
      <c r="S71" s="187"/>
      <c r="T71" s="187"/>
      <c r="U71" s="110"/>
      <c r="V71" s="110"/>
      <c r="W71" s="104"/>
      <c r="X71" s="281"/>
      <c r="Y71" s="253"/>
      <c r="Z71" s="253"/>
      <c r="AA71" s="253"/>
      <c r="AB71" s="253"/>
      <c r="AC71" s="253"/>
      <c r="AD71" s="253"/>
      <c r="AE71" s="253"/>
      <c r="AF71" s="253"/>
      <c r="AG71" s="187"/>
      <c r="AH71" s="187"/>
      <c r="AI71" s="187"/>
      <c r="AJ71" s="187"/>
      <c r="AK71" s="187"/>
      <c r="AL71" s="187"/>
      <c r="AM71" s="187"/>
      <c r="AN71" s="187"/>
      <c r="AO71" s="187"/>
      <c r="AP71" s="187"/>
      <c r="AQ71" s="255"/>
      <c r="AR71" s="290"/>
    </row>
    <row r="72" spans="2:44" ht="27.6">
      <c r="B72" s="267" t="s">
        <v>399</v>
      </c>
      <c r="C72" s="102" t="str">
        <f t="shared" ref="C72:C77" si="11">B72</f>
        <v>08E12-THR-100</v>
      </c>
      <c r="D72" s="268" t="s">
        <v>416</v>
      </c>
      <c r="E72" s="268" t="s">
        <v>417</v>
      </c>
      <c r="F72" s="311" t="s">
        <v>418</v>
      </c>
      <c r="G72" s="307" t="s">
        <v>419</v>
      </c>
      <c r="H72" s="280">
        <v>1.2</v>
      </c>
      <c r="I72" s="102"/>
      <c r="J72" s="295">
        <f>VLOOKUP(B72,'[3]MASTER PART LIST'!$B:$C,2,FALSE)</f>
        <v>579</v>
      </c>
      <c r="K72" s="161">
        <f>VLOOKUP(B72,'[3]MASTER PART LIST'!$B:$D,3,FALSE)</f>
        <v>891</v>
      </c>
      <c r="L72" s="161">
        <f t="shared" ref="L72:L74" si="12">K72+(H72*VLOOKUP(prov_cd,rate_table,2,FALSE))</f>
        <v>1108.2</v>
      </c>
      <c r="M72" s="187"/>
      <c r="N72" s="187" t="s">
        <v>18</v>
      </c>
      <c r="O72" s="187" t="s">
        <v>18</v>
      </c>
      <c r="P72" s="187" t="s">
        <v>18</v>
      </c>
      <c r="Q72" s="187" t="s">
        <v>18</v>
      </c>
      <c r="R72" s="187"/>
      <c r="S72" s="187"/>
      <c r="T72" s="187"/>
      <c r="U72" s="110" t="s">
        <v>434</v>
      </c>
      <c r="V72" s="110" t="s">
        <v>435</v>
      </c>
      <c r="W72" s="104">
        <v>20</v>
      </c>
      <c r="X72" s="281"/>
      <c r="Y72" s="253"/>
      <c r="Z72" s="253"/>
      <c r="AA72" s="253"/>
      <c r="AB72" s="253"/>
      <c r="AC72" s="253"/>
      <c r="AD72" s="253"/>
      <c r="AE72" s="253"/>
      <c r="AF72" s="253"/>
      <c r="AG72" s="187"/>
      <c r="AH72" s="187"/>
      <c r="AI72" s="187"/>
      <c r="AJ72" s="187"/>
      <c r="AK72" s="187"/>
      <c r="AL72" s="187"/>
      <c r="AM72" s="187" t="s">
        <v>18</v>
      </c>
      <c r="AN72" s="187"/>
      <c r="AO72" s="187"/>
      <c r="AP72" s="187"/>
      <c r="AQ72" s="255"/>
      <c r="AR72" s="290" t="s">
        <v>508</v>
      </c>
    </row>
    <row r="73" spans="2:44" ht="27.6">
      <c r="B73" s="267" t="s">
        <v>400</v>
      </c>
      <c r="C73" s="102" t="str">
        <f t="shared" si="11"/>
        <v>08E12-THR-100A</v>
      </c>
      <c r="D73" s="268" t="s">
        <v>420</v>
      </c>
      <c r="E73" s="268" t="s">
        <v>421</v>
      </c>
      <c r="F73" s="311" t="s">
        <v>422</v>
      </c>
      <c r="G73" s="307" t="s">
        <v>423</v>
      </c>
      <c r="H73" s="280">
        <v>0.8</v>
      </c>
      <c r="I73" s="102"/>
      <c r="J73" s="158">
        <f>VLOOKUP(B73,'[3]MASTER PART LIST'!$B:$C,2,FALSE)</f>
        <v>138.99</v>
      </c>
      <c r="K73" s="161">
        <f>VLOOKUP(B73,'[3]MASTER PART LIST'!$B:$D,3,FALSE)</f>
        <v>390</v>
      </c>
      <c r="L73" s="161">
        <f t="shared" si="12"/>
        <v>534.79999999999995</v>
      </c>
      <c r="M73" s="187"/>
      <c r="N73" s="187" t="s">
        <v>18</v>
      </c>
      <c r="O73" s="187" t="s">
        <v>18</v>
      </c>
      <c r="P73" s="187" t="s">
        <v>18</v>
      </c>
      <c r="Q73" s="187" t="s">
        <v>18</v>
      </c>
      <c r="R73" s="187"/>
      <c r="S73" s="187"/>
      <c r="T73" s="187"/>
      <c r="U73" s="110" t="s">
        <v>436</v>
      </c>
      <c r="V73" s="110" t="s">
        <v>437</v>
      </c>
      <c r="W73" s="104">
        <v>21</v>
      </c>
      <c r="X73" s="281"/>
      <c r="Y73" s="253"/>
      <c r="Z73" s="253"/>
      <c r="AA73" s="253"/>
      <c r="AB73" s="253"/>
      <c r="AC73" s="253"/>
      <c r="AD73" s="253"/>
      <c r="AE73" s="253"/>
      <c r="AF73" s="253"/>
      <c r="AG73" s="187"/>
      <c r="AH73" s="187"/>
      <c r="AI73" s="187"/>
      <c r="AJ73" s="187"/>
      <c r="AK73" s="187"/>
      <c r="AL73" s="187"/>
      <c r="AM73" s="187" t="s">
        <v>18</v>
      </c>
      <c r="AN73" s="187"/>
      <c r="AO73" s="187"/>
      <c r="AP73" s="187"/>
      <c r="AQ73" s="255"/>
      <c r="AR73" s="290" t="s">
        <v>507</v>
      </c>
    </row>
    <row r="74" spans="2:44" ht="15.6">
      <c r="B74" s="267" t="s">
        <v>401</v>
      </c>
      <c r="C74" s="102" t="str">
        <f t="shared" si="11"/>
        <v>08E10-THR-100</v>
      </c>
      <c r="D74" s="268" t="s">
        <v>424</v>
      </c>
      <c r="E74" s="268" t="s">
        <v>425</v>
      </c>
      <c r="F74" s="311"/>
      <c r="G74" s="307"/>
      <c r="H74" s="280">
        <v>0.8</v>
      </c>
      <c r="I74" s="102"/>
      <c r="J74" s="158">
        <f>VLOOKUP(B74,'[3]MASTER PART LIST'!$B:$C,2,FALSE)</f>
        <v>101</v>
      </c>
      <c r="K74" s="161">
        <f>VLOOKUP(B74,'[3]MASTER PART LIST'!$B:$D,3,FALSE)</f>
        <v>168</v>
      </c>
      <c r="L74" s="161">
        <f t="shared" si="12"/>
        <v>312.8</v>
      </c>
      <c r="M74" s="187"/>
      <c r="N74" s="187" t="s">
        <v>18</v>
      </c>
      <c r="O74" s="187" t="s">
        <v>18</v>
      </c>
      <c r="P74" s="187" t="s">
        <v>18</v>
      </c>
      <c r="Q74" s="187" t="s">
        <v>18</v>
      </c>
      <c r="R74" s="187"/>
      <c r="S74" s="187"/>
      <c r="T74" s="187"/>
      <c r="U74" s="110"/>
      <c r="V74" s="110"/>
      <c r="W74" s="104">
        <v>17</v>
      </c>
      <c r="X74" s="281"/>
      <c r="Y74" s="253"/>
      <c r="Z74" s="253"/>
      <c r="AA74" s="253"/>
      <c r="AB74" s="253"/>
      <c r="AC74" s="253"/>
      <c r="AD74" s="253"/>
      <c r="AE74" s="253"/>
      <c r="AF74" s="253"/>
      <c r="AG74" s="187"/>
      <c r="AH74" s="187"/>
      <c r="AI74" s="187"/>
      <c r="AJ74" s="187"/>
      <c r="AK74" s="187"/>
      <c r="AL74" s="187"/>
      <c r="AM74" s="187" t="s">
        <v>18</v>
      </c>
      <c r="AN74" s="187"/>
      <c r="AO74" s="187"/>
      <c r="AP74" s="187"/>
      <c r="AQ74" s="255"/>
      <c r="AR74" s="290"/>
    </row>
    <row r="75" spans="2:44" ht="24">
      <c r="B75" s="267" t="s">
        <v>402</v>
      </c>
      <c r="C75" s="102" t="str">
        <f t="shared" si="11"/>
        <v>08V27-THR-100</v>
      </c>
      <c r="D75" s="268" t="s">
        <v>428</v>
      </c>
      <c r="E75" s="268" t="s">
        <v>429</v>
      </c>
      <c r="F75" s="311" t="s">
        <v>430</v>
      </c>
      <c r="G75" s="307" t="s">
        <v>522</v>
      </c>
      <c r="H75" s="280">
        <v>1.2</v>
      </c>
      <c r="I75" s="102"/>
      <c r="J75" s="158">
        <f>VLOOKUP(B75,'[3]MASTER PART LIST'!$B:$C,2,FALSE)</f>
        <v>60.99</v>
      </c>
      <c r="K75" s="161">
        <f>VLOOKUP(B75,'[3]MASTER PART LIST'!$B:$D,3,FALSE)</f>
        <v>220</v>
      </c>
      <c r="L75" s="161">
        <f t="shared" ref="L75:L76" si="13">K75+(H75*VLOOKUP(prov_cd,rate_table,2,FALSE))</f>
        <v>437.2</v>
      </c>
      <c r="M75" s="187"/>
      <c r="N75" s="187" t="s">
        <v>18</v>
      </c>
      <c r="O75" s="187" t="s">
        <v>18</v>
      </c>
      <c r="P75" s="187" t="s">
        <v>18</v>
      </c>
      <c r="Q75" s="187" t="s">
        <v>18</v>
      </c>
      <c r="R75" s="187"/>
      <c r="S75" s="187"/>
      <c r="T75" s="187"/>
      <c r="U75" s="110"/>
      <c r="V75" s="110"/>
      <c r="W75" s="104">
        <v>18</v>
      </c>
      <c r="X75" s="281"/>
      <c r="Y75" s="253"/>
      <c r="Z75" s="253"/>
      <c r="AA75" s="253"/>
      <c r="AB75" s="253"/>
      <c r="AC75" s="253"/>
      <c r="AD75" s="253"/>
      <c r="AE75" s="253"/>
      <c r="AF75" s="253"/>
      <c r="AG75" s="187"/>
      <c r="AH75" s="187"/>
      <c r="AI75" s="187"/>
      <c r="AJ75" s="187"/>
      <c r="AK75" s="187"/>
      <c r="AL75" s="187"/>
      <c r="AM75" s="187"/>
      <c r="AN75" s="187" t="s">
        <v>18</v>
      </c>
      <c r="AO75" s="187"/>
      <c r="AP75" s="187"/>
      <c r="AQ75" s="255"/>
      <c r="AR75" s="255"/>
    </row>
    <row r="76" spans="2:44" ht="24">
      <c r="B76" s="267" t="s">
        <v>403</v>
      </c>
      <c r="C76" s="102" t="str">
        <f t="shared" si="11"/>
        <v>08V27-THR-100A</v>
      </c>
      <c r="D76" s="268" t="s">
        <v>431</v>
      </c>
      <c r="E76" s="268" t="s">
        <v>432</v>
      </c>
      <c r="F76" s="311" t="s">
        <v>433</v>
      </c>
      <c r="G76" s="307" t="s">
        <v>523</v>
      </c>
      <c r="H76" s="280">
        <v>2.5</v>
      </c>
      <c r="I76" s="102"/>
      <c r="J76" s="158">
        <f>VLOOKUP(B76,'[3]MASTER PART LIST'!$B:$C,2,FALSE)</f>
        <v>270</v>
      </c>
      <c r="K76" s="161">
        <f>VLOOKUP(B76,'[3]MASTER PART LIST'!$B:$D,3,FALSE)</f>
        <v>386</v>
      </c>
      <c r="L76" s="161">
        <f t="shared" si="13"/>
        <v>838.5</v>
      </c>
      <c r="M76" s="187"/>
      <c r="N76" s="187" t="s">
        <v>18</v>
      </c>
      <c r="O76" s="187" t="s">
        <v>18</v>
      </c>
      <c r="P76" s="187" t="s">
        <v>18</v>
      </c>
      <c r="Q76" s="187" t="s">
        <v>18</v>
      </c>
      <c r="R76" s="187"/>
      <c r="S76" s="187"/>
      <c r="T76" s="187"/>
      <c r="U76" s="110"/>
      <c r="V76" s="110"/>
      <c r="W76" s="104">
        <v>19</v>
      </c>
      <c r="X76" s="281"/>
      <c r="Y76" s="253"/>
      <c r="Z76" s="253"/>
      <c r="AA76" s="253"/>
      <c r="AB76" s="253"/>
      <c r="AC76" s="253"/>
      <c r="AD76" s="253"/>
      <c r="AE76" s="253"/>
      <c r="AF76" s="253"/>
      <c r="AG76" s="187"/>
      <c r="AH76" s="187"/>
      <c r="AI76" s="187"/>
      <c r="AJ76" s="187"/>
      <c r="AK76" s="187"/>
      <c r="AL76" s="187"/>
      <c r="AM76" s="187"/>
      <c r="AN76" s="187" t="s">
        <v>18</v>
      </c>
      <c r="AO76" s="187"/>
      <c r="AP76" s="187"/>
      <c r="AQ76" s="255"/>
      <c r="AR76" s="290"/>
    </row>
    <row r="77" spans="2:44" ht="27.6">
      <c r="B77" s="267" t="s">
        <v>26</v>
      </c>
      <c r="C77" s="102" t="str">
        <f t="shared" si="11"/>
        <v>31670-BMS-004H</v>
      </c>
      <c r="D77" s="268" t="s">
        <v>426</v>
      </c>
      <c r="E77" s="268" t="s">
        <v>247</v>
      </c>
      <c r="F77" s="311" t="s">
        <v>148</v>
      </c>
      <c r="G77" s="307" t="s">
        <v>427</v>
      </c>
      <c r="H77" s="280">
        <v>0</v>
      </c>
      <c r="I77" s="102"/>
      <c r="J77" s="158">
        <f>VLOOKUP(B77,'[3]MASTER PART LIST'!$B:$C,2,FALSE)</f>
        <v>94</v>
      </c>
      <c r="K77" s="161">
        <f>VLOOKUP(B77,'[3]MASTER PART LIST'!$B:$D,3,FALSE)</f>
        <v>157</v>
      </c>
      <c r="L77" s="161">
        <f t="shared" ref="L77:L78" si="14">K77+(H77*VLOOKUP(prov_cd,rate_table,2,FALSE))</f>
        <v>157</v>
      </c>
      <c r="M77" s="187"/>
      <c r="N77" s="187" t="s">
        <v>18</v>
      </c>
      <c r="O77" s="187" t="s">
        <v>18</v>
      </c>
      <c r="P77" s="187" t="s">
        <v>18</v>
      </c>
      <c r="Q77" s="187" t="s">
        <v>18</v>
      </c>
      <c r="R77" s="187"/>
      <c r="S77" s="187"/>
      <c r="T77" s="187"/>
      <c r="U77" s="110"/>
      <c r="V77" s="110"/>
      <c r="W77" s="104">
        <v>36</v>
      </c>
      <c r="X77" s="281"/>
      <c r="Y77" s="253"/>
      <c r="Z77" s="253"/>
      <c r="AA77" s="253"/>
      <c r="AB77" s="253"/>
      <c r="AC77" s="253"/>
      <c r="AD77" s="253"/>
      <c r="AE77" s="253"/>
      <c r="AF77" s="253"/>
      <c r="AG77" s="187"/>
      <c r="AH77" s="187"/>
      <c r="AI77" s="187"/>
      <c r="AJ77" s="187"/>
      <c r="AK77" s="187" t="s">
        <v>18</v>
      </c>
      <c r="AL77" s="187"/>
      <c r="AM77" s="187"/>
      <c r="AN77" s="187"/>
      <c r="AO77" s="187"/>
      <c r="AP77" s="187"/>
      <c r="AQ77" s="255"/>
      <c r="AR77" s="255" t="s">
        <v>559</v>
      </c>
    </row>
    <row r="78" spans="2:44" ht="15.6" hidden="1">
      <c r="B78" s="267" t="s">
        <v>244</v>
      </c>
      <c r="C78" s="273" t="s">
        <v>314</v>
      </c>
      <c r="D78" s="268" t="s">
        <v>248</v>
      </c>
      <c r="E78" s="268" t="s">
        <v>249</v>
      </c>
      <c r="F78" s="311"/>
      <c r="G78" s="307"/>
      <c r="H78" s="280">
        <v>0</v>
      </c>
      <c r="I78" s="102"/>
      <c r="J78" s="158">
        <f>VLOOKUP(B78,'[3]MASTER PART LIST'!$B:$C,2,FALSE)</f>
        <v>20</v>
      </c>
      <c r="K78" s="161">
        <f>VLOOKUP(B78,'[3]MASTER PART LIST'!$B:$D,3,FALSE)</f>
        <v>28</v>
      </c>
      <c r="L78" s="161">
        <f t="shared" si="14"/>
        <v>28</v>
      </c>
      <c r="M78" s="187"/>
      <c r="N78" s="187" t="s">
        <v>18</v>
      </c>
      <c r="O78" s="187" t="s">
        <v>18</v>
      </c>
      <c r="P78" s="187" t="s">
        <v>18</v>
      </c>
      <c r="Q78" s="187" t="s">
        <v>18</v>
      </c>
      <c r="R78" s="187"/>
      <c r="S78" s="187"/>
      <c r="T78" s="187"/>
      <c r="U78" s="110"/>
      <c r="V78" s="110"/>
      <c r="W78" s="104"/>
      <c r="X78" s="281"/>
      <c r="Y78" s="253"/>
      <c r="Z78" s="253"/>
      <c r="AA78" s="253"/>
      <c r="AB78" s="253"/>
      <c r="AC78" s="253"/>
      <c r="AD78" s="253"/>
      <c r="AE78" s="253"/>
      <c r="AF78" s="253"/>
      <c r="AG78" s="187"/>
      <c r="AH78" s="187"/>
      <c r="AI78" s="187"/>
      <c r="AJ78" s="187"/>
      <c r="AK78" s="187"/>
      <c r="AL78" s="187"/>
      <c r="AM78" s="187"/>
      <c r="AN78" s="187"/>
      <c r="AO78" s="187"/>
      <c r="AP78" s="187"/>
      <c r="AQ78" s="255"/>
      <c r="AR78" s="255"/>
    </row>
    <row r="79" spans="2:44" ht="15.6" hidden="1">
      <c r="B79" s="267"/>
      <c r="C79" s="102"/>
      <c r="D79" s="268"/>
      <c r="E79" s="268"/>
      <c r="F79" s="311"/>
      <c r="G79" s="307"/>
      <c r="H79" s="280"/>
      <c r="I79" s="102"/>
      <c r="J79" s="158" t="e">
        <f>VLOOKUP(B79,'[3]MASTER PART LIST'!$B:$C,2,FALSE)</f>
        <v>#N/A</v>
      </c>
      <c r="K79" s="161" t="e">
        <f>VLOOKUP(B79,'[3]MASTER PART LIST'!$B:$D,3,FALSE)</f>
        <v>#N/A</v>
      </c>
      <c r="L79" s="161" t="e">
        <f t="shared" ref="L79" si="15">K79+(H79*VLOOKUP(prov_cd,rate_table,2,FALSE))</f>
        <v>#N/A</v>
      </c>
      <c r="M79" s="187"/>
      <c r="N79" s="187"/>
      <c r="O79" s="187"/>
      <c r="P79" s="187"/>
      <c r="Q79" s="187"/>
      <c r="R79" s="187"/>
      <c r="S79" s="187"/>
      <c r="T79" s="187"/>
      <c r="U79" s="110"/>
      <c r="V79" s="110"/>
      <c r="W79" s="104"/>
      <c r="X79" s="281"/>
      <c r="Y79" s="253"/>
      <c r="Z79" s="253"/>
      <c r="AA79" s="253"/>
      <c r="AB79" s="253"/>
      <c r="AC79" s="253"/>
      <c r="AD79" s="253"/>
      <c r="AE79" s="253"/>
      <c r="AF79" s="253"/>
      <c r="AG79" s="187"/>
      <c r="AH79" s="187"/>
      <c r="AI79" s="187"/>
      <c r="AJ79" s="187"/>
      <c r="AK79" s="187"/>
      <c r="AL79" s="187"/>
      <c r="AM79" s="187"/>
      <c r="AN79" s="187"/>
      <c r="AO79" s="187"/>
      <c r="AP79" s="187"/>
      <c r="AQ79" s="255"/>
      <c r="AR79" s="255"/>
    </row>
    <row r="80" spans="2:44" ht="24">
      <c r="B80" s="287" t="s">
        <v>268</v>
      </c>
      <c r="C80" s="102" t="str">
        <f>B81</f>
        <v>08P05-THR-191</v>
      </c>
      <c r="D80" s="107" t="s">
        <v>193</v>
      </c>
      <c r="E80" s="107" t="s">
        <v>88</v>
      </c>
      <c r="F80" s="305" t="s">
        <v>242</v>
      </c>
      <c r="G80" s="305" t="s">
        <v>243</v>
      </c>
      <c r="H80" s="288">
        <f>H81</f>
        <v>0.4</v>
      </c>
      <c r="I80" s="102"/>
      <c r="J80" s="289">
        <f>J81</f>
        <v>238</v>
      </c>
      <c r="K80" s="289">
        <f>K81</f>
        <v>397</v>
      </c>
      <c r="L80" s="161">
        <f t="shared" si="1"/>
        <v>469.4</v>
      </c>
      <c r="M80" s="187"/>
      <c r="N80" s="187" t="s">
        <v>18</v>
      </c>
      <c r="O80" s="187" t="s">
        <v>18</v>
      </c>
      <c r="P80" s="187" t="s">
        <v>18</v>
      </c>
      <c r="Q80" s="187" t="s">
        <v>18</v>
      </c>
      <c r="R80" s="187"/>
      <c r="S80" s="187"/>
      <c r="T80" s="187"/>
      <c r="U80" s="110" t="s">
        <v>271</v>
      </c>
      <c r="V80" s="110" t="s">
        <v>272</v>
      </c>
      <c r="W80" s="104">
        <v>11</v>
      </c>
      <c r="X80" s="121"/>
      <c r="Y80" s="253"/>
      <c r="Z80" s="253"/>
      <c r="AA80" s="253"/>
      <c r="AB80" s="253"/>
      <c r="AC80" s="253"/>
      <c r="AD80" s="253"/>
      <c r="AE80" s="253"/>
      <c r="AF80" s="253"/>
      <c r="AG80" s="187"/>
      <c r="AH80" s="187"/>
      <c r="AI80" s="187"/>
      <c r="AJ80" s="187" t="s">
        <v>18</v>
      </c>
      <c r="AK80" s="187"/>
      <c r="AL80" s="187"/>
      <c r="AM80" s="187"/>
      <c r="AN80" s="187"/>
      <c r="AO80" s="187"/>
      <c r="AP80" s="187"/>
      <c r="AQ80" s="255"/>
      <c r="AR80" s="255"/>
    </row>
    <row r="81" spans="2:44" ht="15.6" hidden="1" outlineLevel="1">
      <c r="B81" s="190" t="s">
        <v>269</v>
      </c>
      <c r="C81" s="104" t="s">
        <v>19</v>
      </c>
      <c r="D81" s="107" t="s">
        <v>56</v>
      </c>
      <c r="E81" s="107" t="s">
        <v>105</v>
      </c>
      <c r="F81" s="312"/>
      <c r="G81" s="312"/>
      <c r="H81" s="104">
        <v>0.4</v>
      </c>
      <c r="I81" s="124"/>
      <c r="J81" s="158">
        <f>VLOOKUP(B81,'[3]MASTER PART LIST'!$B:$C,2,FALSE)</f>
        <v>238</v>
      </c>
      <c r="K81" s="161">
        <f>VLOOKUP(B81,'[3]MASTER PART LIST'!$B:$D,3,FALSE)</f>
        <v>397</v>
      </c>
      <c r="L81" s="161">
        <f t="shared" si="1"/>
        <v>469.4</v>
      </c>
      <c r="M81" s="187"/>
      <c r="N81" s="187" t="s">
        <v>18</v>
      </c>
      <c r="O81" s="187" t="s">
        <v>18</v>
      </c>
      <c r="P81" s="187" t="s">
        <v>18</v>
      </c>
      <c r="Q81" s="187" t="s">
        <v>18</v>
      </c>
      <c r="R81" s="187"/>
      <c r="S81" s="187"/>
      <c r="T81" s="187"/>
      <c r="U81" s="110"/>
      <c r="V81" s="110"/>
      <c r="W81" s="122"/>
      <c r="X81" s="122"/>
      <c r="Y81" s="122"/>
      <c r="Z81" s="122"/>
      <c r="AA81" s="122"/>
      <c r="AB81" s="122"/>
      <c r="AC81" s="122"/>
      <c r="AD81" s="122"/>
      <c r="AE81" s="122"/>
      <c r="AF81" s="122"/>
      <c r="AG81" s="122"/>
      <c r="AH81" s="211"/>
      <c r="AI81" s="250"/>
      <c r="AJ81" s="250"/>
      <c r="AK81" s="250"/>
      <c r="AL81" s="250"/>
      <c r="AM81" s="250"/>
      <c r="AN81" s="250"/>
      <c r="AO81" s="250"/>
      <c r="AP81" s="250"/>
      <c r="AQ81" s="256"/>
      <c r="AR81" s="256"/>
    </row>
    <row r="82" spans="2:44" ht="15.6" hidden="1" outlineLevel="1">
      <c r="B82" s="190" t="s">
        <v>541</v>
      </c>
      <c r="C82" s="104" t="s">
        <v>19</v>
      </c>
      <c r="D82" s="107" t="s">
        <v>55</v>
      </c>
      <c r="E82" s="107" t="s">
        <v>106</v>
      </c>
      <c r="F82" s="312"/>
      <c r="G82" s="312"/>
      <c r="H82" s="104">
        <v>0.4</v>
      </c>
      <c r="I82" s="124"/>
      <c r="J82" s="158">
        <f>VLOOKUP(B82,'[3]MASTER PART LIST'!$B:$C,2,FALSE)</f>
        <v>238</v>
      </c>
      <c r="K82" s="161">
        <f>VLOOKUP(B82,'[3]MASTER PART LIST'!$B:$D,3,FALSE)</f>
        <v>397</v>
      </c>
      <c r="L82" s="161">
        <f t="shared" si="1"/>
        <v>469.4</v>
      </c>
      <c r="M82" s="171"/>
      <c r="N82" s="187" t="s">
        <v>18</v>
      </c>
      <c r="O82" s="269" t="s">
        <v>19</v>
      </c>
      <c r="P82" s="269" t="s">
        <v>19</v>
      </c>
      <c r="Q82" s="187" t="s">
        <v>18</v>
      </c>
      <c r="R82" s="187"/>
      <c r="S82" s="187"/>
      <c r="T82" s="187"/>
      <c r="U82" s="110"/>
      <c r="V82" s="110"/>
      <c r="W82" s="322"/>
      <c r="X82" s="122"/>
      <c r="Y82" s="122"/>
      <c r="Z82" s="122"/>
      <c r="AA82" s="122"/>
      <c r="AB82" s="122"/>
      <c r="AC82" s="122"/>
      <c r="AD82" s="122"/>
      <c r="AE82" s="122"/>
      <c r="AF82" s="122"/>
      <c r="AG82" s="250"/>
      <c r="AH82" s="211"/>
      <c r="AI82" s="250"/>
      <c r="AJ82" s="250"/>
      <c r="AK82" s="250"/>
      <c r="AL82" s="250"/>
      <c r="AM82" s="250"/>
      <c r="AN82" s="250"/>
      <c r="AO82" s="250"/>
      <c r="AP82" s="250"/>
      <c r="AQ82" s="256"/>
      <c r="AR82" s="256"/>
    </row>
    <row r="83" spans="2:44" ht="15.6" hidden="1" outlineLevel="1">
      <c r="B83" s="190" t="s">
        <v>279</v>
      </c>
      <c r="C83" s="104" t="s">
        <v>19</v>
      </c>
      <c r="D83" s="107" t="s">
        <v>273</v>
      </c>
      <c r="E83" s="107" t="s">
        <v>274</v>
      </c>
      <c r="F83" s="312"/>
      <c r="G83" s="312"/>
      <c r="H83" s="104">
        <v>0.4</v>
      </c>
      <c r="I83" s="124"/>
      <c r="J83" s="158">
        <f>VLOOKUP(B83,'[3]MASTER PART LIST'!$B:$C,2,FALSE)</f>
        <v>238</v>
      </c>
      <c r="K83" s="161">
        <f>VLOOKUP(B83,'[3]MASTER PART LIST'!$B:$D,3,FALSE)</f>
        <v>397</v>
      </c>
      <c r="L83" s="161">
        <f t="shared" si="1"/>
        <v>469.4</v>
      </c>
      <c r="M83" s="187"/>
      <c r="N83" s="269" t="s">
        <v>19</v>
      </c>
      <c r="O83" s="187" t="s">
        <v>18</v>
      </c>
      <c r="P83" s="187" t="s">
        <v>18</v>
      </c>
      <c r="Q83" s="269" t="s">
        <v>19</v>
      </c>
      <c r="R83" s="187"/>
      <c r="S83" s="187"/>
      <c r="T83" s="187"/>
      <c r="U83" s="110"/>
      <c r="V83" s="110"/>
      <c r="W83" s="322"/>
      <c r="X83" s="122"/>
      <c r="Y83" s="122"/>
      <c r="Z83" s="122"/>
      <c r="AA83" s="122"/>
      <c r="AB83" s="122"/>
      <c r="AC83" s="122"/>
      <c r="AD83" s="122"/>
      <c r="AE83" s="122"/>
      <c r="AF83" s="122"/>
      <c r="AG83" s="250"/>
      <c r="AH83" s="211"/>
      <c r="AI83" s="250"/>
      <c r="AJ83" s="250"/>
      <c r="AK83" s="250"/>
      <c r="AL83" s="250"/>
      <c r="AM83" s="250"/>
      <c r="AN83" s="250"/>
      <c r="AO83" s="250"/>
      <c r="AP83" s="250"/>
      <c r="AQ83" s="256"/>
      <c r="AR83" s="256"/>
    </row>
    <row r="84" spans="2:44" ht="15.6" hidden="1" outlineLevel="1">
      <c r="B84" s="190" t="s">
        <v>270</v>
      </c>
      <c r="C84" s="104" t="s">
        <v>19</v>
      </c>
      <c r="D84" s="107" t="s">
        <v>259</v>
      </c>
      <c r="E84" s="107" t="s">
        <v>260</v>
      </c>
      <c r="F84" s="312"/>
      <c r="G84" s="312"/>
      <c r="H84" s="104">
        <v>0.4</v>
      </c>
      <c r="I84" s="124"/>
      <c r="J84" s="158">
        <f>VLOOKUP(B84,'[3]MASTER PART LIST'!$B:$C,2,FALSE)</f>
        <v>238</v>
      </c>
      <c r="K84" s="161">
        <f>VLOOKUP(B84,'[3]MASTER PART LIST'!$B:$D,3,FALSE)</f>
        <v>397</v>
      </c>
      <c r="L84" s="161">
        <f t="shared" si="1"/>
        <v>469.4</v>
      </c>
      <c r="M84" s="187"/>
      <c r="N84" s="269" t="s">
        <v>19</v>
      </c>
      <c r="O84" s="269" t="s">
        <v>19</v>
      </c>
      <c r="P84" s="187" t="s">
        <v>18</v>
      </c>
      <c r="Q84" s="187" t="s">
        <v>18</v>
      </c>
      <c r="R84" s="171"/>
      <c r="S84" s="171"/>
      <c r="T84" s="171"/>
      <c r="U84" s="110"/>
      <c r="V84" s="110"/>
      <c r="W84" s="322"/>
      <c r="X84" s="122"/>
      <c r="Y84" s="122"/>
      <c r="Z84" s="122"/>
      <c r="AA84" s="122"/>
      <c r="AB84" s="122"/>
      <c r="AC84" s="122"/>
      <c r="AD84" s="122"/>
      <c r="AE84" s="122"/>
      <c r="AF84" s="122"/>
      <c r="AG84" s="250"/>
      <c r="AH84" s="211"/>
      <c r="AI84" s="250"/>
      <c r="AJ84" s="250"/>
      <c r="AK84" s="250"/>
      <c r="AL84" s="250"/>
      <c r="AM84" s="250"/>
      <c r="AN84" s="250"/>
      <c r="AO84" s="250"/>
      <c r="AP84" s="250"/>
      <c r="AQ84" s="256"/>
      <c r="AR84" s="256"/>
    </row>
    <row r="85" spans="2:44" ht="15.6" hidden="1" outlineLevel="1">
      <c r="B85" s="190" t="s">
        <v>280</v>
      </c>
      <c r="C85" s="104" t="s">
        <v>19</v>
      </c>
      <c r="D85" s="107" t="s">
        <v>261</v>
      </c>
      <c r="E85" s="102" t="s">
        <v>262</v>
      </c>
      <c r="F85" s="312"/>
      <c r="G85" s="312"/>
      <c r="H85" s="104">
        <v>0.4</v>
      </c>
      <c r="I85" s="124"/>
      <c r="J85" s="158">
        <f>VLOOKUP(B85,'[3]MASTER PART LIST'!$B:$C,2,FALSE)</f>
        <v>238</v>
      </c>
      <c r="K85" s="161">
        <f>VLOOKUP(B85,'[3]MASTER PART LIST'!$B:$D,3,FALSE)</f>
        <v>397</v>
      </c>
      <c r="L85" s="161">
        <f t="shared" ref="L85" si="16">K85+(H85*VLOOKUP(prov_cd,rate_table,2,FALSE))</f>
        <v>469.4</v>
      </c>
      <c r="M85" s="187"/>
      <c r="N85" s="269" t="s">
        <v>19</v>
      </c>
      <c r="O85" s="269" t="s">
        <v>19</v>
      </c>
      <c r="P85" s="269" t="s">
        <v>19</v>
      </c>
      <c r="Q85" s="187" t="s">
        <v>18</v>
      </c>
      <c r="R85" s="187"/>
      <c r="S85" s="187"/>
      <c r="T85" s="187"/>
      <c r="U85" s="110"/>
      <c r="V85" s="110"/>
      <c r="W85" s="322"/>
      <c r="X85" s="122"/>
      <c r="Y85" s="122"/>
      <c r="Z85" s="122"/>
      <c r="AA85" s="122"/>
      <c r="AB85" s="122"/>
      <c r="AC85" s="122"/>
      <c r="AD85" s="122"/>
      <c r="AE85" s="122"/>
      <c r="AF85" s="122"/>
      <c r="AG85" s="250"/>
      <c r="AH85" s="211"/>
      <c r="AI85" s="250"/>
      <c r="AJ85" s="250"/>
      <c r="AK85" s="250"/>
      <c r="AL85" s="250"/>
      <c r="AM85" s="250"/>
      <c r="AN85" s="250"/>
      <c r="AO85" s="250"/>
      <c r="AP85" s="250"/>
      <c r="AQ85" s="256"/>
      <c r="AR85" s="256"/>
    </row>
    <row r="86" spans="2:44" ht="15.6" hidden="1" outlineLevel="1">
      <c r="B86" s="190" t="s">
        <v>281</v>
      </c>
      <c r="C86" s="104" t="s">
        <v>19</v>
      </c>
      <c r="D86" s="107" t="s">
        <v>276</v>
      </c>
      <c r="E86" s="102" t="s">
        <v>277</v>
      </c>
      <c r="F86" s="312"/>
      <c r="G86" s="312"/>
      <c r="H86" s="104">
        <v>0.4</v>
      </c>
      <c r="I86" s="124"/>
      <c r="J86" s="158">
        <f>VLOOKUP(B86,'[3]MASTER PART LIST'!$B:$C,2,FALSE)</f>
        <v>238</v>
      </c>
      <c r="K86" s="161">
        <f>VLOOKUP(B86,'[3]MASTER PART LIST'!$B:$D,3,FALSE)</f>
        <v>397</v>
      </c>
      <c r="L86" s="161">
        <f t="shared" si="1"/>
        <v>469.4</v>
      </c>
      <c r="M86" s="171"/>
      <c r="N86" s="187" t="s">
        <v>18</v>
      </c>
      <c r="O86" s="187" t="s">
        <v>18</v>
      </c>
      <c r="P86" s="187" t="s">
        <v>18</v>
      </c>
      <c r="Q86" s="269" t="s">
        <v>19</v>
      </c>
      <c r="R86" s="187"/>
      <c r="S86" s="187"/>
      <c r="T86" s="187"/>
      <c r="U86" s="110"/>
      <c r="V86" s="110"/>
      <c r="W86" s="322"/>
      <c r="X86" s="122"/>
      <c r="Y86" s="122"/>
      <c r="Z86" s="122"/>
      <c r="AA86" s="122"/>
      <c r="AB86" s="122"/>
      <c r="AC86" s="122"/>
      <c r="AD86" s="122"/>
      <c r="AE86" s="122"/>
      <c r="AF86" s="122"/>
      <c r="AG86" s="250"/>
      <c r="AH86" s="211"/>
      <c r="AI86" s="250"/>
      <c r="AJ86" s="250"/>
      <c r="AK86" s="250"/>
      <c r="AL86" s="250"/>
      <c r="AM86" s="250"/>
      <c r="AN86" s="250"/>
      <c r="AO86" s="250"/>
      <c r="AP86" s="250"/>
      <c r="AQ86" s="256"/>
      <c r="AR86" s="256"/>
    </row>
    <row r="87" spans="2:44" ht="24" collapsed="1">
      <c r="B87" s="287" t="s">
        <v>311</v>
      </c>
      <c r="C87" s="102" t="str">
        <f>B88</f>
        <v>08P20-THR-190A</v>
      </c>
      <c r="D87" s="107" t="s">
        <v>100</v>
      </c>
      <c r="E87" s="107" t="s">
        <v>103</v>
      </c>
      <c r="F87" s="305" t="s">
        <v>144</v>
      </c>
      <c r="G87" s="305" t="s">
        <v>145</v>
      </c>
      <c r="H87" s="288">
        <f>H88</f>
        <v>0.3</v>
      </c>
      <c r="I87" s="102"/>
      <c r="J87" s="289">
        <f>J89</f>
        <v>90</v>
      </c>
      <c r="K87" s="289">
        <f>K89</f>
        <v>150</v>
      </c>
      <c r="L87" s="161">
        <f t="shared" si="1"/>
        <v>204.3</v>
      </c>
      <c r="M87" s="187"/>
      <c r="N87" s="187" t="s">
        <v>18</v>
      </c>
      <c r="O87" s="187" t="s">
        <v>18</v>
      </c>
      <c r="P87" s="187" t="s">
        <v>18</v>
      </c>
      <c r="Q87" s="187" t="s">
        <v>18</v>
      </c>
      <c r="R87" s="187"/>
      <c r="S87" s="187"/>
      <c r="T87" s="187"/>
      <c r="U87" s="110" t="s">
        <v>162</v>
      </c>
      <c r="V87" s="110" t="s">
        <v>176</v>
      </c>
      <c r="W87" s="104">
        <v>46</v>
      </c>
      <c r="X87" s="121"/>
      <c r="Y87" s="253"/>
      <c r="Z87" s="253"/>
      <c r="AA87" s="253"/>
      <c r="AB87" s="253"/>
      <c r="AC87" s="253"/>
      <c r="AD87" s="253"/>
      <c r="AE87" s="253"/>
      <c r="AF87" s="253"/>
      <c r="AG87" s="187"/>
      <c r="AH87" s="187"/>
      <c r="AI87" s="187"/>
      <c r="AJ87" s="187" t="s">
        <v>18</v>
      </c>
      <c r="AK87" s="187"/>
      <c r="AL87" s="187"/>
      <c r="AM87" s="187"/>
      <c r="AN87" s="187"/>
      <c r="AO87" s="187"/>
      <c r="AP87" s="187"/>
      <c r="AQ87" s="255"/>
      <c r="AR87" s="255" t="s">
        <v>501</v>
      </c>
    </row>
    <row r="88" spans="2:44" ht="15.6" hidden="1" outlineLevel="1">
      <c r="B88" s="102" t="s">
        <v>283</v>
      </c>
      <c r="C88" s="104" t="s">
        <v>19</v>
      </c>
      <c r="D88" s="107" t="s">
        <v>56</v>
      </c>
      <c r="E88" s="107" t="s">
        <v>105</v>
      </c>
      <c r="F88" s="312"/>
      <c r="G88" s="312"/>
      <c r="H88" s="104">
        <v>0.3</v>
      </c>
      <c r="I88" s="124"/>
      <c r="J88" s="158">
        <f>VLOOKUP(B88,'[3]MASTER PART LIST'!$B:$C,2,FALSE)</f>
        <v>90</v>
      </c>
      <c r="K88" s="161">
        <f>VLOOKUP(B88,'[3]MASTER PART LIST'!$B:$D,3,FALSE)</f>
        <v>150</v>
      </c>
      <c r="L88" s="161">
        <f t="shared" si="1"/>
        <v>204.3</v>
      </c>
      <c r="M88" s="187"/>
      <c r="N88" s="187" t="s">
        <v>18</v>
      </c>
      <c r="O88" s="187" t="s">
        <v>18</v>
      </c>
      <c r="P88" s="187" t="s">
        <v>18</v>
      </c>
      <c r="Q88" s="187" t="s">
        <v>18</v>
      </c>
      <c r="R88" s="187"/>
      <c r="S88" s="187"/>
      <c r="T88" s="187"/>
      <c r="U88" s="110"/>
      <c r="V88" s="110"/>
      <c r="W88" s="322"/>
      <c r="X88" s="122"/>
      <c r="Y88" s="122"/>
      <c r="Z88" s="122"/>
      <c r="AA88" s="122"/>
      <c r="AB88" s="122"/>
      <c r="AC88" s="122"/>
      <c r="AD88" s="122"/>
      <c r="AE88" s="122"/>
      <c r="AF88" s="122"/>
      <c r="AG88" s="250"/>
      <c r="AH88" s="211"/>
      <c r="AI88" s="250"/>
      <c r="AJ88" s="250"/>
      <c r="AK88" s="250"/>
      <c r="AL88" s="250"/>
      <c r="AM88" s="250"/>
      <c r="AN88" s="250"/>
      <c r="AO88" s="250"/>
      <c r="AP88" s="250"/>
      <c r="AQ88" s="255"/>
      <c r="AR88" s="255"/>
    </row>
    <row r="89" spans="2:44" ht="15.6" hidden="1" outlineLevel="1">
      <c r="B89" s="102" t="s">
        <v>282</v>
      </c>
      <c r="C89" s="104" t="s">
        <v>19</v>
      </c>
      <c r="D89" s="107" t="s">
        <v>55</v>
      </c>
      <c r="E89" s="107" t="s">
        <v>106</v>
      </c>
      <c r="F89" s="312"/>
      <c r="G89" s="312"/>
      <c r="H89" s="104">
        <v>0.3</v>
      </c>
      <c r="I89" s="124"/>
      <c r="J89" s="158">
        <f>VLOOKUP(B89,'[3]MASTER PART LIST'!$B:$C,2,FALSE)</f>
        <v>90</v>
      </c>
      <c r="K89" s="161">
        <f>VLOOKUP(B89,'[3]MASTER PART LIST'!$B:$D,3,FALSE)</f>
        <v>150</v>
      </c>
      <c r="L89" s="161">
        <f t="shared" si="1"/>
        <v>204.3</v>
      </c>
      <c r="M89" s="171"/>
      <c r="N89" s="187" t="s">
        <v>18</v>
      </c>
      <c r="O89" s="269" t="s">
        <v>19</v>
      </c>
      <c r="P89" s="269" t="s">
        <v>19</v>
      </c>
      <c r="Q89" s="187" t="s">
        <v>18</v>
      </c>
      <c r="R89" s="187"/>
      <c r="S89" s="187"/>
      <c r="T89" s="187"/>
      <c r="U89" s="110"/>
      <c r="V89" s="110"/>
      <c r="W89" s="322"/>
      <c r="X89" s="122"/>
      <c r="Y89" s="122"/>
      <c r="Z89" s="122"/>
      <c r="AA89" s="122"/>
      <c r="AB89" s="122"/>
      <c r="AC89" s="122"/>
      <c r="AD89" s="122"/>
      <c r="AE89" s="122"/>
      <c r="AF89" s="122"/>
      <c r="AG89" s="250"/>
      <c r="AH89" s="211"/>
      <c r="AI89" s="250"/>
      <c r="AJ89" s="250"/>
      <c r="AK89" s="250"/>
      <c r="AL89" s="250"/>
      <c r="AM89" s="250"/>
      <c r="AN89" s="250"/>
      <c r="AO89" s="250"/>
      <c r="AP89" s="250"/>
      <c r="AQ89" s="255"/>
      <c r="AR89" s="255"/>
    </row>
    <row r="90" spans="2:44" ht="15.6" hidden="1" outlineLevel="1">
      <c r="B90" s="102" t="s">
        <v>284</v>
      </c>
      <c r="C90" s="104" t="s">
        <v>19</v>
      </c>
      <c r="D90" s="107" t="s">
        <v>273</v>
      </c>
      <c r="E90" s="107" t="s">
        <v>274</v>
      </c>
      <c r="F90" s="312"/>
      <c r="G90" s="312"/>
      <c r="H90" s="104">
        <v>0.3</v>
      </c>
      <c r="I90" s="124"/>
      <c r="J90" s="158">
        <f>VLOOKUP(B90,'[3]MASTER PART LIST'!$B:$C,2,FALSE)</f>
        <v>90</v>
      </c>
      <c r="K90" s="161">
        <f>VLOOKUP(B90,'[3]MASTER PART LIST'!$B:$D,3,FALSE)</f>
        <v>150</v>
      </c>
      <c r="L90" s="161">
        <f t="shared" si="1"/>
        <v>204.3</v>
      </c>
      <c r="M90" s="187"/>
      <c r="N90" s="269" t="s">
        <v>19</v>
      </c>
      <c r="O90" s="187" t="s">
        <v>18</v>
      </c>
      <c r="P90" s="187" t="s">
        <v>18</v>
      </c>
      <c r="Q90" s="269" t="s">
        <v>19</v>
      </c>
      <c r="R90" s="171"/>
      <c r="S90" s="171"/>
      <c r="T90" s="171"/>
      <c r="U90" s="110"/>
      <c r="V90" s="110"/>
      <c r="W90" s="322"/>
      <c r="X90" s="122"/>
      <c r="Y90" s="122"/>
      <c r="Z90" s="122"/>
      <c r="AA90" s="122"/>
      <c r="AB90" s="122"/>
      <c r="AC90" s="122"/>
      <c r="AD90" s="122"/>
      <c r="AE90" s="122"/>
      <c r="AF90" s="122"/>
      <c r="AG90" s="250"/>
      <c r="AH90" s="211"/>
      <c r="AI90" s="250"/>
      <c r="AJ90" s="250"/>
      <c r="AK90" s="250"/>
      <c r="AL90" s="250"/>
      <c r="AM90" s="250"/>
      <c r="AN90" s="250"/>
      <c r="AO90" s="250"/>
      <c r="AP90" s="250"/>
      <c r="AQ90" s="255"/>
      <c r="AR90" s="255"/>
    </row>
    <row r="91" spans="2:44" ht="15.6" hidden="1" outlineLevel="1">
      <c r="B91" s="102" t="s">
        <v>285</v>
      </c>
      <c r="C91" s="104" t="s">
        <v>19</v>
      </c>
      <c r="D91" s="107" t="s">
        <v>259</v>
      </c>
      <c r="E91" s="107" t="s">
        <v>260</v>
      </c>
      <c r="F91" s="312"/>
      <c r="G91" s="312"/>
      <c r="H91" s="104">
        <v>0.3</v>
      </c>
      <c r="I91" s="124"/>
      <c r="J91" s="158">
        <f>VLOOKUP(B91,'[3]MASTER PART LIST'!$B:$C,2,FALSE)</f>
        <v>90</v>
      </c>
      <c r="K91" s="161">
        <f>VLOOKUP(B91,'[3]MASTER PART LIST'!$B:$D,3,FALSE)</f>
        <v>150</v>
      </c>
      <c r="L91" s="161">
        <f t="shared" si="1"/>
        <v>204.3</v>
      </c>
      <c r="M91" s="187"/>
      <c r="N91" s="269" t="s">
        <v>19</v>
      </c>
      <c r="O91" s="269" t="s">
        <v>19</v>
      </c>
      <c r="P91" s="187" t="s">
        <v>18</v>
      </c>
      <c r="Q91" s="187" t="s">
        <v>18</v>
      </c>
      <c r="R91" s="187"/>
      <c r="S91" s="187"/>
      <c r="T91" s="187"/>
      <c r="U91" s="110"/>
      <c r="V91" s="110"/>
      <c r="W91" s="322"/>
      <c r="X91" s="122"/>
      <c r="Y91" s="122"/>
      <c r="Z91" s="122"/>
      <c r="AA91" s="122"/>
      <c r="AB91" s="122"/>
      <c r="AC91" s="122"/>
      <c r="AD91" s="122"/>
      <c r="AE91" s="122"/>
      <c r="AF91" s="122"/>
      <c r="AG91" s="250"/>
      <c r="AH91" s="211"/>
      <c r="AI91" s="250"/>
      <c r="AJ91" s="250"/>
      <c r="AK91" s="250"/>
      <c r="AL91" s="250"/>
      <c r="AM91" s="250"/>
      <c r="AN91" s="250"/>
      <c r="AO91" s="250"/>
      <c r="AP91" s="250"/>
      <c r="AQ91" s="255"/>
      <c r="AR91" s="255"/>
    </row>
    <row r="92" spans="2:44" ht="15.6" hidden="1" outlineLevel="1">
      <c r="B92" s="102" t="s">
        <v>286</v>
      </c>
      <c r="C92" s="104" t="s">
        <v>19</v>
      </c>
      <c r="D92" s="107" t="s">
        <v>261</v>
      </c>
      <c r="E92" s="102" t="s">
        <v>262</v>
      </c>
      <c r="F92" s="312"/>
      <c r="G92" s="312"/>
      <c r="H92" s="104">
        <v>0.3</v>
      </c>
      <c r="I92" s="124"/>
      <c r="J92" s="158">
        <f>VLOOKUP(B92,'[3]MASTER PART LIST'!$B:$C,2,FALSE)</f>
        <v>79</v>
      </c>
      <c r="K92" s="161">
        <f>VLOOKUP(B92,'[3]MASTER PART LIST'!$B:$D,3,FALSE)</f>
        <v>145</v>
      </c>
      <c r="L92" s="161">
        <f t="shared" si="1"/>
        <v>199.3</v>
      </c>
      <c r="M92" s="171"/>
      <c r="N92" s="269" t="s">
        <v>19</v>
      </c>
      <c r="O92" s="269" t="s">
        <v>19</v>
      </c>
      <c r="P92" s="269" t="s">
        <v>19</v>
      </c>
      <c r="Q92" s="187" t="s">
        <v>18</v>
      </c>
      <c r="R92" s="187"/>
      <c r="S92" s="187"/>
      <c r="T92" s="187"/>
      <c r="U92" s="110"/>
      <c r="V92" s="110"/>
      <c r="W92" s="322"/>
      <c r="X92" s="122"/>
      <c r="Y92" s="122"/>
      <c r="Z92" s="122"/>
      <c r="AA92" s="122"/>
      <c r="AB92" s="122"/>
      <c r="AC92" s="122"/>
      <c r="AD92" s="122"/>
      <c r="AE92" s="122"/>
      <c r="AF92" s="122"/>
      <c r="AG92" s="250"/>
      <c r="AH92" s="211"/>
      <c r="AI92" s="250"/>
      <c r="AJ92" s="250"/>
      <c r="AK92" s="250"/>
      <c r="AL92" s="250"/>
      <c r="AM92" s="250"/>
      <c r="AN92" s="250"/>
      <c r="AO92" s="250"/>
      <c r="AP92" s="250"/>
      <c r="AQ92" s="255"/>
      <c r="AR92" s="255"/>
    </row>
    <row r="93" spans="2:44" ht="15.6" hidden="1" outlineLevel="1">
      <c r="B93" s="102" t="s">
        <v>287</v>
      </c>
      <c r="C93" s="104" t="s">
        <v>19</v>
      </c>
      <c r="D93" s="107" t="s">
        <v>276</v>
      </c>
      <c r="E93" s="190" t="s">
        <v>277</v>
      </c>
      <c r="F93" s="312"/>
      <c r="G93" s="312"/>
      <c r="H93" s="104">
        <v>0.3</v>
      </c>
      <c r="I93" s="124"/>
      <c r="J93" s="158">
        <f>VLOOKUP(B93,'[3]MASTER PART LIST'!$B:$C,2,FALSE)</f>
        <v>90</v>
      </c>
      <c r="K93" s="161">
        <f>VLOOKUP(B93,'[3]MASTER PART LIST'!$B:$D,3,FALSE)</f>
        <v>150</v>
      </c>
      <c r="L93" s="161">
        <f t="shared" ref="L93" si="17">K93+(H93*VLOOKUP(prov_cd,rate_table,2,FALSE))</f>
        <v>204.3</v>
      </c>
      <c r="M93" s="187"/>
      <c r="N93" s="187" t="s">
        <v>18</v>
      </c>
      <c r="O93" s="187" t="s">
        <v>18</v>
      </c>
      <c r="P93" s="187" t="s">
        <v>18</v>
      </c>
      <c r="Q93" s="269" t="s">
        <v>19</v>
      </c>
      <c r="R93" s="187"/>
      <c r="S93" s="187"/>
      <c r="T93" s="187"/>
      <c r="U93" s="110"/>
      <c r="V93" s="110"/>
      <c r="W93" s="322"/>
      <c r="X93" s="122"/>
      <c r="Y93" s="122"/>
      <c r="Z93" s="122"/>
      <c r="AA93" s="122"/>
      <c r="AB93" s="122"/>
      <c r="AC93" s="122"/>
      <c r="AD93" s="122"/>
      <c r="AE93" s="122"/>
      <c r="AF93" s="122"/>
      <c r="AG93" s="250"/>
      <c r="AH93" s="211"/>
      <c r="AI93" s="250"/>
      <c r="AJ93" s="250"/>
      <c r="AK93" s="250"/>
      <c r="AL93" s="250"/>
      <c r="AM93" s="250"/>
      <c r="AN93" s="250"/>
      <c r="AO93" s="250"/>
      <c r="AP93" s="250"/>
      <c r="AQ93" s="255"/>
      <c r="AR93" s="255"/>
    </row>
    <row r="94" spans="2:44" ht="27.6" collapsed="1">
      <c r="B94" s="267" t="s">
        <v>318</v>
      </c>
      <c r="C94" s="102" t="str">
        <f t="shared" ref="C94:C101" si="18">B94</f>
        <v>08P17-THR-110A</v>
      </c>
      <c r="D94" s="268" t="s">
        <v>319</v>
      </c>
      <c r="E94" s="268" t="s">
        <v>320</v>
      </c>
      <c r="F94" s="307" t="s">
        <v>252</v>
      </c>
      <c r="G94" s="307" t="s">
        <v>253</v>
      </c>
      <c r="H94" s="104">
        <v>0.1</v>
      </c>
      <c r="I94" s="102"/>
      <c r="J94" s="158">
        <f>VLOOKUP(B94,'[3]MASTER PART LIST'!$B:$C,2,FALSE)</f>
        <v>201</v>
      </c>
      <c r="K94" s="161">
        <f>VLOOKUP(B94,'[3]MASTER PART LIST'!$B:$D,3,FALSE)</f>
        <v>335</v>
      </c>
      <c r="L94" s="161">
        <f t="shared" ref="L94:L101" si="19">K94+(H94*VLOOKUP(prov_cd,rate_table,2,FALSE))</f>
        <v>353.1</v>
      </c>
      <c r="M94" s="187"/>
      <c r="N94" s="187" t="s">
        <v>18</v>
      </c>
      <c r="O94" s="187" t="s">
        <v>18</v>
      </c>
      <c r="P94" s="187" t="s">
        <v>18</v>
      </c>
      <c r="Q94" s="187" t="s">
        <v>18</v>
      </c>
      <c r="R94" s="187"/>
      <c r="S94" s="187"/>
      <c r="T94" s="187"/>
      <c r="U94" s="110" t="s">
        <v>346</v>
      </c>
      <c r="V94" s="110" t="s">
        <v>347</v>
      </c>
      <c r="W94" s="104">
        <v>37</v>
      </c>
      <c r="X94" s="266"/>
      <c r="Y94" s="253"/>
      <c r="Z94" s="253"/>
      <c r="AA94" s="253"/>
      <c r="AB94" s="253"/>
      <c r="AC94" s="253"/>
      <c r="AD94" s="253"/>
      <c r="AE94" s="253"/>
      <c r="AF94" s="253"/>
      <c r="AG94" s="187"/>
      <c r="AH94" s="187"/>
      <c r="AI94" s="187"/>
      <c r="AJ94" s="269"/>
      <c r="AK94" s="269"/>
      <c r="AL94" s="187" t="s">
        <v>18</v>
      </c>
      <c r="AM94" s="187"/>
      <c r="AN94" s="187"/>
      <c r="AO94" s="187"/>
      <c r="AP94" s="187"/>
      <c r="AQ94" s="255"/>
      <c r="AR94" s="314" t="s">
        <v>560</v>
      </c>
    </row>
    <row r="95" spans="2:44" ht="48">
      <c r="B95" s="267" t="s">
        <v>321</v>
      </c>
      <c r="C95" s="102" t="str">
        <f t="shared" si="18"/>
        <v>08U45-THR-300</v>
      </c>
      <c r="D95" s="268" t="s">
        <v>256</v>
      </c>
      <c r="E95" s="268" t="s">
        <v>322</v>
      </c>
      <c r="F95" s="307" t="s">
        <v>323</v>
      </c>
      <c r="G95" s="307" t="s">
        <v>324</v>
      </c>
      <c r="H95" s="104">
        <v>0.1</v>
      </c>
      <c r="I95" s="102"/>
      <c r="J95" s="158">
        <f>VLOOKUP(B95,'[3]MASTER PART LIST'!$B:$C,2,FALSE)</f>
        <v>424</v>
      </c>
      <c r="K95" s="161">
        <f>VLOOKUP(B95,'[3]MASTER PART LIST'!$B:$D,3,FALSE)</f>
        <v>707</v>
      </c>
      <c r="L95" s="161">
        <f t="shared" si="19"/>
        <v>725.1</v>
      </c>
      <c r="M95" s="187"/>
      <c r="N95" s="187" t="s">
        <v>18</v>
      </c>
      <c r="O95" s="187" t="s">
        <v>18</v>
      </c>
      <c r="P95" s="187" t="s">
        <v>18</v>
      </c>
      <c r="Q95" s="187" t="s">
        <v>18</v>
      </c>
      <c r="R95" s="187"/>
      <c r="S95" s="187"/>
      <c r="T95" s="187"/>
      <c r="U95" s="110"/>
      <c r="V95" s="110"/>
      <c r="W95" s="104">
        <v>40</v>
      </c>
      <c r="X95" s="266"/>
      <c r="Y95" s="253"/>
      <c r="Z95" s="253"/>
      <c r="AA95" s="253"/>
      <c r="AB95" s="253"/>
      <c r="AC95" s="253"/>
      <c r="AD95" s="253"/>
      <c r="AE95" s="253"/>
      <c r="AF95" s="253"/>
      <c r="AG95" s="187"/>
      <c r="AH95" s="187"/>
      <c r="AI95" s="187"/>
      <c r="AJ95" s="269"/>
      <c r="AK95" s="269"/>
      <c r="AL95" s="187" t="s">
        <v>18</v>
      </c>
      <c r="AM95" s="187"/>
      <c r="AN95" s="187"/>
      <c r="AO95" s="187"/>
      <c r="AP95" s="187"/>
      <c r="AQ95" s="255"/>
      <c r="AR95" s="255"/>
    </row>
    <row r="96" spans="2:44" ht="24">
      <c r="B96" s="267" t="s">
        <v>325</v>
      </c>
      <c r="C96" s="102" t="str">
        <f t="shared" si="18"/>
        <v>08P42-THR-100</v>
      </c>
      <c r="D96" s="268" t="s">
        <v>326</v>
      </c>
      <c r="E96" s="268" t="s">
        <v>327</v>
      </c>
      <c r="F96" s="307" t="s">
        <v>328</v>
      </c>
      <c r="G96" s="307" t="s">
        <v>329</v>
      </c>
      <c r="H96" s="104">
        <v>1.2</v>
      </c>
      <c r="I96" s="102"/>
      <c r="J96" s="158">
        <f>VLOOKUP(B96,'[3]MASTER PART LIST'!$B:$C,2,FALSE)</f>
        <v>303</v>
      </c>
      <c r="K96" s="161">
        <f>VLOOKUP(B96,'[3]MASTER PART LIST'!$B:$D,3,FALSE)</f>
        <v>433</v>
      </c>
      <c r="L96" s="161">
        <f t="shared" si="19"/>
        <v>650.20000000000005</v>
      </c>
      <c r="M96" s="187"/>
      <c r="N96" s="187" t="s">
        <v>18</v>
      </c>
      <c r="O96" s="187" t="s">
        <v>18</v>
      </c>
      <c r="P96" s="187" t="s">
        <v>18</v>
      </c>
      <c r="Q96" s="187" t="s">
        <v>18</v>
      </c>
      <c r="R96" s="187"/>
      <c r="S96" s="187"/>
      <c r="T96" s="187"/>
      <c r="U96" s="110"/>
      <c r="V96" s="110"/>
      <c r="W96" s="104">
        <v>41</v>
      </c>
      <c r="X96" s="266"/>
      <c r="Y96" s="253"/>
      <c r="Z96" s="253"/>
      <c r="AA96" s="253"/>
      <c r="AB96" s="253"/>
      <c r="AC96" s="253"/>
      <c r="AD96" s="253"/>
      <c r="AE96" s="253"/>
      <c r="AF96" s="253"/>
      <c r="AG96" s="187"/>
      <c r="AH96" s="187"/>
      <c r="AI96" s="187"/>
      <c r="AJ96" s="269"/>
      <c r="AK96" s="269"/>
      <c r="AL96" s="187" t="s">
        <v>18</v>
      </c>
      <c r="AM96" s="187"/>
      <c r="AN96" s="187"/>
      <c r="AO96" s="187"/>
      <c r="AP96" s="187"/>
      <c r="AQ96" s="255"/>
      <c r="AR96" s="255"/>
    </row>
    <row r="97" spans="1:44" ht="24">
      <c r="B97" s="267" t="s">
        <v>330</v>
      </c>
      <c r="C97" s="102" t="str">
        <f t="shared" si="18"/>
        <v>08L96-THR-100</v>
      </c>
      <c r="D97" s="268" t="s">
        <v>98</v>
      </c>
      <c r="E97" s="268" t="s">
        <v>331</v>
      </c>
      <c r="F97" s="307" t="s">
        <v>250</v>
      </c>
      <c r="G97" s="307" t="s">
        <v>251</v>
      </c>
      <c r="H97" s="104">
        <v>0.1</v>
      </c>
      <c r="I97" s="102"/>
      <c r="J97" s="158">
        <f>VLOOKUP(B97,'[3]MASTER PART LIST'!$B:$C,2,FALSE)</f>
        <v>44</v>
      </c>
      <c r="K97" s="161">
        <f>VLOOKUP(B97,'[3]MASTER PART LIST'!$B:$D,3,FALSE)</f>
        <v>73</v>
      </c>
      <c r="L97" s="161">
        <f t="shared" si="19"/>
        <v>91.1</v>
      </c>
      <c r="M97" s="187"/>
      <c r="N97" s="187" t="s">
        <v>18</v>
      </c>
      <c r="O97" s="187" t="s">
        <v>18</v>
      </c>
      <c r="P97" s="187" t="s">
        <v>18</v>
      </c>
      <c r="Q97" s="187" t="s">
        <v>18</v>
      </c>
      <c r="R97" s="187"/>
      <c r="S97" s="187"/>
      <c r="T97" s="187"/>
      <c r="U97" s="110"/>
      <c r="V97" s="110"/>
      <c r="W97" s="104">
        <v>42</v>
      </c>
      <c r="X97" s="266"/>
      <c r="Y97" s="253"/>
      <c r="Z97" s="253"/>
      <c r="AA97" s="253"/>
      <c r="AB97" s="253"/>
      <c r="AC97" s="253"/>
      <c r="AD97" s="253"/>
      <c r="AE97" s="253"/>
      <c r="AF97" s="253"/>
      <c r="AG97" s="187"/>
      <c r="AH97" s="187"/>
      <c r="AI97" s="187"/>
      <c r="AJ97" s="269"/>
      <c r="AK97" s="269"/>
      <c r="AL97" s="187" t="s">
        <v>18</v>
      </c>
      <c r="AM97" s="187"/>
      <c r="AN97" s="187"/>
      <c r="AO97" s="187"/>
      <c r="AP97" s="187"/>
      <c r="AQ97" s="255"/>
      <c r="AR97" s="255"/>
    </row>
    <row r="98" spans="1:44" ht="41.4">
      <c r="B98" s="267" t="s">
        <v>332</v>
      </c>
      <c r="C98" s="102" t="str">
        <f t="shared" si="18"/>
        <v>08U45-THR-100A</v>
      </c>
      <c r="D98" s="268" t="s">
        <v>333</v>
      </c>
      <c r="E98" s="268" t="s">
        <v>334</v>
      </c>
      <c r="F98" s="307" t="s">
        <v>254</v>
      </c>
      <c r="G98" s="307" t="s">
        <v>255</v>
      </c>
      <c r="H98" s="104">
        <v>0.1</v>
      </c>
      <c r="I98" s="102"/>
      <c r="J98" s="158">
        <f>VLOOKUP(B98,'[3]MASTER PART LIST'!$B:$C,2,FALSE)</f>
        <v>144</v>
      </c>
      <c r="K98" s="161">
        <f>VLOOKUP(B98,'[3]MASTER PART LIST'!$B:$D,3,FALSE)</f>
        <v>240</v>
      </c>
      <c r="L98" s="161">
        <f t="shared" si="19"/>
        <v>258.10000000000002</v>
      </c>
      <c r="M98" s="187"/>
      <c r="N98" s="187" t="s">
        <v>18</v>
      </c>
      <c r="O98" s="187" t="s">
        <v>18</v>
      </c>
      <c r="P98" s="187" t="s">
        <v>18</v>
      </c>
      <c r="Q98" s="187" t="s">
        <v>18</v>
      </c>
      <c r="R98" s="187"/>
      <c r="S98" s="187"/>
      <c r="T98" s="187"/>
      <c r="U98" s="110"/>
      <c r="V98" s="110"/>
      <c r="W98" s="104">
        <v>38</v>
      </c>
      <c r="X98" s="266"/>
      <c r="Y98" s="253"/>
      <c r="Z98" s="253"/>
      <c r="AA98" s="253"/>
      <c r="AB98" s="253"/>
      <c r="AC98" s="253"/>
      <c r="AD98" s="253"/>
      <c r="AE98" s="253"/>
      <c r="AF98" s="253"/>
      <c r="AG98" s="187"/>
      <c r="AH98" s="187"/>
      <c r="AI98" s="187"/>
      <c r="AJ98" s="269"/>
      <c r="AK98" s="269"/>
      <c r="AL98" s="187" t="s">
        <v>18</v>
      </c>
      <c r="AM98" s="187"/>
      <c r="AN98" s="187"/>
      <c r="AO98" s="187"/>
      <c r="AP98" s="187"/>
      <c r="AQ98" s="255"/>
      <c r="AR98" s="314" t="s">
        <v>561</v>
      </c>
    </row>
    <row r="99" spans="1:44" ht="48">
      <c r="B99" s="267" t="s">
        <v>335</v>
      </c>
      <c r="C99" s="102" t="str">
        <f t="shared" si="18"/>
        <v>08U45-THR-100B</v>
      </c>
      <c r="D99" s="268" t="s">
        <v>336</v>
      </c>
      <c r="E99" s="268" t="s">
        <v>337</v>
      </c>
      <c r="F99" s="307" t="s">
        <v>338</v>
      </c>
      <c r="G99" s="307" t="s">
        <v>339</v>
      </c>
      <c r="H99" s="104">
        <v>0.1</v>
      </c>
      <c r="I99" s="102"/>
      <c r="J99" s="158">
        <f>VLOOKUP(B99,'[3]MASTER PART LIST'!$B:$C,2,FALSE)</f>
        <v>165</v>
      </c>
      <c r="K99" s="161">
        <f>VLOOKUP(B99,'[3]MASTER PART LIST'!$B:$D,3,FALSE)</f>
        <v>275</v>
      </c>
      <c r="L99" s="161">
        <f t="shared" si="19"/>
        <v>293.10000000000002</v>
      </c>
      <c r="M99" s="187"/>
      <c r="N99" s="187" t="s">
        <v>18</v>
      </c>
      <c r="O99" s="187" t="s">
        <v>18</v>
      </c>
      <c r="P99" s="187" t="s">
        <v>18</v>
      </c>
      <c r="Q99" s="187" t="s">
        <v>18</v>
      </c>
      <c r="R99" s="187"/>
      <c r="S99" s="187"/>
      <c r="T99" s="187"/>
      <c r="U99" s="110"/>
      <c r="V99" s="110"/>
      <c r="W99" s="104">
        <v>39</v>
      </c>
      <c r="X99" s="266"/>
      <c r="Y99" s="253"/>
      <c r="Z99" s="253"/>
      <c r="AA99" s="253"/>
      <c r="AB99" s="253"/>
      <c r="AC99" s="253"/>
      <c r="AD99" s="253"/>
      <c r="AE99" s="253"/>
      <c r="AF99" s="253"/>
      <c r="AG99" s="187"/>
      <c r="AH99" s="187"/>
      <c r="AI99" s="187"/>
      <c r="AJ99" s="269"/>
      <c r="AK99" s="269"/>
      <c r="AL99" s="187" t="s">
        <v>18</v>
      </c>
      <c r="AM99" s="187"/>
      <c r="AN99" s="187"/>
      <c r="AO99" s="187"/>
      <c r="AP99" s="187"/>
      <c r="AQ99" s="255"/>
      <c r="AR99" s="314" t="s">
        <v>562</v>
      </c>
    </row>
    <row r="100" spans="1:44" ht="36">
      <c r="B100" s="267" t="s">
        <v>340</v>
      </c>
      <c r="C100" s="102" t="str">
        <f t="shared" si="18"/>
        <v>08P32-THR-310D</v>
      </c>
      <c r="D100" s="268" t="s">
        <v>341</v>
      </c>
      <c r="E100" s="268" t="s">
        <v>342</v>
      </c>
      <c r="F100" s="307" t="s">
        <v>257</v>
      </c>
      <c r="G100" s="307" t="s">
        <v>258</v>
      </c>
      <c r="H100" s="104">
        <v>0.3</v>
      </c>
      <c r="I100" s="102"/>
      <c r="J100" s="158">
        <f>VLOOKUP(B100,'[3]MASTER PART LIST'!$B:$C,2,FALSE)</f>
        <v>405</v>
      </c>
      <c r="K100" s="161">
        <f>VLOOKUP(B100,'[3]MASTER PART LIST'!$B:$D,3,FALSE)</f>
        <v>579</v>
      </c>
      <c r="L100" s="161">
        <f t="shared" si="19"/>
        <v>633.29999999999995</v>
      </c>
      <c r="M100" s="187"/>
      <c r="N100" s="187" t="s">
        <v>18</v>
      </c>
      <c r="O100" s="187" t="s">
        <v>18</v>
      </c>
      <c r="P100" s="187" t="s">
        <v>18</v>
      </c>
      <c r="Q100" s="187" t="s">
        <v>18</v>
      </c>
      <c r="R100" s="187"/>
      <c r="S100" s="187"/>
      <c r="T100" s="187"/>
      <c r="U100" s="110" t="s">
        <v>348</v>
      </c>
      <c r="V100" s="110" t="s">
        <v>349</v>
      </c>
      <c r="W100" s="104">
        <v>43</v>
      </c>
      <c r="X100" s="266"/>
      <c r="Y100" s="253"/>
      <c r="Z100" s="253"/>
      <c r="AA100" s="253"/>
      <c r="AB100" s="253"/>
      <c r="AC100" s="253"/>
      <c r="AD100" s="253"/>
      <c r="AE100" s="253"/>
      <c r="AF100" s="253"/>
      <c r="AG100" s="187"/>
      <c r="AH100" s="187"/>
      <c r="AI100" s="187"/>
      <c r="AJ100" s="269"/>
      <c r="AK100" s="269"/>
      <c r="AL100" s="187" t="s">
        <v>18</v>
      </c>
      <c r="AM100" s="187"/>
      <c r="AN100" s="187"/>
      <c r="AO100" s="187"/>
      <c r="AP100" s="187"/>
      <c r="AQ100" s="255"/>
      <c r="AR100" s="255"/>
    </row>
    <row r="101" spans="1:44" ht="36">
      <c r="B101" s="267" t="s">
        <v>343</v>
      </c>
      <c r="C101" s="102" t="str">
        <f t="shared" si="18"/>
        <v>08P32-THR-310F</v>
      </c>
      <c r="D101" s="268" t="s">
        <v>344</v>
      </c>
      <c r="E101" s="268" t="s">
        <v>345</v>
      </c>
      <c r="F101" s="307" t="s">
        <v>257</v>
      </c>
      <c r="G101" s="307" t="s">
        <v>258</v>
      </c>
      <c r="H101" s="104">
        <v>0.2</v>
      </c>
      <c r="I101" s="102"/>
      <c r="J101" s="158">
        <f>VLOOKUP(B101,'[3]MASTER PART LIST'!$B:$C,2,FALSE)</f>
        <v>312</v>
      </c>
      <c r="K101" s="161">
        <f>VLOOKUP(B101,'[3]MASTER PART LIST'!$B:$D,3,FALSE)</f>
        <v>446</v>
      </c>
      <c r="L101" s="161">
        <f t="shared" si="19"/>
        <v>482.2</v>
      </c>
      <c r="M101" s="187"/>
      <c r="N101" s="187" t="s">
        <v>18</v>
      </c>
      <c r="O101" s="187" t="s">
        <v>18</v>
      </c>
      <c r="P101" s="187" t="s">
        <v>18</v>
      </c>
      <c r="Q101" s="187" t="s">
        <v>18</v>
      </c>
      <c r="R101" s="187"/>
      <c r="S101" s="187"/>
      <c r="T101" s="187"/>
      <c r="U101" s="110"/>
      <c r="V101" s="110"/>
      <c r="W101" s="104">
        <v>44</v>
      </c>
      <c r="X101" s="266"/>
      <c r="Y101" s="253"/>
      <c r="Z101" s="253"/>
      <c r="AA101" s="253"/>
      <c r="AB101" s="253"/>
      <c r="AC101" s="253"/>
      <c r="AD101" s="253"/>
      <c r="AE101" s="253"/>
      <c r="AF101" s="253"/>
      <c r="AG101" s="187"/>
      <c r="AH101" s="187"/>
      <c r="AI101" s="187"/>
      <c r="AJ101" s="269"/>
      <c r="AK101" s="269"/>
      <c r="AL101" s="187" t="s">
        <v>18</v>
      </c>
      <c r="AM101" s="187"/>
      <c r="AN101" s="187"/>
      <c r="AO101" s="187"/>
      <c r="AP101" s="187"/>
      <c r="AQ101" s="255"/>
      <c r="AR101" s="255"/>
    </row>
    <row r="102" spans="1:44" ht="15.6" hidden="1">
      <c r="A102" s="108"/>
      <c r="B102" s="102"/>
      <c r="C102" s="102"/>
      <c r="D102" s="107"/>
      <c r="E102" s="107"/>
      <c r="F102" s="307"/>
      <c r="G102" s="307"/>
      <c r="H102" s="104"/>
      <c r="I102" s="102"/>
      <c r="J102" s="158"/>
      <c r="K102" s="161"/>
      <c r="L102" s="161"/>
      <c r="M102" s="187"/>
      <c r="N102" s="269"/>
      <c r="O102" s="269"/>
      <c r="P102" s="269"/>
      <c r="Q102" s="269"/>
      <c r="R102" s="187"/>
      <c r="S102" s="187"/>
      <c r="T102" s="187"/>
      <c r="U102" s="110"/>
      <c r="V102" s="110"/>
      <c r="W102" s="104"/>
      <c r="X102" s="121"/>
      <c r="Y102" s="253"/>
      <c r="Z102" s="253"/>
      <c r="AA102" s="253"/>
      <c r="AB102" s="253"/>
      <c r="AC102" s="253"/>
      <c r="AD102" s="253"/>
      <c r="AE102" s="253"/>
      <c r="AF102" s="253"/>
      <c r="AG102" s="187"/>
      <c r="AH102" s="187"/>
      <c r="AI102" s="187"/>
      <c r="AJ102" s="187"/>
      <c r="AK102" s="187"/>
      <c r="AL102" s="187"/>
      <c r="AM102" s="187"/>
      <c r="AN102" s="187"/>
      <c r="AO102" s="187"/>
      <c r="AP102" s="187"/>
      <c r="AQ102" s="255"/>
      <c r="AR102" s="255"/>
    </row>
    <row r="103" spans="1:44" ht="24">
      <c r="B103" s="189" t="s">
        <v>138</v>
      </c>
      <c r="C103" s="189" t="str">
        <f>B104</f>
        <v>TUCH-NH883P-A1</v>
      </c>
      <c r="D103" s="107" t="s">
        <v>137</v>
      </c>
      <c r="E103" s="107" t="s">
        <v>139</v>
      </c>
      <c r="F103" s="305" t="s">
        <v>146</v>
      </c>
      <c r="G103" s="305" t="s">
        <v>147</v>
      </c>
      <c r="H103" s="165"/>
      <c r="I103" s="102"/>
      <c r="J103" s="164">
        <f>J104</f>
        <v>13.25</v>
      </c>
      <c r="K103" s="163">
        <f>K104</f>
        <v>22</v>
      </c>
      <c r="L103" s="161">
        <f t="shared" ref="L103:L112" si="20">K103+(H103*VLOOKUP(prov_cd,rate_table,2,FALSE))</f>
        <v>22</v>
      </c>
      <c r="M103" s="284"/>
      <c r="N103" s="284" t="s">
        <v>18</v>
      </c>
      <c r="O103" s="284" t="s">
        <v>18</v>
      </c>
      <c r="P103" s="284" t="s">
        <v>18</v>
      </c>
      <c r="Q103" s="284" t="s">
        <v>18</v>
      </c>
      <c r="R103" s="284"/>
      <c r="S103" s="284"/>
      <c r="T103" s="284"/>
      <c r="U103" s="110"/>
      <c r="V103" s="110"/>
      <c r="W103" s="104">
        <v>249</v>
      </c>
      <c r="X103" s="121"/>
      <c r="Y103" s="253"/>
      <c r="Z103" s="253"/>
      <c r="AA103" s="253"/>
      <c r="AB103" s="253"/>
      <c r="AC103" s="253"/>
      <c r="AD103" s="253"/>
      <c r="AE103" s="253"/>
      <c r="AF103" s="253"/>
      <c r="AG103" s="187"/>
      <c r="AH103" s="187"/>
      <c r="AI103" s="187"/>
      <c r="AJ103" s="187"/>
      <c r="AK103" s="187"/>
      <c r="AL103" s="187"/>
      <c r="AM103" s="187"/>
      <c r="AN103" s="187"/>
      <c r="AO103" s="187" t="s">
        <v>18</v>
      </c>
      <c r="AP103" s="187"/>
      <c r="AQ103" s="255"/>
      <c r="AR103" s="255"/>
    </row>
    <row r="104" spans="1:44" ht="15.6" hidden="1" outlineLevel="1">
      <c r="B104" s="190" t="s">
        <v>174</v>
      </c>
      <c r="C104" s="104" t="s">
        <v>19</v>
      </c>
      <c r="D104" s="107" t="s">
        <v>56</v>
      </c>
      <c r="E104" s="107" t="s">
        <v>105</v>
      </c>
      <c r="F104" s="309"/>
      <c r="G104" s="309"/>
      <c r="H104" s="162"/>
      <c r="I104" s="124"/>
      <c r="J104" s="158">
        <f>VLOOKUP(B104,'[3]MASTER PART LIST'!$B:$C,2,FALSE)</f>
        <v>13.25</v>
      </c>
      <c r="K104" s="161">
        <f>VLOOKUP(B104,'[3]MASTER PART LIST'!$B:$D,3,FALSE)</f>
        <v>22</v>
      </c>
      <c r="L104" s="161">
        <f t="shared" si="20"/>
        <v>22</v>
      </c>
      <c r="M104" s="187"/>
      <c r="N104" s="187" t="s">
        <v>18</v>
      </c>
      <c r="O104" s="187" t="s">
        <v>18</v>
      </c>
      <c r="P104" s="187" t="s">
        <v>18</v>
      </c>
      <c r="Q104" s="187" t="s">
        <v>18</v>
      </c>
      <c r="R104" s="187"/>
      <c r="S104" s="187"/>
      <c r="T104" s="187"/>
      <c r="U104" s="110"/>
      <c r="V104" s="110"/>
      <c r="W104" s="209"/>
      <c r="X104" s="210"/>
      <c r="Y104" s="210"/>
      <c r="Z104" s="210"/>
      <c r="AA104" s="210"/>
      <c r="AB104" s="210"/>
      <c r="AC104" s="210"/>
      <c r="AD104" s="210"/>
      <c r="AE104" s="210"/>
      <c r="AF104" s="210"/>
      <c r="AG104" s="123"/>
      <c r="AH104" s="123"/>
      <c r="AI104" s="123"/>
      <c r="AJ104" s="123"/>
      <c r="AK104" s="123"/>
      <c r="AL104" s="123"/>
      <c r="AM104" s="123"/>
      <c r="AN104" s="123"/>
      <c r="AO104" s="123"/>
      <c r="AP104" s="123"/>
      <c r="AQ104" s="255"/>
      <c r="AR104" s="255"/>
    </row>
    <row r="105" spans="1:44" ht="15.6" hidden="1" outlineLevel="1">
      <c r="B105" s="190" t="s">
        <v>173</v>
      </c>
      <c r="C105" s="104" t="s">
        <v>19</v>
      </c>
      <c r="D105" s="107" t="s">
        <v>55</v>
      </c>
      <c r="E105" s="107" t="s">
        <v>106</v>
      </c>
      <c r="F105" s="309"/>
      <c r="G105" s="309"/>
      <c r="H105" s="162"/>
      <c r="I105" s="124"/>
      <c r="J105" s="158">
        <f>VLOOKUP(B105,'[3]MASTER PART LIST'!$B:$C,2,FALSE)</f>
        <v>13.25</v>
      </c>
      <c r="K105" s="161">
        <f>VLOOKUP(B105,'[3]MASTER PART LIST'!$B:$D,3,FALSE)</f>
        <v>22</v>
      </c>
      <c r="L105" s="161">
        <f t="shared" ref="L105:L106" si="21">K105+(H105*VLOOKUP(prov_cd,rate_table,2,FALSE))</f>
        <v>22</v>
      </c>
      <c r="M105" s="187"/>
      <c r="N105" s="187" t="s">
        <v>18</v>
      </c>
      <c r="O105" s="187" t="s">
        <v>18</v>
      </c>
      <c r="P105" s="269" t="s">
        <v>19</v>
      </c>
      <c r="Q105" s="187" t="s">
        <v>18</v>
      </c>
      <c r="R105" s="187"/>
      <c r="S105" s="187"/>
      <c r="T105" s="187"/>
      <c r="U105" s="110"/>
      <c r="V105" s="110"/>
      <c r="W105" s="209"/>
      <c r="X105" s="210"/>
      <c r="Y105" s="210"/>
      <c r="Z105" s="210"/>
      <c r="AA105" s="210"/>
      <c r="AB105" s="210"/>
      <c r="AC105" s="210"/>
      <c r="AD105" s="210"/>
      <c r="AE105" s="210"/>
      <c r="AF105" s="210"/>
      <c r="AG105" s="123"/>
      <c r="AH105" s="123"/>
      <c r="AI105" s="123"/>
      <c r="AJ105" s="123"/>
      <c r="AK105" s="123"/>
      <c r="AL105" s="123"/>
      <c r="AM105" s="123"/>
      <c r="AN105" s="123"/>
      <c r="AO105" s="123"/>
      <c r="AP105" s="123"/>
      <c r="AQ105" s="255"/>
      <c r="AR105" s="255"/>
    </row>
    <row r="106" spans="1:44" ht="15.6" hidden="1" outlineLevel="1">
      <c r="B106" s="190" t="s">
        <v>275</v>
      </c>
      <c r="C106" s="104" t="s">
        <v>19</v>
      </c>
      <c r="D106" s="107" t="s">
        <v>273</v>
      </c>
      <c r="E106" s="107" t="s">
        <v>274</v>
      </c>
      <c r="F106" s="309"/>
      <c r="G106" s="309"/>
      <c r="H106" s="162"/>
      <c r="I106" s="124"/>
      <c r="J106" s="158">
        <f>VLOOKUP(B106,'[3]MASTER PART LIST'!$B:$C,2,FALSE)</f>
        <v>13.25</v>
      </c>
      <c r="K106" s="161">
        <f>VLOOKUP(B106,'[3]MASTER PART LIST'!$B:$D,3,FALSE)</f>
        <v>22</v>
      </c>
      <c r="L106" s="161">
        <f t="shared" si="21"/>
        <v>22</v>
      </c>
      <c r="M106" s="187"/>
      <c r="N106" s="269" t="s">
        <v>19</v>
      </c>
      <c r="O106" s="187" t="s">
        <v>18</v>
      </c>
      <c r="P106" s="187" t="s">
        <v>18</v>
      </c>
      <c r="Q106" s="269" t="s">
        <v>19</v>
      </c>
      <c r="R106" s="187"/>
      <c r="S106" s="187"/>
      <c r="T106" s="187"/>
      <c r="U106" s="110"/>
      <c r="V106" s="110"/>
      <c r="W106" s="209"/>
      <c r="X106" s="210"/>
      <c r="Y106" s="210"/>
      <c r="Z106" s="210"/>
      <c r="AA106" s="210"/>
      <c r="AB106" s="210"/>
      <c r="AC106" s="210"/>
      <c r="AD106" s="210"/>
      <c r="AE106" s="210"/>
      <c r="AF106" s="210"/>
      <c r="AG106" s="123"/>
      <c r="AH106" s="123"/>
      <c r="AI106" s="123"/>
      <c r="AJ106" s="123"/>
      <c r="AK106" s="123"/>
      <c r="AL106" s="123"/>
      <c r="AM106" s="123"/>
      <c r="AN106" s="123"/>
      <c r="AO106" s="123"/>
      <c r="AP106" s="123"/>
      <c r="AQ106" s="255"/>
      <c r="AR106" s="255"/>
    </row>
    <row r="107" spans="1:44" ht="15.6" hidden="1" outlineLevel="1">
      <c r="B107" s="190" t="s">
        <v>564</v>
      </c>
      <c r="C107" s="104" t="s">
        <v>19</v>
      </c>
      <c r="D107" s="107" t="s">
        <v>259</v>
      </c>
      <c r="E107" s="107" t="s">
        <v>260</v>
      </c>
      <c r="F107" s="309"/>
      <c r="G107" s="309"/>
      <c r="H107" s="162"/>
      <c r="I107" s="124"/>
      <c r="J107" s="158">
        <f>VLOOKUP(B107,'[3]MASTER PART LIST'!$B:$C,2,FALSE)</f>
        <v>13.25</v>
      </c>
      <c r="K107" s="161">
        <f>VLOOKUP(B107,'[3]MASTER PART LIST'!$B:$D,3,FALSE)</f>
        <v>22</v>
      </c>
      <c r="L107" s="161">
        <f>K107+(H107*VLOOKUP(prov_cd,rate_table,2,FALSE))</f>
        <v>22</v>
      </c>
      <c r="M107" s="171"/>
      <c r="N107" s="269" t="s">
        <v>19</v>
      </c>
      <c r="O107" s="269" t="s">
        <v>19</v>
      </c>
      <c r="P107" s="187" t="s">
        <v>18</v>
      </c>
      <c r="Q107" s="187" t="s">
        <v>18</v>
      </c>
      <c r="R107" s="171"/>
      <c r="S107" s="171"/>
      <c r="T107" s="171"/>
      <c r="U107" s="110"/>
      <c r="V107" s="110"/>
      <c r="W107" s="209"/>
      <c r="X107" s="210"/>
      <c r="Y107" s="210"/>
      <c r="Z107" s="210"/>
      <c r="AA107" s="210"/>
      <c r="AB107" s="210"/>
      <c r="AC107" s="210"/>
      <c r="AD107" s="210"/>
      <c r="AE107" s="210"/>
      <c r="AF107" s="210"/>
      <c r="AG107" s="123"/>
      <c r="AH107" s="123"/>
      <c r="AI107" s="123"/>
      <c r="AJ107" s="123"/>
      <c r="AK107" s="123"/>
      <c r="AL107" s="123"/>
      <c r="AM107" s="123"/>
      <c r="AN107" s="123"/>
      <c r="AO107" s="123"/>
      <c r="AP107" s="123"/>
      <c r="AQ107" s="255"/>
      <c r="AR107" s="255"/>
    </row>
    <row r="108" spans="1:44" ht="15.6" hidden="1" outlineLevel="1">
      <c r="B108" s="190" t="s">
        <v>278</v>
      </c>
      <c r="C108" s="104" t="s">
        <v>19</v>
      </c>
      <c r="D108" s="107" t="s">
        <v>261</v>
      </c>
      <c r="E108" s="102" t="s">
        <v>262</v>
      </c>
      <c r="F108" s="309"/>
      <c r="G108" s="309"/>
      <c r="H108" s="162"/>
      <c r="I108" s="124"/>
      <c r="J108" s="158">
        <f>VLOOKUP(B108,'[3]MASTER PART LIST'!$B:$C,2,FALSE)</f>
        <v>13.25</v>
      </c>
      <c r="K108" s="161">
        <f>VLOOKUP(B108,'[3]MASTER PART LIST'!$B:$D,3,FALSE)</f>
        <v>22</v>
      </c>
      <c r="L108" s="161">
        <f>K108+(H108*VLOOKUP(prov_cd,rate_table,2,FALSE))</f>
        <v>22</v>
      </c>
      <c r="M108" s="171"/>
      <c r="N108" s="269" t="s">
        <v>19</v>
      </c>
      <c r="O108" s="269" t="s">
        <v>19</v>
      </c>
      <c r="P108" s="269" t="s">
        <v>19</v>
      </c>
      <c r="Q108" s="187" t="s">
        <v>18</v>
      </c>
      <c r="R108" s="187"/>
      <c r="S108" s="187"/>
      <c r="T108" s="187"/>
      <c r="U108" s="110"/>
      <c r="V108" s="110"/>
      <c r="W108" s="209"/>
      <c r="X108" s="210"/>
      <c r="Y108" s="210"/>
      <c r="Z108" s="210"/>
      <c r="AA108" s="210"/>
      <c r="AB108" s="210"/>
      <c r="AC108" s="210"/>
      <c r="AD108" s="210"/>
      <c r="AE108" s="210"/>
      <c r="AF108" s="210"/>
      <c r="AG108" s="123"/>
      <c r="AH108" s="123"/>
      <c r="AI108" s="123"/>
      <c r="AJ108" s="123"/>
      <c r="AK108" s="123"/>
      <c r="AL108" s="123"/>
      <c r="AM108" s="123"/>
      <c r="AN108" s="123"/>
      <c r="AO108" s="123"/>
      <c r="AP108" s="123"/>
      <c r="AQ108" s="255"/>
      <c r="AR108" s="255"/>
    </row>
    <row r="109" spans="1:44" ht="15.6" hidden="1" outlineLevel="1">
      <c r="B109" s="190" t="s">
        <v>487</v>
      </c>
      <c r="C109" s="104" t="s">
        <v>19</v>
      </c>
      <c r="D109" s="107" t="s">
        <v>276</v>
      </c>
      <c r="E109" s="102" t="s">
        <v>277</v>
      </c>
      <c r="F109" s="309"/>
      <c r="G109" s="309"/>
      <c r="H109" s="162"/>
      <c r="I109" s="124"/>
      <c r="J109" s="158">
        <f>VLOOKUP(B109,'[3]MASTER PART LIST'!$B:$C,2,FALSE)</f>
        <v>13.25</v>
      </c>
      <c r="K109" s="161">
        <f>VLOOKUP(B109,'[3]MASTER PART LIST'!$B:$D,3,FALSE)</f>
        <v>22</v>
      </c>
      <c r="L109" s="161">
        <f>K109+(H109*VLOOKUP(prov_cd,rate_table,2,FALSE))</f>
        <v>22</v>
      </c>
      <c r="M109" s="187"/>
      <c r="N109" s="187" t="s">
        <v>18</v>
      </c>
      <c r="O109" s="187" t="s">
        <v>18</v>
      </c>
      <c r="P109" s="187" t="s">
        <v>18</v>
      </c>
      <c r="Q109" s="269" t="s">
        <v>19</v>
      </c>
      <c r="R109" s="187"/>
      <c r="S109" s="187"/>
      <c r="T109" s="187"/>
      <c r="U109" s="110"/>
      <c r="V109" s="110"/>
      <c r="W109" s="209"/>
      <c r="X109" s="210"/>
      <c r="Y109" s="210"/>
      <c r="Z109" s="210"/>
      <c r="AA109" s="210"/>
      <c r="AB109" s="210"/>
      <c r="AC109" s="210"/>
      <c r="AD109" s="210"/>
      <c r="AE109" s="210"/>
      <c r="AF109" s="210"/>
      <c r="AG109" s="123"/>
      <c r="AH109" s="123"/>
      <c r="AI109" s="123"/>
      <c r="AJ109" s="123"/>
      <c r="AK109" s="123"/>
      <c r="AL109" s="123"/>
      <c r="AM109" s="123"/>
      <c r="AN109" s="123"/>
      <c r="AO109" s="123"/>
      <c r="AP109" s="123"/>
      <c r="AQ109" s="255"/>
      <c r="AR109" s="255"/>
    </row>
    <row r="110" spans="1:44" ht="15.6" hidden="1" collapsed="1">
      <c r="B110" s="102" t="s">
        <v>62</v>
      </c>
      <c r="C110" s="276" t="s">
        <v>265</v>
      </c>
      <c r="D110" s="107" t="s">
        <v>22</v>
      </c>
      <c r="E110" s="107" t="s">
        <v>92</v>
      </c>
      <c r="F110" s="305"/>
      <c r="G110" s="305"/>
      <c r="H110" s="162"/>
      <c r="I110" s="102"/>
      <c r="J110" s="158">
        <f>VLOOKUP(B110,'[3]MASTER PART LIST'!$B:$C,2,FALSE)</f>
        <v>9.5</v>
      </c>
      <c r="K110" s="161">
        <f>VLOOKUP(B110,'[3]MASTER PART LIST'!$B:$D,3,FALSE)</f>
        <v>15.75</v>
      </c>
      <c r="L110" s="161">
        <f t="shared" si="20"/>
        <v>15.75</v>
      </c>
      <c r="M110" s="187"/>
      <c r="N110" s="187" t="s">
        <v>18</v>
      </c>
      <c r="O110" s="187" t="s">
        <v>18</v>
      </c>
      <c r="P110" s="187" t="s">
        <v>18</v>
      </c>
      <c r="Q110" s="187" t="s">
        <v>18</v>
      </c>
      <c r="R110" s="187"/>
      <c r="S110" s="187"/>
      <c r="T110" s="187"/>
      <c r="U110" s="110" t="s">
        <v>178</v>
      </c>
      <c r="V110" s="110" t="s">
        <v>180</v>
      </c>
      <c r="W110" s="104"/>
      <c r="X110" s="121"/>
      <c r="Y110" s="253"/>
      <c r="Z110" s="253"/>
      <c r="AA110" s="253"/>
      <c r="AB110" s="253"/>
      <c r="AC110" s="253"/>
      <c r="AD110" s="253"/>
      <c r="AE110" s="253"/>
      <c r="AF110" s="253"/>
      <c r="AG110" s="187"/>
      <c r="AH110" s="187"/>
      <c r="AI110" s="187"/>
      <c r="AJ110" s="187"/>
      <c r="AK110" s="187"/>
      <c r="AL110" s="187"/>
      <c r="AM110" s="187"/>
      <c r="AN110" s="187"/>
      <c r="AO110" s="187"/>
      <c r="AP110" s="187"/>
      <c r="AQ110" s="255"/>
      <c r="AR110" s="255"/>
    </row>
    <row r="111" spans="1:44" ht="15.6" hidden="1">
      <c r="B111" s="102" t="s">
        <v>61</v>
      </c>
      <c r="C111" s="276" t="s">
        <v>265</v>
      </c>
      <c r="D111" s="107" t="s">
        <v>23</v>
      </c>
      <c r="E111" s="107" t="s">
        <v>93</v>
      </c>
      <c r="F111" s="305"/>
      <c r="G111" s="305"/>
      <c r="H111" s="162"/>
      <c r="I111" s="102"/>
      <c r="J111" s="158">
        <f>VLOOKUP(B111,'[3]MASTER PART LIST'!$B:$C,2,FALSE)</f>
        <v>2.4500000000000002</v>
      </c>
      <c r="K111" s="161">
        <f>VLOOKUP(B111,'[3]MASTER PART LIST'!$B:$D,3,FALSE)</f>
        <v>4</v>
      </c>
      <c r="L111" s="161">
        <f t="shared" si="20"/>
        <v>4</v>
      </c>
      <c r="M111" s="187"/>
      <c r="N111" s="187" t="s">
        <v>18</v>
      </c>
      <c r="O111" s="187" t="s">
        <v>18</v>
      </c>
      <c r="P111" s="187" t="s">
        <v>18</v>
      </c>
      <c r="Q111" s="187" t="s">
        <v>18</v>
      </c>
      <c r="R111" s="187"/>
      <c r="S111" s="187"/>
      <c r="T111" s="187"/>
      <c r="U111" s="110" t="s">
        <v>178</v>
      </c>
      <c r="V111" s="110" t="s">
        <v>180</v>
      </c>
      <c r="W111" s="104"/>
      <c r="X111" s="121"/>
      <c r="Y111" s="253"/>
      <c r="Z111" s="253"/>
      <c r="AA111" s="253"/>
      <c r="AB111" s="253"/>
      <c r="AC111" s="253"/>
      <c r="AD111" s="253"/>
      <c r="AE111" s="253"/>
      <c r="AF111" s="253"/>
      <c r="AG111" s="187"/>
      <c r="AH111" s="187"/>
      <c r="AI111" s="187"/>
      <c r="AJ111" s="187"/>
      <c r="AK111" s="187"/>
      <c r="AL111" s="187"/>
      <c r="AM111" s="187"/>
      <c r="AN111" s="187"/>
      <c r="AO111" s="187"/>
      <c r="AP111" s="187"/>
      <c r="AQ111" s="255"/>
      <c r="AR111" s="255"/>
    </row>
    <row r="112" spans="1:44" ht="15.6" hidden="1">
      <c r="B112" s="102" t="s">
        <v>60</v>
      </c>
      <c r="C112" s="276" t="s">
        <v>265</v>
      </c>
      <c r="D112" s="107" t="s">
        <v>24</v>
      </c>
      <c r="E112" s="107" t="s">
        <v>104</v>
      </c>
      <c r="F112" s="305"/>
      <c r="G112" s="305"/>
      <c r="H112" s="162"/>
      <c r="I112" s="102"/>
      <c r="J112" s="158">
        <f>VLOOKUP(B112,'[3]MASTER PART LIST'!$B:$C,2,FALSE)</f>
        <v>6.25</v>
      </c>
      <c r="K112" s="161">
        <f>VLOOKUP(B112,'[3]MASTER PART LIST'!$B:$D,3,FALSE)</f>
        <v>13.75</v>
      </c>
      <c r="L112" s="161">
        <f t="shared" si="20"/>
        <v>13.75</v>
      </c>
      <c r="M112" s="187"/>
      <c r="N112" s="187" t="s">
        <v>18</v>
      </c>
      <c r="O112" s="187" t="s">
        <v>18</v>
      </c>
      <c r="P112" s="187" t="s">
        <v>18</v>
      </c>
      <c r="Q112" s="187" t="s">
        <v>18</v>
      </c>
      <c r="R112" s="187"/>
      <c r="S112" s="187"/>
      <c r="T112" s="187"/>
      <c r="U112" s="110" t="s">
        <v>177</v>
      </c>
      <c r="V112" s="110" t="s">
        <v>179</v>
      </c>
      <c r="W112" s="104"/>
      <c r="X112" s="121"/>
      <c r="Y112" s="253"/>
      <c r="Z112" s="253"/>
      <c r="AA112" s="253"/>
      <c r="AB112" s="253"/>
      <c r="AC112" s="253"/>
      <c r="AD112" s="253"/>
      <c r="AE112" s="253"/>
      <c r="AF112" s="253"/>
      <c r="AG112" s="187"/>
      <c r="AH112" s="187"/>
      <c r="AI112" s="187"/>
      <c r="AJ112" s="187"/>
      <c r="AK112" s="187"/>
      <c r="AL112" s="187"/>
      <c r="AM112" s="187"/>
      <c r="AN112" s="187"/>
      <c r="AO112" s="187"/>
      <c r="AP112" s="187"/>
      <c r="AQ112" s="255"/>
      <c r="AR112" s="255"/>
    </row>
    <row r="114" spans="2:44" ht="15.6" hidden="1">
      <c r="B114" s="267" t="s">
        <v>397</v>
      </c>
      <c r="C114" s="102"/>
      <c r="D114" s="268" t="s">
        <v>412</v>
      </c>
      <c r="E114" s="268" t="s">
        <v>413</v>
      </c>
      <c r="F114" s="311"/>
      <c r="G114" s="307"/>
      <c r="H114" s="280">
        <v>0.6</v>
      </c>
      <c r="I114" s="102"/>
      <c r="J114" s="158">
        <f>VLOOKUP(B114,'[3]MASTER PART LIST'!$B:$C,2,FALSE)</f>
        <v>808</v>
      </c>
      <c r="K114" s="161">
        <f>VLOOKUP(B114,'[3]MASTER PART LIST'!$B:$D,3,FALSE)</f>
        <v>1154</v>
      </c>
      <c r="L114" s="161">
        <f>K114+(H114*VLOOKUP(prov_cd,rate_table,2,FALSE))</f>
        <v>1262.5999999999999</v>
      </c>
      <c r="M114" s="187"/>
      <c r="N114" s="187"/>
      <c r="O114" s="187"/>
      <c r="P114" s="187"/>
      <c r="Q114" s="187"/>
      <c r="R114" s="187"/>
      <c r="S114" s="187"/>
      <c r="T114" s="187"/>
      <c r="U114" s="110"/>
      <c r="V114" s="118"/>
      <c r="W114" s="104"/>
      <c r="X114" s="281"/>
      <c r="Y114" s="253"/>
      <c r="Z114" s="253"/>
      <c r="AA114" s="253"/>
      <c r="AB114" s="253"/>
      <c r="AC114" s="253"/>
      <c r="AD114" s="253"/>
      <c r="AE114" s="253"/>
      <c r="AF114" s="253"/>
      <c r="AG114" s="187"/>
      <c r="AH114" s="187"/>
      <c r="AI114" s="187"/>
      <c r="AJ114" s="187"/>
      <c r="AK114" s="187"/>
      <c r="AL114" s="187"/>
      <c r="AM114" s="187"/>
      <c r="AN114" s="187"/>
      <c r="AO114" s="187"/>
      <c r="AP114" s="187"/>
      <c r="AQ114" s="255"/>
      <c r="AR114" s="290"/>
    </row>
    <row r="115" spans="2:44" ht="27.6" hidden="1">
      <c r="B115" s="267" t="s">
        <v>398</v>
      </c>
      <c r="C115" s="102"/>
      <c r="D115" s="268" t="s">
        <v>414</v>
      </c>
      <c r="E115" s="268" t="s">
        <v>415</v>
      </c>
      <c r="F115" s="311"/>
      <c r="G115" s="307"/>
      <c r="H115" s="280">
        <v>0</v>
      </c>
      <c r="I115" s="102"/>
      <c r="J115" s="158">
        <f>VLOOKUP(B115,'[3]MASTER PART LIST'!$B:$C,2,FALSE)</f>
        <v>30.99</v>
      </c>
      <c r="K115" s="161">
        <f>VLOOKUP(B115,'[3]MASTER PART LIST'!$B:$D,3,FALSE)</f>
        <v>165</v>
      </c>
      <c r="L115" s="161">
        <f>K115+(H115*VLOOKUP(prov_cd,rate_table,2,FALSE))</f>
        <v>165</v>
      </c>
      <c r="M115" s="187"/>
      <c r="N115" s="187"/>
      <c r="O115" s="187"/>
      <c r="P115" s="187"/>
      <c r="Q115" s="187"/>
      <c r="R115" s="187"/>
      <c r="S115" s="187"/>
      <c r="T115" s="187"/>
      <c r="U115" s="110"/>
      <c r="V115" s="118"/>
      <c r="W115" s="104"/>
      <c r="X115" s="281"/>
      <c r="Y115" s="253"/>
      <c r="Z115" s="253"/>
      <c r="AA115" s="253"/>
      <c r="AB115" s="253"/>
      <c r="AC115" s="253"/>
      <c r="AD115" s="253"/>
      <c r="AE115" s="253"/>
      <c r="AF115" s="253"/>
      <c r="AG115" s="187"/>
      <c r="AH115" s="187"/>
      <c r="AI115" s="187"/>
      <c r="AJ115" s="187"/>
      <c r="AK115" s="187"/>
      <c r="AL115" s="187"/>
      <c r="AM115" s="187"/>
      <c r="AN115" s="187"/>
      <c r="AO115" s="187"/>
      <c r="AP115" s="187"/>
      <c r="AQ115" s="255"/>
      <c r="AR115" s="290"/>
    </row>
    <row r="116" spans="2:44" ht="15.6" hidden="1">
      <c r="B116" s="267" t="s">
        <v>438</v>
      </c>
      <c r="C116" s="276" t="s">
        <v>265</v>
      </c>
      <c r="D116" s="268" t="s">
        <v>440</v>
      </c>
      <c r="E116" s="268" t="s">
        <v>475</v>
      </c>
      <c r="F116" s="311"/>
      <c r="G116" s="307"/>
      <c r="H116" s="298">
        <v>0.6</v>
      </c>
      <c r="I116" s="102"/>
      <c r="J116" s="158" t="e">
        <f>VLOOKUP(B116,'[3]MASTER PART LIST'!$B:$C,2,FALSE)</f>
        <v>#N/A</v>
      </c>
      <c r="K116" s="161" t="e">
        <f>VLOOKUP(B116,'[3]MASTER PART LIST'!$B:$D,3,FALSE)</f>
        <v>#N/A</v>
      </c>
      <c r="L116" s="161" t="e">
        <f>K116+(H116*VLOOKUP(prov_cd,rate_table,2,FALSE))</f>
        <v>#N/A</v>
      </c>
      <c r="M116" s="187"/>
      <c r="N116" s="187" t="s">
        <v>18</v>
      </c>
      <c r="O116" s="187" t="s">
        <v>142</v>
      </c>
      <c r="P116" s="187" t="s">
        <v>142</v>
      </c>
      <c r="Q116" s="187" t="s">
        <v>142</v>
      </c>
      <c r="R116" s="187"/>
      <c r="S116" s="187"/>
      <c r="T116" s="187"/>
      <c r="U116" s="110" t="s">
        <v>474</v>
      </c>
      <c r="V116" s="110" t="s">
        <v>477</v>
      </c>
      <c r="W116" s="104"/>
      <c r="X116" s="281"/>
      <c r="Y116" s="253"/>
      <c r="Z116" s="253"/>
      <c r="AA116" s="253"/>
      <c r="AB116" s="253"/>
      <c r="AC116" s="253"/>
      <c r="AD116" s="253"/>
      <c r="AE116" s="253"/>
      <c r="AF116" s="253"/>
      <c r="AG116" s="187"/>
      <c r="AH116" s="187"/>
      <c r="AI116" s="187"/>
      <c r="AJ116" s="187"/>
      <c r="AK116" s="187"/>
      <c r="AL116" s="187"/>
      <c r="AM116" s="187"/>
      <c r="AN116" s="187"/>
      <c r="AO116" s="187"/>
      <c r="AP116" s="187"/>
      <c r="AQ116" s="291"/>
      <c r="AR116" s="290"/>
    </row>
    <row r="117" spans="2:44" ht="15.6" hidden="1">
      <c r="B117" s="267" t="s">
        <v>439</v>
      </c>
      <c r="C117" s="276" t="s">
        <v>265</v>
      </c>
      <c r="D117" s="268" t="s">
        <v>441</v>
      </c>
      <c r="E117" s="268" t="s">
        <v>476</v>
      </c>
      <c r="F117" s="311"/>
      <c r="G117" s="307"/>
      <c r="H117" s="298">
        <v>0</v>
      </c>
      <c r="I117" s="102"/>
      <c r="J117" s="158" t="e">
        <f>VLOOKUP(B117,'[3]MASTER PART LIST'!$B:$C,2,FALSE)</f>
        <v>#N/A</v>
      </c>
      <c r="K117" s="161" t="e">
        <f>VLOOKUP(B117,'[3]MASTER PART LIST'!$B:$D,3,FALSE)</f>
        <v>#N/A</v>
      </c>
      <c r="L117" s="161" t="e">
        <f>K117+(H117*VLOOKUP(prov_cd,rate_table,2,FALSE))</f>
        <v>#N/A</v>
      </c>
      <c r="M117" s="187"/>
      <c r="N117" s="187"/>
      <c r="O117" s="187"/>
      <c r="P117" s="187"/>
      <c r="Q117" s="187"/>
      <c r="R117" s="187"/>
      <c r="S117" s="187"/>
      <c r="T117" s="187"/>
      <c r="U117" s="110"/>
      <c r="V117" s="110"/>
      <c r="W117" s="104"/>
      <c r="X117" s="281"/>
      <c r="Y117" s="253"/>
      <c r="Z117" s="253"/>
      <c r="AA117" s="253"/>
      <c r="AB117" s="253"/>
      <c r="AC117" s="253"/>
      <c r="AD117" s="253"/>
      <c r="AE117" s="253"/>
      <c r="AF117" s="253"/>
      <c r="AG117" s="187"/>
      <c r="AH117" s="187"/>
      <c r="AI117" s="187"/>
      <c r="AJ117" s="187"/>
      <c r="AK117" s="187"/>
      <c r="AL117" s="187"/>
      <c r="AM117" s="187"/>
      <c r="AN117" s="187"/>
      <c r="AO117" s="187"/>
      <c r="AP117" s="187"/>
      <c r="AQ117" s="291"/>
      <c r="AR117" s="290"/>
    </row>
    <row r="118" spans="2:44" ht="15.6" hidden="1">
      <c r="B118" s="276" t="s">
        <v>471</v>
      </c>
      <c r="C118" s="102" t="str">
        <f>B116</f>
        <v>08U58-THR-100C</v>
      </c>
      <c r="D118" s="268" t="str">
        <f>D116</f>
        <v>Wireless Charger</v>
      </c>
      <c r="E118" s="268" t="str">
        <f>E116</f>
        <v>Chargeur sans fil</v>
      </c>
      <c r="F118" s="311"/>
      <c r="G118" s="307"/>
      <c r="H118" s="298">
        <f>H116+H117</f>
        <v>0.6</v>
      </c>
      <c r="I118" s="102"/>
      <c r="J118" s="158" t="e">
        <f>J116+J117</f>
        <v>#N/A</v>
      </c>
      <c r="K118" s="158" t="e">
        <f>K116+K117</f>
        <v>#N/A</v>
      </c>
      <c r="L118" s="161" t="e">
        <f>K118+(H118*VLOOKUP(prov_cd,rate_table,2,FALSE))</f>
        <v>#N/A</v>
      </c>
      <c r="M118" s="187"/>
      <c r="N118" s="187" t="str">
        <f>N116</f>
        <v>•</v>
      </c>
      <c r="O118" s="187" t="str">
        <f>O116</f>
        <v>S</v>
      </c>
      <c r="P118" s="187" t="str">
        <f>P116</f>
        <v>S</v>
      </c>
      <c r="Q118" s="187" t="str">
        <f>Q116</f>
        <v>S</v>
      </c>
      <c r="R118" s="187"/>
      <c r="S118" s="187"/>
      <c r="T118" s="187"/>
      <c r="U118" s="110" t="str">
        <f>U116</f>
        <v>Requires charger and attachment</v>
      </c>
      <c r="V118" s="110" t="str">
        <f>V116</f>
        <v>Nécessite un chargeur et un fixation</v>
      </c>
      <c r="W118" s="104"/>
      <c r="X118" s="281"/>
      <c r="Y118" s="253"/>
      <c r="Z118" s="253"/>
      <c r="AA118" s="253"/>
      <c r="AB118" s="253"/>
      <c r="AC118" s="253"/>
      <c r="AD118" s="253"/>
      <c r="AE118" s="253"/>
      <c r="AF118" s="253"/>
      <c r="AG118" s="187"/>
      <c r="AH118" s="187"/>
      <c r="AI118" s="187"/>
      <c r="AJ118" s="187"/>
      <c r="AK118" s="187"/>
      <c r="AL118" s="187"/>
      <c r="AM118" s="187"/>
      <c r="AN118" s="187"/>
      <c r="AO118" s="187"/>
      <c r="AP118" s="187"/>
      <c r="AQ118" s="291"/>
      <c r="AR118" s="290"/>
    </row>
    <row r="120" spans="2:44" ht="36" hidden="1">
      <c r="B120" s="276" t="s">
        <v>313</v>
      </c>
      <c r="C120" s="102" t="s">
        <v>308</v>
      </c>
      <c r="D120" s="107" t="s">
        <v>312</v>
      </c>
      <c r="E120" s="107" t="s">
        <v>301</v>
      </c>
      <c r="F120" s="305" t="s">
        <v>317</v>
      </c>
      <c r="G120" s="310"/>
      <c r="H120" s="296">
        <f>H121+H123</f>
        <v>1.8</v>
      </c>
      <c r="I120" s="107"/>
      <c r="J120" s="297">
        <f>J121+J123</f>
        <v>558</v>
      </c>
      <c r="K120" s="297">
        <f>K121+K123</f>
        <v>930</v>
      </c>
      <c r="L120" s="161">
        <f t="shared" ref="L120:L127" si="22">K120+(H120*VLOOKUP(prov_cd,rate_table,2,FALSE))</f>
        <v>1255.8</v>
      </c>
      <c r="M120" s="187"/>
      <c r="N120" s="187" t="s">
        <v>18</v>
      </c>
      <c r="O120" s="187" t="s">
        <v>18</v>
      </c>
      <c r="P120" s="187" t="s">
        <v>142</v>
      </c>
      <c r="Q120" s="187" t="s">
        <v>142</v>
      </c>
      <c r="R120" s="187"/>
      <c r="S120" s="187"/>
      <c r="T120" s="187"/>
      <c r="U120" s="110" t="s">
        <v>315</v>
      </c>
      <c r="V120" s="110" t="s">
        <v>316</v>
      </c>
      <c r="W120" s="104">
        <v>197</v>
      </c>
      <c r="X120" s="107"/>
      <c r="Y120" s="107"/>
      <c r="Z120" s="107"/>
      <c r="AA120" s="107"/>
      <c r="AB120" s="107"/>
      <c r="AC120" s="107"/>
      <c r="AD120" s="107"/>
      <c r="AE120" s="107"/>
      <c r="AF120" s="107"/>
      <c r="AG120" s="313"/>
      <c r="AH120" s="313"/>
      <c r="AI120" s="313"/>
      <c r="AJ120" s="313"/>
      <c r="AK120" s="313"/>
      <c r="AL120" s="187" t="s">
        <v>18</v>
      </c>
      <c r="AM120" s="313"/>
      <c r="AN120" s="313"/>
      <c r="AO120" s="313"/>
      <c r="AP120" s="313"/>
      <c r="AQ120" s="255"/>
      <c r="AR120" s="255"/>
    </row>
    <row r="121" spans="2:44" ht="15.6" hidden="1">
      <c r="B121" s="102" t="s">
        <v>308</v>
      </c>
      <c r="C121" s="273" t="s">
        <v>314</v>
      </c>
      <c r="D121" s="107" t="s">
        <v>309</v>
      </c>
      <c r="E121" s="102" t="s">
        <v>310</v>
      </c>
      <c r="F121" s="305"/>
      <c r="G121" s="305"/>
      <c r="H121" s="162">
        <v>1</v>
      </c>
      <c r="I121" s="102"/>
      <c r="J121" s="158">
        <f>VLOOKUP(B121,'[3]MASTER PART LIST'!$B:$C,2,FALSE)</f>
        <v>279</v>
      </c>
      <c r="K121" s="161">
        <f>VLOOKUP(B121,'[3]MASTER PART LIST'!$B:$D,3,FALSE)</f>
        <v>465</v>
      </c>
      <c r="L121" s="161">
        <f t="shared" si="22"/>
        <v>646</v>
      </c>
      <c r="M121" s="187"/>
      <c r="N121" s="187" t="s">
        <v>18</v>
      </c>
      <c r="O121" s="187" t="s">
        <v>18</v>
      </c>
      <c r="P121" s="187" t="s">
        <v>142</v>
      </c>
      <c r="Q121" s="187" t="s">
        <v>142</v>
      </c>
      <c r="R121" s="187"/>
      <c r="S121" s="187"/>
      <c r="T121" s="187"/>
      <c r="U121" s="110" t="s">
        <v>315</v>
      </c>
      <c r="V121" s="110" t="s">
        <v>316</v>
      </c>
      <c r="W121" s="104"/>
      <c r="X121" s="266"/>
      <c r="Y121" s="253"/>
      <c r="Z121" s="253"/>
      <c r="AA121" s="253"/>
      <c r="AB121" s="253"/>
      <c r="AC121" s="253"/>
      <c r="AD121" s="253"/>
      <c r="AE121" s="253"/>
      <c r="AF121" s="253"/>
      <c r="AG121" s="269"/>
      <c r="AH121" s="269"/>
      <c r="AI121" s="269"/>
      <c r="AJ121" s="269"/>
      <c r="AK121" s="269"/>
      <c r="AL121" s="187"/>
      <c r="AM121" s="187"/>
      <c r="AN121" s="187"/>
      <c r="AO121" s="187"/>
      <c r="AP121" s="187"/>
      <c r="AQ121" s="255"/>
      <c r="AR121" s="255"/>
    </row>
    <row r="122" spans="2:44" ht="15.6" hidden="1">
      <c r="B122" s="287" t="s">
        <v>485</v>
      </c>
      <c r="C122" s="273" t="s">
        <v>314</v>
      </c>
      <c r="D122" s="107" t="s">
        <v>300</v>
      </c>
      <c r="E122" s="107" t="s">
        <v>301</v>
      </c>
      <c r="F122" s="305"/>
      <c r="G122" s="305"/>
      <c r="H122" s="288">
        <f>H123</f>
        <v>0.8</v>
      </c>
      <c r="I122" s="102"/>
      <c r="J122" s="289">
        <f>J124</f>
        <v>279</v>
      </c>
      <c r="K122" s="289">
        <f>K124</f>
        <v>465</v>
      </c>
      <c r="L122" s="161">
        <f t="shared" si="22"/>
        <v>609.79999999999995</v>
      </c>
      <c r="M122" s="187"/>
      <c r="N122" s="187" t="s">
        <v>18</v>
      </c>
      <c r="O122" s="187" t="s">
        <v>18</v>
      </c>
      <c r="P122" s="187" t="s">
        <v>142</v>
      </c>
      <c r="Q122" s="187" t="s">
        <v>142</v>
      </c>
      <c r="R122" s="187"/>
      <c r="S122" s="187"/>
      <c r="T122" s="187"/>
      <c r="U122" s="110" t="s">
        <v>315</v>
      </c>
      <c r="V122" s="110" t="s">
        <v>316</v>
      </c>
      <c r="W122" s="104"/>
      <c r="X122" s="121"/>
      <c r="Y122" s="253"/>
      <c r="Z122" s="253"/>
      <c r="AA122" s="253"/>
      <c r="AB122" s="253"/>
      <c r="AC122" s="253"/>
      <c r="AD122" s="253"/>
      <c r="AE122" s="253"/>
      <c r="AF122" s="253"/>
      <c r="AG122" s="187"/>
      <c r="AH122" s="187"/>
      <c r="AI122" s="187"/>
      <c r="AJ122" s="187"/>
      <c r="AK122" s="187"/>
      <c r="AL122" s="187"/>
      <c r="AM122" s="187"/>
      <c r="AN122" s="187"/>
      <c r="AO122" s="187"/>
      <c r="AP122" s="187"/>
      <c r="AQ122" s="255"/>
      <c r="AR122" s="255"/>
    </row>
    <row r="123" spans="2:44" ht="15.6" hidden="1" outlineLevel="1">
      <c r="B123" s="102" t="s">
        <v>305</v>
      </c>
      <c r="C123" s="104" t="s">
        <v>19</v>
      </c>
      <c r="D123" s="107" t="s">
        <v>56</v>
      </c>
      <c r="E123" s="107" t="s">
        <v>105</v>
      </c>
      <c r="F123" s="312"/>
      <c r="G123" s="312"/>
      <c r="H123" s="104">
        <v>0.8</v>
      </c>
      <c r="I123" s="124"/>
      <c r="J123" s="158">
        <f>VLOOKUP(B123,'[3]MASTER PART LIST'!$B:$C,2,FALSE)</f>
        <v>279</v>
      </c>
      <c r="K123" s="161">
        <f>VLOOKUP(B123,'[3]MASTER PART LIST'!$B:$D,3,FALSE)</f>
        <v>465</v>
      </c>
      <c r="L123" s="161">
        <f t="shared" si="22"/>
        <v>609.79999999999995</v>
      </c>
      <c r="M123" s="187"/>
      <c r="N123" s="187" t="s">
        <v>18</v>
      </c>
      <c r="O123" s="187" t="s">
        <v>18</v>
      </c>
      <c r="P123" s="187" t="s">
        <v>142</v>
      </c>
      <c r="Q123" s="187" t="s">
        <v>142</v>
      </c>
      <c r="R123" s="187"/>
      <c r="S123" s="187"/>
      <c r="T123" s="187"/>
      <c r="U123" s="110" t="s">
        <v>315</v>
      </c>
      <c r="V123" s="110" t="s">
        <v>316</v>
      </c>
      <c r="W123" s="322"/>
      <c r="X123" s="122"/>
      <c r="Y123" s="122"/>
      <c r="Z123" s="122"/>
      <c r="AA123" s="122"/>
      <c r="AB123" s="122"/>
      <c r="AC123" s="122"/>
      <c r="AD123" s="122"/>
      <c r="AE123" s="122"/>
      <c r="AF123" s="122"/>
      <c r="AG123" s="250"/>
      <c r="AH123" s="211"/>
      <c r="AI123" s="250"/>
      <c r="AJ123" s="250"/>
      <c r="AK123" s="250"/>
      <c r="AL123" s="250"/>
      <c r="AM123" s="250"/>
      <c r="AN123" s="250"/>
      <c r="AO123" s="250"/>
      <c r="AP123" s="250"/>
      <c r="AQ123" s="256"/>
      <c r="AR123" s="257"/>
    </row>
    <row r="124" spans="2:44" ht="15.6" hidden="1" outlineLevel="1">
      <c r="B124" s="102" t="s">
        <v>303</v>
      </c>
      <c r="C124" s="104" t="s">
        <v>19</v>
      </c>
      <c r="D124" s="107" t="s">
        <v>55</v>
      </c>
      <c r="E124" s="107" t="s">
        <v>106</v>
      </c>
      <c r="F124" s="312"/>
      <c r="G124" s="312"/>
      <c r="H124" s="104">
        <v>0.8</v>
      </c>
      <c r="I124" s="124"/>
      <c r="J124" s="158">
        <f>VLOOKUP(B124,'[3]MASTER PART LIST'!$B:$C,2,FALSE)</f>
        <v>279</v>
      </c>
      <c r="K124" s="161">
        <f>VLOOKUP(B124,'[3]MASTER PART LIST'!$B:$D,3,FALSE)</f>
        <v>465</v>
      </c>
      <c r="L124" s="161">
        <f t="shared" si="22"/>
        <v>609.79999999999995</v>
      </c>
      <c r="M124" s="171"/>
      <c r="N124" s="187" t="s">
        <v>18</v>
      </c>
      <c r="O124" s="269" t="s">
        <v>19</v>
      </c>
      <c r="P124" s="187" t="s">
        <v>142</v>
      </c>
      <c r="Q124" s="187" t="s">
        <v>142</v>
      </c>
      <c r="R124" s="187"/>
      <c r="S124" s="187"/>
      <c r="T124" s="187"/>
      <c r="U124" s="110" t="s">
        <v>315</v>
      </c>
      <c r="V124" s="110" t="s">
        <v>316</v>
      </c>
      <c r="W124" s="322"/>
      <c r="X124" s="122"/>
      <c r="Y124" s="122"/>
      <c r="Z124" s="122"/>
      <c r="AA124" s="122"/>
      <c r="AB124" s="122"/>
      <c r="AC124" s="122"/>
      <c r="AD124" s="122"/>
      <c r="AE124" s="122"/>
      <c r="AF124" s="122"/>
      <c r="AG124" s="250"/>
      <c r="AH124" s="211"/>
      <c r="AI124" s="250"/>
      <c r="AJ124" s="250"/>
      <c r="AK124" s="250"/>
      <c r="AL124" s="250"/>
      <c r="AM124" s="250"/>
      <c r="AN124" s="250"/>
      <c r="AO124" s="250"/>
      <c r="AP124" s="250"/>
      <c r="AQ124" s="256"/>
      <c r="AR124" s="257"/>
    </row>
    <row r="125" spans="2:44" ht="15.6" hidden="1" outlineLevel="1">
      <c r="B125" s="102" t="s">
        <v>304</v>
      </c>
      <c r="C125" s="104" t="s">
        <v>19</v>
      </c>
      <c r="D125" s="107" t="s">
        <v>273</v>
      </c>
      <c r="E125" s="107" t="s">
        <v>274</v>
      </c>
      <c r="F125" s="312"/>
      <c r="G125" s="312"/>
      <c r="H125" s="104">
        <v>0.8</v>
      </c>
      <c r="I125" s="124"/>
      <c r="J125" s="158">
        <f>VLOOKUP(B125,'[3]MASTER PART LIST'!$B:$C,2,FALSE)</f>
        <v>279</v>
      </c>
      <c r="K125" s="161">
        <f>VLOOKUP(B125,'[3]MASTER PART LIST'!$B:$D,3,FALSE)</f>
        <v>465</v>
      </c>
      <c r="L125" s="161">
        <f t="shared" si="22"/>
        <v>609.79999999999995</v>
      </c>
      <c r="M125" s="187"/>
      <c r="N125" s="269" t="s">
        <v>19</v>
      </c>
      <c r="O125" s="187" t="s">
        <v>18</v>
      </c>
      <c r="P125" s="187" t="s">
        <v>142</v>
      </c>
      <c r="Q125" s="187" t="s">
        <v>142</v>
      </c>
      <c r="R125" s="171"/>
      <c r="S125" s="171"/>
      <c r="T125" s="171"/>
      <c r="U125" s="110" t="s">
        <v>315</v>
      </c>
      <c r="V125" s="110" t="s">
        <v>316</v>
      </c>
      <c r="W125" s="322"/>
      <c r="X125" s="122"/>
      <c r="Y125" s="122"/>
      <c r="Z125" s="122"/>
      <c r="AA125" s="122"/>
      <c r="AB125" s="122"/>
      <c r="AC125" s="122"/>
      <c r="AD125" s="122"/>
      <c r="AE125" s="122"/>
      <c r="AF125" s="122"/>
      <c r="AG125" s="250"/>
      <c r="AH125" s="211"/>
      <c r="AI125" s="250"/>
      <c r="AJ125" s="250"/>
      <c r="AK125" s="250"/>
      <c r="AL125" s="250"/>
      <c r="AM125" s="250"/>
      <c r="AN125" s="250"/>
      <c r="AO125" s="250"/>
      <c r="AP125" s="250"/>
      <c r="AQ125" s="256"/>
      <c r="AR125" s="257"/>
    </row>
    <row r="126" spans="2:44" ht="15.6" hidden="1" outlineLevel="1">
      <c r="B126" s="102" t="s">
        <v>306</v>
      </c>
      <c r="C126" s="104" t="s">
        <v>19</v>
      </c>
      <c r="D126" s="107" t="s">
        <v>259</v>
      </c>
      <c r="E126" s="107" t="s">
        <v>260</v>
      </c>
      <c r="F126" s="312"/>
      <c r="G126" s="312"/>
      <c r="H126" s="104">
        <v>0.8</v>
      </c>
      <c r="I126" s="124"/>
      <c r="J126" s="158">
        <f>VLOOKUP(B126,'[3]MASTER PART LIST'!$B:$C,2,FALSE)</f>
        <v>279</v>
      </c>
      <c r="K126" s="161">
        <f>VLOOKUP(B126,'[3]MASTER PART LIST'!$B:$D,3,FALSE)</f>
        <v>465</v>
      </c>
      <c r="L126" s="161">
        <f t="shared" si="22"/>
        <v>609.79999999999995</v>
      </c>
      <c r="M126" s="187"/>
      <c r="N126" s="269" t="s">
        <v>19</v>
      </c>
      <c r="O126" s="269" t="s">
        <v>19</v>
      </c>
      <c r="P126" s="187" t="s">
        <v>142</v>
      </c>
      <c r="Q126" s="187" t="s">
        <v>142</v>
      </c>
      <c r="R126" s="187"/>
      <c r="S126" s="187"/>
      <c r="T126" s="187"/>
      <c r="U126" s="110" t="s">
        <v>315</v>
      </c>
      <c r="V126" s="110" t="s">
        <v>316</v>
      </c>
      <c r="W126" s="322"/>
      <c r="X126" s="122"/>
      <c r="Y126" s="122"/>
      <c r="Z126" s="122"/>
      <c r="AA126" s="122"/>
      <c r="AB126" s="122"/>
      <c r="AC126" s="122"/>
      <c r="AD126" s="122"/>
      <c r="AE126" s="122"/>
      <c r="AF126" s="122"/>
      <c r="AG126" s="250"/>
      <c r="AH126" s="211"/>
      <c r="AI126" s="250"/>
      <c r="AJ126" s="250"/>
      <c r="AK126" s="250"/>
      <c r="AL126" s="250"/>
      <c r="AM126" s="250"/>
      <c r="AN126" s="250"/>
      <c r="AO126" s="250"/>
      <c r="AP126" s="250"/>
      <c r="AQ126" s="256"/>
      <c r="AR126" s="257"/>
    </row>
    <row r="127" spans="2:44" ht="15.6" hidden="1" outlineLevel="1">
      <c r="B127" s="102" t="s">
        <v>307</v>
      </c>
      <c r="C127" s="104" t="s">
        <v>19</v>
      </c>
      <c r="D127" s="107" t="s">
        <v>261</v>
      </c>
      <c r="E127" s="102" t="s">
        <v>262</v>
      </c>
      <c r="F127" s="312"/>
      <c r="G127" s="312"/>
      <c r="H127" s="104">
        <v>0.8</v>
      </c>
      <c r="I127" s="124"/>
      <c r="J127" s="158" t="e">
        <f>VLOOKUP(B127,'[3]MASTER PART LIST'!$B:$C,2,FALSE)</f>
        <v>#N/A</v>
      </c>
      <c r="K127" s="161" t="e">
        <f>VLOOKUP(B127,'[3]MASTER PART LIST'!$B:$D,3,FALSE)</f>
        <v>#N/A</v>
      </c>
      <c r="L127" s="161" t="e">
        <f t="shared" si="22"/>
        <v>#N/A</v>
      </c>
      <c r="M127" s="171"/>
      <c r="N127" s="269" t="s">
        <v>19</v>
      </c>
      <c r="O127" s="269" t="s">
        <v>19</v>
      </c>
      <c r="P127" s="187" t="s">
        <v>142</v>
      </c>
      <c r="Q127" s="187" t="s">
        <v>142</v>
      </c>
      <c r="R127" s="187"/>
      <c r="S127" s="187"/>
      <c r="T127" s="187"/>
      <c r="U127" s="110" t="s">
        <v>315</v>
      </c>
      <c r="V127" s="110" t="s">
        <v>316</v>
      </c>
      <c r="W127" s="322"/>
      <c r="X127" s="122"/>
      <c r="Y127" s="122"/>
      <c r="Z127" s="122"/>
      <c r="AA127" s="122"/>
      <c r="AB127" s="122"/>
      <c r="AC127" s="122"/>
      <c r="AD127" s="122"/>
      <c r="AE127" s="122"/>
      <c r="AF127" s="122"/>
      <c r="AG127" s="250"/>
      <c r="AH127" s="211"/>
      <c r="AI127" s="250"/>
      <c r="AJ127" s="250"/>
      <c r="AK127" s="250"/>
      <c r="AL127" s="250"/>
      <c r="AM127" s="250"/>
      <c r="AN127" s="250"/>
      <c r="AO127" s="250"/>
      <c r="AP127" s="250"/>
      <c r="AQ127" s="256"/>
      <c r="AR127" s="257"/>
    </row>
    <row r="128" spans="2:44" ht="15.6" hidden="1" outlineLevel="1">
      <c r="B128" s="102"/>
      <c r="C128" s="104"/>
      <c r="D128" s="107"/>
      <c r="E128" s="107"/>
      <c r="F128" s="312"/>
      <c r="G128" s="312"/>
      <c r="H128" s="104"/>
      <c r="I128" s="124"/>
      <c r="J128" s="158"/>
      <c r="K128" s="161"/>
      <c r="L128" s="161"/>
      <c r="M128" s="187"/>
      <c r="N128" s="187"/>
      <c r="O128" s="187"/>
      <c r="P128" s="187"/>
      <c r="Q128" s="269"/>
      <c r="R128" s="187"/>
      <c r="S128" s="187"/>
      <c r="T128" s="187"/>
      <c r="U128" s="110" t="s">
        <v>315</v>
      </c>
      <c r="V128" s="110" t="s">
        <v>316</v>
      </c>
      <c r="W128" s="322"/>
      <c r="X128" s="122"/>
      <c r="Y128" s="122"/>
      <c r="Z128" s="122"/>
      <c r="AA128" s="122"/>
      <c r="AB128" s="122"/>
      <c r="AC128" s="122"/>
      <c r="AD128" s="122"/>
      <c r="AE128" s="122"/>
      <c r="AF128" s="122"/>
      <c r="AG128" s="250"/>
      <c r="AH128" s="211"/>
      <c r="AI128" s="250"/>
      <c r="AJ128" s="250"/>
      <c r="AK128" s="250"/>
      <c r="AL128" s="250"/>
      <c r="AM128" s="250"/>
      <c r="AN128" s="250"/>
      <c r="AO128" s="250"/>
      <c r="AP128" s="250"/>
      <c r="AQ128" s="256"/>
      <c r="AR128" s="257"/>
    </row>
    <row r="129" collapsed="1"/>
  </sheetData>
  <mergeCells count="7">
    <mergeCell ref="M4:S4"/>
    <mergeCell ref="AJ5:AP5"/>
    <mergeCell ref="X5:AF5"/>
    <mergeCell ref="M5:T5"/>
    <mergeCell ref="AG5:AG6"/>
    <mergeCell ref="AH5:AH6"/>
    <mergeCell ref="AI5:AI6"/>
  </mergeCells>
  <phoneticPr fontId="48" type="noConversion"/>
  <conditionalFormatting sqref="Y45:AF45">
    <cfRule type="duplicateValues" dxfId="20" priority="8"/>
  </conditionalFormatting>
  <conditionalFormatting sqref="Z121:Z1048576 Z46:Z119 Z1:Z4 Z7:Z44 AG81 AB46:AB119 AB1:AB4 AB121:AB1048576 AB7:AB44 AD46:AD119 AD1:AD4 AD121:AD1048576 AD7:AD44 AF46:AF119 AF1:AF4 AF121:AF1048576 AF7:AF44">
    <cfRule type="duplicateValues" dxfId="19" priority="10"/>
  </conditionalFormatting>
  <conditionalFormatting sqref="W81 W54">
    <cfRule type="duplicateValues" dxfId="18" priority="6"/>
  </conditionalFormatting>
  <conditionalFormatting sqref="W5:W6">
    <cfRule type="duplicateValues" dxfId="17" priority="5"/>
  </conditionalFormatting>
  <conditionalFormatting sqref="Y121:Y1048576 Y46:Y119 Y1:Y4 Y7:Y44">
    <cfRule type="duplicateValues" dxfId="16" priority="4"/>
  </conditionalFormatting>
  <conditionalFormatting sqref="AA121:AA1048576 AA46:AA119 AA1:AA4 AA7:AA44">
    <cfRule type="duplicateValues" dxfId="15" priority="3"/>
  </conditionalFormatting>
  <conditionalFormatting sqref="AC121:AC1048576 AC46:AC119 AC1:AC4 AC7:AC44">
    <cfRule type="duplicateValues" dxfId="14" priority="2"/>
  </conditionalFormatting>
  <conditionalFormatting sqref="AE121:AE1048576 AE46:AE119 AE1:AE4 AE7:AE44">
    <cfRule type="duplicateValues" dxfId="13" priority="1"/>
  </conditionalFormatting>
  <dataValidations count="1">
    <dataValidation type="list" allowBlank="1" showInputMessage="1" showErrorMessage="1" sqref="X110:X112 X67:X80 X87 X94:X103 X29:X63 X114:X118 X7:X27 X121:X122" xr:uid="{DD807CBA-51A8-46CA-937A-B9007E1CD9B1}">
      <formula1>$X$1:$X$4</formula1>
    </dataValidation>
  </dataValidations>
  <printOptions horizontalCentered="1"/>
  <pageMargins left="0.23622047244094491" right="0.23622047244094491" top="0.39370078740157483" bottom="0.39370078740157483" header="0.31496062992125984" footer="0.31496062992125984"/>
  <pageSetup scale="26"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AF45"/>
  <sheetViews>
    <sheetView showGridLines="0" tabSelected="1" zoomScaleNormal="100" workbookViewId="0">
      <selection activeCell="C7" sqref="C7"/>
    </sheetView>
  </sheetViews>
  <sheetFormatPr defaultColWidth="9.109375" defaultRowHeight="13.2"/>
  <cols>
    <col min="1" max="1" width="49.44140625" style="28" customWidth="1"/>
    <col min="2" max="3" width="14.109375" style="28" customWidth="1"/>
    <col min="4" max="16384" width="9.109375" style="28"/>
  </cols>
  <sheetData>
    <row r="1" spans="1:12" ht="47.4" thickBot="1">
      <c r="A1" s="88" t="s">
        <v>114</v>
      </c>
      <c r="B1" s="87" t="s">
        <v>9</v>
      </c>
      <c r="C1" s="31"/>
      <c r="G1" s="29"/>
      <c r="H1" s="29"/>
      <c r="I1" s="29"/>
      <c r="J1" s="29"/>
      <c r="K1" s="29"/>
    </row>
    <row r="2" spans="1:12">
      <c r="A2" s="33"/>
      <c r="C2" s="31"/>
      <c r="F2" s="30"/>
      <c r="G2" s="34"/>
      <c r="H2" s="34"/>
      <c r="I2" s="34"/>
      <c r="J2" s="34"/>
      <c r="K2" s="34"/>
      <c r="L2" s="31"/>
    </row>
    <row r="3" spans="1:12" ht="13.8" thickBot="1">
      <c r="A3" s="33"/>
      <c r="B3" s="34"/>
      <c r="C3" s="39"/>
      <c r="E3" s="32"/>
      <c r="F3" s="30"/>
      <c r="G3" s="34"/>
      <c r="H3" s="34"/>
      <c r="I3" s="34"/>
      <c r="J3" s="34"/>
      <c r="K3" s="34"/>
      <c r="L3" s="31"/>
    </row>
    <row r="4" spans="1:12" ht="15" thickBot="1">
      <c r="A4" s="33"/>
      <c r="B4" s="38" t="s">
        <v>27</v>
      </c>
      <c r="C4" s="40"/>
      <c r="F4" s="30"/>
      <c r="G4" s="34"/>
      <c r="H4" s="34"/>
      <c r="I4" s="34"/>
      <c r="J4" s="34"/>
      <c r="K4" s="34"/>
      <c r="L4" s="31"/>
    </row>
    <row r="5" spans="1:12" ht="14.4">
      <c r="B5" s="38" t="s">
        <v>113</v>
      </c>
      <c r="C5" s="40"/>
      <c r="F5" s="30"/>
      <c r="G5" s="34"/>
      <c r="H5" s="34"/>
      <c r="I5" s="34"/>
      <c r="J5" s="34"/>
      <c r="K5" s="34"/>
      <c r="L5" s="31"/>
    </row>
    <row r="6" spans="1:12" ht="13.8">
      <c r="A6" s="30"/>
      <c r="B6" s="36" t="s">
        <v>0</v>
      </c>
      <c r="C6" s="41">
        <v>171</v>
      </c>
      <c r="D6" s="31"/>
      <c r="F6" s="30"/>
      <c r="G6" s="34"/>
      <c r="H6" s="34"/>
      <c r="I6" s="34"/>
      <c r="J6" s="34"/>
      <c r="K6" s="34"/>
      <c r="L6" s="31"/>
    </row>
    <row r="7" spans="1:12" ht="13.8">
      <c r="A7" s="30"/>
      <c r="B7" s="36" t="s">
        <v>1</v>
      </c>
      <c r="C7" s="41">
        <v>181</v>
      </c>
      <c r="D7" s="31"/>
      <c r="F7" s="30"/>
      <c r="G7" s="34"/>
      <c r="H7" s="34"/>
      <c r="I7" s="34"/>
      <c r="J7" s="34"/>
      <c r="K7" s="34"/>
      <c r="L7" s="31"/>
    </row>
    <row r="8" spans="1:12" ht="13.8">
      <c r="A8" s="30"/>
      <c r="B8" s="36" t="s">
        <v>2</v>
      </c>
      <c r="C8" s="41">
        <v>164</v>
      </c>
      <c r="D8" s="31"/>
      <c r="F8" s="30"/>
      <c r="G8" s="34"/>
      <c r="H8" s="34"/>
      <c r="I8" s="34"/>
      <c r="J8" s="34"/>
      <c r="K8" s="34"/>
      <c r="L8" s="31"/>
    </row>
    <row r="9" spans="1:12" ht="13.8">
      <c r="A9" s="30"/>
      <c r="B9" s="36" t="s">
        <v>3</v>
      </c>
      <c r="C9" s="41">
        <v>142</v>
      </c>
      <c r="D9" s="31"/>
      <c r="F9" s="30"/>
      <c r="G9" s="34"/>
      <c r="H9" s="34"/>
      <c r="I9" s="34"/>
      <c r="J9" s="34"/>
      <c r="K9" s="34"/>
      <c r="L9" s="31"/>
    </row>
    <row r="10" spans="1:12" ht="13.8">
      <c r="A10" s="30"/>
      <c r="B10" s="36" t="s">
        <v>4</v>
      </c>
      <c r="C10" s="41">
        <v>142</v>
      </c>
      <c r="D10" s="31"/>
      <c r="F10" s="30"/>
      <c r="G10" s="34"/>
      <c r="H10" s="34"/>
      <c r="I10" s="34"/>
      <c r="J10" s="34"/>
      <c r="K10" s="34"/>
      <c r="L10" s="31"/>
    </row>
    <row r="11" spans="1:12" ht="14.4" thickBot="1">
      <c r="A11" s="30"/>
      <c r="B11" s="36" t="s">
        <v>5</v>
      </c>
      <c r="C11" s="41">
        <v>142</v>
      </c>
      <c r="D11" s="31"/>
      <c r="F11" s="30"/>
      <c r="G11" s="34"/>
      <c r="H11" s="34"/>
      <c r="I11" s="34"/>
      <c r="J11" s="34"/>
      <c r="K11" s="34"/>
      <c r="L11" s="31"/>
    </row>
    <row r="12" spans="1:12" ht="14.4" thickBot="1">
      <c r="A12" s="30"/>
      <c r="B12" s="36" t="s">
        <v>6</v>
      </c>
      <c r="C12" s="41">
        <v>160</v>
      </c>
      <c r="D12" s="31"/>
      <c r="F12" s="45" t="str">
        <f>prov_cd</f>
        <v>YT</v>
      </c>
      <c r="G12" s="34"/>
      <c r="H12" s="34"/>
      <c r="I12" s="34"/>
      <c r="J12" s="34"/>
      <c r="K12" s="34"/>
      <c r="L12" s="31"/>
    </row>
    <row r="13" spans="1:12" ht="13.8">
      <c r="A13" s="30"/>
      <c r="B13" s="36" t="s">
        <v>57</v>
      </c>
      <c r="C13" s="41">
        <v>134</v>
      </c>
      <c r="D13" s="31"/>
      <c r="F13" s="30"/>
      <c r="G13" s="34"/>
      <c r="H13" s="34"/>
      <c r="I13" s="34"/>
      <c r="J13" s="34"/>
      <c r="K13" s="34"/>
      <c r="L13" s="31"/>
    </row>
    <row r="14" spans="1:12" ht="13.8">
      <c r="A14" s="30"/>
      <c r="B14" s="36" t="s">
        <v>7</v>
      </c>
      <c r="C14" s="41">
        <v>152</v>
      </c>
      <c r="D14" s="31"/>
      <c r="F14" s="30"/>
      <c r="G14" s="34"/>
      <c r="H14" s="34"/>
      <c r="I14" s="34"/>
      <c r="J14" s="34"/>
      <c r="K14" s="34"/>
      <c r="L14" s="31"/>
    </row>
    <row r="15" spans="1:12" ht="13.8">
      <c r="A15" s="30"/>
      <c r="B15" s="36" t="s">
        <v>8</v>
      </c>
      <c r="C15" s="41">
        <v>164</v>
      </c>
      <c r="D15" s="31"/>
      <c r="F15" s="30"/>
      <c r="G15" s="34"/>
      <c r="H15" s="34"/>
      <c r="I15" s="34"/>
      <c r="J15" s="34"/>
      <c r="K15" s="34"/>
      <c r="L15" s="31"/>
    </row>
    <row r="16" spans="1:12" ht="14.4"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ht="14.4">
      <c r="B19" s="340" t="s">
        <v>567</v>
      </c>
      <c r="C19" s="224">
        <f>'26MY_ODYSSEY_DATA'!$C$3</f>
        <v>46113</v>
      </c>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28</v>
      </c>
      <c r="F23" s="30"/>
      <c r="G23" s="34"/>
      <c r="H23" s="34"/>
      <c r="I23" s="34"/>
      <c r="J23" s="34"/>
      <c r="K23" s="34"/>
      <c r="L23" s="31"/>
    </row>
    <row r="24" spans="1:12">
      <c r="A24" s="32" t="s">
        <v>94</v>
      </c>
      <c r="F24" s="30"/>
      <c r="G24" s="34"/>
      <c r="H24" s="34"/>
      <c r="I24" s="34"/>
      <c r="J24" s="34"/>
      <c r="K24" s="34"/>
      <c r="L24" s="31"/>
    </row>
    <row r="25" spans="1:12">
      <c r="F25" s="30"/>
      <c r="G25" s="34"/>
      <c r="H25" s="34"/>
      <c r="I25" s="34"/>
      <c r="J25" s="34"/>
      <c r="K25" s="34"/>
      <c r="L25" s="31"/>
    </row>
    <row r="26" spans="1:12">
      <c r="A26" s="114"/>
      <c r="F26" s="30"/>
      <c r="G26" s="34"/>
      <c r="H26" s="34"/>
      <c r="I26" s="34"/>
      <c r="J26" s="34"/>
      <c r="K26" s="34"/>
      <c r="L26" s="31"/>
    </row>
    <row r="27" spans="1:12">
      <c r="A27" s="114"/>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32">
      <c r="F33" s="30"/>
      <c r="G33" s="34"/>
      <c r="H33" s="34"/>
      <c r="I33" s="34"/>
      <c r="J33" s="34"/>
      <c r="K33" s="34"/>
      <c r="L33" s="31"/>
    </row>
    <row r="34" spans="6:32">
      <c r="F34" s="30"/>
      <c r="G34" s="34"/>
      <c r="H34" s="34"/>
      <c r="I34" s="34"/>
      <c r="J34" s="34"/>
      <c r="K34" s="34"/>
      <c r="L34" s="31"/>
    </row>
    <row r="35" spans="6:32">
      <c r="F35" s="30"/>
      <c r="G35" s="34"/>
      <c r="H35" s="34"/>
      <c r="I35" s="34"/>
      <c r="J35" s="34"/>
      <c r="K35" s="34"/>
      <c r="L35" s="31"/>
    </row>
    <row r="36" spans="6:32">
      <c r="F36" s="30"/>
      <c r="G36" s="34"/>
      <c r="H36" s="34"/>
      <c r="I36" s="34"/>
      <c r="J36" s="34"/>
      <c r="K36" s="34"/>
      <c r="L36" s="31"/>
    </row>
    <row r="37" spans="6:32">
      <c r="F37" s="30"/>
      <c r="G37" s="34"/>
      <c r="H37" s="34"/>
      <c r="I37" s="34"/>
      <c r="J37" s="34"/>
      <c r="K37" s="34"/>
      <c r="L37" s="31"/>
      <c r="AF37" s="28" t="s">
        <v>19</v>
      </c>
    </row>
    <row r="38" spans="6:32">
      <c r="F38" s="30"/>
      <c r="G38" s="34"/>
      <c r="H38" s="34"/>
      <c r="I38" s="34"/>
      <c r="J38" s="34"/>
      <c r="K38" s="34"/>
      <c r="L38" s="31"/>
    </row>
    <row r="39" spans="6:32">
      <c r="G39" s="35"/>
      <c r="H39" s="35"/>
      <c r="I39" s="35"/>
      <c r="J39" s="33"/>
      <c r="K39" s="34"/>
      <c r="L39" s="31"/>
    </row>
    <row r="40" spans="6:32">
      <c r="J40" s="30"/>
      <c r="K40" s="34"/>
      <c r="L40" s="31"/>
    </row>
    <row r="41" spans="6:32">
      <c r="J41" s="30"/>
      <c r="K41" s="34"/>
      <c r="L41" s="31"/>
    </row>
    <row r="42" spans="6:32">
      <c r="J42" s="30"/>
      <c r="K42" s="34"/>
      <c r="L42" s="31"/>
    </row>
    <row r="43" spans="6:32">
      <c r="J43" s="30"/>
      <c r="K43" s="34"/>
      <c r="L43" s="31"/>
    </row>
    <row r="44" spans="6:32">
      <c r="J44" s="30"/>
      <c r="K44" s="34"/>
      <c r="L44" s="31"/>
    </row>
    <row r="45" spans="6:3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58"/>
  <sheetViews>
    <sheetView view="pageBreakPreview" zoomScale="80" zoomScaleNormal="60" zoomScaleSheetLayoutView="80" workbookViewId="0">
      <selection activeCell="D9" sqref="D9"/>
    </sheetView>
  </sheetViews>
  <sheetFormatPr defaultColWidth="9.109375" defaultRowHeight="13.8" outlineLevelCol="1"/>
  <cols>
    <col min="1" max="1" width="9.109375" style="46"/>
    <col min="2" max="2" width="15.5546875" style="173" hidden="1" customWidth="1"/>
    <col min="3" max="3" width="42.88671875" style="46" customWidth="1"/>
    <col min="4" max="4" width="20.88671875" style="46" customWidth="1"/>
    <col min="5" max="5" width="13.109375" style="46" hidden="1" customWidth="1" outlineLevel="1"/>
    <col min="6" max="6" width="13.5546875" style="46" customWidth="1" collapsed="1"/>
    <col min="7" max="7" width="9.88671875" style="46" customWidth="1"/>
    <col min="8" max="8" width="13.5546875" style="46" customWidth="1"/>
    <col min="9" max="9" width="10.5546875" style="46" hidden="1" customWidth="1"/>
    <col min="10" max="10" width="10.33203125" style="46" customWidth="1"/>
    <col min="11" max="11" width="10.6640625" style="46" customWidth="1"/>
    <col min="12" max="12" width="10" style="46" customWidth="1"/>
    <col min="13" max="13" width="10.33203125" style="46" customWidth="1"/>
    <col min="14" max="15" width="5.109375" style="46" hidden="1" customWidth="1"/>
    <col min="16" max="16" width="5.6640625" style="46" hidden="1" customWidth="1"/>
    <col min="17" max="17" width="62" style="46" customWidth="1"/>
    <col min="18" max="18" width="9.109375" style="46" customWidth="1"/>
    <col min="19" max="16384" width="9.109375" style="46"/>
  </cols>
  <sheetData>
    <row r="2" spans="2:20" ht="35.25" customHeight="1">
      <c r="B2" s="172" t="s">
        <v>160</v>
      </c>
      <c r="C2" s="154" t="s">
        <v>69</v>
      </c>
      <c r="D2" s="154"/>
      <c r="E2" s="151"/>
      <c r="F2" s="15"/>
      <c r="G2" s="125"/>
      <c r="H2" s="126"/>
      <c r="I2" s="126"/>
      <c r="J2" s="126"/>
      <c r="K2" s="141"/>
      <c r="L2" s="142"/>
      <c r="M2" s="141"/>
      <c r="N2" s="141"/>
      <c r="O2" s="141"/>
      <c r="P2" s="141"/>
      <c r="Q2" s="141"/>
    </row>
    <row r="3" spans="2:20" ht="30" customHeight="1">
      <c r="B3" s="172"/>
      <c r="C3" s="155" t="s">
        <v>15</v>
      </c>
      <c r="D3" s="156" t="str">
        <f>'26MY_ODYSSEY_DATA'!C1</f>
        <v>Odyssey</v>
      </c>
      <c r="E3" s="152"/>
      <c r="F3" s="2"/>
      <c r="G3" s="125"/>
      <c r="H3" s="126"/>
      <c r="I3" s="126"/>
      <c r="J3" s="126"/>
      <c r="K3" s="143"/>
      <c r="M3" s="144"/>
      <c r="N3" s="144"/>
      <c r="O3" s="144"/>
      <c r="P3" s="141"/>
      <c r="Q3" s="141"/>
    </row>
    <row r="4" spans="2:20" ht="30" customHeight="1">
      <c r="B4" s="172"/>
      <c r="C4" s="155" t="s">
        <v>16</v>
      </c>
      <c r="D4" s="156">
        <f>'26MY_ODYSSEY_DATA'!C2</f>
        <v>2026</v>
      </c>
      <c r="E4" s="152"/>
      <c r="F4" s="2"/>
      <c r="G4" s="125"/>
      <c r="H4" s="126"/>
      <c r="I4" s="126"/>
      <c r="J4" s="126"/>
      <c r="K4" s="141"/>
      <c r="L4" s="145"/>
      <c r="M4" s="141"/>
      <c r="N4" s="141"/>
      <c r="O4" s="141"/>
      <c r="P4" s="141"/>
      <c r="Q4" s="141"/>
    </row>
    <row r="5" spans="2:20">
      <c r="B5" s="172"/>
      <c r="C5" s="153" t="s">
        <v>156</v>
      </c>
      <c r="D5" s="153"/>
      <c r="E5" s="113"/>
      <c r="F5" s="113"/>
      <c r="G5" s="113"/>
      <c r="H5" s="113"/>
      <c r="I5" s="113"/>
      <c r="J5" s="113"/>
      <c r="K5" s="113"/>
      <c r="L5" s="113"/>
      <c r="M5" s="113"/>
      <c r="N5" s="113"/>
      <c r="O5" s="113"/>
      <c r="P5" s="113"/>
      <c r="Q5" s="146"/>
    </row>
    <row r="6" spans="2:20">
      <c r="B6" s="172"/>
      <c r="C6" s="135" t="s">
        <v>157</v>
      </c>
      <c r="D6" s="135"/>
      <c r="E6" s="135"/>
      <c r="F6" s="135"/>
      <c r="G6" s="135"/>
      <c r="H6" s="135"/>
      <c r="I6" s="135"/>
      <c r="J6" s="135"/>
      <c r="K6" s="135"/>
      <c r="L6" s="135"/>
      <c r="M6" s="135"/>
      <c r="N6" s="135"/>
      <c r="O6" s="135"/>
      <c r="P6" s="113"/>
      <c r="Q6" s="146"/>
    </row>
    <row r="7" spans="2:20">
      <c r="B7" s="172"/>
      <c r="C7" s="135" t="s">
        <v>158</v>
      </c>
      <c r="D7" s="135"/>
      <c r="E7" s="135"/>
      <c r="F7" s="135"/>
      <c r="G7" s="135"/>
      <c r="H7" s="135"/>
      <c r="I7" s="135"/>
      <c r="J7" s="135"/>
      <c r="K7" s="135"/>
      <c r="L7" s="135"/>
      <c r="M7" s="135"/>
      <c r="N7" s="135"/>
      <c r="O7" s="135"/>
      <c r="P7" s="113"/>
      <c r="Q7" s="146"/>
    </row>
    <row r="8" spans="2:20">
      <c r="B8" s="172"/>
      <c r="C8" s="135" t="s">
        <v>159</v>
      </c>
      <c r="D8" s="135"/>
      <c r="E8" s="135"/>
      <c r="F8" s="135"/>
      <c r="G8" s="135"/>
      <c r="H8" s="136"/>
      <c r="I8" s="135"/>
      <c r="J8" s="135"/>
      <c r="K8" s="135"/>
      <c r="L8" s="135"/>
      <c r="M8" s="135"/>
      <c r="N8" s="135"/>
      <c r="O8" s="135"/>
      <c r="P8" s="113"/>
      <c r="Q8" s="146"/>
    </row>
    <row r="9" spans="2:20">
      <c r="B9" s="172"/>
      <c r="C9" s="138"/>
      <c r="D9" s="138"/>
      <c r="E9" s="138"/>
      <c r="F9" s="138"/>
      <c r="G9" s="138"/>
      <c r="H9" s="138"/>
      <c r="I9" s="138"/>
      <c r="J9" s="138"/>
      <c r="K9" s="138"/>
      <c r="L9" s="138"/>
      <c r="M9" s="138"/>
      <c r="N9" s="138"/>
      <c r="O9" s="138"/>
      <c r="P9" s="139"/>
      <c r="Q9" s="157"/>
    </row>
    <row r="10" spans="2:20" ht="14.4">
      <c r="B10" s="172"/>
      <c r="C10" s="51"/>
      <c r="D10" s="51"/>
      <c r="E10" s="51"/>
      <c r="F10" s="51"/>
      <c r="G10" s="51"/>
      <c r="H10" s="148" t="s">
        <v>58</v>
      </c>
      <c r="I10" s="51"/>
      <c r="J10" s="51"/>
      <c r="K10" s="51"/>
      <c r="L10" s="51"/>
      <c r="M10" s="51"/>
      <c r="N10" s="51"/>
      <c r="O10" s="51"/>
      <c r="P10" s="51"/>
      <c r="Q10" s="147"/>
    </row>
    <row r="11" spans="2:20" ht="18">
      <c r="B11" s="172"/>
      <c r="C11" s="149" t="s">
        <v>68</v>
      </c>
      <c r="D11" s="150"/>
      <c r="E11" s="129"/>
      <c r="F11" s="129"/>
      <c r="G11" s="128"/>
      <c r="H11" s="181" t="str">
        <f>prov_cd</f>
        <v>YT</v>
      </c>
      <c r="I11" s="180"/>
      <c r="J11" s="51"/>
      <c r="K11" s="51"/>
      <c r="L11" s="51"/>
      <c r="M11" s="51"/>
      <c r="N11" s="51"/>
      <c r="O11" s="51"/>
      <c r="P11" s="51"/>
      <c r="Q11" s="51"/>
    </row>
    <row r="12" spans="2:20" ht="14.4">
      <c r="B12" s="172"/>
      <c r="C12" s="374" t="s">
        <v>59</v>
      </c>
      <c r="D12" s="374" t="s">
        <v>10</v>
      </c>
      <c r="E12" s="374" t="s">
        <v>17</v>
      </c>
      <c r="F12" s="374" t="s">
        <v>11</v>
      </c>
      <c r="G12" s="374" t="s">
        <v>12</v>
      </c>
      <c r="H12" s="381" t="s">
        <v>13</v>
      </c>
      <c r="I12" s="374" t="s">
        <v>25</v>
      </c>
      <c r="J12" s="374"/>
      <c r="K12" s="374"/>
      <c r="L12" s="374"/>
      <c r="M12" s="374"/>
      <c r="N12" s="374"/>
      <c r="O12" s="374"/>
      <c r="P12" s="374"/>
      <c r="Q12" s="374" t="s">
        <v>14</v>
      </c>
    </row>
    <row r="13" spans="2:20" ht="29.1" customHeight="1">
      <c r="B13" s="172"/>
      <c r="C13" s="374"/>
      <c r="D13" s="374"/>
      <c r="E13" s="374"/>
      <c r="F13" s="374"/>
      <c r="G13" s="374"/>
      <c r="H13" s="381"/>
      <c r="I13" s="196">
        <f>'26MY_ODYSSEY_DATA'!M$6</f>
        <v>0</v>
      </c>
      <c r="J13" s="196" t="str">
        <f>'26MY_ODYSSEY_DATA'!N$6</f>
        <v>Sport</v>
      </c>
      <c r="K13" s="196" t="str">
        <f>'26MY_ODYSSEY_DATA'!O$6</f>
        <v>Sport-L</v>
      </c>
      <c r="L13" s="196" t="str">
        <f>'26MY_ODYSSEY_DATA'!P$6</f>
        <v>Touring</v>
      </c>
      <c r="M13" s="196" t="str">
        <f>'26MY_ODYSSEY_DATA'!Q$6</f>
        <v>Black Edition</v>
      </c>
      <c r="N13" s="196">
        <f>'26MY_ODYSSEY_DATA'!R$6</f>
        <v>0</v>
      </c>
      <c r="O13" s="196">
        <f>'26MY_ODYSSEY_DATA'!S$6</f>
        <v>0</v>
      </c>
      <c r="P13" s="196">
        <f>'26MY_ODYSSEY_DATA'!T$6</f>
        <v>0</v>
      </c>
      <c r="Q13" s="374"/>
    </row>
    <row r="14" spans="2:20" s="130" customFormat="1" ht="17.25" customHeight="1">
      <c r="B14" s="203" t="s">
        <v>532</v>
      </c>
      <c r="C14" s="195" t="str">
        <f>VLOOKUP(B14,'26MY_ODYSSEY_DATA'!B:AR,3,FALSE)</f>
        <v>Protection Package 1</v>
      </c>
      <c r="D14" s="263" t="str">
        <f>B14</f>
        <v>25ODY-PRO-PKG1</v>
      </c>
      <c r="E14" s="362">
        <f>VLOOKUP(B14,'26MY_ODYSSEY_DATA'!B:AR,9,FALSE)</f>
        <v>387</v>
      </c>
      <c r="F14" s="362">
        <f>VLOOKUP(B14,'26MY_ODYSSEY_DATA'!B:AR,10,FALSE)</f>
        <v>717</v>
      </c>
      <c r="G14" s="365">
        <f>VLOOKUP(B14,'26MY_ODYSSEY_DATA'!B:AR,7,FALSE)</f>
        <v>0.60000000000000009</v>
      </c>
      <c r="H14" s="368">
        <f>VLOOKUP(B14,'26MY_ODYSSEY_DATA'!B:AR,11,FALSE)</f>
        <v>825.6</v>
      </c>
      <c r="I14" s="375">
        <f>VLOOKUP(B14,'26MY_ODYSSEY_DATA'!B:AR,12,FALSE)</f>
        <v>0</v>
      </c>
      <c r="J14" s="375" t="str">
        <f>VLOOKUP(B14,'26MY_ODYSSEY_DATA'!B:AR,13,FALSE)</f>
        <v>•</v>
      </c>
      <c r="K14" s="375" t="str">
        <f>VLOOKUP(B14,'26MY_ODYSSEY_DATA'!B:AR,14,FALSE)</f>
        <v>•</v>
      </c>
      <c r="L14" s="375" t="str">
        <f>VLOOKUP(B14,'26MY_ODYSSEY_DATA'!B:AR,15,FALSE)</f>
        <v>•</v>
      </c>
      <c r="M14" s="375" t="str">
        <f>VLOOKUP(B14,'26MY_ODYSSEY_DATA'!B:AR,16,FALSE)</f>
        <v>•</v>
      </c>
      <c r="N14" s="375">
        <f>VLOOKUP($B14,'26MY_ODYSSEY_DATA'!$B:$AR,17,FALSE)</f>
        <v>0</v>
      </c>
      <c r="O14" s="375">
        <f>VLOOKUP($B14,'26MY_ODYSSEY_DATA'!$B:$AR,18,FALSE)</f>
        <v>0</v>
      </c>
      <c r="P14" s="375">
        <f>VLOOKUP($B14,'26MY_ODYSSEY_DATA'!$B:$AR,19,FALSE)</f>
        <v>0</v>
      </c>
      <c r="Q14" s="371" t="str">
        <f>IF(VLOOKUP(B14,'26MY_ODYSSEY_DATA'!B:AR,20,FALSE)="","",VLOOKUP(B14,'26MY_ODYSSEY_DATA'!B:AR,20,FALSE))</f>
        <v>White 'ODYSSEY' lettering on Floor Mats.
Cargo Tray - Deep.</v>
      </c>
      <c r="R14" s="94"/>
      <c r="S14" s="94"/>
      <c r="T14" s="94"/>
    </row>
    <row r="15" spans="2:20" s="131" customFormat="1" ht="14.4">
      <c r="B15" s="226" t="s">
        <v>318</v>
      </c>
      <c r="C15" s="191" t="str">
        <f>VLOOKUP(B15,'26MY_ODYSSEY_DATA'!B:AR,3,FALSE)</f>
        <v>All-Season Floor Mats - White Logo</v>
      </c>
      <c r="D15" s="225" t="str">
        <f t="shared" ref="D15" si="0">B15</f>
        <v>08P17-THR-110A</v>
      </c>
      <c r="E15" s="363"/>
      <c r="F15" s="363"/>
      <c r="G15" s="366"/>
      <c r="H15" s="369"/>
      <c r="I15" s="376"/>
      <c r="J15" s="376"/>
      <c r="K15" s="376"/>
      <c r="L15" s="376"/>
      <c r="M15" s="376"/>
      <c r="N15" s="376"/>
      <c r="O15" s="376"/>
      <c r="P15" s="376"/>
      <c r="Q15" s="372"/>
      <c r="R15" s="96"/>
      <c r="S15" s="96"/>
      <c r="T15" s="96"/>
    </row>
    <row r="16" spans="2:20" s="131" customFormat="1" ht="14.4">
      <c r="B16" s="226" t="s">
        <v>332</v>
      </c>
      <c r="C16" s="191" t="str">
        <f>VLOOKUP(B16,'26MY_ODYSSEY_DATA'!B:AR,3,FALSE)</f>
        <v>Cargo Tray - Deep</v>
      </c>
      <c r="D16" s="225" t="str">
        <f t="shared" ref="D16" si="1">B16</f>
        <v>08U45-THR-100A</v>
      </c>
      <c r="E16" s="363"/>
      <c r="F16" s="363"/>
      <c r="G16" s="366"/>
      <c r="H16" s="369"/>
      <c r="I16" s="376"/>
      <c r="J16" s="376"/>
      <c r="K16" s="376"/>
      <c r="L16" s="376"/>
      <c r="M16" s="376"/>
      <c r="N16" s="376"/>
      <c r="O16" s="376"/>
      <c r="P16" s="376"/>
      <c r="Q16" s="372"/>
      <c r="R16" s="96"/>
      <c r="S16" s="96"/>
      <c r="T16" s="96"/>
    </row>
    <row r="17" spans="2:20" s="131" customFormat="1" ht="15" customHeight="1">
      <c r="B17" s="203" t="s">
        <v>534</v>
      </c>
      <c r="C17" s="191" t="str">
        <f>VLOOKUP(B17,'26MY_ODYSSEY_DATA'!B:AR,3,FALSE)</f>
        <v>Rear Splash Guards</v>
      </c>
      <c r="D17" s="204" t="str">
        <f t="shared" ref="D17" si="2">B17</f>
        <v>08P09-THR-300A</v>
      </c>
      <c r="E17" s="364"/>
      <c r="F17" s="364"/>
      <c r="G17" s="367"/>
      <c r="H17" s="370"/>
      <c r="I17" s="377"/>
      <c r="J17" s="377"/>
      <c r="K17" s="377"/>
      <c r="L17" s="377"/>
      <c r="M17" s="377"/>
      <c r="N17" s="377"/>
      <c r="O17" s="377"/>
      <c r="P17" s="377"/>
      <c r="Q17" s="373"/>
      <c r="R17" s="96"/>
      <c r="S17" s="96"/>
      <c r="T17" s="96"/>
    </row>
    <row r="18" spans="2:20" s="131" customFormat="1" ht="7.2" customHeight="1">
      <c r="B18" s="203"/>
      <c r="C18" s="205"/>
      <c r="D18" s="206"/>
      <c r="E18" s="206"/>
      <c r="F18" s="206"/>
      <c r="G18" s="206"/>
      <c r="H18" s="206"/>
      <c r="I18" s="206"/>
      <c r="J18" s="206"/>
      <c r="K18" s="206"/>
      <c r="L18" s="206"/>
      <c r="M18" s="206"/>
      <c r="N18" s="206"/>
      <c r="O18" s="206"/>
      <c r="P18" s="206"/>
      <c r="Q18" s="335"/>
      <c r="R18" s="96"/>
      <c r="S18" s="96"/>
      <c r="T18" s="96"/>
    </row>
    <row r="19" spans="2:20" s="131" customFormat="1" ht="14.4">
      <c r="B19" s="203" t="s">
        <v>533</v>
      </c>
      <c r="C19" s="195" t="str">
        <f>VLOOKUP(B19,'26MY_ODYSSEY_DATA'!B:AR,3,FALSE)</f>
        <v xml:space="preserve">Protection Package 2 </v>
      </c>
      <c r="D19" s="263" t="str">
        <f>B19</f>
        <v>25ODY-PRO-PKG2</v>
      </c>
      <c r="E19" s="362">
        <f>VLOOKUP(B19,'26MY_ODYSSEY_DATA'!B:AR,9,FALSE)</f>
        <v>405.90000000000003</v>
      </c>
      <c r="F19" s="362">
        <f>VLOOKUP(B19,'26MY_ODYSSEY_DATA'!B:AR,10,FALSE)</f>
        <v>752</v>
      </c>
      <c r="G19" s="365">
        <f>VLOOKUP(B19,'26MY_ODYSSEY_DATA'!B:AR,7,FALSE)</f>
        <v>0.60000000000000009</v>
      </c>
      <c r="H19" s="368">
        <f>VLOOKUP(B19,'26MY_ODYSSEY_DATA'!B:AR,11,FALSE)</f>
        <v>860.6</v>
      </c>
      <c r="I19" s="375">
        <f>VLOOKUP(B19,'26MY_ODYSSEY_DATA'!B:AR,12,FALSE)</f>
        <v>0</v>
      </c>
      <c r="J19" s="375" t="str">
        <f>VLOOKUP(B19,'26MY_ODYSSEY_DATA'!B:AR,13,FALSE)</f>
        <v>•</v>
      </c>
      <c r="K19" s="375" t="str">
        <f>VLOOKUP(B19,'26MY_ODYSSEY_DATA'!B:AR,14,FALSE)</f>
        <v>•</v>
      </c>
      <c r="L19" s="375" t="str">
        <f>VLOOKUP(B19,'26MY_ODYSSEY_DATA'!B:AR,15,FALSE)</f>
        <v>•</v>
      </c>
      <c r="M19" s="375" t="str">
        <f>VLOOKUP(B19,'26MY_ODYSSEY_DATA'!B:AR,16,FALSE)</f>
        <v>•</v>
      </c>
      <c r="N19" s="375">
        <f>VLOOKUP($B19,'26MY_ODYSSEY_DATA'!$B:$AR,17,FALSE)</f>
        <v>0</v>
      </c>
      <c r="O19" s="375">
        <f>VLOOKUP($B19,'26MY_ODYSSEY_DATA'!$B:$AR,18,FALSE)</f>
        <v>0</v>
      </c>
      <c r="P19" s="375">
        <f>VLOOKUP($B19,'26MY_ODYSSEY_DATA'!$B:$AR,19,FALSE)</f>
        <v>0</v>
      </c>
      <c r="Q19" s="371" t="str">
        <f>IF(VLOOKUP(B19,'26MY_ODYSSEY_DATA'!B:AR,20,FALSE)="","",VLOOKUP(B19,'26MY_ODYSSEY_DATA'!B:AR,20,FALSE))</f>
        <v>White 'ODYSSEY' lettering on Floor Mats.
Cargo Tray - Folding.</v>
      </c>
      <c r="R19" s="96"/>
      <c r="S19" s="96"/>
      <c r="T19" s="96"/>
    </row>
    <row r="20" spans="2:20" s="131" customFormat="1" ht="14.4">
      <c r="B20" s="226" t="s">
        <v>318</v>
      </c>
      <c r="C20" s="191" t="str">
        <f>VLOOKUP(B20,'26MY_ODYSSEY_DATA'!B:AR,3,FALSE)</f>
        <v>All-Season Floor Mats - White Logo</v>
      </c>
      <c r="D20" s="225" t="str">
        <f t="shared" ref="D20" si="3">B20</f>
        <v>08P17-THR-110A</v>
      </c>
      <c r="E20" s="363"/>
      <c r="F20" s="363"/>
      <c r="G20" s="366"/>
      <c r="H20" s="369"/>
      <c r="I20" s="376"/>
      <c r="J20" s="376"/>
      <c r="K20" s="376"/>
      <c r="L20" s="376"/>
      <c r="M20" s="376"/>
      <c r="N20" s="376"/>
      <c r="O20" s="376"/>
      <c r="P20" s="376"/>
      <c r="Q20" s="372"/>
      <c r="R20" s="96"/>
      <c r="S20" s="96"/>
      <c r="T20" s="96"/>
    </row>
    <row r="21" spans="2:20" s="131" customFormat="1" ht="14.4">
      <c r="B21" s="203" t="s">
        <v>335</v>
      </c>
      <c r="C21" s="191" t="str">
        <f>VLOOKUP(B21,'26MY_ODYSSEY_DATA'!B:AR,3,FALSE)</f>
        <v>Cargo Tray - Folding</v>
      </c>
      <c r="D21" s="204" t="str">
        <f t="shared" ref="D21" si="4">B21</f>
        <v>08U45-THR-100B</v>
      </c>
      <c r="E21" s="363"/>
      <c r="F21" s="363"/>
      <c r="G21" s="366"/>
      <c r="H21" s="369"/>
      <c r="I21" s="376"/>
      <c r="J21" s="376"/>
      <c r="K21" s="376"/>
      <c r="L21" s="376"/>
      <c r="M21" s="376"/>
      <c r="N21" s="376"/>
      <c r="O21" s="376"/>
      <c r="P21" s="376"/>
      <c r="Q21" s="372"/>
      <c r="R21" s="96"/>
      <c r="S21" s="96"/>
      <c r="T21" s="96"/>
    </row>
    <row r="22" spans="2:20" s="131" customFormat="1" ht="14.4">
      <c r="B22" s="203" t="s">
        <v>534</v>
      </c>
      <c r="C22" s="191" t="str">
        <f>VLOOKUP(B22,'26MY_ODYSSEY_DATA'!B:AR,3,FALSE)</f>
        <v>Rear Splash Guards</v>
      </c>
      <c r="D22" s="204" t="str">
        <f t="shared" ref="D22" si="5">B22</f>
        <v>08P09-THR-300A</v>
      </c>
      <c r="E22" s="364"/>
      <c r="F22" s="364"/>
      <c r="G22" s="367"/>
      <c r="H22" s="370"/>
      <c r="I22" s="377"/>
      <c r="J22" s="377"/>
      <c r="K22" s="377"/>
      <c r="L22" s="377"/>
      <c r="M22" s="377"/>
      <c r="N22" s="377"/>
      <c r="O22" s="377"/>
      <c r="P22" s="377"/>
      <c r="Q22" s="373"/>
      <c r="R22" s="96"/>
      <c r="S22" s="96"/>
      <c r="T22" s="96"/>
    </row>
    <row r="23" spans="2:20" s="131" customFormat="1" ht="7.2" customHeight="1">
      <c r="B23" s="203"/>
      <c r="C23" s="205"/>
      <c r="D23" s="206"/>
      <c r="E23" s="206"/>
      <c r="F23" s="206"/>
      <c r="G23" s="206"/>
      <c r="H23" s="206"/>
      <c r="I23" s="206"/>
      <c r="J23" s="206"/>
      <c r="K23" s="206"/>
      <c r="L23" s="206"/>
      <c r="M23" s="206"/>
      <c r="N23" s="206"/>
      <c r="O23" s="206"/>
      <c r="P23" s="206"/>
      <c r="Q23" s="335"/>
      <c r="R23" s="96"/>
      <c r="S23" s="96"/>
    </row>
    <row r="24" spans="2:20" s="131" customFormat="1" ht="14.4">
      <c r="B24" s="203" t="s">
        <v>450</v>
      </c>
      <c r="C24" s="195" t="str">
        <f>VLOOKUP(B24,'26MY_ODYSSEY_DATA'!B:AR,3,FALSE)</f>
        <v>Cold Weather Package</v>
      </c>
      <c r="D24" s="78" t="str">
        <f>B24</f>
        <v>21ODY-COLD-PKG</v>
      </c>
      <c r="E24" s="362">
        <f>VLOOKUP(B24,'26MY_ODYSSEY_DATA'!B:AR,9,FALSE)</f>
        <v>230.85</v>
      </c>
      <c r="F24" s="362">
        <f>VLOOKUP(B24,'26MY_ODYSSEY_DATA'!B:AR,10,FALSE)</f>
        <v>384.75</v>
      </c>
      <c r="G24" s="365">
        <f>VLOOKUP(B24,'26MY_ODYSSEY_DATA'!B:AR,7,FALSE)</f>
        <v>1.4</v>
      </c>
      <c r="H24" s="368">
        <f>VLOOKUP(B24,'26MY_ODYSSEY_DATA'!B:AR,11,FALSE)</f>
        <v>638.15</v>
      </c>
      <c r="I24" s="375">
        <f>VLOOKUP(B24,'26MY_ODYSSEY_DATA'!B:AR,12,FALSE)</f>
        <v>0</v>
      </c>
      <c r="J24" s="375" t="str">
        <f>VLOOKUP(B24,'26MY_ODYSSEY_DATA'!B:AR,13,FALSE)</f>
        <v>•</v>
      </c>
      <c r="K24" s="375" t="str">
        <f>VLOOKUP(B24,'26MY_ODYSSEY_DATA'!B:AR,14,FALSE)</f>
        <v>•</v>
      </c>
      <c r="L24" s="375" t="str">
        <f>VLOOKUP(B24,'26MY_ODYSSEY_DATA'!B:AR,15,FALSE)</f>
        <v>•</v>
      </c>
      <c r="M24" s="375" t="str">
        <f>VLOOKUP(B24,'26MY_ODYSSEY_DATA'!B:AR,16,FALSE)</f>
        <v>•</v>
      </c>
      <c r="N24" s="375">
        <f>VLOOKUP($B24,'26MY_ODYSSEY_DATA'!$B:$AR,17,FALSE)</f>
        <v>0</v>
      </c>
      <c r="O24" s="375">
        <f>VLOOKUP($B24,'26MY_ODYSSEY_DATA'!$B:$AR,18,FALSE)</f>
        <v>0</v>
      </c>
      <c r="P24" s="375">
        <f>VLOOKUP($B24,'26MY_ODYSSEY_DATA'!$B:$AR,19,FALSE)</f>
        <v>0</v>
      </c>
      <c r="Q24" s="371" t="str">
        <f>IF(VLOOKUP(B24,'26MY_ODYSSEY_DATA'!B:AR,20,FALSE)="","",VLOOKUP(B24,'26MY_ODYSSEY_DATA'!B:AR,20,FALSE))</f>
        <v>5% discount applied.</v>
      </c>
      <c r="R24" s="96"/>
      <c r="S24" s="96"/>
      <c r="T24" s="96"/>
    </row>
    <row r="25" spans="2:20" s="131" customFormat="1" ht="14.4">
      <c r="B25" s="203" t="s">
        <v>393</v>
      </c>
      <c r="C25" s="191" t="str">
        <f>VLOOKUP(B25,'26MY_ODYSSEY_DATA'!B:AR,3,FALSE)</f>
        <v>Engine Block Heater</v>
      </c>
      <c r="D25" s="204" t="str">
        <f t="shared" ref="D25:D26" si="6">B25</f>
        <v>08T44-SJA-401A</v>
      </c>
      <c r="E25" s="363"/>
      <c r="F25" s="363"/>
      <c r="G25" s="366"/>
      <c r="H25" s="369"/>
      <c r="I25" s="376"/>
      <c r="J25" s="376"/>
      <c r="K25" s="376"/>
      <c r="L25" s="376"/>
      <c r="M25" s="376"/>
      <c r="N25" s="376"/>
      <c r="O25" s="376"/>
      <c r="P25" s="376"/>
      <c r="Q25" s="372"/>
      <c r="R25" s="96"/>
      <c r="S25" s="96"/>
      <c r="T25" s="96"/>
    </row>
    <row r="26" spans="2:20" s="131" customFormat="1" ht="14.4">
      <c r="B26" s="203" t="s">
        <v>26</v>
      </c>
      <c r="C26" s="191" t="str">
        <f>VLOOKUP(B26,'26MY_ODYSSEY_DATA'!B:AR,3,FALSE)</f>
        <v>Optimate 12V Auto Battery Charger/Maintainer</v>
      </c>
      <c r="D26" s="204" t="str">
        <f t="shared" si="6"/>
        <v>31670-BMS-004H</v>
      </c>
      <c r="E26" s="364"/>
      <c r="F26" s="364"/>
      <c r="G26" s="367"/>
      <c r="H26" s="370"/>
      <c r="I26" s="377"/>
      <c r="J26" s="377"/>
      <c r="K26" s="377"/>
      <c r="L26" s="377"/>
      <c r="M26" s="377"/>
      <c r="N26" s="377"/>
      <c r="O26" s="377"/>
      <c r="P26" s="377"/>
      <c r="Q26" s="373"/>
      <c r="R26" s="96"/>
      <c r="S26" s="96"/>
      <c r="T26" s="96"/>
    </row>
    <row r="27" spans="2:20" s="131" customFormat="1" ht="7.2" customHeight="1">
      <c r="B27" s="203"/>
      <c r="C27" s="205"/>
      <c r="D27" s="206"/>
      <c r="E27" s="206"/>
      <c r="F27" s="206"/>
      <c r="G27" s="206"/>
      <c r="H27" s="206"/>
      <c r="I27" s="206"/>
      <c r="J27" s="206"/>
      <c r="K27" s="206"/>
      <c r="L27" s="206"/>
      <c r="M27" s="206"/>
      <c r="N27" s="206"/>
      <c r="O27" s="206"/>
      <c r="P27" s="206"/>
      <c r="Q27" s="335"/>
      <c r="R27" s="96"/>
      <c r="S27" s="96"/>
      <c r="T27" s="96"/>
    </row>
    <row r="28" spans="2:20" s="131" customFormat="1" ht="40.5" customHeight="1">
      <c r="B28" s="226" t="s">
        <v>465</v>
      </c>
      <c r="C28" s="195" t="str">
        <f>VLOOKUP(B28,'26MY_ODYSSEY_DATA'!B:AR,3,FALSE)</f>
        <v xml:space="preserve">Towing Package </v>
      </c>
      <c r="D28" s="263" t="str">
        <f>B28</f>
        <v>25ODY-TOW-A1 or 
25ODY-TOW-B1</v>
      </c>
      <c r="E28" s="362">
        <f>VLOOKUP(B28,'26MY_ODYSSEY_DATA'!B:AR,9,FALSE)</f>
        <v>806.4</v>
      </c>
      <c r="F28" s="362">
        <f>VLOOKUP(B28,'26MY_ODYSSEY_DATA'!B:AR,10,FALSE)</f>
        <v>1331.1000000000001</v>
      </c>
      <c r="G28" s="365">
        <f>VLOOKUP(B28,'26MY_ODYSSEY_DATA'!B:AR,7,FALSE)</f>
        <v>2.2999999999999998</v>
      </c>
      <c r="H28" s="368">
        <f>VLOOKUP(B28,'26MY_ODYSSEY_DATA'!B:AR,11,FALSE)</f>
        <v>1747.4</v>
      </c>
      <c r="I28" s="375">
        <f>VLOOKUP(B28,'26MY_ODYSSEY_DATA'!B:AR,12,FALSE)</f>
        <v>0</v>
      </c>
      <c r="J28" s="375" t="str">
        <f>VLOOKUP(B28,'26MY_ODYSSEY_DATA'!B:AR,13,FALSE)</f>
        <v>•</v>
      </c>
      <c r="K28" s="375" t="str">
        <f>VLOOKUP(B28,'26MY_ODYSSEY_DATA'!B:AR,14,FALSE)</f>
        <v>•</v>
      </c>
      <c r="L28" s="375" t="str">
        <f>VLOOKUP(B28,'26MY_ODYSSEY_DATA'!B:AR,15,FALSE)</f>
        <v>N/A</v>
      </c>
      <c r="M28" s="375" t="str">
        <f>VLOOKUP(B28,'26MY_ODYSSEY_DATA'!B:AR,16,FALSE)</f>
        <v>N/A</v>
      </c>
      <c r="N28" s="375">
        <f>VLOOKUP($B28,'26MY_ODYSSEY_DATA'!$B:$AR,17,FALSE)</f>
        <v>0</v>
      </c>
      <c r="O28" s="375">
        <f>VLOOKUP($B28,'26MY_ODYSSEY_DATA'!$B:$AR,18,FALSE)</f>
        <v>0</v>
      </c>
      <c r="P28" s="375">
        <f>VLOOKUP($B28,'26MY_ODYSSEY_DATA'!$B:$AR,19,FALSE)</f>
        <v>0</v>
      </c>
      <c r="Q28" s="371" t="str">
        <f>IF(VLOOKUP(B28,'26MY_ODYSSEY_DATA'!B:AR,20,FALSE)="","",VLOOKUP(B28,'26MY_ODYSSEY_DATA'!B:AR,20,FALSE))</f>
        <v>10% Discount Applied.
Trailer Hitch Rating: Class II.
Trailer Hitch Receiver Size: 2-in x 2-in.
Towing Capacity: 1,587 kg / 3,500 lbs.</v>
      </c>
      <c r="R28" s="96"/>
      <c r="S28" s="96"/>
      <c r="T28" s="96"/>
    </row>
    <row r="29" spans="2:20" s="131" customFormat="1" ht="14.4">
      <c r="B29" s="203" t="s">
        <v>535</v>
      </c>
      <c r="C29" s="191" t="str">
        <f>VLOOKUP(B29,'26MY_ODYSSEY_DATA'!B:AR,3,FALSE)</f>
        <v>Trailer Hitch</v>
      </c>
      <c r="D29" s="204" t="str">
        <f t="shared" ref="D29" si="7">B29</f>
        <v>08L92-THR-300A</v>
      </c>
      <c r="E29" s="363"/>
      <c r="F29" s="363"/>
      <c r="G29" s="366"/>
      <c r="H29" s="369"/>
      <c r="I29" s="376"/>
      <c r="J29" s="376"/>
      <c r="K29" s="376"/>
      <c r="L29" s="376"/>
      <c r="M29" s="376"/>
      <c r="N29" s="376"/>
      <c r="O29" s="376"/>
      <c r="P29" s="376"/>
      <c r="Q29" s="372"/>
      <c r="R29" s="96"/>
      <c r="S29" s="96"/>
      <c r="T29" s="96"/>
    </row>
    <row r="30" spans="2:20" s="131" customFormat="1" ht="28.8">
      <c r="B30" s="203" t="s">
        <v>469</v>
      </c>
      <c r="C30" s="191" t="str">
        <f>VLOOKUP(B30,'26MY_ODYSSEY_DATA'!B:AR,3,FALSE)</f>
        <v>Trailer Hitch Ball - 1-7/8" or 2"</v>
      </c>
      <c r="D30" s="225" t="str">
        <f t="shared" ref="D30:D31" si="8">B30</f>
        <v>08L92-SCV-300A or 08L92-SCV-100B</v>
      </c>
      <c r="E30" s="363"/>
      <c r="F30" s="363"/>
      <c r="G30" s="366"/>
      <c r="H30" s="369"/>
      <c r="I30" s="376"/>
      <c r="J30" s="376"/>
      <c r="K30" s="376"/>
      <c r="L30" s="376"/>
      <c r="M30" s="376"/>
      <c r="N30" s="376"/>
      <c r="O30" s="376"/>
      <c r="P30" s="376"/>
      <c r="Q30" s="372"/>
      <c r="R30" s="96"/>
      <c r="S30" s="96"/>
      <c r="T30" s="96"/>
    </row>
    <row r="31" spans="2:20" s="131" customFormat="1" ht="14.4">
      <c r="B31" s="203" t="s">
        <v>387</v>
      </c>
      <c r="C31" s="191" t="str">
        <f>VLOOKUP(B31,'26MY_ODYSSEY_DATA'!B:AR,3,FALSE)</f>
        <v>Trailer Hitch Harness</v>
      </c>
      <c r="D31" s="225" t="str">
        <f t="shared" si="8"/>
        <v>08L91-THR-300</v>
      </c>
      <c r="E31" s="363"/>
      <c r="F31" s="363"/>
      <c r="G31" s="366"/>
      <c r="H31" s="369"/>
      <c r="I31" s="376"/>
      <c r="J31" s="376"/>
      <c r="K31" s="376"/>
      <c r="L31" s="376"/>
      <c r="M31" s="376"/>
      <c r="N31" s="376"/>
      <c r="O31" s="376"/>
      <c r="P31" s="376"/>
      <c r="Q31" s="372"/>
      <c r="R31" s="96"/>
      <c r="S31" s="96"/>
      <c r="T31" s="96"/>
    </row>
    <row r="32" spans="2:20" s="131" customFormat="1" ht="14.4">
      <c r="B32" s="203" t="s">
        <v>206</v>
      </c>
      <c r="C32" s="191" t="str">
        <f>VLOOKUP(B32,'26MY_ODYSSEY_DATA'!B:AR,3,FALSE)</f>
        <v>Trailer Hitch Locking Pin</v>
      </c>
      <c r="D32" s="204" t="str">
        <f t="shared" ref="D32" si="9">B32</f>
        <v>08L92-SJC-300A</v>
      </c>
      <c r="E32" s="364"/>
      <c r="F32" s="364"/>
      <c r="G32" s="367"/>
      <c r="H32" s="370"/>
      <c r="I32" s="377"/>
      <c r="J32" s="377"/>
      <c r="K32" s="377"/>
      <c r="L32" s="377"/>
      <c r="M32" s="377"/>
      <c r="N32" s="377"/>
      <c r="O32" s="377"/>
      <c r="P32" s="377"/>
      <c r="Q32" s="373"/>
      <c r="R32" s="96"/>
      <c r="S32" s="96"/>
      <c r="T32" s="96"/>
    </row>
    <row r="33" spans="2:20" s="131" customFormat="1" ht="7.2" customHeight="1">
      <c r="B33" s="203"/>
      <c r="Q33" s="336"/>
      <c r="R33" s="96"/>
      <c r="S33" s="96"/>
      <c r="T33" s="96"/>
    </row>
    <row r="34" spans="2:20" s="131" customFormat="1" ht="45.75" customHeight="1">
      <c r="B34" s="226" t="s">
        <v>466</v>
      </c>
      <c r="C34" s="195" t="str">
        <f>VLOOKUP(B34,'26MY_ODYSSEY_DATA'!B:AR,3,FALSE)</f>
        <v xml:space="preserve">Towing Package </v>
      </c>
      <c r="D34" s="263" t="str">
        <f>B34</f>
        <v>25ODY-TOW-A2 or 
25ODY-TOW-B2</v>
      </c>
      <c r="E34" s="362">
        <f>VLOOKUP(B34,'26MY_ODYSSEY_DATA'!B:AR,9,FALSE)</f>
        <v>1026.9000000000001</v>
      </c>
      <c r="F34" s="362">
        <f>VLOOKUP(B34,'26MY_ODYSSEY_DATA'!B:AR,10,FALSE)</f>
        <v>1698.3</v>
      </c>
      <c r="G34" s="365">
        <f>VLOOKUP(B34,'26MY_ODYSSEY_DATA'!B:AR,7,FALSE)</f>
        <v>2.5</v>
      </c>
      <c r="H34" s="368">
        <f>VLOOKUP(B34,'26MY_ODYSSEY_DATA'!B:AR,11,FALSE)</f>
        <v>2150.8000000000002</v>
      </c>
      <c r="I34" s="375">
        <f>VLOOKUP(B34,'26MY_ODYSSEY_DATA'!B:AR,12,FALSE)</f>
        <v>0</v>
      </c>
      <c r="J34" s="375" t="str">
        <f>VLOOKUP(B34,'26MY_ODYSSEY_DATA'!B:AR,13,FALSE)</f>
        <v>N/A</v>
      </c>
      <c r="K34" s="375" t="str">
        <f>VLOOKUP(B34,'26MY_ODYSSEY_DATA'!B:AR,14,FALSE)</f>
        <v>N/A</v>
      </c>
      <c r="L34" s="375" t="str">
        <f>VLOOKUP(B34,'26MY_ODYSSEY_DATA'!B:AR,15,FALSE)</f>
        <v>•</v>
      </c>
      <c r="M34" s="378" t="str">
        <f>VLOOKUP(B34,'26MY_ODYSSEY_DATA'!B:AR,16,FALSE)</f>
        <v>•</v>
      </c>
      <c r="N34" s="375">
        <f>VLOOKUP($B34,'26MY_ODYSSEY_DATA'!$B:$AR,17,FALSE)</f>
        <v>0</v>
      </c>
      <c r="O34" s="375">
        <f>VLOOKUP($B34,'26MY_ODYSSEY_DATA'!$B:$AR,18,FALSE)</f>
        <v>0</v>
      </c>
      <c r="P34" s="375">
        <f>VLOOKUP($B34,'26MY_ODYSSEY_DATA'!$B:$AR,19,FALSE)</f>
        <v>0</v>
      </c>
      <c r="Q34" s="371" t="str">
        <f>IF(VLOOKUP(B34,'26MY_ODYSSEY_DATA'!B:AR,20,FALSE)="","",VLOOKUP(B34,'26MY_ODYSSEY_DATA'!B:AR,20,FALSE))</f>
        <v>10% Discount Applied.
Black Edition: Requires Hands-Free Power Tailgate Sensor Adapter since Hands-Free comes standard.
Trailer Hitch Rating: Class II.
Trailer Hitch Receiver Size: 2-in x 2-in.
Towing Capacity: 1,587 kg / 3,500 lbs.</v>
      </c>
      <c r="R34" s="96"/>
      <c r="S34" s="96"/>
      <c r="T34" s="96"/>
    </row>
    <row r="35" spans="2:20" s="131" customFormat="1" ht="14.4">
      <c r="B35" s="203" t="s">
        <v>535</v>
      </c>
      <c r="C35" s="191" t="str">
        <f>VLOOKUP(B35,'26MY_ODYSSEY_DATA'!B:AR,3,FALSE)</f>
        <v>Trailer Hitch</v>
      </c>
      <c r="D35" s="204" t="str">
        <f t="shared" ref="D35:D38" si="10">B35</f>
        <v>08L92-THR-300A</v>
      </c>
      <c r="E35" s="363"/>
      <c r="F35" s="363"/>
      <c r="G35" s="366"/>
      <c r="H35" s="369"/>
      <c r="I35" s="376"/>
      <c r="J35" s="376"/>
      <c r="K35" s="376"/>
      <c r="L35" s="376"/>
      <c r="M35" s="379"/>
      <c r="N35" s="376"/>
      <c r="O35" s="376"/>
      <c r="P35" s="376"/>
      <c r="Q35" s="372"/>
      <c r="R35" s="96"/>
      <c r="S35" s="96"/>
      <c r="T35" s="96"/>
    </row>
    <row r="36" spans="2:20" s="131" customFormat="1" ht="14.4">
      <c r="B36" s="203" t="s">
        <v>396</v>
      </c>
      <c r="C36" s="191" t="str">
        <f>VLOOKUP(B36,'26MY_ODYSSEY_DATA'!B:AR,3,FALSE)</f>
        <v>Hands-Free Power Tailgate Sensor Adapter</v>
      </c>
      <c r="D36" s="204" t="str">
        <f>B36</f>
        <v>08L91-THR-300A</v>
      </c>
      <c r="E36" s="363"/>
      <c r="F36" s="363"/>
      <c r="G36" s="366"/>
      <c r="H36" s="369"/>
      <c r="I36" s="376"/>
      <c r="J36" s="376"/>
      <c r="K36" s="376"/>
      <c r="L36" s="376"/>
      <c r="M36" s="379"/>
      <c r="N36" s="376"/>
      <c r="O36" s="376"/>
      <c r="P36" s="376"/>
      <c r="Q36" s="372"/>
      <c r="R36" s="96"/>
      <c r="S36" s="96"/>
      <c r="T36" s="96"/>
    </row>
    <row r="37" spans="2:20" s="131" customFormat="1" ht="28.8">
      <c r="B37" s="203" t="s">
        <v>469</v>
      </c>
      <c r="C37" s="191" t="str">
        <f>VLOOKUP(B37,'26MY_ODYSSEY_DATA'!B:AR,3,FALSE)</f>
        <v>Trailer Hitch Ball - 1-7/8" or 2"</v>
      </c>
      <c r="D37" s="225" t="str">
        <f>B37</f>
        <v>08L92-SCV-300A or 08L92-SCV-100B</v>
      </c>
      <c r="E37" s="363"/>
      <c r="F37" s="363"/>
      <c r="G37" s="366"/>
      <c r="H37" s="369"/>
      <c r="I37" s="376"/>
      <c r="J37" s="376"/>
      <c r="K37" s="376"/>
      <c r="L37" s="376"/>
      <c r="M37" s="379"/>
      <c r="N37" s="376"/>
      <c r="O37" s="376"/>
      <c r="P37" s="376"/>
      <c r="Q37" s="372"/>
      <c r="R37" s="96"/>
      <c r="S37" s="96"/>
      <c r="T37" s="96"/>
    </row>
    <row r="38" spans="2:20" s="131" customFormat="1" ht="14.4">
      <c r="B38" s="203" t="s">
        <v>387</v>
      </c>
      <c r="C38" s="191" t="str">
        <f>VLOOKUP(B38,'26MY_ODYSSEY_DATA'!B:AR,3,FALSE)</f>
        <v>Trailer Hitch Harness</v>
      </c>
      <c r="D38" s="204" t="str">
        <f t="shared" si="10"/>
        <v>08L91-THR-300</v>
      </c>
      <c r="E38" s="363"/>
      <c r="F38" s="363"/>
      <c r="G38" s="366"/>
      <c r="H38" s="369"/>
      <c r="I38" s="376"/>
      <c r="J38" s="376"/>
      <c r="K38" s="376"/>
      <c r="L38" s="376"/>
      <c r="M38" s="379"/>
      <c r="N38" s="376"/>
      <c r="O38" s="376"/>
      <c r="P38" s="376"/>
      <c r="Q38" s="372"/>
      <c r="R38" s="96"/>
      <c r="S38" s="96"/>
      <c r="T38" s="96"/>
    </row>
    <row r="39" spans="2:20" s="131" customFormat="1" ht="14.4">
      <c r="B39" s="203" t="s">
        <v>206</v>
      </c>
      <c r="C39" s="191" t="str">
        <f>VLOOKUP(B39,'26MY_ODYSSEY_DATA'!B:AR,3,FALSE)</f>
        <v>Trailer Hitch Locking Pin</v>
      </c>
      <c r="D39" s="204" t="str">
        <f t="shared" ref="D39" si="11">B39</f>
        <v>08L92-SJC-300A</v>
      </c>
      <c r="E39" s="364"/>
      <c r="F39" s="364"/>
      <c r="G39" s="367"/>
      <c r="H39" s="370"/>
      <c r="I39" s="377"/>
      <c r="J39" s="377"/>
      <c r="K39" s="377"/>
      <c r="L39" s="377"/>
      <c r="M39" s="380"/>
      <c r="N39" s="377"/>
      <c r="O39" s="377"/>
      <c r="P39" s="377"/>
      <c r="Q39" s="373"/>
      <c r="R39" s="96"/>
      <c r="S39" s="96"/>
      <c r="T39" s="96"/>
    </row>
    <row r="40" spans="2:20" s="132" customFormat="1" ht="15.6" customHeight="1">
      <c r="B40" s="175"/>
      <c r="C40" s="129"/>
      <c r="D40" s="129"/>
      <c r="E40" s="129"/>
      <c r="F40" s="129"/>
      <c r="G40" s="128"/>
      <c r="H40" s="129"/>
      <c r="I40" s="129"/>
      <c r="J40" s="129"/>
      <c r="K40" s="129"/>
      <c r="L40" s="129"/>
      <c r="M40" s="129"/>
      <c r="N40" s="129"/>
      <c r="O40" s="129"/>
      <c r="P40" s="129"/>
      <c r="Q40" s="337"/>
    </row>
    <row r="41" spans="2:20" s="130" customFormat="1" ht="18">
      <c r="B41" s="203"/>
      <c r="C41" s="149" t="s">
        <v>67</v>
      </c>
      <c r="D41" s="149"/>
      <c r="E41" s="140"/>
      <c r="F41" s="140"/>
      <c r="G41" s="140"/>
      <c r="H41" s="140"/>
      <c r="I41" s="140"/>
      <c r="J41" s="140"/>
      <c r="K41" s="140"/>
      <c r="L41" s="140"/>
      <c r="M41" s="140"/>
      <c r="N41" s="140"/>
      <c r="O41" s="140"/>
      <c r="P41" s="140"/>
      <c r="Q41" s="140"/>
    </row>
    <row r="42" spans="2:20" s="131" customFormat="1" ht="15" customHeight="1">
      <c r="B42" s="203"/>
      <c r="C42" s="374" t="s">
        <v>59</v>
      </c>
      <c r="D42" s="374" t="s">
        <v>10</v>
      </c>
      <c r="E42" s="374" t="s">
        <v>17</v>
      </c>
      <c r="F42" s="374" t="s">
        <v>11</v>
      </c>
      <c r="G42" s="374" t="s">
        <v>12</v>
      </c>
      <c r="H42" s="381" t="s">
        <v>13</v>
      </c>
      <c r="I42" s="374" t="s">
        <v>25</v>
      </c>
      <c r="J42" s="374"/>
      <c r="K42" s="374"/>
      <c r="L42" s="374"/>
      <c r="M42" s="374"/>
      <c r="N42" s="374"/>
      <c r="O42" s="374"/>
      <c r="P42" s="374"/>
      <c r="Q42" s="374" t="s">
        <v>14</v>
      </c>
    </row>
    <row r="43" spans="2:20" s="131" customFormat="1" ht="29.1" customHeight="1">
      <c r="B43" s="176"/>
      <c r="C43" s="374"/>
      <c r="D43" s="374"/>
      <c r="E43" s="374"/>
      <c r="F43" s="374"/>
      <c r="G43" s="374"/>
      <c r="H43" s="381"/>
      <c r="I43" s="196">
        <f>'26MY_ODYSSEY_DATA'!M$6</f>
        <v>0</v>
      </c>
      <c r="J43" s="196" t="str">
        <f>'26MY_ODYSSEY_DATA'!N$6</f>
        <v>Sport</v>
      </c>
      <c r="K43" s="196" t="str">
        <f>'26MY_ODYSSEY_DATA'!O$6</f>
        <v>Sport-L</v>
      </c>
      <c r="L43" s="196" t="str">
        <f>'26MY_ODYSSEY_DATA'!P$6</f>
        <v>Touring</v>
      </c>
      <c r="M43" s="196" t="str">
        <f>'26MY_ODYSSEY_DATA'!Q$6</f>
        <v>Black Edition</v>
      </c>
      <c r="N43" s="196">
        <f>'26MY_ODYSSEY_DATA'!R$6</f>
        <v>0</v>
      </c>
      <c r="O43" s="196">
        <f>'26MY_ODYSSEY_DATA'!S$6</f>
        <v>0</v>
      </c>
      <c r="P43" s="196">
        <f>'26MY_ODYSSEY_DATA'!T$6</f>
        <v>0</v>
      </c>
      <c r="Q43" s="374"/>
    </row>
    <row r="44" spans="2:20" s="132" customFormat="1" ht="15" customHeight="1">
      <c r="B44" s="175" t="s">
        <v>203</v>
      </c>
      <c r="C44" s="177" t="str">
        <f>VLOOKUP(B44,'26MY_ODYSSEY_DATA'!B:AR,3,FALSE)</f>
        <v>Wheel Locks - Black</v>
      </c>
      <c r="D44" s="79" t="str">
        <f>B44</f>
        <v>08W42-TG7-301A</v>
      </c>
      <c r="E44" s="323">
        <f>VLOOKUP(B44,'26MY_ODYSSEY_DATA'!B:AR,9,FALSE)</f>
        <v>88</v>
      </c>
      <c r="F44" s="323">
        <f>VLOOKUP(B44,'26MY_ODYSSEY_DATA'!B:AR,10,FALSE)</f>
        <v>147</v>
      </c>
      <c r="G44" s="332">
        <f>VLOOKUP(B44,'26MY_ODYSSEY_DATA'!B:AR,7,FALSE)</f>
        <v>0.2</v>
      </c>
      <c r="H44" s="324">
        <f>VLOOKUP(B44,'26MY_ODYSSEY_DATA'!B:AR,11,FALSE)</f>
        <v>183.2</v>
      </c>
      <c r="I44" s="333">
        <f>VLOOKUP(B44,'26MY_ODYSSEY_DATA'!B:AR,12,FALSE)</f>
        <v>0</v>
      </c>
      <c r="J44" s="333" t="str">
        <f>VLOOKUP(B44,'26MY_ODYSSEY_DATA'!B:AR,13,FALSE)</f>
        <v>•</v>
      </c>
      <c r="K44" s="333" t="str">
        <f>VLOOKUP(B44,'26MY_ODYSSEY_DATA'!B:AR,14,FALSE)</f>
        <v>•</v>
      </c>
      <c r="L44" s="333" t="str">
        <f>VLOOKUP(B44,'26MY_ODYSSEY_DATA'!B:AR,15,FALSE)</f>
        <v>•</v>
      </c>
      <c r="M44" s="333" t="str">
        <f>VLOOKUP(B44,'26MY_ODYSSEY_DATA'!B:AR,16,FALSE)</f>
        <v>•</v>
      </c>
      <c r="N44" s="333">
        <f>VLOOKUP($B44,'26MY_ODYSSEY_DATA'!$B:$AR,17,FALSE)</f>
        <v>0</v>
      </c>
      <c r="O44" s="333">
        <f>VLOOKUP($B44,'26MY_ODYSSEY_DATA'!$B:$AR,18,FALSE)</f>
        <v>0</v>
      </c>
      <c r="P44" s="333">
        <f>VLOOKUP($B44,'26MY_ODYSSEY_DATA'!$B:$AR,19,FALSE)</f>
        <v>0</v>
      </c>
      <c r="Q44" s="338" t="str">
        <f>IF(VLOOKUP(B44,'26MY_ODYSSEY_DATA'!B:AR,20,FALSE)="","",VLOOKUP(B44,'26MY_ODYSSEY_DATA'!B:AR,20,FALSE))</f>
        <v/>
      </c>
    </row>
    <row r="45" spans="2:20" s="131" customFormat="1" ht="14.4">
      <c r="B45" s="176" t="s">
        <v>204</v>
      </c>
      <c r="C45" s="177" t="str">
        <f>VLOOKUP(B45,'26MY_ODYSSEY_DATA'!B:AR,3,FALSE)</f>
        <v>Wheel Locks - Chrome</v>
      </c>
      <c r="D45" s="79" t="str">
        <f t="shared" ref="D45" si="12">B45</f>
        <v>08W42-TK4-301</v>
      </c>
      <c r="E45" s="323">
        <f>VLOOKUP(B45,'26MY_ODYSSEY_DATA'!B:AR,9,FALSE)</f>
        <v>94</v>
      </c>
      <c r="F45" s="323">
        <f>VLOOKUP(B45,'26MY_ODYSSEY_DATA'!B:AR,10,FALSE)</f>
        <v>157</v>
      </c>
      <c r="G45" s="332">
        <f>VLOOKUP(B45,'26MY_ODYSSEY_DATA'!B:AR,7,FALSE)</f>
        <v>0.2</v>
      </c>
      <c r="H45" s="324">
        <f>VLOOKUP(B45,'26MY_ODYSSEY_DATA'!B:AR,11,FALSE)</f>
        <v>193.2</v>
      </c>
      <c r="I45" s="333">
        <f>VLOOKUP(B45,'26MY_ODYSSEY_DATA'!B:AR,12,FALSE)</f>
        <v>0</v>
      </c>
      <c r="J45" s="333" t="str">
        <f>VLOOKUP(B45,'26MY_ODYSSEY_DATA'!B:AR,13,FALSE)</f>
        <v>•</v>
      </c>
      <c r="K45" s="333" t="str">
        <f>VLOOKUP(B45,'26MY_ODYSSEY_DATA'!B:AR,14,FALSE)</f>
        <v>•</v>
      </c>
      <c r="L45" s="333" t="str">
        <f>VLOOKUP(B45,'26MY_ODYSSEY_DATA'!B:AR,15,FALSE)</f>
        <v>•</v>
      </c>
      <c r="M45" s="333" t="str">
        <f>VLOOKUP(B45,'26MY_ODYSSEY_DATA'!B:AR,16,FALSE)</f>
        <v>•</v>
      </c>
      <c r="N45" s="333">
        <f>VLOOKUP($B45,'26MY_ODYSSEY_DATA'!$B:$AR,17,FALSE)</f>
        <v>0</v>
      </c>
      <c r="O45" s="333">
        <f>VLOOKUP($B45,'26MY_ODYSSEY_DATA'!$B:$AR,18,FALSE)</f>
        <v>0</v>
      </c>
      <c r="P45" s="333">
        <f>VLOOKUP($B45,'26MY_ODYSSEY_DATA'!$B:$AR,19,FALSE)</f>
        <v>0</v>
      </c>
      <c r="Q45" s="338" t="str">
        <f>IF(VLOOKUP(B45,'26MY_ODYSSEY_DATA'!B:AR,20,FALSE)="","",VLOOKUP(B45,'26MY_ODYSSEY_DATA'!B:AR,20,FALSE))</f>
        <v/>
      </c>
    </row>
    <row r="46" spans="2:20" s="132" customFormat="1" ht="10.5" customHeight="1">
      <c r="B46" s="175"/>
      <c r="C46" s="20"/>
      <c r="D46" s="182"/>
      <c r="E46" s="183"/>
      <c r="F46" s="183"/>
      <c r="G46" s="184"/>
      <c r="H46" s="185"/>
      <c r="I46" s="91"/>
      <c r="J46" s="96"/>
      <c r="K46" s="91"/>
      <c r="L46" s="91"/>
      <c r="M46" s="91"/>
      <c r="N46" s="91"/>
      <c r="O46" s="91"/>
      <c r="P46" s="91"/>
      <c r="Q46" s="186"/>
    </row>
    <row r="47" spans="2:20" s="130" customFormat="1" ht="18">
      <c r="B47" s="202"/>
      <c r="C47" s="149" t="s">
        <v>66</v>
      </c>
      <c r="D47" s="149"/>
      <c r="E47" s="140"/>
      <c r="F47" s="140"/>
      <c r="G47" s="140"/>
      <c r="H47" s="140"/>
      <c r="I47" s="140"/>
      <c r="J47" s="91"/>
      <c r="K47" s="140"/>
      <c r="L47" s="140"/>
      <c r="M47" s="140"/>
      <c r="N47" s="140"/>
      <c r="O47" s="140"/>
      <c r="P47" s="140"/>
      <c r="Q47" s="140"/>
      <c r="T47" s="175"/>
    </row>
    <row r="48" spans="2:20" s="131" customFormat="1" ht="15" customHeight="1">
      <c r="B48" s="176"/>
      <c r="C48" s="374" t="s">
        <v>59</v>
      </c>
      <c r="D48" s="374" t="s">
        <v>10</v>
      </c>
      <c r="E48" s="374" t="s">
        <v>17</v>
      </c>
      <c r="F48" s="374" t="s">
        <v>11</v>
      </c>
      <c r="G48" s="374" t="s">
        <v>12</v>
      </c>
      <c r="H48" s="381" t="s">
        <v>13</v>
      </c>
      <c r="I48" s="374" t="s">
        <v>25</v>
      </c>
      <c r="J48" s="374"/>
      <c r="K48" s="374"/>
      <c r="L48" s="374"/>
      <c r="M48" s="374"/>
      <c r="N48" s="374"/>
      <c r="O48" s="374"/>
      <c r="P48" s="374"/>
      <c r="Q48" s="374" t="s">
        <v>14</v>
      </c>
      <c r="T48" s="175"/>
    </row>
    <row r="49" spans="2:20" s="131" customFormat="1" ht="28.8">
      <c r="B49" s="176"/>
      <c r="C49" s="374"/>
      <c r="D49" s="374"/>
      <c r="E49" s="374"/>
      <c r="F49" s="374"/>
      <c r="G49" s="374"/>
      <c r="H49" s="381"/>
      <c r="I49" s="196">
        <f>'26MY_ODYSSEY_DATA'!M$6</f>
        <v>0</v>
      </c>
      <c r="J49" s="196" t="str">
        <f>'26MY_ODYSSEY_DATA'!N$6</f>
        <v>Sport</v>
      </c>
      <c r="K49" s="196" t="str">
        <f>'26MY_ODYSSEY_DATA'!O$6</f>
        <v>Sport-L</v>
      </c>
      <c r="L49" s="196" t="str">
        <f>'26MY_ODYSSEY_DATA'!P$6</f>
        <v>Touring</v>
      </c>
      <c r="M49" s="196" t="str">
        <f>'26MY_ODYSSEY_DATA'!Q$6</f>
        <v>Black Edition</v>
      </c>
      <c r="N49" s="196">
        <f>'26MY_ODYSSEY_DATA'!R$6</f>
        <v>0</v>
      </c>
      <c r="O49" s="196">
        <f>'26MY_ODYSSEY_DATA'!S$6</f>
        <v>0</v>
      </c>
      <c r="P49" s="196">
        <f>'26MY_ODYSSEY_DATA'!T$6</f>
        <v>0</v>
      </c>
      <c r="Q49" s="374"/>
      <c r="T49" s="176"/>
    </row>
    <row r="50" spans="2:20" s="132" customFormat="1" ht="15" customHeight="1">
      <c r="B50" s="175" t="s">
        <v>360</v>
      </c>
      <c r="C50" s="177" t="str">
        <f>VLOOKUP(B50,'26MY_ODYSSEY_DATA'!B:AR,3,FALSE)</f>
        <v>Black Emblems - H-Mark &amp; Odyssey</v>
      </c>
      <c r="D50" s="79" t="str">
        <f>B50</f>
        <v>08F20-THR-100</v>
      </c>
      <c r="E50" s="323">
        <f>VLOOKUP(B50,'26MY_ODYSSEY_DATA'!B:AR,9,FALSE)</f>
        <v>71</v>
      </c>
      <c r="F50" s="323">
        <f>VLOOKUP(B50,'26MY_ODYSSEY_DATA'!B:AR,10,FALSE)</f>
        <v>118</v>
      </c>
      <c r="G50" s="332">
        <f>VLOOKUP(B50,'26MY_ODYSSEY_DATA'!B:AR,7,FALSE)</f>
        <v>0.9</v>
      </c>
      <c r="H50" s="324">
        <f>VLOOKUP(B50,'26MY_ODYSSEY_DATA'!B:AR,11,FALSE)</f>
        <v>280.89999999999998</v>
      </c>
      <c r="I50" s="333">
        <f>VLOOKUP(B50,'26MY_ODYSSEY_DATA'!B:AR,12,FALSE)</f>
        <v>0</v>
      </c>
      <c r="J50" s="333" t="str">
        <f>VLOOKUP(B50,'26MY_ODYSSEY_DATA'!B:AR,13,FALSE)</f>
        <v>•</v>
      </c>
      <c r="K50" s="333" t="str">
        <f>VLOOKUP(B50,'26MY_ODYSSEY_DATA'!B:AR,14,FALSE)</f>
        <v>•</v>
      </c>
      <c r="L50" s="333" t="str">
        <f>VLOOKUP(B50,'26MY_ODYSSEY_DATA'!B:AR,15,FALSE)</f>
        <v>•</v>
      </c>
      <c r="M50" s="333" t="str">
        <f>VLOOKUP(B50,'26MY_ODYSSEY_DATA'!B:AR,16,FALSE)</f>
        <v>•</v>
      </c>
      <c r="N50" s="333">
        <f>VLOOKUP($B50,'26MY_ODYSSEY_DATA'!$B:$AR,17,FALSE)</f>
        <v>0</v>
      </c>
      <c r="O50" s="333">
        <f>VLOOKUP($B50,'26MY_ODYSSEY_DATA'!$B:$AR,18,FALSE)</f>
        <v>0</v>
      </c>
      <c r="P50" s="333">
        <f>VLOOKUP($B50,'26MY_ODYSSEY_DATA'!$B:$AR,19,FALSE)</f>
        <v>0</v>
      </c>
      <c r="Q50" s="338" t="str">
        <f>IF(VLOOKUP(B50,'26MY_ODYSSEY_DATA'!B:AR,20,FALSE)="","",VLOOKUP(B50,'26MY_ODYSSEY_DATA'!B:AR,20,FALSE))</f>
        <v/>
      </c>
      <c r="T50" s="176"/>
    </row>
    <row r="51" spans="2:20" s="132" customFormat="1" ht="15" customHeight="1">
      <c r="B51" s="175" t="s">
        <v>524</v>
      </c>
      <c r="C51" s="177" t="str">
        <f>VLOOKUP(B51,'26MY_ODYSSEY_DATA'!B:AR,3,FALSE)</f>
        <v>Black Emblem - Sport</v>
      </c>
      <c r="D51" s="79" t="str">
        <f>B51</f>
        <v>08F20-T7S-100C</v>
      </c>
      <c r="E51" s="323">
        <f>VLOOKUP(B51,'26MY_ODYSSEY_DATA'!B:AR,9,FALSE)</f>
        <v>43</v>
      </c>
      <c r="F51" s="323">
        <f>VLOOKUP(B51,'26MY_ODYSSEY_DATA'!B:AR,10,FALSE)</f>
        <v>72</v>
      </c>
      <c r="G51" s="332">
        <f>VLOOKUP(B51,'26MY_ODYSSEY_DATA'!B:AR,7,FALSE)</f>
        <v>0.3</v>
      </c>
      <c r="H51" s="324">
        <f>VLOOKUP(B51,'26MY_ODYSSEY_DATA'!B:AR,11,FALSE)</f>
        <v>126.3</v>
      </c>
      <c r="I51" s="333">
        <f>VLOOKUP(B51,'26MY_ODYSSEY_DATA'!B:AR,12,FALSE)</f>
        <v>0</v>
      </c>
      <c r="J51" s="333" t="str">
        <f>VLOOKUP(B51,'26MY_ODYSSEY_DATA'!B:AR,13,FALSE)</f>
        <v>•</v>
      </c>
      <c r="K51" s="333" t="str">
        <f>VLOOKUP(B51,'26MY_ODYSSEY_DATA'!B:AR,14,FALSE)</f>
        <v>•</v>
      </c>
      <c r="L51" s="333" t="str">
        <f>VLOOKUP(B51,'26MY_ODYSSEY_DATA'!B:AR,15,FALSE)</f>
        <v>N/A</v>
      </c>
      <c r="M51" s="333" t="str">
        <f>VLOOKUP(B51,'26MY_ODYSSEY_DATA'!B:AR,16,FALSE)</f>
        <v>N/A</v>
      </c>
      <c r="N51" s="333">
        <f>VLOOKUP($B51,'26MY_ODYSSEY_DATA'!$B:$AR,17,FALSE)</f>
        <v>0</v>
      </c>
      <c r="O51" s="333">
        <f>VLOOKUP($B51,'26MY_ODYSSEY_DATA'!$B:$AR,18,FALSE)</f>
        <v>0</v>
      </c>
      <c r="P51" s="333">
        <f>VLOOKUP($B51,'26MY_ODYSSEY_DATA'!$B:$AR,19,FALSE)</f>
        <v>0</v>
      </c>
      <c r="Q51" s="338" t="str">
        <f>IF(VLOOKUP(B51,'26MY_ODYSSEY_DATA'!B:AR,20,FALSE)="","",VLOOKUP(B51,'26MY_ODYSSEY_DATA'!B:AR,20,FALSE))</f>
        <v/>
      </c>
      <c r="T51" s="176"/>
    </row>
    <row r="52" spans="2:20" s="132" customFormat="1" ht="15" customHeight="1">
      <c r="B52" s="175" t="s">
        <v>536</v>
      </c>
      <c r="C52" s="177" t="str">
        <f>VLOOKUP(B52,'26MY_ODYSSEY_DATA'!B:AR,3,FALSE)</f>
        <v>Black Emblem - Black Edition</v>
      </c>
      <c r="D52" s="79" t="str">
        <f>B52</f>
        <v>08F20-TG7-100G</v>
      </c>
      <c r="E52" s="323">
        <f>VLOOKUP(B52,'26MY_ODYSSEY_DATA'!B:AR,9,FALSE)</f>
        <v>72</v>
      </c>
      <c r="F52" s="323">
        <f>VLOOKUP(B52,'26MY_ODYSSEY_DATA'!B:AR,10,FALSE)</f>
        <v>120</v>
      </c>
      <c r="G52" s="332">
        <f>VLOOKUP(B52,'26MY_ODYSSEY_DATA'!B:AR,7,FALSE)</f>
        <v>0.3</v>
      </c>
      <c r="H52" s="324">
        <f>VLOOKUP(B52,'26MY_ODYSSEY_DATA'!B:AR,11,FALSE)</f>
        <v>174.3</v>
      </c>
      <c r="I52" s="333">
        <f>VLOOKUP(B52,'26MY_ODYSSEY_DATA'!B:AR,12,FALSE)</f>
        <v>0</v>
      </c>
      <c r="J52" s="333" t="str">
        <f>VLOOKUP(B52,'26MY_ODYSSEY_DATA'!B:AR,13,FALSE)</f>
        <v>N/A</v>
      </c>
      <c r="K52" s="333" t="str">
        <f>VLOOKUP(B52,'26MY_ODYSSEY_DATA'!B:AR,14,FALSE)</f>
        <v>N/A</v>
      </c>
      <c r="L52" s="333" t="str">
        <f>VLOOKUP(B52,'26MY_ODYSSEY_DATA'!B:AR,15,FALSE)</f>
        <v>N/A</v>
      </c>
      <c r="M52" s="333" t="str">
        <f>VLOOKUP(B52,'26MY_ODYSSEY_DATA'!B:AR,16,FALSE)</f>
        <v>•</v>
      </c>
      <c r="N52" s="333">
        <f>VLOOKUP($B52,'26MY_ODYSSEY_DATA'!$B:$AR,17,FALSE)</f>
        <v>0</v>
      </c>
      <c r="O52" s="333">
        <f>VLOOKUP($B52,'26MY_ODYSSEY_DATA'!$B:$AR,18,FALSE)</f>
        <v>0</v>
      </c>
      <c r="P52" s="333">
        <f>VLOOKUP($B52,'26MY_ODYSSEY_DATA'!$B:$AR,19,FALSE)</f>
        <v>0</v>
      </c>
      <c r="Q52" s="338" t="str">
        <f>IF(VLOOKUP(B52,'26MY_ODYSSEY_DATA'!B:AR,20,FALSE)="","",VLOOKUP(B52,'26MY_ODYSSEY_DATA'!B:AR,20,FALSE))</f>
        <v/>
      </c>
      <c r="T52" s="176"/>
    </row>
    <row r="53" spans="2:20" s="132" customFormat="1" ht="15" customHeight="1">
      <c r="B53" s="175" t="s">
        <v>363</v>
      </c>
      <c r="C53" s="177" t="str">
        <f>VLOOKUP(B53,'26MY_ODYSSEY_DATA'!B:AR,3,FALSE)</f>
        <v>Fender Emblems</v>
      </c>
      <c r="D53" s="79" t="str">
        <f>B53</f>
        <v>08F59-THR-100A</v>
      </c>
      <c r="E53" s="323">
        <f>VLOOKUP(B53,'26MY_ODYSSEY_DATA'!B:AR,9,FALSE)</f>
        <v>142</v>
      </c>
      <c r="F53" s="323">
        <f>VLOOKUP(B53,'26MY_ODYSSEY_DATA'!B:AR,10,FALSE)</f>
        <v>203</v>
      </c>
      <c r="G53" s="332">
        <f>VLOOKUP(B53,'26MY_ODYSSEY_DATA'!B:AR,7,FALSE)</f>
        <v>0.2</v>
      </c>
      <c r="H53" s="324">
        <f>VLOOKUP(B53,'26MY_ODYSSEY_DATA'!B:AR,11,FALSE)</f>
        <v>239.2</v>
      </c>
      <c r="I53" s="333">
        <f>VLOOKUP(B53,'26MY_ODYSSEY_DATA'!B:AR,12,FALSE)</f>
        <v>0</v>
      </c>
      <c r="J53" s="333" t="str">
        <f>VLOOKUP(B53,'26MY_ODYSSEY_DATA'!B:AR,13,FALSE)</f>
        <v>•</v>
      </c>
      <c r="K53" s="333" t="str">
        <f>VLOOKUP(B53,'26MY_ODYSSEY_DATA'!B:AR,14,FALSE)</f>
        <v>•</v>
      </c>
      <c r="L53" s="333" t="str">
        <f>VLOOKUP(B53,'26MY_ODYSSEY_DATA'!B:AR,15,FALSE)</f>
        <v>•</v>
      </c>
      <c r="M53" s="333" t="str">
        <f>VLOOKUP(B53,'26MY_ODYSSEY_DATA'!B:AR,16,FALSE)</f>
        <v>•</v>
      </c>
      <c r="N53" s="333">
        <f>VLOOKUP($B53,'26MY_ODYSSEY_DATA'!$B:$AR,17,FALSE)</f>
        <v>0</v>
      </c>
      <c r="O53" s="333">
        <f>VLOOKUP($B53,'26MY_ODYSSEY_DATA'!$B:$AR,18,FALSE)</f>
        <v>0</v>
      </c>
      <c r="P53" s="333">
        <f>VLOOKUP($B53,'26MY_ODYSSEY_DATA'!$B:$AR,19,FALSE)</f>
        <v>0</v>
      </c>
      <c r="Q53" s="338" t="str">
        <f>IF(VLOOKUP(B53,'26MY_ODYSSEY_DATA'!B:AR,20,FALSE)="","",VLOOKUP(B53,'26MY_ODYSSEY_DATA'!B:AR,20,FALSE))</f>
        <v/>
      </c>
    </row>
    <row r="54" spans="2:20" s="132" customFormat="1" ht="15" customHeight="1">
      <c r="B54" s="175" t="s">
        <v>373</v>
      </c>
      <c r="C54" s="177" t="str">
        <f>VLOOKUP(B54,'26MY_ODYSSEY_DATA'!B:AR,3,FALSE)</f>
        <v>Lower Door Trim - Chrome</v>
      </c>
      <c r="D54" s="79" t="str">
        <f t="shared" ref="D54:D56" si="13">B54</f>
        <v>08F57-THR-101</v>
      </c>
      <c r="E54" s="323">
        <f>VLOOKUP(B54,'26MY_ODYSSEY_DATA'!B:AR,9,FALSE)</f>
        <v>50.99</v>
      </c>
      <c r="F54" s="323">
        <f>VLOOKUP(B54,'26MY_ODYSSEY_DATA'!B:AR,10,FALSE)</f>
        <v>220</v>
      </c>
      <c r="G54" s="332">
        <f>VLOOKUP(B54,'26MY_ODYSSEY_DATA'!B:AR,7,FALSE)</f>
        <v>0.4</v>
      </c>
      <c r="H54" s="324">
        <f>VLOOKUP(B54,'26MY_ODYSSEY_DATA'!B:AR,11,FALSE)</f>
        <v>292.39999999999998</v>
      </c>
      <c r="I54" s="333">
        <f>VLOOKUP(B54,'26MY_ODYSSEY_DATA'!B:AR,12,FALSE)</f>
        <v>0</v>
      </c>
      <c r="J54" s="333" t="str">
        <f>VLOOKUP(B54,'26MY_ODYSSEY_DATA'!B:AR,13,FALSE)</f>
        <v>•</v>
      </c>
      <c r="K54" s="333" t="str">
        <f>VLOOKUP(B54,'26MY_ODYSSEY_DATA'!B:AR,14,FALSE)</f>
        <v>•</v>
      </c>
      <c r="L54" s="333" t="str">
        <f>VLOOKUP(B54,'26MY_ODYSSEY_DATA'!B:AR,15,FALSE)</f>
        <v>•</v>
      </c>
      <c r="M54" s="333" t="str">
        <f>VLOOKUP(B54,'26MY_ODYSSEY_DATA'!B:AR,16,FALSE)</f>
        <v>•</v>
      </c>
      <c r="N54" s="333">
        <f>VLOOKUP($B54,'26MY_ODYSSEY_DATA'!$B:$AR,17,FALSE)</f>
        <v>0</v>
      </c>
      <c r="O54" s="333">
        <f>VLOOKUP($B54,'26MY_ODYSSEY_DATA'!$B:$AR,18,FALSE)</f>
        <v>0</v>
      </c>
      <c r="P54" s="333">
        <f>VLOOKUP($B54,'26MY_ODYSSEY_DATA'!$B:$AR,19,FALSE)</f>
        <v>0</v>
      </c>
      <c r="Q54" s="338" t="str">
        <f>IF(VLOOKUP(B54,'26MY_ODYSSEY_DATA'!B:AR,20,FALSE)="","",VLOOKUP(B54,'26MY_ODYSSEY_DATA'!B:AR,20,FALSE))</f>
        <v/>
      </c>
    </row>
    <row r="55" spans="2:20" s="132" customFormat="1" ht="15" customHeight="1">
      <c r="B55" s="175" t="s">
        <v>350</v>
      </c>
      <c r="C55" s="177" t="str">
        <f>VLOOKUP(B55,'26MY_ODYSSEY_DATA'!B:AR,3,FALSE)</f>
        <v>Bumper Protector - Chrome</v>
      </c>
      <c r="D55" s="79" t="str">
        <f t="shared" si="13"/>
        <v>08P01-THR-100</v>
      </c>
      <c r="E55" s="323">
        <f>VLOOKUP(B55,'26MY_ODYSSEY_DATA'!B:AR,9,FALSE)</f>
        <v>39.99</v>
      </c>
      <c r="F55" s="323">
        <f>VLOOKUP(B55,'26MY_ODYSSEY_DATA'!B:AR,10,FALSE)</f>
        <v>175</v>
      </c>
      <c r="G55" s="332">
        <f>VLOOKUP(B55,'26MY_ODYSSEY_DATA'!B:AR,7,FALSE)</f>
        <v>0.8</v>
      </c>
      <c r="H55" s="324">
        <f>VLOOKUP(B55,'26MY_ODYSSEY_DATA'!B:AR,11,FALSE)</f>
        <v>319.8</v>
      </c>
      <c r="I55" s="333">
        <f>VLOOKUP(B55,'26MY_ODYSSEY_DATA'!B:AR,12,FALSE)</f>
        <v>0</v>
      </c>
      <c r="J55" s="333" t="str">
        <f>VLOOKUP(B55,'26MY_ODYSSEY_DATA'!B:AR,13,FALSE)</f>
        <v>•</v>
      </c>
      <c r="K55" s="333" t="str">
        <f>VLOOKUP(B55,'26MY_ODYSSEY_DATA'!B:AR,14,FALSE)</f>
        <v>•</v>
      </c>
      <c r="L55" s="333" t="str">
        <f>VLOOKUP(B55,'26MY_ODYSSEY_DATA'!B:AR,15,FALSE)</f>
        <v>•</v>
      </c>
      <c r="M55" s="333" t="str">
        <f>VLOOKUP(B55,'26MY_ODYSSEY_DATA'!B:AR,16,FALSE)</f>
        <v>•</v>
      </c>
      <c r="N55" s="333">
        <f>VLOOKUP($B55,'26MY_ODYSSEY_DATA'!$B:$AR,17,FALSE)</f>
        <v>0</v>
      </c>
      <c r="O55" s="333">
        <f>VLOOKUP($B55,'26MY_ODYSSEY_DATA'!$B:$AR,18,FALSE)</f>
        <v>0</v>
      </c>
      <c r="P55" s="333">
        <f>VLOOKUP($B55,'26MY_ODYSSEY_DATA'!$B:$AR,19,FALSE)</f>
        <v>0</v>
      </c>
      <c r="Q55" s="338" t="str">
        <f>IF(VLOOKUP(B55,'26MY_ODYSSEY_DATA'!B:AR,20,FALSE)="","",VLOOKUP(B55,'26MY_ODYSSEY_DATA'!B:AR,20,FALSE))</f>
        <v/>
      </c>
    </row>
    <row r="56" spans="2:20" s="132" customFormat="1" ht="15" customHeight="1">
      <c r="B56" s="176" t="s">
        <v>355</v>
      </c>
      <c r="C56" s="177" t="str">
        <f>VLOOKUP(B56,'26MY_ODYSSEY_DATA'!B:AR,3,FALSE)</f>
        <v>Door Edge Film</v>
      </c>
      <c r="D56" s="79" t="str">
        <f t="shared" si="13"/>
        <v>08P20-THR-100</v>
      </c>
      <c r="E56" s="323">
        <f>VLOOKUP(B56,'26MY_ODYSSEY_DATA'!B:AR,9,FALSE)</f>
        <v>12.99</v>
      </c>
      <c r="F56" s="323">
        <f>VLOOKUP(B56,'26MY_ODYSSEY_DATA'!B:AR,10,FALSE)</f>
        <v>50</v>
      </c>
      <c r="G56" s="332">
        <f>VLOOKUP(B56,'26MY_ODYSSEY_DATA'!B:AR,7,FALSE)</f>
        <v>0.2</v>
      </c>
      <c r="H56" s="324">
        <f>VLOOKUP(B56,'26MY_ODYSSEY_DATA'!B:AR,11,FALSE)</f>
        <v>86.2</v>
      </c>
      <c r="I56" s="333">
        <f>VLOOKUP(B56,'26MY_ODYSSEY_DATA'!B:AR,12,FALSE)</f>
        <v>0</v>
      </c>
      <c r="J56" s="333" t="str">
        <f>VLOOKUP(B56,'26MY_ODYSSEY_DATA'!B:AR,13,FALSE)</f>
        <v>•</v>
      </c>
      <c r="K56" s="333" t="str">
        <f>VLOOKUP(B56,'26MY_ODYSSEY_DATA'!B:AR,14,FALSE)</f>
        <v>•</v>
      </c>
      <c r="L56" s="333" t="str">
        <f>VLOOKUP(B56,'26MY_ODYSSEY_DATA'!B:AR,15,FALSE)</f>
        <v>•</v>
      </c>
      <c r="M56" s="333" t="str">
        <f>VLOOKUP(B56,'26MY_ODYSSEY_DATA'!B:AR,16,FALSE)</f>
        <v>•</v>
      </c>
      <c r="N56" s="333">
        <f>VLOOKUP($B56,'26MY_ODYSSEY_DATA'!$B:$AR,17,FALSE)</f>
        <v>0</v>
      </c>
      <c r="O56" s="333">
        <f>VLOOKUP($B56,'26MY_ODYSSEY_DATA'!$B:$AR,18,FALSE)</f>
        <v>0</v>
      </c>
      <c r="P56" s="333">
        <f>VLOOKUP($B56,'26MY_ODYSSEY_DATA'!$B:$AR,19,FALSE)</f>
        <v>0</v>
      </c>
      <c r="Q56" s="338" t="str">
        <f>IF(VLOOKUP(B56,'26MY_ODYSSEY_DATA'!B:AR,20,FALSE)="","",VLOOKUP(B56,'26MY_ODYSSEY_DATA'!B:AR,20,FALSE))</f>
        <v>Cannot be installed with Door Edge Guards.</v>
      </c>
    </row>
    <row r="57" spans="2:20" s="132" customFormat="1" ht="15" customHeight="1">
      <c r="B57" s="176" t="s">
        <v>356</v>
      </c>
      <c r="C57" s="177" t="str">
        <f>VLOOKUP(B57,'26MY_ODYSSEY_DATA'!B:AR,3,FALSE)</f>
        <v>Door Visor</v>
      </c>
      <c r="D57" s="79" t="str">
        <f t="shared" ref="D57:D62" si="14">B57</f>
        <v>08R04-THR-102</v>
      </c>
      <c r="E57" s="323">
        <f>VLOOKUP(B57,'26MY_ODYSSEY_DATA'!B:AR,9,FALSE)</f>
        <v>241</v>
      </c>
      <c r="F57" s="323">
        <f>VLOOKUP(B57,'26MY_ODYSSEY_DATA'!B:AR,10,FALSE)</f>
        <v>402</v>
      </c>
      <c r="G57" s="332">
        <f>VLOOKUP(B57,'26MY_ODYSSEY_DATA'!B:AR,7,FALSE)</f>
        <v>0.5</v>
      </c>
      <c r="H57" s="324">
        <f>VLOOKUP(B57,'26MY_ODYSSEY_DATA'!B:AR,11,FALSE)</f>
        <v>492.5</v>
      </c>
      <c r="I57" s="333">
        <f>VLOOKUP(B57,'26MY_ODYSSEY_DATA'!B:AR,12,FALSE)</f>
        <v>0</v>
      </c>
      <c r="J57" s="333" t="str">
        <f>VLOOKUP(B57,'26MY_ODYSSEY_DATA'!B:AR,13,FALSE)</f>
        <v>•</v>
      </c>
      <c r="K57" s="333" t="str">
        <f>VLOOKUP(B57,'26MY_ODYSSEY_DATA'!B:AR,14,FALSE)</f>
        <v>•</v>
      </c>
      <c r="L57" s="333" t="str">
        <f>VLOOKUP(B57,'26MY_ODYSSEY_DATA'!B:AR,15,FALSE)</f>
        <v>•</v>
      </c>
      <c r="M57" s="333" t="str">
        <f>VLOOKUP(B57,'26MY_ODYSSEY_DATA'!B:AR,16,FALSE)</f>
        <v>•</v>
      </c>
      <c r="N57" s="333">
        <f>VLOOKUP($B57,'26MY_ODYSSEY_DATA'!$B:$AR,17,FALSE)</f>
        <v>0</v>
      </c>
      <c r="O57" s="333">
        <f>VLOOKUP($B57,'26MY_ODYSSEY_DATA'!$B:$AR,18,FALSE)</f>
        <v>0</v>
      </c>
      <c r="P57" s="333">
        <f>VLOOKUP($B57,'26MY_ODYSSEY_DATA'!$B:$AR,19,FALSE)</f>
        <v>0</v>
      </c>
      <c r="Q57" s="338" t="str">
        <f>IF(VLOOKUP(B57,'26MY_ODYSSEY_DATA'!B:AR,20,FALSE)="","",VLOOKUP(B57,'26MY_ODYSSEY_DATA'!B:AR,20,FALSE))</f>
        <v/>
      </c>
    </row>
    <row r="58" spans="2:20" s="132" customFormat="1" ht="15" customHeight="1">
      <c r="B58" s="175" t="s">
        <v>368</v>
      </c>
      <c r="C58" s="177" t="str">
        <f>VLOOKUP(B58,'26MY_ODYSSEY_DATA'!B:AR,3,FALSE)</f>
        <v>Hood Air Deflector</v>
      </c>
      <c r="D58" s="79" t="str">
        <f t="shared" si="14"/>
        <v>08P47-THR-301</v>
      </c>
      <c r="E58" s="323">
        <f>VLOOKUP(B58,'26MY_ODYSSEY_DATA'!B:AR,9,FALSE)</f>
        <v>210</v>
      </c>
      <c r="F58" s="323">
        <f>VLOOKUP(B58,'26MY_ODYSSEY_DATA'!B:AR,10,FALSE)</f>
        <v>350</v>
      </c>
      <c r="G58" s="332">
        <f>VLOOKUP(B58,'26MY_ODYSSEY_DATA'!B:AR,7,FALSE)</f>
        <v>0.5</v>
      </c>
      <c r="H58" s="324">
        <f>VLOOKUP(B58,'26MY_ODYSSEY_DATA'!B:AR,11,FALSE)</f>
        <v>440.5</v>
      </c>
      <c r="I58" s="333">
        <f>VLOOKUP(B58,'26MY_ODYSSEY_DATA'!B:AR,12,FALSE)</f>
        <v>0</v>
      </c>
      <c r="J58" s="333" t="str">
        <f>VLOOKUP(B58,'26MY_ODYSSEY_DATA'!B:AR,13,FALSE)</f>
        <v>•</v>
      </c>
      <c r="K58" s="333" t="str">
        <f>VLOOKUP(B58,'26MY_ODYSSEY_DATA'!B:AR,14,FALSE)</f>
        <v>•</v>
      </c>
      <c r="L58" s="333" t="str">
        <f>VLOOKUP(B58,'26MY_ODYSSEY_DATA'!B:AR,15,FALSE)</f>
        <v>•</v>
      </c>
      <c r="M58" s="333" t="str">
        <f>VLOOKUP(B58,'26MY_ODYSSEY_DATA'!B:AR,16,FALSE)</f>
        <v>•</v>
      </c>
      <c r="N58" s="333">
        <f>VLOOKUP($B58,'26MY_ODYSSEY_DATA'!$B:$AR,17,FALSE)</f>
        <v>0</v>
      </c>
      <c r="O58" s="333">
        <f>VLOOKUP($B58,'26MY_ODYSSEY_DATA'!$B:$AR,18,FALSE)</f>
        <v>0</v>
      </c>
      <c r="P58" s="333">
        <f>VLOOKUP($B58,'26MY_ODYSSEY_DATA'!$B:$AR,19,FALSE)</f>
        <v>0</v>
      </c>
      <c r="Q58" s="338" t="str">
        <f>IF(VLOOKUP(B58,'26MY_ODYSSEY_DATA'!B:AR,20,FALSE)="","",VLOOKUP(B58,'26MY_ODYSSEY_DATA'!B:AR,20,FALSE))</f>
        <v/>
      </c>
    </row>
    <row r="59" spans="2:20" s="132" customFormat="1" ht="15" customHeight="1">
      <c r="B59" s="175" t="s">
        <v>376</v>
      </c>
      <c r="C59" s="177" t="str">
        <f>VLOOKUP(B59,'26MY_ODYSSEY_DATA'!B:AR,3,FALSE)</f>
        <v>Moonroof Visor</v>
      </c>
      <c r="D59" s="79" t="str">
        <f t="shared" si="14"/>
        <v>08R01-THR-301</v>
      </c>
      <c r="E59" s="323">
        <f>VLOOKUP(B59,'26MY_ODYSSEY_DATA'!B:AR,9,FALSE)</f>
        <v>176</v>
      </c>
      <c r="F59" s="323">
        <f>VLOOKUP(B59,'26MY_ODYSSEY_DATA'!B:AR,10,FALSE)</f>
        <v>293</v>
      </c>
      <c r="G59" s="332">
        <f>VLOOKUP(B59,'26MY_ODYSSEY_DATA'!B:AR,7,FALSE)</f>
        <v>0.3</v>
      </c>
      <c r="H59" s="324">
        <f>VLOOKUP(B59,'26MY_ODYSSEY_DATA'!B:AR,11,FALSE)</f>
        <v>347.3</v>
      </c>
      <c r="I59" s="333">
        <f>VLOOKUP(B59,'26MY_ODYSSEY_DATA'!B:AR,12,FALSE)</f>
        <v>0</v>
      </c>
      <c r="J59" s="333" t="str">
        <f>VLOOKUP(B59,'26MY_ODYSSEY_DATA'!B:AR,13,FALSE)</f>
        <v>•</v>
      </c>
      <c r="K59" s="333" t="str">
        <f>VLOOKUP(B59,'26MY_ODYSSEY_DATA'!B:AR,14,FALSE)</f>
        <v>•</v>
      </c>
      <c r="L59" s="333" t="str">
        <f>VLOOKUP(B59,'26MY_ODYSSEY_DATA'!B:AR,15,FALSE)</f>
        <v>•</v>
      </c>
      <c r="M59" s="333" t="str">
        <f>VLOOKUP(B59,'26MY_ODYSSEY_DATA'!B:AR,16,FALSE)</f>
        <v>•</v>
      </c>
      <c r="N59" s="333">
        <f>VLOOKUP($B59,'26MY_ODYSSEY_DATA'!$B:$AR,17,FALSE)</f>
        <v>0</v>
      </c>
      <c r="O59" s="333">
        <f>VLOOKUP($B59,'26MY_ODYSSEY_DATA'!$B:$AR,18,FALSE)</f>
        <v>0</v>
      </c>
      <c r="P59" s="333">
        <f>VLOOKUP($B59,'26MY_ODYSSEY_DATA'!$B:$AR,19,FALSE)</f>
        <v>0</v>
      </c>
      <c r="Q59" s="338" t="str">
        <f>IF(VLOOKUP(B59,'26MY_ODYSSEY_DATA'!B:AR,20,FALSE)="","",VLOOKUP(B59,'26MY_ODYSSEY_DATA'!B:AR,20,FALSE))</f>
        <v/>
      </c>
    </row>
    <row r="60" spans="2:20" s="132" customFormat="1" ht="15" customHeight="1">
      <c r="B60" s="175" t="s">
        <v>534</v>
      </c>
      <c r="C60" s="177" t="str">
        <f>VLOOKUP(B60,'26MY_ODYSSEY_DATA'!B:AR,3,FALSE)</f>
        <v>Rear Splash Guards</v>
      </c>
      <c r="D60" s="79" t="str">
        <f>B60</f>
        <v>08P09-THR-300A</v>
      </c>
      <c r="E60" s="323">
        <f>VLOOKUP(B60,'26MY_ODYSSEY_DATA'!B:AR,9,FALSE)</f>
        <v>85</v>
      </c>
      <c r="F60" s="323">
        <f>VLOOKUP(B60,'26MY_ODYSSEY_DATA'!B:AR,10,FALSE)</f>
        <v>142</v>
      </c>
      <c r="G60" s="332">
        <f>VLOOKUP(B60,'26MY_ODYSSEY_DATA'!B:AR,7,FALSE)</f>
        <v>0.4</v>
      </c>
      <c r="H60" s="324">
        <f>VLOOKUP(B60,'26MY_ODYSSEY_DATA'!B:AR,11,FALSE)</f>
        <v>214.4</v>
      </c>
      <c r="I60" s="333">
        <f>VLOOKUP(B60,'26MY_ODYSSEY_DATA'!B:AR,12,FALSE)</f>
        <v>0</v>
      </c>
      <c r="J60" s="333" t="str">
        <f>VLOOKUP(B60,'26MY_ODYSSEY_DATA'!B:AR,13,FALSE)</f>
        <v>•</v>
      </c>
      <c r="K60" s="333" t="str">
        <f>VLOOKUP(B60,'26MY_ODYSSEY_DATA'!B:AR,14,FALSE)</f>
        <v>•</v>
      </c>
      <c r="L60" s="333" t="str">
        <f>VLOOKUP(B60,'26MY_ODYSSEY_DATA'!B:AR,15,FALSE)</f>
        <v>•</v>
      </c>
      <c r="M60" s="333" t="str">
        <f>VLOOKUP(B60,'26MY_ODYSSEY_DATA'!B:AR,16,FALSE)</f>
        <v>•</v>
      </c>
      <c r="N60" s="333">
        <f>VLOOKUP($B60,'26MY_ODYSSEY_DATA'!$B:$AR,17,FALSE)</f>
        <v>0</v>
      </c>
      <c r="O60" s="333">
        <f>VLOOKUP($B60,'26MY_ODYSSEY_DATA'!$B:$AR,18,FALSE)</f>
        <v>0</v>
      </c>
      <c r="P60" s="333">
        <f>VLOOKUP($B60,'26MY_ODYSSEY_DATA'!$B:$AR,19,FALSE)</f>
        <v>0</v>
      </c>
      <c r="Q60" s="338" t="str">
        <f>IF(VLOOKUP(B60,'26MY_ODYSSEY_DATA'!B:AR,20,FALSE)="","",VLOOKUP(B60,'26MY_ODYSSEY_DATA'!B:AR,20,FALSE))</f>
        <v/>
      </c>
    </row>
    <row r="61" spans="2:20" s="132" customFormat="1" ht="15" customHeight="1">
      <c r="B61" s="175" t="s">
        <v>238</v>
      </c>
      <c r="C61" s="177" t="str">
        <f>VLOOKUP(B61,'26MY_ODYSSEY_DATA'!B:AR,3,FALSE)</f>
        <v xml:space="preserve">Tent </v>
      </c>
      <c r="D61" s="79" t="str">
        <f t="shared" si="14"/>
        <v>08Z04-SCV-110B</v>
      </c>
      <c r="E61" s="323">
        <f>VLOOKUP(B61,'26MY_ODYSSEY_DATA'!B:AR,9,FALSE)</f>
        <v>490</v>
      </c>
      <c r="F61" s="323">
        <f>VLOOKUP(B61,'26MY_ODYSSEY_DATA'!B:AR,10,FALSE)</f>
        <v>700</v>
      </c>
      <c r="G61" s="332">
        <f>VLOOKUP(B61,'26MY_ODYSSEY_DATA'!B:AR,7,FALSE)</f>
        <v>0</v>
      </c>
      <c r="H61" s="324">
        <f>VLOOKUP(B61,'26MY_ODYSSEY_DATA'!B:AR,11,FALSE)</f>
        <v>700</v>
      </c>
      <c r="I61" s="333">
        <f>VLOOKUP(B61,'26MY_ODYSSEY_DATA'!B:AR,12,FALSE)</f>
        <v>0</v>
      </c>
      <c r="J61" s="333" t="str">
        <f>VLOOKUP(B61,'26MY_ODYSSEY_DATA'!B:AR,13,FALSE)</f>
        <v>•</v>
      </c>
      <c r="K61" s="333" t="str">
        <f>VLOOKUP(B61,'26MY_ODYSSEY_DATA'!B:AR,14,FALSE)</f>
        <v>•</v>
      </c>
      <c r="L61" s="333" t="str">
        <f>VLOOKUP(B61,'26MY_ODYSSEY_DATA'!B:AR,15,FALSE)</f>
        <v>•</v>
      </c>
      <c r="M61" s="333" t="str">
        <f>VLOOKUP(B61,'26MY_ODYSSEY_DATA'!B:AR,16,FALSE)</f>
        <v>•</v>
      </c>
      <c r="N61" s="333">
        <f>VLOOKUP($B61,'26MY_ODYSSEY_DATA'!$B:$AR,17,FALSE)</f>
        <v>0</v>
      </c>
      <c r="O61" s="333">
        <f>VLOOKUP($B61,'26MY_ODYSSEY_DATA'!$B:$AR,18,FALSE)</f>
        <v>0</v>
      </c>
      <c r="P61" s="333">
        <f>VLOOKUP($B61,'26MY_ODYSSEY_DATA'!$B:$AR,19,FALSE)</f>
        <v>0</v>
      </c>
      <c r="Q61" s="338" t="str">
        <f>IF(VLOOKUP(B61,'26MY_ODYSSEY_DATA'!B:AR,20,FALSE)="","",VLOOKUP(B61,'26MY_ODYSSEY_DATA'!B:AR,20,FALSE))</f>
        <v/>
      </c>
    </row>
    <row r="62" spans="2:20" s="132" customFormat="1" ht="15" customHeight="1">
      <c r="B62" s="175" t="s">
        <v>290</v>
      </c>
      <c r="C62" s="177" t="str">
        <f>VLOOKUP(B62,'26MY_ODYSSEY_DATA'!B:AR,3,FALSE)</f>
        <v xml:space="preserve">Roof Rails - Black </v>
      </c>
      <c r="D62" s="79" t="str">
        <f t="shared" si="14"/>
        <v>08L02-THR-102</v>
      </c>
      <c r="E62" s="323">
        <f>VLOOKUP(B62,'26MY_ODYSSEY_DATA'!B:AR,9,FALSE)</f>
        <v>472</v>
      </c>
      <c r="F62" s="323">
        <f>VLOOKUP(B62,'26MY_ODYSSEY_DATA'!B:AR,10,FALSE)</f>
        <v>787</v>
      </c>
      <c r="G62" s="332">
        <f>VLOOKUP(B62,'26MY_ODYSSEY_DATA'!B:AR,7,FALSE)</f>
        <v>1</v>
      </c>
      <c r="H62" s="324">
        <f>VLOOKUP(B62,'26MY_ODYSSEY_DATA'!B:AR,11,FALSE)</f>
        <v>968</v>
      </c>
      <c r="I62" s="333">
        <f>VLOOKUP(B62,'26MY_ODYSSEY_DATA'!B:AR,12,FALSE)</f>
        <v>0</v>
      </c>
      <c r="J62" s="333" t="str">
        <f>VLOOKUP(B62,'26MY_ODYSSEY_DATA'!B:AR,13,FALSE)</f>
        <v>•</v>
      </c>
      <c r="K62" s="333" t="str">
        <f>VLOOKUP(B62,'26MY_ODYSSEY_DATA'!B:AR,14,FALSE)</f>
        <v>•</v>
      </c>
      <c r="L62" s="333" t="str">
        <f>VLOOKUP(B62,'26MY_ODYSSEY_DATA'!B:AR,15,FALSE)</f>
        <v>•</v>
      </c>
      <c r="M62" s="333" t="str">
        <f>VLOOKUP(B62,'26MY_ODYSSEY_DATA'!B:AR,16,FALSE)</f>
        <v>•</v>
      </c>
      <c r="N62" s="333">
        <f>VLOOKUP($B62,'26MY_ODYSSEY_DATA'!$B:$AR,17,FALSE)</f>
        <v>0</v>
      </c>
      <c r="O62" s="333">
        <f>VLOOKUP($B62,'26MY_ODYSSEY_DATA'!$B:$AR,18,FALSE)</f>
        <v>0</v>
      </c>
      <c r="P62" s="333">
        <f>VLOOKUP($B62,'26MY_ODYSSEY_DATA'!$B:$AR,19,FALSE)</f>
        <v>0</v>
      </c>
      <c r="Q62" s="338" t="str">
        <f>IF(VLOOKUP(B62,'26MY_ODYSSEY_DATA'!B:AR,20,FALSE)="","",VLOOKUP(B62,'26MY_ODYSSEY_DATA'!B:AR,20,FALSE))</f>
        <v/>
      </c>
    </row>
    <row r="63" spans="2:20" s="132" customFormat="1" ht="15" customHeight="1">
      <c r="B63" s="175" t="s">
        <v>293</v>
      </c>
      <c r="C63" s="177" t="str">
        <f>VLOOKUP(B63,'26MY_ODYSSEY_DATA'!B:AR,3,FALSE)</f>
        <v>Roof Rails - Chrome</v>
      </c>
      <c r="D63" s="79" t="str">
        <f t="shared" ref="D63:D64" si="15">B63</f>
        <v>08L02-THR-102A</v>
      </c>
      <c r="E63" s="323">
        <f>VLOOKUP(B63,'26MY_ODYSSEY_DATA'!B:AR,9,FALSE)</f>
        <v>673</v>
      </c>
      <c r="F63" s="323">
        <f>VLOOKUP(B63,'26MY_ODYSSEY_DATA'!B:AR,10,FALSE)</f>
        <v>1035</v>
      </c>
      <c r="G63" s="332">
        <f>VLOOKUP(B63,'26MY_ODYSSEY_DATA'!B:AR,7,FALSE)</f>
        <v>1</v>
      </c>
      <c r="H63" s="324">
        <f>VLOOKUP(B63,'26MY_ODYSSEY_DATA'!B:AR,11,FALSE)</f>
        <v>1216</v>
      </c>
      <c r="I63" s="333">
        <f>VLOOKUP(B63,'26MY_ODYSSEY_DATA'!B:AR,12,FALSE)</f>
        <v>0</v>
      </c>
      <c r="J63" s="333" t="str">
        <f>VLOOKUP(B63,'26MY_ODYSSEY_DATA'!B:AR,13,FALSE)</f>
        <v>•</v>
      </c>
      <c r="K63" s="333" t="str">
        <f>VLOOKUP(B63,'26MY_ODYSSEY_DATA'!B:AR,14,FALSE)</f>
        <v>•</v>
      </c>
      <c r="L63" s="333" t="str">
        <f>VLOOKUP(B63,'26MY_ODYSSEY_DATA'!B:AR,15,FALSE)</f>
        <v>•</v>
      </c>
      <c r="M63" s="333" t="str">
        <f>VLOOKUP(B63,'26MY_ODYSSEY_DATA'!B:AR,16,FALSE)</f>
        <v>•</v>
      </c>
      <c r="N63" s="333">
        <f>VLOOKUP($B63,'26MY_ODYSSEY_DATA'!$B:$AR,17,FALSE)</f>
        <v>0</v>
      </c>
      <c r="O63" s="333">
        <f>VLOOKUP($B63,'26MY_ODYSSEY_DATA'!$B:$AR,18,FALSE)</f>
        <v>0</v>
      </c>
      <c r="P63" s="333">
        <f>VLOOKUP($B63,'26MY_ODYSSEY_DATA'!$B:$AR,19,FALSE)</f>
        <v>0</v>
      </c>
      <c r="Q63" s="338" t="str">
        <f>IF(VLOOKUP(B63,'26MY_ODYSSEY_DATA'!B:AR,20,FALSE)="","",VLOOKUP(B63,'26MY_ODYSSEY_DATA'!B:AR,20,FALSE))</f>
        <v/>
      </c>
    </row>
    <row r="64" spans="2:20" s="132" customFormat="1" ht="15" customHeight="1">
      <c r="B64" s="175" t="s">
        <v>295</v>
      </c>
      <c r="C64" s="177" t="str">
        <f>VLOOKUP(B64,'26MY_ODYSSEY_DATA'!B:AR,3,FALSE)</f>
        <v xml:space="preserve">Crossbars </v>
      </c>
      <c r="D64" s="79" t="str">
        <f t="shared" si="15"/>
        <v>08L04-THR-100</v>
      </c>
      <c r="E64" s="323">
        <f>VLOOKUP(B64,'26MY_ODYSSEY_DATA'!B:AR,9,FALSE)</f>
        <v>222</v>
      </c>
      <c r="F64" s="323">
        <f>VLOOKUP(B64,'26MY_ODYSSEY_DATA'!B:AR,10,FALSE)</f>
        <v>370</v>
      </c>
      <c r="G64" s="332">
        <f>VLOOKUP(B64,'26MY_ODYSSEY_DATA'!B:AR,7,FALSE)</f>
        <v>0.2</v>
      </c>
      <c r="H64" s="324">
        <f>VLOOKUP(B64,'26MY_ODYSSEY_DATA'!B:AR,11,FALSE)</f>
        <v>406.2</v>
      </c>
      <c r="I64" s="333">
        <f>VLOOKUP(B64,'26MY_ODYSSEY_DATA'!B:AR,12,FALSE)</f>
        <v>0</v>
      </c>
      <c r="J64" s="333" t="str">
        <f>VLOOKUP(B64,'26MY_ODYSSEY_DATA'!B:AR,13,FALSE)</f>
        <v>•</v>
      </c>
      <c r="K64" s="333" t="str">
        <f>VLOOKUP(B64,'26MY_ODYSSEY_DATA'!B:AR,14,FALSE)</f>
        <v>•</v>
      </c>
      <c r="L64" s="333" t="str">
        <f>VLOOKUP(B64,'26MY_ODYSSEY_DATA'!B:AR,15,FALSE)</f>
        <v>•</v>
      </c>
      <c r="M64" s="333" t="str">
        <f>VLOOKUP(B64,'26MY_ODYSSEY_DATA'!B:AR,16,FALSE)</f>
        <v>•</v>
      </c>
      <c r="N64" s="333">
        <f>VLOOKUP($B64,'26MY_ODYSSEY_DATA'!$B:$AR,17,FALSE)</f>
        <v>0</v>
      </c>
      <c r="O64" s="333">
        <f>VLOOKUP($B64,'26MY_ODYSSEY_DATA'!$B:$AR,18,FALSE)</f>
        <v>0</v>
      </c>
      <c r="P64" s="333">
        <f>VLOOKUP($B64,'26MY_ODYSSEY_DATA'!$B:$AR,19,FALSE)</f>
        <v>0</v>
      </c>
      <c r="Q64" s="338" t="str">
        <f>IF(VLOOKUP(B64,'26MY_ODYSSEY_DATA'!B:AR,20,FALSE)="","",VLOOKUP(B64,'26MY_ODYSSEY_DATA'!B:AR,20,FALSE))</f>
        <v>Requires Roof Rails.</v>
      </c>
    </row>
    <row r="65" spans="1:17" s="132" customFormat="1" ht="15" customHeight="1">
      <c r="B65" s="175" t="s">
        <v>194</v>
      </c>
      <c r="C65" s="199" t="str">
        <f>VLOOKUP(B65,'26MY_ODYSSEY_DATA'!B:AR,3,FALSE)</f>
        <v xml:space="preserve">Roof Attachments </v>
      </c>
      <c r="D65" s="188"/>
      <c r="E65" s="188"/>
      <c r="F65" s="188"/>
      <c r="G65" s="188"/>
      <c r="H65" s="188"/>
      <c r="I65" s="188"/>
      <c r="J65" s="188"/>
      <c r="K65" s="188"/>
      <c r="L65" s="188"/>
      <c r="M65" s="188"/>
      <c r="N65" s="188"/>
      <c r="O65" s="188"/>
      <c r="P65" s="188"/>
      <c r="Q65" s="179"/>
    </row>
    <row r="66" spans="1:17" s="132" customFormat="1" ht="15" customHeight="1">
      <c r="B66" s="175" t="s">
        <v>184</v>
      </c>
      <c r="C66" s="198" t="str">
        <f>VLOOKUP(B66,'26MY_ODYSSEY_DATA'!B:AR,3,FALSE)</f>
        <v>Roof Basket</v>
      </c>
      <c r="D66" s="79" t="str">
        <f t="shared" ref="D66:D69" si="16">B66</f>
        <v>08L20-E09-101C</v>
      </c>
      <c r="E66" s="323">
        <f>VLOOKUP(B66,'26MY_ODYSSEY_DATA'!B:AR,9,FALSE)</f>
        <v>586</v>
      </c>
      <c r="F66" s="323">
        <f>VLOOKUP(B66,'26MY_ODYSSEY_DATA'!B:AR,10,FALSE)</f>
        <v>977</v>
      </c>
      <c r="G66" s="332">
        <f>VLOOKUP(B66,'26MY_ODYSSEY_DATA'!B:AR,7,FALSE)</f>
        <v>0.4</v>
      </c>
      <c r="H66" s="324">
        <f>VLOOKUP(B66,'26MY_ODYSSEY_DATA'!B:AR,11,FALSE)</f>
        <v>1049.4000000000001</v>
      </c>
      <c r="I66" s="333">
        <f>VLOOKUP(B66,'26MY_ODYSSEY_DATA'!B:AR,12,FALSE)</f>
        <v>0</v>
      </c>
      <c r="J66" s="333" t="str">
        <f>VLOOKUP(B66,'26MY_ODYSSEY_DATA'!B:AR,13,FALSE)</f>
        <v>•</v>
      </c>
      <c r="K66" s="333" t="str">
        <f>VLOOKUP(B66,'26MY_ODYSSEY_DATA'!B:AR,14,FALSE)</f>
        <v>•</v>
      </c>
      <c r="L66" s="333" t="str">
        <f>VLOOKUP(B66,'26MY_ODYSSEY_DATA'!B:AR,15,FALSE)</f>
        <v>•</v>
      </c>
      <c r="M66" s="333" t="str">
        <f>VLOOKUP(B66,'26MY_ODYSSEY_DATA'!B:AR,16,FALSE)</f>
        <v>•</v>
      </c>
      <c r="N66" s="333">
        <f>VLOOKUP($B66,'26MY_ODYSSEY_DATA'!$B:$AR,17,FALSE)</f>
        <v>0</v>
      </c>
      <c r="O66" s="333">
        <f>VLOOKUP($B66,'26MY_ODYSSEY_DATA'!$B:$AR,18,FALSE)</f>
        <v>0</v>
      </c>
      <c r="P66" s="333">
        <f>VLOOKUP($B66,'26MY_ODYSSEY_DATA'!$B:$AR,19,FALSE)</f>
        <v>0</v>
      </c>
      <c r="Q66" s="371" t="str">
        <f>IF(VLOOKUP(B66,'26MY_ODYSSEY_DATA'!B:AR,20,FALSE)="","",VLOOKUP(B66,'26MY_ODYSSEY_DATA'!B:AR,20,FALSE))</f>
        <v>Requires Roof Rails and Crossbars.</v>
      </c>
    </row>
    <row r="67" spans="1:17" s="132" customFormat="1" ht="15" customHeight="1">
      <c r="B67" s="175" t="s">
        <v>223</v>
      </c>
      <c r="C67" s="198" t="str">
        <f>VLOOKUP(B67,'26MY_ODYSSEY_DATA'!B:AR,3,FALSE)</f>
        <v>Roof Bicycle Attachment - Forkmount</v>
      </c>
      <c r="D67" s="79" t="str">
        <f t="shared" si="16"/>
        <v>08L07-E09-300A</v>
      </c>
      <c r="E67" s="323">
        <f>VLOOKUP(B67,'26MY_ODYSSEY_DATA'!B:AR,9,FALSE)</f>
        <v>300</v>
      </c>
      <c r="F67" s="323">
        <f>VLOOKUP(B67,'26MY_ODYSSEY_DATA'!B:AR,10,FALSE)</f>
        <v>500</v>
      </c>
      <c r="G67" s="332">
        <f>VLOOKUP(B67,'26MY_ODYSSEY_DATA'!B:AR,7,FALSE)</f>
        <v>0.4</v>
      </c>
      <c r="H67" s="324">
        <f>VLOOKUP(B67,'26MY_ODYSSEY_DATA'!B:AR,11,FALSE)</f>
        <v>572.4</v>
      </c>
      <c r="I67" s="333">
        <f>VLOOKUP(B67,'26MY_ODYSSEY_DATA'!B:AR,12,FALSE)</f>
        <v>0</v>
      </c>
      <c r="J67" s="333" t="str">
        <f>VLOOKUP(B67,'26MY_ODYSSEY_DATA'!B:AR,13,FALSE)</f>
        <v>•</v>
      </c>
      <c r="K67" s="333" t="str">
        <f>VLOOKUP(B67,'26MY_ODYSSEY_DATA'!B:AR,14,FALSE)</f>
        <v>•</v>
      </c>
      <c r="L67" s="333" t="str">
        <f>VLOOKUP(B67,'26MY_ODYSSEY_DATA'!B:AR,15,FALSE)</f>
        <v>•</v>
      </c>
      <c r="M67" s="333" t="str">
        <f>VLOOKUP(B67,'26MY_ODYSSEY_DATA'!B:AR,16,FALSE)</f>
        <v>•</v>
      </c>
      <c r="N67" s="333">
        <f>VLOOKUP($B67,'26MY_ODYSSEY_DATA'!$B:$AR,17,FALSE)</f>
        <v>0</v>
      </c>
      <c r="O67" s="333">
        <f>VLOOKUP($B67,'26MY_ODYSSEY_DATA'!$B:$AR,18,FALSE)</f>
        <v>0</v>
      </c>
      <c r="P67" s="333">
        <f>VLOOKUP($B67,'26MY_ODYSSEY_DATA'!$B:$AR,19,FALSE)</f>
        <v>0</v>
      </c>
      <c r="Q67" s="372"/>
    </row>
    <row r="68" spans="1:17" s="132" customFormat="1" ht="15" customHeight="1">
      <c r="A68" s="175"/>
      <c r="B68" s="175" t="s">
        <v>185</v>
      </c>
      <c r="C68" s="198" t="str">
        <f>VLOOKUP(B68,'26MY_ODYSSEY_DATA'!B:AR,3,FALSE)</f>
        <v>Roof Bicycle Attachment - Frame mount</v>
      </c>
      <c r="D68" s="79" t="str">
        <f t="shared" si="16"/>
        <v>08L07-E09-101</v>
      </c>
      <c r="E68" s="323">
        <f>VLOOKUP(B68,'26MY_ODYSSEY_DATA'!B:AR,9,FALSE)</f>
        <v>393</v>
      </c>
      <c r="F68" s="323">
        <f>VLOOKUP(B68,'26MY_ODYSSEY_DATA'!B:AR,10,FALSE)</f>
        <v>561</v>
      </c>
      <c r="G68" s="332">
        <f>VLOOKUP(B68,'26MY_ODYSSEY_DATA'!B:AR,7,FALSE)</f>
        <v>0.6</v>
      </c>
      <c r="H68" s="324">
        <f>VLOOKUP(B68,'26MY_ODYSSEY_DATA'!B:AR,11,FALSE)</f>
        <v>669.6</v>
      </c>
      <c r="I68" s="333">
        <f>VLOOKUP(B68,'26MY_ODYSSEY_DATA'!B:AR,12,FALSE)</f>
        <v>0</v>
      </c>
      <c r="J68" s="333" t="str">
        <f>VLOOKUP(B68,'26MY_ODYSSEY_DATA'!B:AR,13,FALSE)</f>
        <v>•</v>
      </c>
      <c r="K68" s="333" t="str">
        <f>VLOOKUP(B68,'26MY_ODYSSEY_DATA'!B:AR,14,FALSE)</f>
        <v>•</v>
      </c>
      <c r="L68" s="333" t="str">
        <f>VLOOKUP(B68,'26MY_ODYSSEY_DATA'!B:AR,15,FALSE)</f>
        <v>•</v>
      </c>
      <c r="M68" s="333" t="str">
        <f>VLOOKUP(B68,'26MY_ODYSSEY_DATA'!B:AR,16,FALSE)</f>
        <v>•</v>
      </c>
      <c r="N68" s="333">
        <f>VLOOKUP($B68,'26MY_ODYSSEY_DATA'!$B:$AR,17,FALSE)</f>
        <v>0</v>
      </c>
      <c r="O68" s="333">
        <f>VLOOKUP($B68,'26MY_ODYSSEY_DATA'!$B:$AR,18,FALSE)</f>
        <v>0</v>
      </c>
      <c r="P68" s="333">
        <f>VLOOKUP($B68,'26MY_ODYSSEY_DATA'!$B:$AR,19,FALSE)</f>
        <v>0</v>
      </c>
      <c r="Q68" s="372"/>
    </row>
    <row r="69" spans="1:17" s="132" customFormat="1" ht="15" customHeight="1">
      <c r="B69" s="175" t="s">
        <v>182</v>
      </c>
      <c r="C69" s="198" t="str">
        <f>VLOOKUP(B69,'26MY_ODYSSEY_DATA'!B:AR,3,FALSE)</f>
        <v>Roof Box - Mid-Size</v>
      </c>
      <c r="D69" s="79" t="str">
        <f t="shared" si="16"/>
        <v>08L20-E09-300A</v>
      </c>
      <c r="E69" s="323">
        <f>VLOOKUP(B69,'26MY_ODYSSEY_DATA'!B:AR,9,FALSE)</f>
        <v>898</v>
      </c>
      <c r="F69" s="323">
        <f>VLOOKUP(B69,'26MY_ODYSSEY_DATA'!B:AR,10,FALSE)</f>
        <v>1497</v>
      </c>
      <c r="G69" s="332">
        <f>VLOOKUP(B69,'26MY_ODYSSEY_DATA'!B:AR,7,FALSE)</f>
        <v>0.2</v>
      </c>
      <c r="H69" s="324">
        <f>VLOOKUP(B69,'26MY_ODYSSEY_DATA'!B:AR,11,FALSE)</f>
        <v>1533.2</v>
      </c>
      <c r="I69" s="333">
        <f>VLOOKUP(B69,'26MY_ODYSSEY_DATA'!B:AR,12,FALSE)</f>
        <v>0</v>
      </c>
      <c r="J69" s="333" t="str">
        <f>VLOOKUP(B69,'26MY_ODYSSEY_DATA'!B:AR,13,FALSE)</f>
        <v>•</v>
      </c>
      <c r="K69" s="333" t="str">
        <f>VLOOKUP(B69,'26MY_ODYSSEY_DATA'!B:AR,14,FALSE)</f>
        <v>•</v>
      </c>
      <c r="L69" s="333" t="str">
        <f>VLOOKUP(B69,'26MY_ODYSSEY_DATA'!B:AR,15,FALSE)</f>
        <v>•</v>
      </c>
      <c r="M69" s="333" t="str">
        <f>VLOOKUP(B69,'26MY_ODYSSEY_DATA'!B:AR,16,FALSE)</f>
        <v>•</v>
      </c>
      <c r="N69" s="333">
        <f>VLOOKUP($B69,'26MY_ODYSSEY_DATA'!$B:$AR,17,FALSE)</f>
        <v>0</v>
      </c>
      <c r="O69" s="333">
        <f>VLOOKUP($B69,'26MY_ODYSSEY_DATA'!$B:$AR,18,FALSE)</f>
        <v>0</v>
      </c>
      <c r="P69" s="333">
        <f>VLOOKUP($B69,'26MY_ODYSSEY_DATA'!$B:$AR,19,FALSE)</f>
        <v>0</v>
      </c>
      <c r="Q69" s="372"/>
    </row>
    <row r="70" spans="1:17" s="132" customFormat="1" ht="15" customHeight="1">
      <c r="B70" s="175" t="s">
        <v>183</v>
      </c>
      <c r="C70" s="198" t="str">
        <f>VLOOKUP(B70,'26MY_ODYSSEY_DATA'!B:AR,3,FALSE)</f>
        <v>Roof Box - Short</v>
      </c>
      <c r="D70" s="79" t="str">
        <f t="shared" ref="D70:D71" si="17">B70</f>
        <v>08L20-E09-300B</v>
      </c>
      <c r="E70" s="323">
        <f>VLOOKUP(B70,'26MY_ODYSSEY_DATA'!B:AR,9,FALSE)</f>
        <v>820</v>
      </c>
      <c r="F70" s="323">
        <f>VLOOKUP(B70,'26MY_ODYSSEY_DATA'!B:AR,10,FALSE)</f>
        <v>1367</v>
      </c>
      <c r="G70" s="332">
        <f>VLOOKUP(B70,'26MY_ODYSSEY_DATA'!B:AR,7,FALSE)</f>
        <v>0.2</v>
      </c>
      <c r="H70" s="324">
        <f>VLOOKUP(B70,'26MY_ODYSSEY_DATA'!B:AR,11,FALSE)</f>
        <v>1403.2</v>
      </c>
      <c r="I70" s="333">
        <f>VLOOKUP(B70,'26MY_ODYSSEY_DATA'!B:AR,12,FALSE)</f>
        <v>0</v>
      </c>
      <c r="J70" s="333" t="str">
        <f>VLOOKUP(B70,'26MY_ODYSSEY_DATA'!B:AR,13,FALSE)</f>
        <v>•</v>
      </c>
      <c r="K70" s="333" t="str">
        <f>VLOOKUP(B70,'26MY_ODYSSEY_DATA'!B:AR,14,FALSE)</f>
        <v>•</v>
      </c>
      <c r="L70" s="333" t="str">
        <f>VLOOKUP(B70,'26MY_ODYSSEY_DATA'!B:AR,15,FALSE)</f>
        <v>•</v>
      </c>
      <c r="M70" s="333" t="str">
        <f>VLOOKUP(B70,'26MY_ODYSSEY_DATA'!B:AR,16,FALSE)</f>
        <v>•</v>
      </c>
      <c r="N70" s="333">
        <f>VLOOKUP($B70,'26MY_ODYSSEY_DATA'!$B:$AR,17,FALSE)</f>
        <v>0</v>
      </c>
      <c r="O70" s="333">
        <f>VLOOKUP($B70,'26MY_ODYSSEY_DATA'!$B:$AR,18,FALSE)</f>
        <v>0</v>
      </c>
      <c r="P70" s="333">
        <f>VLOOKUP($B70,'26MY_ODYSSEY_DATA'!$B:$AR,19,FALSE)</f>
        <v>0</v>
      </c>
      <c r="Q70" s="372"/>
    </row>
    <row r="71" spans="1:17" s="132" customFormat="1" ht="14.4">
      <c r="B71" s="175" t="s">
        <v>186</v>
      </c>
      <c r="C71" s="198" t="str">
        <f>VLOOKUP(B71,'26MY_ODYSSEY_DATA'!B:AR,3,FALSE)</f>
        <v>Roof Kayak Attachment</v>
      </c>
      <c r="D71" s="79" t="str">
        <f t="shared" si="17"/>
        <v>08L09-E09-101</v>
      </c>
      <c r="E71" s="323">
        <f>VLOOKUP(B71,'26MY_ODYSSEY_DATA'!B:AR,9,FALSE)</f>
        <v>442</v>
      </c>
      <c r="F71" s="323">
        <f>VLOOKUP(B71,'26MY_ODYSSEY_DATA'!B:AR,10,FALSE)</f>
        <v>737</v>
      </c>
      <c r="G71" s="332">
        <f>VLOOKUP(B71,'26MY_ODYSSEY_DATA'!B:AR,7,FALSE)</f>
        <v>0.2</v>
      </c>
      <c r="H71" s="324">
        <f>VLOOKUP(B71,'26MY_ODYSSEY_DATA'!B:AR,11,FALSE)</f>
        <v>773.2</v>
      </c>
      <c r="I71" s="333">
        <f>VLOOKUP(B71,'26MY_ODYSSEY_DATA'!B:AR,12,FALSE)</f>
        <v>0</v>
      </c>
      <c r="J71" s="333" t="str">
        <f>VLOOKUP(B71,'26MY_ODYSSEY_DATA'!B:AR,13,FALSE)</f>
        <v>•</v>
      </c>
      <c r="K71" s="333" t="str">
        <f>VLOOKUP(B71,'26MY_ODYSSEY_DATA'!B:AR,14,FALSE)</f>
        <v>•</v>
      </c>
      <c r="L71" s="333" t="str">
        <f>VLOOKUP(B71,'26MY_ODYSSEY_DATA'!B:AR,15,FALSE)</f>
        <v>•</v>
      </c>
      <c r="M71" s="333" t="str">
        <f>VLOOKUP(B71,'26MY_ODYSSEY_DATA'!B:AR,16,FALSE)</f>
        <v>•</v>
      </c>
      <c r="N71" s="333">
        <f>VLOOKUP($B71,'26MY_ODYSSEY_DATA'!$B:$AR,17,FALSE)</f>
        <v>0</v>
      </c>
      <c r="O71" s="333">
        <f>VLOOKUP($B71,'26MY_ODYSSEY_DATA'!$B:$AR,18,FALSE)</f>
        <v>0</v>
      </c>
      <c r="P71" s="333">
        <f>VLOOKUP($B71,'26MY_ODYSSEY_DATA'!$B:$AR,19,FALSE)</f>
        <v>0</v>
      </c>
      <c r="Q71" s="372"/>
    </row>
    <row r="72" spans="1:17" s="132" customFormat="1" ht="15" customHeight="1">
      <c r="B72" s="175" t="s">
        <v>187</v>
      </c>
      <c r="C72" s="198" t="str">
        <f>VLOOKUP(B72,'26MY_ODYSSEY_DATA'!B:AR,3,FALSE)</f>
        <v>Roof Ski/Snowboard Attachment</v>
      </c>
      <c r="D72" s="79" t="str">
        <f t="shared" ref="D72:D73" si="18">B72</f>
        <v>08L03-E09-300C</v>
      </c>
      <c r="E72" s="323">
        <f>VLOOKUP(B72,'26MY_ODYSSEY_DATA'!B:AR,9,FALSE)</f>
        <v>426</v>
      </c>
      <c r="F72" s="323">
        <f>VLOOKUP(B72,'26MY_ODYSSEY_DATA'!B:AR,10,FALSE)</f>
        <v>710</v>
      </c>
      <c r="G72" s="332">
        <f>VLOOKUP(B72,'26MY_ODYSSEY_DATA'!B:AR,7,FALSE)</f>
        <v>0.2</v>
      </c>
      <c r="H72" s="324">
        <f>VLOOKUP(B72,'26MY_ODYSSEY_DATA'!B:AR,11,FALSE)</f>
        <v>746.2</v>
      </c>
      <c r="I72" s="333">
        <f>VLOOKUP(B72,'26MY_ODYSSEY_DATA'!B:AR,12,FALSE)</f>
        <v>0</v>
      </c>
      <c r="J72" s="333" t="str">
        <f>VLOOKUP(B72,'26MY_ODYSSEY_DATA'!B:AR,13,FALSE)</f>
        <v>•</v>
      </c>
      <c r="K72" s="333" t="str">
        <f>VLOOKUP(B72,'26MY_ODYSSEY_DATA'!B:AR,14,FALSE)</f>
        <v>•</v>
      </c>
      <c r="L72" s="333" t="str">
        <f>VLOOKUP(B72,'26MY_ODYSSEY_DATA'!B:AR,15,FALSE)</f>
        <v>•</v>
      </c>
      <c r="M72" s="333" t="str">
        <f>VLOOKUP(B72,'26MY_ODYSSEY_DATA'!B:AR,16,FALSE)</f>
        <v>•</v>
      </c>
      <c r="N72" s="333">
        <f>VLOOKUP($B72,'26MY_ODYSSEY_DATA'!$B:$AR,17,FALSE)</f>
        <v>0</v>
      </c>
      <c r="O72" s="333">
        <f>VLOOKUP($B72,'26MY_ODYSSEY_DATA'!$B:$AR,18,FALSE)</f>
        <v>0</v>
      </c>
      <c r="P72" s="333">
        <f>VLOOKUP($B72,'26MY_ODYSSEY_DATA'!$B:$AR,19,FALSE)</f>
        <v>0</v>
      </c>
      <c r="Q72" s="372"/>
    </row>
    <row r="73" spans="1:17" s="132" customFormat="1" ht="15" customHeight="1">
      <c r="B73" s="175" t="s">
        <v>188</v>
      </c>
      <c r="C73" s="198" t="str">
        <f>VLOOKUP(B73,'26MY_ODYSSEY_DATA'!B:AR,3,FALSE)</f>
        <v>Roof Surfboard Attachment</v>
      </c>
      <c r="D73" s="79" t="str">
        <f t="shared" si="18"/>
        <v>08L05-E09-100</v>
      </c>
      <c r="E73" s="323">
        <f>VLOOKUP(B73,'26MY_ODYSSEY_DATA'!B:AR,9,FALSE)</f>
        <v>213</v>
      </c>
      <c r="F73" s="323">
        <f>VLOOKUP(B73,'26MY_ODYSSEY_DATA'!B:AR,10,FALSE)</f>
        <v>355</v>
      </c>
      <c r="G73" s="332">
        <f>VLOOKUP(B73,'26MY_ODYSSEY_DATA'!B:AR,7,FALSE)</f>
        <v>0.2</v>
      </c>
      <c r="H73" s="324">
        <f>VLOOKUP(B73,'26MY_ODYSSEY_DATA'!B:AR,11,FALSE)</f>
        <v>391.2</v>
      </c>
      <c r="I73" s="333">
        <f>VLOOKUP(B73,'26MY_ODYSSEY_DATA'!B:AR,12,FALSE)</f>
        <v>0</v>
      </c>
      <c r="J73" s="333" t="str">
        <f>VLOOKUP(B73,'26MY_ODYSSEY_DATA'!B:AR,13,FALSE)</f>
        <v>•</v>
      </c>
      <c r="K73" s="333" t="str">
        <f>VLOOKUP(B73,'26MY_ODYSSEY_DATA'!B:AR,14,FALSE)</f>
        <v>•</v>
      </c>
      <c r="L73" s="333" t="str">
        <f>VLOOKUP(B73,'26MY_ODYSSEY_DATA'!B:AR,15,FALSE)</f>
        <v>•</v>
      </c>
      <c r="M73" s="333" t="str">
        <f>VLOOKUP(B73,'26MY_ODYSSEY_DATA'!B:AR,16,FALSE)</f>
        <v>•</v>
      </c>
      <c r="N73" s="333">
        <f>VLOOKUP($B73,'26MY_ODYSSEY_DATA'!$B:$AR,17,FALSE)</f>
        <v>0</v>
      </c>
      <c r="O73" s="333">
        <f>VLOOKUP($B73,'26MY_ODYSSEY_DATA'!$B:$AR,18,FALSE)</f>
        <v>0</v>
      </c>
      <c r="P73" s="333">
        <f>VLOOKUP($B73,'26MY_ODYSSEY_DATA'!$B:$AR,19,FALSE)</f>
        <v>0</v>
      </c>
      <c r="Q73" s="373"/>
    </row>
    <row r="74" spans="1:17" s="132" customFormat="1" ht="15" customHeight="1">
      <c r="B74" s="175" t="s">
        <v>484</v>
      </c>
      <c r="C74" s="199" t="str">
        <f>VLOOKUP(B74,'26MY_ODYSSEY_DATA'!B:AR,3,FALSE)</f>
        <v>Trailer Hitch parts</v>
      </c>
      <c r="D74" s="188"/>
      <c r="E74" s="188"/>
      <c r="F74" s="188"/>
      <c r="G74" s="188"/>
      <c r="H74" s="188"/>
      <c r="I74" s="188"/>
      <c r="J74" s="188"/>
      <c r="K74" s="188"/>
      <c r="L74" s="188"/>
      <c r="M74" s="188"/>
      <c r="N74" s="188"/>
      <c r="O74" s="188"/>
      <c r="P74" s="188"/>
      <c r="Q74" s="194"/>
    </row>
    <row r="75" spans="1:17" s="132" customFormat="1" ht="45" customHeight="1">
      <c r="B75" s="175" t="s">
        <v>535</v>
      </c>
      <c r="C75" s="198" t="str">
        <f>VLOOKUP(B75,'26MY_ODYSSEY_DATA'!B:AR,3,FALSE)</f>
        <v>Trailer Hitch</v>
      </c>
      <c r="D75" s="79" t="str">
        <f t="shared" ref="D75" si="19">B75</f>
        <v>08L92-THR-300A</v>
      </c>
      <c r="E75" s="323">
        <f>VLOOKUP(B75,'26MY_ODYSSEY_DATA'!B:AR,9,FALSE)</f>
        <v>591</v>
      </c>
      <c r="F75" s="323">
        <f>VLOOKUP(B75,'26MY_ODYSSEY_DATA'!B:AR,10,FALSE)</f>
        <v>985</v>
      </c>
      <c r="G75" s="332">
        <f>VLOOKUP(B75,'26MY_ODYSSEY_DATA'!B:AR,7,FALSE)</f>
        <v>1.5</v>
      </c>
      <c r="H75" s="324">
        <f>VLOOKUP(B75,'26MY_ODYSSEY_DATA'!B:AR,11,FALSE)</f>
        <v>1256.5</v>
      </c>
      <c r="I75" s="333">
        <f>VLOOKUP(B75,'26MY_ODYSSEY_DATA'!B:AR,12,FALSE)</f>
        <v>0</v>
      </c>
      <c r="J75" s="333" t="str">
        <f>VLOOKUP(B75,'26MY_ODYSSEY_DATA'!B:AR,13,FALSE)</f>
        <v>•</v>
      </c>
      <c r="K75" s="333" t="str">
        <f>VLOOKUP(B75,'26MY_ODYSSEY_DATA'!B:AR,14,FALSE)</f>
        <v>•</v>
      </c>
      <c r="L75" s="333" t="str">
        <f>VLOOKUP(B75,'26MY_ODYSSEY_DATA'!B:AR,15,FALSE)</f>
        <v>•</v>
      </c>
      <c r="M75" s="333" t="str">
        <f>VLOOKUP(B75,'26MY_ODYSSEY_DATA'!B:AR,16,FALSE)</f>
        <v>•</v>
      </c>
      <c r="N75" s="333">
        <f>VLOOKUP($B75,'26MY_ODYSSEY_DATA'!$B:$AR,17,FALSE)</f>
        <v>0</v>
      </c>
      <c r="O75" s="333">
        <f>VLOOKUP($B75,'26MY_ODYSSEY_DATA'!$B:$AR,18,FALSE)</f>
        <v>0</v>
      </c>
      <c r="P75" s="333">
        <f>VLOOKUP($B75,'26MY_ODYSSEY_DATA'!$B:$AR,19,FALSE)</f>
        <v>0</v>
      </c>
      <c r="Q75" s="371" t="str">
        <f>IF(VLOOKUP(B75,'26MY_ODYSSEY_DATA'!B:AR,20,FALSE)="","",VLOOKUP(B75,'26MY_ODYSSEY_DATA'!B:AR,20,FALSE))</f>
        <v>Trailer Hitch Rating: Class II.
Trailer Hitch Receiver Size: 2-in x 2-in.
TOURING: Requires Hands-Free Power Tailgate Sensor Adaptor.</v>
      </c>
    </row>
    <row r="76" spans="1:17" s="132" customFormat="1" ht="15" customHeight="1">
      <c r="B76" s="175" t="s">
        <v>385</v>
      </c>
      <c r="C76" s="198" t="str">
        <f>VLOOKUP(B76,'26MY_ODYSSEY_DATA'!B:AR,3,FALSE)</f>
        <v>Trailer Hitch Ball - 1-7/8"</v>
      </c>
      <c r="D76" s="79" t="str">
        <f t="shared" ref="D76:D80" si="20">B76</f>
        <v>08L92-SCV-300A</v>
      </c>
      <c r="E76" s="323">
        <f>VLOOKUP(B76,'26MY_ODYSSEY_DATA'!B:AR,9,FALSE)</f>
        <v>29</v>
      </c>
      <c r="F76" s="323">
        <f>VLOOKUP(B76,'26MY_ODYSSEY_DATA'!B:AR,10,FALSE)</f>
        <v>48</v>
      </c>
      <c r="G76" s="332">
        <f>VLOOKUP(B76,'26MY_ODYSSEY_DATA'!B:AR,7,FALSE)</f>
        <v>0</v>
      </c>
      <c r="H76" s="324">
        <f>VLOOKUP(B76,'26MY_ODYSSEY_DATA'!B:AR,11,FALSE)</f>
        <v>48</v>
      </c>
      <c r="I76" s="333">
        <f>VLOOKUP(B76,'26MY_ODYSSEY_DATA'!B:AR,12,FALSE)</f>
        <v>0</v>
      </c>
      <c r="J76" s="333" t="str">
        <f>VLOOKUP(B76,'26MY_ODYSSEY_DATA'!B:AR,13,FALSE)</f>
        <v>•</v>
      </c>
      <c r="K76" s="333" t="str">
        <f>VLOOKUP(B76,'26MY_ODYSSEY_DATA'!B:AR,14,FALSE)</f>
        <v>•</v>
      </c>
      <c r="L76" s="333" t="str">
        <f>VLOOKUP(B76,'26MY_ODYSSEY_DATA'!B:AR,15,FALSE)</f>
        <v>•</v>
      </c>
      <c r="M76" s="333" t="str">
        <f>VLOOKUP(B76,'26MY_ODYSSEY_DATA'!B:AR,16,FALSE)</f>
        <v>•</v>
      </c>
      <c r="N76" s="333">
        <f>VLOOKUP($B76,'26MY_ODYSSEY_DATA'!$B:$AR,17,FALSE)</f>
        <v>0</v>
      </c>
      <c r="O76" s="333">
        <f>VLOOKUP($B76,'26MY_ODYSSEY_DATA'!$B:$AR,18,FALSE)</f>
        <v>0</v>
      </c>
      <c r="P76" s="333">
        <f>VLOOKUP($B76,'26MY_ODYSSEY_DATA'!$B:$AR,19,FALSE)</f>
        <v>0</v>
      </c>
      <c r="Q76" s="372"/>
    </row>
    <row r="77" spans="1:17" s="132" customFormat="1" ht="15" customHeight="1">
      <c r="B77" s="175" t="s">
        <v>386</v>
      </c>
      <c r="C77" s="198" t="str">
        <f>VLOOKUP(B77,'26MY_ODYSSEY_DATA'!B:AR,3,FALSE)</f>
        <v>Trailer Hitch Ball - 2"</v>
      </c>
      <c r="D77" s="79" t="str">
        <f t="shared" si="20"/>
        <v>08L92-SCV-100B</v>
      </c>
      <c r="E77" s="323">
        <f>VLOOKUP(B77,'26MY_ODYSSEY_DATA'!B:AR,9,FALSE)</f>
        <v>29</v>
      </c>
      <c r="F77" s="323">
        <f>VLOOKUP(B77,'26MY_ODYSSEY_DATA'!B:AR,10,FALSE)</f>
        <v>48</v>
      </c>
      <c r="G77" s="332">
        <f>VLOOKUP(B77,'26MY_ODYSSEY_DATA'!B:AR,7,FALSE)</f>
        <v>0</v>
      </c>
      <c r="H77" s="324">
        <f>VLOOKUP(B77,'26MY_ODYSSEY_DATA'!B:AR,11,FALSE)</f>
        <v>48</v>
      </c>
      <c r="I77" s="333">
        <f>VLOOKUP(B77,'26MY_ODYSSEY_DATA'!B:AR,12,FALSE)</f>
        <v>0</v>
      </c>
      <c r="J77" s="333" t="str">
        <f>VLOOKUP(B77,'26MY_ODYSSEY_DATA'!B:AR,13,FALSE)</f>
        <v>•</v>
      </c>
      <c r="K77" s="333" t="str">
        <f>VLOOKUP(B77,'26MY_ODYSSEY_DATA'!B:AR,14,FALSE)</f>
        <v>•</v>
      </c>
      <c r="L77" s="333" t="str">
        <f>VLOOKUP(B77,'26MY_ODYSSEY_DATA'!B:AR,15,FALSE)</f>
        <v>•</v>
      </c>
      <c r="M77" s="333" t="str">
        <f>VLOOKUP(B77,'26MY_ODYSSEY_DATA'!B:AR,16,FALSE)</f>
        <v>•</v>
      </c>
      <c r="N77" s="333">
        <f>VLOOKUP($B77,'26MY_ODYSSEY_DATA'!$B:$AR,17,FALSE)</f>
        <v>0</v>
      </c>
      <c r="O77" s="333">
        <f>VLOOKUP($B77,'26MY_ODYSSEY_DATA'!$B:$AR,18,FALSE)</f>
        <v>0</v>
      </c>
      <c r="P77" s="333">
        <f>VLOOKUP($B77,'26MY_ODYSSEY_DATA'!$B:$AR,19,FALSE)</f>
        <v>0</v>
      </c>
      <c r="Q77" s="372"/>
    </row>
    <row r="78" spans="1:17" s="132" customFormat="1" ht="15" customHeight="1">
      <c r="B78" s="175" t="s">
        <v>387</v>
      </c>
      <c r="C78" s="198" t="str">
        <f>VLOOKUP(B78,'26MY_ODYSSEY_DATA'!B:AR,3,FALSE)</f>
        <v>Trailer Hitch Harness</v>
      </c>
      <c r="D78" s="79" t="str">
        <f t="shared" si="20"/>
        <v>08L91-THR-300</v>
      </c>
      <c r="E78" s="323">
        <f>VLOOKUP(B78,'26MY_ODYSSEY_DATA'!B:AR,9,FALSE)</f>
        <v>167</v>
      </c>
      <c r="F78" s="323">
        <f>VLOOKUP(B78,'26MY_ODYSSEY_DATA'!B:AR,10,FALSE)</f>
        <v>278</v>
      </c>
      <c r="G78" s="332">
        <f>VLOOKUP(B78,'26MY_ODYSSEY_DATA'!B:AR,7,FALSE)</f>
        <v>0.8</v>
      </c>
      <c r="H78" s="324">
        <f>VLOOKUP(B78,'26MY_ODYSSEY_DATA'!B:AR,11,FALSE)</f>
        <v>422.8</v>
      </c>
      <c r="I78" s="333">
        <f>VLOOKUP(B78,'26MY_ODYSSEY_DATA'!B:AR,12,FALSE)</f>
        <v>0</v>
      </c>
      <c r="J78" s="333" t="str">
        <f>VLOOKUP(B78,'26MY_ODYSSEY_DATA'!B:AR,13,FALSE)</f>
        <v>•</v>
      </c>
      <c r="K78" s="333" t="str">
        <f>VLOOKUP(B78,'26MY_ODYSSEY_DATA'!B:AR,14,FALSE)</f>
        <v>•</v>
      </c>
      <c r="L78" s="333" t="str">
        <f>VLOOKUP(B78,'26MY_ODYSSEY_DATA'!B:AR,15,FALSE)</f>
        <v>•</v>
      </c>
      <c r="M78" s="333" t="str">
        <f>VLOOKUP(B78,'26MY_ODYSSEY_DATA'!B:AR,16,FALSE)</f>
        <v>•</v>
      </c>
      <c r="N78" s="333">
        <f>VLOOKUP($B78,'26MY_ODYSSEY_DATA'!$B:$AR,17,FALSE)</f>
        <v>0</v>
      </c>
      <c r="O78" s="333">
        <f>VLOOKUP($B78,'26MY_ODYSSEY_DATA'!$B:$AR,18,FALSE)</f>
        <v>0</v>
      </c>
      <c r="P78" s="333">
        <f>VLOOKUP($B78,'26MY_ODYSSEY_DATA'!$B:$AR,19,FALSE)</f>
        <v>0</v>
      </c>
      <c r="Q78" s="372"/>
    </row>
    <row r="79" spans="1:17" s="132" customFormat="1" ht="15" customHeight="1">
      <c r="B79" s="175" t="s">
        <v>206</v>
      </c>
      <c r="C79" s="198" t="str">
        <f>VLOOKUP(B79,'26MY_ODYSSEY_DATA'!B:AR,3,FALSE)</f>
        <v>Trailer Hitch Locking Pin</v>
      </c>
      <c r="D79" s="79" t="str">
        <f t="shared" si="20"/>
        <v>08L92-SJC-300A</v>
      </c>
      <c r="E79" s="323">
        <f>VLOOKUP(B79,'26MY_ODYSSEY_DATA'!B:AR,9,FALSE)</f>
        <v>109</v>
      </c>
      <c r="F79" s="323">
        <f>VLOOKUP(B79,'26MY_ODYSSEY_DATA'!B:AR,10,FALSE)</f>
        <v>168</v>
      </c>
      <c r="G79" s="332">
        <f>VLOOKUP(B79,'26MY_ODYSSEY_DATA'!B:AR,7,FALSE)</f>
        <v>0</v>
      </c>
      <c r="H79" s="324">
        <f>VLOOKUP(B79,'26MY_ODYSSEY_DATA'!B:AR,11,FALSE)</f>
        <v>168</v>
      </c>
      <c r="I79" s="333">
        <f>VLOOKUP(B79,'26MY_ODYSSEY_DATA'!B:AR,12,FALSE)</f>
        <v>0</v>
      </c>
      <c r="J79" s="333" t="str">
        <f>VLOOKUP(B79,'26MY_ODYSSEY_DATA'!B:AR,13,FALSE)</f>
        <v>•</v>
      </c>
      <c r="K79" s="333" t="str">
        <f>VLOOKUP(B79,'26MY_ODYSSEY_DATA'!B:AR,14,FALSE)</f>
        <v>•</v>
      </c>
      <c r="L79" s="333" t="str">
        <f>VLOOKUP(B79,'26MY_ODYSSEY_DATA'!B:AR,15,FALSE)</f>
        <v>•</v>
      </c>
      <c r="M79" s="333" t="str">
        <f>VLOOKUP(B79,'26MY_ODYSSEY_DATA'!B:AR,16,FALSE)</f>
        <v>•</v>
      </c>
      <c r="N79" s="333">
        <f>VLOOKUP($B79,'26MY_ODYSSEY_DATA'!$B:$AR,17,FALSE)</f>
        <v>0</v>
      </c>
      <c r="O79" s="333">
        <f>VLOOKUP($B79,'26MY_ODYSSEY_DATA'!$B:$AR,18,FALSE)</f>
        <v>0</v>
      </c>
      <c r="P79" s="333">
        <f>VLOOKUP($B79,'26MY_ODYSSEY_DATA'!$B:$AR,19,FALSE)</f>
        <v>0</v>
      </c>
      <c r="Q79" s="372"/>
    </row>
    <row r="80" spans="1:17" s="132" customFormat="1" ht="15.6" customHeight="1">
      <c r="B80" s="175" t="s">
        <v>396</v>
      </c>
      <c r="C80" s="198" t="str">
        <f>VLOOKUP(B80,'26MY_ODYSSEY_DATA'!B:AR,3,FALSE)</f>
        <v>Hands-Free Power Tailgate Sensor Adapter</v>
      </c>
      <c r="D80" s="79" t="str">
        <f t="shared" si="20"/>
        <v>08L91-THR-300A</v>
      </c>
      <c r="E80" s="323">
        <f>VLOOKUP(B80,'26MY_ODYSSEY_DATA'!B:AR,9,FALSE)</f>
        <v>245</v>
      </c>
      <c r="F80" s="323">
        <f>VLOOKUP(B80,'26MY_ODYSSEY_DATA'!B:AR,10,FALSE)</f>
        <v>408</v>
      </c>
      <c r="G80" s="332">
        <f>VLOOKUP(B80,'26MY_ODYSSEY_DATA'!B:AR,7,FALSE)</f>
        <v>0.2</v>
      </c>
      <c r="H80" s="324">
        <f>VLOOKUP(B80,'26MY_ODYSSEY_DATA'!B:AR,11,FALSE)</f>
        <v>444.2</v>
      </c>
      <c r="I80" s="333">
        <f>VLOOKUP(B80,'26MY_ODYSSEY_DATA'!B:AR,12,FALSE)</f>
        <v>0</v>
      </c>
      <c r="J80" s="333" t="str">
        <f>VLOOKUP(B80,'26MY_ODYSSEY_DATA'!B:AR,13,FALSE)</f>
        <v>•</v>
      </c>
      <c r="K80" s="333" t="str">
        <f>VLOOKUP(B80,'26MY_ODYSSEY_DATA'!B:AR,14,FALSE)</f>
        <v>•</v>
      </c>
      <c r="L80" s="333" t="str">
        <f>VLOOKUP(B80,'26MY_ODYSSEY_DATA'!B:AR,15,FALSE)</f>
        <v>•</v>
      </c>
      <c r="M80" s="333" t="str">
        <f>VLOOKUP(B80,'26MY_ODYSSEY_DATA'!B:AR,16,FALSE)</f>
        <v>•</v>
      </c>
      <c r="N80" s="333">
        <f>VLOOKUP($B80,'26MY_ODYSSEY_DATA'!$B:$AR,17,FALSE)</f>
        <v>0</v>
      </c>
      <c r="O80" s="333">
        <f>VLOOKUP($B80,'26MY_ODYSSEY_DATA'!$B:$AR,18,FALSE)</f>
        <v>0</v>
      </c>
      <c r="P80" s="333">
        <f>VLOOKUP($B80,'26MY_ODYSSEY_DATA'!$B:$AR,19,FALSE)</f>
        <v>0</v>
      </c>
      <c r="Q80" s="373"/>
    </row>
    <row r="81" spans="2:17" s="132" customFormat="1" ht="15" customHeight="1">
      <c r="B81" s="175" t="s">
        <v>268</v>
      </c>
      <c r="C81" s="199" t="str">
        <f>VLOOKUP(B81,'26MY_ODYSSEY_DATA'!B:AR,3,FALSE)</f>
        <v>Body Side Moulding</v>
      </c>
      <c r="D81" s="188"/>
      <c r="E81" s="188"/>
      <c r="F81" s="188"/>
      <c r="G81" s="188"/>
      <c r="H81" s="188"/>
      <c r="I81" s="188"/>
      <c r="J81" s="188"/>
      <c r="K81" s="188"/>
      <c r="L81" s="188"/>
      <c r="M81" s="188"/>
      <c r="N81" s="188"/>
      <c r="O81" s="188"/>
      <c r="P81" s="188"/>
      <c r="Q81" s="194"/>
    </row>
    <row r="82" spans="2:17" s="132" customFormat="1" ht="15" customHeight="1">
      <c r="B82" s="175" t="s">
        <v>269</v>
      </c>
      <c r="C82" s="198" t="str">
        <f>VLOOKUP(B82,'26MY_ODYSSEY_DATA'!B:AR,3,FALSE)</f>
        <v>Platinum White Pearl (NH-883P)</v>
      </c>
      <c r="D82" s="79" t="str">
        <f t="shared" ref="D82" si="21">B82</f>
        <v>08P05-THR-191</v>
      </c>
      <c r="E82" s="323">
        <f>VLOOKUP(B82,'26MY_ODYSSEY_DATA'!B:AR,9,FALSE)</f>
        <v>238</v>
      </c>
      <c r="F82" s="323">
        <f>VLOOKUP(B82,'26MY_ODYSSEY_DATA'!B:AR,10,FALSE)</f>
        <v>397</v>
      </c>
      <c r="G82" s="332">
        <f>VLOOKUP(B82,'26MY_ODYSSEY_DATA'!B:AR,7,FALSE)</f>
        <v>0.4</v>
      </c>
      <c r="H82" s="324">
        <f>VLOOKUP(B82,'26MY_ODYSSEY_DATA'!B:AR,11,FALSE)</f>
        <v>469.4</v>
      </c>
      <c r="I82" s="333">
        <f>VLOOKUP(B82,'26MY_ODYSSEY_DATA'!B:AR,12,FALSE)</f>
        <v>0</v>
      </c>
      <c r="J82" s="333" t="str">
        <f>VLOOKUP(B82,'26MY_ODYSSEY_DATA'!B:AR,13,FALSE)</f>
        <v>•</v>
      </c>
      <c r="K82" s="333" t="str">
        <f>VLOOKUP(B82,'26MY_ODYSSEY_DATA'!B:AR,14,FALSE)</f>
        <v>•</v>
      </c>
      <c r="L82" s="333" t="str">
        <f>VLOOKUP(B82,'26MY_ODYSSEY_DATA'!B:AR,15,FALSE)</f>
        <v>•</v>
      </c>
      <c r="M82" s="333" t="str">
        <f>VLOOKUP(B82,'26MY_ODYSSEY_DATA'!B:AR,16,FALSE)</f>
        <v>•</v>
      </c>
      <c r="N82" s="333">
        <f>VLOOKUP($B82,'26MY_ODYSSEY_DATA'!$B:$AR,17,FALSE)</f>
        <v>0</v>
      </c>
      <c r="O82" s="333">
        <f>VLOOKUP($B82,'26MY_ODYSSEY_DATA'!$B:$AR,18,FALSE)</f>
        <v>0</v>
      </c>
      <c r="P82" s="333">
        <f>VLOOKUP($B82,'26MY_ODYSSEY_DATA'!$B:$AR,19,FALSE)</f>
        <v>0</v>
      </c>
      <c r="Q82" s="371" t="str">
        <f>IF(VLOOKUP(B82,'26MY_ODYSSEY_DATA'!B:AR,20,FALSE)="","",VLOOKUP(B82,'26MY_ODYSSEY_DATA'!B:AR,20,FALSE))</f>
        <v/>
      </c>
    </row>
    <row r="83" spans="2:17" s="132" customFormat="1" ht="15" customHeight="1">
      <c r="B83" s="175" t="s">
        <v>541</v>
      </c>
      <c r="C83" s="198" t="str">
        <f>VLOOKUP(B83,'26MY_ODYSSEY_DATA'!B:AR,3,FALSE)</f>
        <v>Crystal Black Pearl (NH-731P)</v>
      </c>
      <c r="D83" s="79" t="str">
        <f t="shared" ref="D83:D87" si="22">B83</f>
        <v>08P05-THR-121</v>
      </c>
      <c r="E83" s="323">
        <f>VLOOKUP(B83,'26MY_ODYSSEY_DATA'!B:AR,9,FALSE)</f>
        <v>238</v>
      </c>
      <c r="F83" s="323">
        <f>VLOOKUP(B83,'26MY_ODYSSEY_DATA'!B:AR,10,FALSE)</f>
        <v>397</v>
      </c>
      <c r="G83" s="332">
        <f>VLOOKUP(B83,'26MY_ODYSSEY_DATA'!B:AR,7,FALSE)</f>
        <v>0.4</v>
      </c>
      <c r="H83" s="324">
        <f>VLOOKUP(B83,'26MY_ODYSSEY_DATA'!B:AR,11,FALSE)</f>
        <v>469.4</v>
      </c>
      <c r="I83" s="333">
        <f>VLOOKUP(B83,'26MY_ODYSSEY_DATA'!B:AR,12,FALSE)</f>
        <v>0</v>
      </c>
      <c r="J83" s="333" t="str">
        <f>VLOOKUP(B83,'26MY_ODYSSEY_DATA'!B:AR,13,FALSE)</f>
        <v>•</v>
      </c>
      <c r="K83" s="333" t="str">
        <f>VLOOKUP(B83,'26MY_ODYSSEY_DATA'!B:AR,14,FALSE)</f>
        <v>N/A</v>
      </c>
      <c r="L83" s="333" t="str">
        <f>VLOOKUP(B83,'26MY_ODYSSEY_DATA'!B:AR,15,FALSE)</f>
        <v>N/A</v>
      </c>
      <c r="M83" s="333" t="str">
        <f>VLOOKUP(B83,'26MY_ODYSSEY_DATA'!B:AR,16,FALSE)</f>
        <v>•</v>
      </c>
      <c r="N83" s="333">
        <f>VLOOKUP($B83,'26MY_ODYSSEY_DATA'!$B:$AR,17,FALSE)</f>
        <v>0</v>
      </c>
      <c r="O83" s="333">
        <f>VLOOKUP($B83,'26MY_ODYSSEY_DATA'!$B:$AR,18,FALSE)</f>
        <v>0</v>
      </c>
      <c r="P83" s="333">
        <f>VLOOKUP($B83,'26MY_ODYSSEY_DATA'!$B:$AR,19,FALSE)</f>
        <v>0</v>
      </c>
      <c r="Q83" s="372"/>
    </row>
    <row r="84" spans="2:17" s="132" customFormat="1" ht="15" customHeight="1">
      <c r="B84" s="175" t="s">
        <v>279</v>
      </c>
      <c r="C84" s="198" t="str">
        <f>VLOOKUP(B84,'26MY_ODYSSEY_DATA'!B:AR,3,FALSE)</f>
        <v>Modern Steel Metallic (NH-797M)</v>
      </c>
      <c r="D84" s="79" t="str">
        <f t="shared" si="22"/>
        <v>08P05-THR-131</v>
      </c>
      <c r="E84" s="323">
        <f>VLOOKUP(B84,'26MY_ODYSSEY_DATA'!B:AR,9,FALSE)</f>
        <v>238</v>
      </c>
      <c r="F84" s="323">
        <f>VLOOKUP(B84,'26MY_ODYSSEY_DATA'!B:AR,10,FALSE)</f>
        <v>397</v>
      </c>
      <c r="G84" s="332">
        <f>VLOOKUP(B84,'26MY_ODYSSEY_DATA'!B:AR,7,FALSE)</f>
        <v>0.4</v>
      </c>
      <c r="H84" s="324">
        <f>VLOOKUP(B84,'26MY_ODYSSEY_DATA'!B:AR,11,FALSE)</f>
        <v>469.4</v>
      </c>
      <c r="I84" s="333">
        <f>VLOOKUP(B84,'26MY_ODYSSEY_DATA'!B:AR,12,FALSE)</f>
        <v>0</v>
      </c>
      <c r="J84" s="333" t="str">
        <f>VLOOKUP(B84,'26MY_ODYSSEY_DATA'!B:AR,13,FALSE)</f>
        <v>N/A</v>
      </c>
      <c r="K84" s="333" t="str">
        <f>VLOOKUP(B84,'26MY_ODYSSEY_DATA'!B:AR,14,FALSE)</f>
        <v>•</v>
      </c>
      <c r="L84" s="333" t="str">
        <f>VLOOKUP(B84,'26MY_ODYSSEY_DATA'!B:AR,15,FALSE)</f>
        <v>•</v>
      </c>
      <c r="M84" s="333" t="str">
        <f>VLOOKUP(B84,'26MY_ODYSSEY_DATA'!B:AR,16,FALSE)</f>
        <v>N/A</v>
      </c>
      <c r="N84" s="333">
        <f>VLOOKUP($B84,'26MY_ODYSSEY_DATA'!$B:$AR,17,FALSE)</f>
        <v>0</v>
      </c>
      <c r="O84" s="333">
        <f>VLOOKUP($B84,'26MY_ODYSSEY_DATA'!$B:$AR,18,FALSE)</f>
        <v>0</v>
      </c>
      <c r="P84" s="333">
        <f>VLOOKUP($B84,'26MY_ODYSSEY_DATA'!$B:$AR,19,FALSE)</f>
        <v>0</v>
      </c>
      <c r="Q84" s="372"/>
    </row>
    <row r="85" spans="2:17" s="132" customFormat="1" ht="15" customHeight="1">
      <c r="B85" s="175" t="s">
        <v>270</v>
      </c>
      <c r="C85" s="198" t="str">
        <f>VLOOKUP(B85,'26MY_ODYSSEY_DATA'!B:AR,3,FALSE)</f>
        <v>Sonic Gray Pearl (NH-877P)</v>
      </c>
      <c r="D85" s="79" t="str">
        <f t="shared" si="22"/>
        <v>08P05-THR-1B1</v>
      </c>
      <c r="E85" s="323">
        <f>VLOOKUP(B85,'26MY_ODYSSEY_DATA'!B:AR,9,FALSE)</f>
        <v>238</v>
      </c>
      <c r="F85" s="323">
        <f>VLOOKUP(B85,'26MY_ODYSSEY_DATA'!B:AR,10,FALSE)</f>
        <v>397</v>
      </c>
      <c r="G85" s="332">
        <f>VLOOKUP(B85,'26MY_ODYSSEY_DATA'!B:AR,7,FALSE)</f>
        <v>0.4</v>
      </c>
      <c r="H85" s="324">
        <f>VLOOKUP(B85,'26MY_ODYSSEY_DATA'!B:AR,11,FALSE)</f>
        <v>469.4</v>
      </c>
      <c r="I85" s="333">
        <f>VLOOKUP(B85,'26MY_ODYSSEY_DATA'!B:AR,12,FALSE)</f>
        <v>0</v>
      </c>
      <c r="J85" s="333" t="str">
        <f>VLOOKUP(B85,'26MY_ODYSSEY_DATA'!B:AR,13,FALSE)</f>
        <v>N/A</v>
      </c>
      <c r="K85" s="333" t="str">
        <f>VLOOKUP(B85,'26MY_ODYSSEY_DATA'!B:AR,14,FALSE)</f>
        <v>N/A</v>
      </c>
      <c r="L85" s="333" t="str">
        <f>VLOOKUP(B85,'26MY_ODYSSEY_DATA'!B:AR,15,FALSE)</f>
        <v>•</v>
      </c>
      <c r="M85" s="333" t="str">
        <f>VLOOKUP(B85,'26MY_ODYSSEY_DATA'!B:AR,16,FALSE)</f>
        <v>•</v>
      </c>
      <c r="N85" s="333">
        <f>VLOOKUP($B85,'26MY_ODYSSEY_DATA'!$B:$AR,17,FALSE)</f>
        <v>0</v>
      </c>
      <c r="O85" s="333">
        <f>VLOOKUP($B85,'26MY_ODYSSEY_DATA'!$B:$AR,18,FALSE)</f>
        <v>0</v>
      </c>
      <c r="P85" s="333">
        <f>VLOOKUP($B85,'26MY_ODYSSEY_DATA'!$B:$AR,19,FALSE)</f>
        <v>0</v>
      </c>
      <c r="Q85" s="372"/>
    </row>
    <row r="86" spans="2:17" s="132" customFormat="1" ht="15" customHeight="1">
      <c r="B86" s="175" t="s">
        <v>280</v>
      </c>
      <c r="C86" s="198" t="str">
        <f>VLOOKUP(B86,'26MY_ODYSSEY_DATA'!B:AR,3,FALSE)</f>
        <v>Radiant Red Metallic II (R-580M)</v>
      </c>
      <c r="D86" s="79" t="str">
        <f t="shared" si="22"/>
        <v>08P05-THR-1A1</v>
      </c>
      <c r="E86" s="323">
        <f>VLOOKUP(B86,'26MY_ODYSSEY_DATA'!B:AR,9,FALSE)</f>
        <v>238</v>
      </c>
      <c r="F86" s="323">
        <f>VLOOKUP(B86,'26MY_ODYSSEY_DATA'!B:AR,10,FALSE)</f>
        <v>397</v>
      </c>
      <c r="G86" s="332">
        <f>VLOOKUP(B86,'26MY_ODYSSEY_DATA'!B:AR,7,FALSE)</f>
        <v>0.4</v>
      </c>
      <c r="H86" s="324">
        <f>VLOOKUP(B86,'26MY_ODYSSEY_DATA'!B:AR,11,FALSE)</f>
        <v>469.4</v>
      </c>
      <c r="I86" s="333">
        <f>VLOOKUP(B86,'26MY_ODYSSEY_DATA'!B:AR,12,FALSE)</f>
        <v>0</v>
      </c>
      <c r="J86" s="333" t="str">
        <f>VLOOKUP(B86,'26MY_ODYSSEY_DATA'!B:AR,13,FALSE)</f>
        <v>N/A</v>
      </c>
      <c r="K86" s="333" t="str">
        <f>VLOOKUP(B86,'26MY_ODYSSEY_DATA'!B:AR,14,FALSE)</f>
        <v>N/A</v>
      </c>
      <c r="L86" s="333" t="str">
        <f>VLOOKUP(B86,'26MY_ODYSSEY_DATA'!B:AR,15,FALSE)</f>
        <v>N/A</v>
      </c>
      <c r="M86" s="333" t="str">
        <f>VLOOKUP(B86,'26MY_ODYSSEY_DATA'!B:AR,16,FALSE)</f>
        <v>•</v>
      </c>
      <c r="N86" s="333">
        <f>VLOOKUP($B86,'26MY_ODYSSEY_DATA'!$B:$AR,17,FALSE)</f>
        <v>0</v>
      </c>
      <c r="O86" s="333">
        <f>VLOOKUP($B86,'26MY_ODYSSEY_DATA'!$B:$AR,18,FALSE)</f>
        <v>0</v>
      </c>
      <c r="P86" s="333">
        <f>VLOOKUP($B86,'26MY_ODYSSEY_DATA'!$B:$AR,19,FALSE)</f>
        <v>0</v>
      </c>
      <c r="Q86" s="372"/>
    </row>
    <row r="87" spans="2:17" s="132" customFormat="1" ht="15" customHeight="1">
      <c r="B87" s="175" t="s">
        <v>281</v>
      </c>
      <c r="C87" s="198" t="str">
        <f>VLOOKUP(B87,'26MY_ODYSSEY_DATA'!B:AR,3,FALSE)</f>
        <v>Solar Reflection Silver (NH-932M)</v>
      </c>
      <c r="D87" s="79" t="str">
        <f t="shared" si="22"/>
        <v>08P05-THR-1C1</v>
      </c>
      <c r="E87" s="323">
        <f>VLOOKUP(B87,'26MY_ODYSSEY_DATA'!B:AR,9,FALSE)</f>
        <v>238</v>
      </c>
      <c r="F87" s="323">
        <f>VLOOKUP(B87,'26MY_ODYSSEY_DATA'!B:AR,10,FALSE)</f>
        <v>397</v>
      </c>
      <c r="G87" s="332">
        <f>VLOOKUP(B87,'26MY_ODYSSEY_DATA'!B:AR,7,FALSE)</f>
        <v>0.4</v>
      </c>
      <c r="H87" s="324">
        <f>VLOOKUP(B87,'26MY_ODYSSEY_DATA'!B:AR,11,FALSE)</f>
        <v>469.4</v>
      </c>
      <c r="I87" s="333">
        <f>VLOOKUP(B87,'26MY_ODYSSEY_DATA'!B:AR,12,FALSE)</f>
        <v>0</v>
      </c>
      <c r="J87" s="333" t="str">
        <f>VLOOKUP(B87,'26MY_ODYSSEY_DATA'!B:AR,13,FALSE)</f>
        <v>•</v>
      </c>
      <c r="K87" s="333" t="str">
        <f>VLOOKUP(B87,'26MY_ODYSSEY_DATA'!B:AR,14,FALSE)</f>
        <v>•</v>
      </c>
      <c r="L87" s="333" t="str">
        <f>VLOOKUP(B87,'26MY_ODYSSEY_DATA'!B:AR,15,FALSE)</f>
        <v>•</v>
      </c>
      <c r="M87" s="333" t="str">
        <f>VLOOKUP(B87,'26MY_ODYSSEY_DATA'!B:AR,16,FALSE)</f>
        <v>N/A</v>
      </c>
      <c r="N87" s="333">
        <f>VLOOKUP($B87,'26MY_ODYSSEY_DATA'!$B:$AR,17,FALSE)</f>
        <v>0</v>
      </c>
      <c r="O87" s="333">
        <f>VLOOKUP($B87,'26MY_ODYSSEY_DATA'!$B:$AR,18,FALSE)</f>
        <v>0</v>
      </c>
      <c r="P87" s="333">
        <f>VLOOKUP($B87,'26MY_ODYSSEY_DATA'!$B:$AR,19,FALSE)</f>
        <v>0</v>
      </c>
      <c r="Q87" s="373"/>
    </row>
    <row r="88" spans="2:17" s="132" customFormat="1" ht="15" customHeight="1">
      <c r="B88" s="175" t="s">
        <v>311</v>
      </c>
      <c r="C88" s="199" t="str">
        <f>VLOOKUP(B88,'26MY_ODYSSEY_DATA'!B:AR,3,FALSE)</f>
        <v>Door Edge Guards</v>
      </c>
      <c r="D88" s="188"/>
      <c r="E88" s="188"/>
      <c r="F88" s="188"/>
      <c r="G88" s="188"/>
      <c r="H88" s="188"/>
      <c r="I88" s="188"/>
      <c r="J88" s="188"/>
      <c r="K88" s="188"/>
      <c r="L88" s="188"/>
      <c r="M88" s="188"/>
      <c r="N88" s="188"/>
      <c r="O88" s="188"/>
      <c r="P88" s="188"/>
      <c r="Q88" s="194"/>
    </row>
    <row r="89" spans="2:17" s="132" customFormat="1" ht="15" customHeight="1">
      <c r="B89" s="175" t="s">
        <v>283</v>
      </c>
      <c r="C89" s="198" t="str">
        <f>VLOOKUP(B89,'26MY_ODYSSEY_DATA'!B:AR,3,FALSE)</f>
        <v>Platinum White Pearl (NH-883P)</v>
      </c>
      <c r="D89" s="79" t="str">
        <f t="shared" ref="D89" si="23">B89</f>
        <v>08P20-THR-190A</v>
      </c>
      <c r="E89" s="323">
        <f>VLOOKUP(B89,'26MY_ODYSSEY_DATA'!B:AR,9,FALSE)</f>
        <v>90</v>
      </c>
      <c r="F89" s="323">
        <f>VLOOKUP(B89,'26MY_ODYSSEY_DATA'!B:AR,10,FALSE)</f>
        <v>150</v>
      </c>
      <c r="G89" s="332">
        <f>VLOOKUP(B89,'26MY_ODYSSEY_DATA'!B:AR,7,FALSE)</f>
        <v>0.3</v>
      </c>
      <c r="H89" s="324">
        <f>VLOOKUP(B89,'26MY_ODYSSEY_DATA'!B:AR,11,FALSE)</f>
        <v>204.3</v>
      </c>
      <c r="I89" s="333">
        <f>VLOOKUP(B89,'26MY_ODYSSEY_DATA'!B:AR,12,FALSE)</f>
        <v>0</v>
      </c>
      <c r="J89" s="333" t="str">
        <f>VLOOKUP(B89,'26MY_ODYSSEY_DATA'!B:AR,13,FALSE)</f>
        <v>•</v>
      </c>
      <c r="K89" s="333" t="str">
        <f>VLOOKUP(B89,'26MY_ODYSSEY_DATA'!B:AR,14,FALSE)</f>
        <v>•</v>
      </c>
      <c r="L89" s="333" t="str">
        <f>VLOOKUP(B89,'26MY_ODYSSEY_DATA'!B:AR,15,FALSE)</f>
        <v>•</v>
      </c>
      <c r="M89" s="333" t="str">
        <f>VLOOKUP(B89,'26MY_ODYSSEY_DATA'!B:AR,16,FALSE)</f>
        <v>•</v>
      </c>
      <c r="N89" s="333">
        <f>VLOOKUP($B89,'26MY_ODYSSEY_DATA'!$B:$AR,17,FALSE)</f>
        <v>0</v>
      </c>
      <c r="O89" s="333">
        <f>VLOOKUP($B89,'26MY_ODYSSEY_DATA'!$B:$AR,18,FALSE)</f>
        <v>0</v>
      </c>
      <c r="P89" s="333">
        <f>VLOOKUP($B89,'26MY_ODYSSEY_DATA'!$B:$AR,19,FALSE)</f>
        <v>0</v>
      </c>
      <c r="Q89" s="371" t="str">
        <f>IF(VLOOKUP(B89,'26MY_ODYSSEY_DATA'!B:AR,20,FALSE)="","",VLOOKUP(B89,'26MY_ODYSSEY_DATA'!B:AR,20,FALSE))</f>
        <v/>
      </c>
    </row>
    <row r="90" spans="2:17" s="132" customFormat="1" ht="15" customHeight="1">
      <c r="B90" s="175" t="s">
        <v>282</v>
      </c>
      <c r="C90" s="198" t="str">
        <f>VLOOKUP(B90,'26MY_ODYSSEY_DATA'!B:AR,3,FALSE)</f>
        <v>Crystal Black Pearl (NH-731P)</v>
      </c>
      <c r="D90" s="79" t="str">
        <f t="shared" ref="D90:D94" si="24">B90</f>
        <v>08P20-THR-120A</v>
      </c>
      <c r="E90" s="323">
        <f>VLOOKUP(B90,'26MY_ODYSSEY_DATA'!B:AR,9,FALSE)</f>
        <v>90</v>
      </c>
      <c r="F90" s="323">
        <f>VLOOKUP(B90,'26MY_ODYSSEY_DATA'!B:AR,10,FALSE)</f>
        <v>150</v>
      </c>
      <c r="G90" s="332">
        <f>VLOOKUP(B90,'26MY_ODYSSEY_DATA'!B:AR,7,FALSE)</f>
        <v>0.3</v>
      </c>
      <c r="H90" s="324">
        <f>VLOOKUP(B90,'26MY_ODYSSEY_DATA'!B:AR,11,FALSE)</f>
        <v>204.3</v>
      </c>
      <c r="I90" s="333">
        <f>VLOOKUP(B90,'26MY_ODYSSEY_DATA'!B:AR,12,FALSE)</f>
        <v>0</v>
      </c>
      <c r="J90" s="333" t="str">
        <f>VLOOKUP(B90,'26MY_ODYSSEY_DATA'!B:AR,13,FALSE)</f>
        <v>•</v>
      </c>
      <c r="K90" s="333" t="str">
        <f>VLOOKUP(B90,'26MY_ODYSSEY_DATA'!B:AR,14,FALSE)</f>
        <v>N/A</v>
      </c>
      <c r="L90" s="333" t="str">
        <f>VLOOKUP(B90,'26MY_ODYSSEY_DATA'!B:AR,15,FALSE)</f>
        <v>N/A</v>
      </c>
      <c r="M90" s="333" t="str">
        <f>VLOOKUP(B90,'26MY_ODYSSEY_DATA'!B:AR,16,FALSE)</f>
        <v>•</v>
      </c>
      <c r="N90" s="333">
        <f>VLOOKUP($B90,'26MY_ODYSSEY_DATA'!$B:$AR,17,FALSE)</f>
        <v>0</v>
      </c>
      <c r="O90" s="333">
        <f>VLOOKUP($B90,'26MY_ODYSSEY_DATA'!$B:$AR,18,FALSE)</f>
        <v>0</v>
      </c>
      <c r="P90" s="333">
        <f>VLOOKUP($B90,'26MY_ODYSSEY_DATA'!$B:$AR,19,FALSE)</f>
        <v>0</v>
      </c>
      <c r="Q90" s="372"/>
    </row>
    <row r="91" spans="2:17" s="132" customFormat="1" ht="15" customHeight="1">
      <c r="B91" s="175" t="s">
        <v>284</v>
      </c>
      <c r="C91" s="198" t="str">
        <f>VLOOKUP(B91,'26MY_ODYSSEY_DATA'!B:AR,3,FALSE)</f>
        <v>Modern Steel Metallic (NH-797M)</v>
      </c>
      <c r="D91" s="79" t="str">
        <f t="shared" si="24"/>
        <v>08P20-THR-130A</v>
      </c>
      <c r="E91" s="323">
        <f>VLOOKUP(B91,'26MY_ODYSSEY_DATA'!B:AR,9,FALSE)</f>
        <v>90</v>
      </c>
      <c r="F91" s="323">
        <f>VLOOKUP(B91,'26MY_ODYSSEY_DATA'!B:AR,10,FALSE)</f>
        <v>150</v>
      </c>
      <c r="G91" s="332">
        <f>VLOOKUP(B91,'26MY_ODYSSEY_DATA'!B:AR,7,FALSE)</f>
        <v>0.3</v>
      </c>
      <c r="H91" s="324">
        <f>VLOOKUP(B91,'26MY_ODYSSEY_DATA'!B:AR,11,FALSE)</f>
        <v>204.3</v>
      </c>
      <c r="I91" s="333">
        <f>VLOOKUP(B91,'26MY_ODYSSEY_DATA'!B:AR,12,FALSE)</f>
        <v>0</v>
      </c>
      <c r="J91" s="333" t="str">
        <f>VLOOKUP(B91,'26MY_ODYSSEY_DATA'!B:AR,13,FALSE)</f>
        <v>N/A</v>
      </c>
      <c r="K91" s="333" t="str">
        <f>VLOOKUP(B91,'26MY_ODYSSEY_DATA'!B:AR,14,FALSE)</f>
        <v>•</v>
      </c>
      <c r="L91" s="333" t="str">
        <f>VLOOKUP(B91,'26MY_ODYSSEY_DATA'!B:AR,15,FALSE)</f>
        <v>•</v>
      </c>
      <c r="M91" s="333" t="str">
        <f>VLOOKUP(B91,'26MY_ODYSSEY_DATA'!B:AR,16,FALSE)</f>
        <v>N/A</v>
      </c>
      <c r="N91" s="333">
        <f>VLOOKUP($B91,'26MY_ODYSSEY_DATA'!$B:$AR,17,FALSE)</f>
        <v>0</v>
      </c>
      <c r="O91" s="333">
        <f>VLOOKUP($B91,'26MY_ODYSSEY_DATA'!$B:$AR,18,FALSE)</f>
        <v>0</v>
      </c>
      <c r="P91" s="333">
        <f>VLOOKUP($B91,'26MY_ODYSSEY_DATA'!$B:$AR,19,FALSE)</f>
        <v>0</v>
      </c>
      <c r="Q91" s="372"/>
    </row>
    <row r="92" spans="2:17" s="132" customFormat="1" ht="15" customHeight="1">
      <c r="B92" s="175" t="s">
        <v>285</v>
      </c>
      <c r="C92" s="198" t="str">
        <f>VLOOKUP(B92,'26MY_ODYSSEY_DATA'!B:AR,3,FALSE)</f>
        <v>Sonic Gray Pearl (NH-877P)</v>
      </c>
      <c r="D92" s="79" t="str">
        <f t="shared" si="24"/>
        <v>08P20-THR-1B0A</v>
      </c>
      <c r="E92" s="323">
        <f>VLOOKUP(B92,'26MY_ODYSSEY_DATA'!B:AR,9,FALSE)</f>
        <v>90</v>
      </c>
      <c r="F92" s="323">
        <f>VLOOKUP(B92,'26MY_ODYSSEY_DATA'!B:AR,10,FALSE)</f>
        <v>150</v>
      </c>
      <c r="G92" s="332">
        <f>VLOOKUP(B92,'26MY_ODYSSEY_DATA'!B:AR,7,FALSE)</f>
        <v>0.3</v>
      </c>
      <c r="H92" s="324">
        <f>VLOOKUP(B92,'26MY_ODYSSEY_DATA'!B:AR,11,FALSE)</f>
        <v>204.3</v>
      </c>
      <c r="I92" s="333">
        <f>VLOOKUP(B92,'26MY_ODYSSEY_DATA'!B:AR,12,FALSE)</f>
        <v>0</v>
      </c>
      <c r="J92" s="333" t="str">
        <f>VLOOKUP(B92,'26MY_ODYSSEY_DATA'!B:AR,13,FALSE)</f>
        <v>N/A</v>
      </c>
      <c r="K92" s="333" t="str">
        <f>VLOOKUP(B92,'26MY_ODYSSEY_DATA'!B:AR,14,FALSE)</f>
        <v>N/A</v>
      </c>
      <c r="L92" s="333" t="str">
        <f>VLOOKUP(B92,'26MY_ODYSSEY_DATA'!B:AR,15,FALSE)</f>
        <v>•</v>
      </c>
      <c r="M92" s="333" t="str">
        <f>VLOOKUP(B92,'26MY_ODYSSEY_DATA'!B:AR,16,FALSE)</f>
        <v>•</v>
      </c>
      <c r="N92" s="333">
        <f>VLOOKUP($B92,'26MY_ODYSSEY_DATA'!$B:$AR,17,FALSE)</f>
        <v>0</v>
      </c>
      <c r="O92" s="333">
        <f>VLOOKUP($B92,'26MY_ODYSSEY_DATA'!$B:$AR,18,FALSE)</f>
        <v>0</v>
      </c>
      <c r="P92" s="333">
        <f>VLOOKUP($B92,'26MY_ODYSSEY_DATA'!$B:$AR,19,FALSE)</f>
        <v>0</v>
      </c>
      <c r="Q92" s="372"/>
    </row>
    <row r="93" spans="2:17" ht="14.4">
      <c r="B93" s="172" t="s">
        <v>286</v>
      </c>
      <c r="C93" s="198" t="str">
        <f>VLOOKUP(B93,'26MY_ODYSSEY_DATA'!B:AR,3,FALSE)</f>
        <v>Radiant Red Metallic II (R-580M)</v>
      </c>
      <c r="D93" s="79" t="str">
        <f t="shared" si="24"/>
        <v>08P20-THR-1A0A</v>
      </c>
      <c r="E93" s="323">
        <f>VLOOKUP(B93,'26MY_ODYSSEY_DATA'!B:AR,9,FALSE)</f>
        <v>79</v>
      </c>
      <c r="F93" s="323">
        <f>VLOOKUP(B93,'26MY_ODYSSEY_DATA'!B:AR,10,FALSE)</f>
        <v>145</v>
      </c>
      <c r="G93" s="332">
        <f>VLOOKUP(B93,'26MY_ODYSSEY_DATA'!B:AR,7,FALSE)</f>
        <v>0.3</v>
      </c>
      <c r="H93" s="324">
        <f>VLOOKUP(B93,'26MY_ODYSSEY_DATA'!B:AR,11,FALSE)</f>
        <v>199.3</v>
      </c>
      <c r="I93" s="333">
        <f>VLOOKUP(B93,'26MY_ODYSSEY_DATA'!B:AR,12,FALSE)</f>
        <v>0</v>
      </c>
      <c r="J93" s="333" t="str">
        <f>VLOOKUP(B93,'26MY_ODYSSEY_DATA'!B:AR,13,FALSE)</f>
        <v>N/A</v>
      </c>
      <c r="K93" s="333" t="str">
        <f>VLOOKUP(B93,'26MY_ODYSSEY_DATA'!B:AR,14,FALSE)</f>
        <v>N/A</v>
      </c>
      <c r="L93" s="333" t="str">
        <f>VLOOKUP(B93,'26MY_ODYSSEY_DATA'!B:AR,15,FALSE)</f>
        <v>N/A</v>
      </c>
      <c r="M93" s="333" t="str">
        <f>VLOOKUP(B93,'26MY_ODYSSEY_DATA'!B:AR,16,FALSE)</f>
        <v>•</v>
      </c>
      <c r="N93" s="333">
        <f>VLOOKUP($B93,'26MY_ODYSSEY_DATA'!$B:$AR,17,FALSE)</f>
        <v>0</v>
      </c>
      <c r="O93" s="333">
        <f>VLOOKUP($B93,'26MY_ODYSSEY_DATA'!$B:$AR,18,FALSE)</f>
        <v>0</v>
      </c>
      <c r="P93" s="333">
        <f>VLOOKUP($B93,'26MY_ODYSSEY_DATA'!$B:$AR,19,FALSE)</f>
        <v>0</v>
      </c>
      <c r="Q93" s="372"/>
    </row>
    <row r="94" spans="2:17" ht="14.4">
      <c r="B94" s="172" t="s">
        <v>287</v>
      </c>
      <c r="C94" s="198" t="str">
        <f>VLOOKUP(B94,'26MY_ODYSSEY_DATA'!B:AR,3,FALSE)</f>
        <v>Solar Reflection Silver (NH-932M)</v>
      </c>
      <c r="D94" s="79" t="str">
        <f t="shared" si="24"/>
        <v>08P20-THR-1C0A</v>
      </c>
      <c r="E94" s="323">
        <f>VLOOKUP(B94,'26MY_ODYSSEY_DATA'!B:AR,9,FALSE)</f>
        <v>90</v>
      </c>
      <c r="F94" s="323">
        <f>VLOOKUP(B94,'26MY_ODYSSEY_DATA'!B:AR,10,FALSE)</f>
        <v>150</v>
      </c>
      <c r="G94" s="332">
        <f>VLOOKUP(B94,'26MY_ODYSSEY_DATA'!B:AR,7,FALSE)</f>
        <v>0.3</v>
      </c>
      <c r="H94" s="324">
        <f>VLOOKUP(B94,'26MY_ODYSSEY_DATA'!B:AR,11,FALSE)</f>
        <v>204.3</v>
      </c>
      <c r="I94" s="333">
        <f>VLOOKUP(B94,'26MY_ODYSSEY_DATA'!B:AR,12,FALSE)</f>
        <v>0</v>
      </c>
      <c r="J94" s="333" t="str">
        <f>VLOOKUP(B94,'26MY_ODYSSEY_DATA'!B:AR,13,FALSE)</f>
        <v>•</v>
      </c>
      <c r="K94" s="333" t="str">
        <f>VLOOKUP(B94,'26MY_ODYSSEY_DATA'!B:AR,14,FALSE)</f>
        <v>•</v>
      </c>
      <c r="L94" s="333" t="str">
        <f>VLOOKUP(B94,'26MY_ODYSSEY_DATA'!B:AR,15,FALSE)</f>
        <v>•</v>
      </c>
      <c r="M94" s="333" t="str">
        <f>VLOOKUP(B94,'26MY_ODYSSEY_DATA'!B:AR,16,FALSE)</f>
        <v>N/A</v>
      </c>
      <c r="N94" s="333">
        <f>VLOOKUP($B94,'26MY_ODYSSEY_DATA'!$B:$AR,17,FALSE)</f>
        <v>0</v>
      </c>
      <c r="O94" s="333">
        <f>VLOOKUP($B94,'26MY_ODYSSEY_DATA'!$B:$AR,18,FALSE)</f>
        <v>0</v>
      </c>
      <c r="P94" s="333">
        <f>VLOOKUP($B94,'26MY_ODYSSEY_DATA'!$B:$AR,19,FALSE)</f>
        <v>0</v>
      </c>
      <c r="Q94" s="373"/>
    </row>
    <row r="95" spans="2:17" s="132" customFormat="1" ht="15" customHeight="1">
      <c r="B95" s="175"/>
      <c r="C95" s="127"/>
      <c r="D95" s="127"/>
      <c r="E95" s="137"/>
      <c r="F95" s="137"/>
      <c r="G95" s="192"/>
      <c r="H95" s="137"/>
      <c r="I95" s="137"/>
      <c r="J95" s="137"/>
      <c r="K95" s="137"/>
      <c r="L95" s="137"/>
      <c r="M95" s="137"/>
      <c r="N95" s="137"/>
      <c r="O95" s="137"/>
      <c r="P95" s="137"/>
      <c r="Q95" s="339"/>
    </row>
    <row r="96" spans="2:17" s="130" customFormat="1" ht="18">
      <c r="B96" s="175"/>
      <c r="C96" s="149" t="s">
        <v>65</v>
      </c>
      <c r="D96" s="149"/>
      <c r="E96" s="193"/>
      <c r="F96" s="193"/>
      <c r="G96" s="193"/>
      <c r="H96" s="193"/>
      <c r="I96" s="193"/>
      <c r="J96" s="193"/>
      <c r="K96" s="193"/>
      <c r="L96" s="193"/>
      <c r="M96" s="193"/>
      <c r="N96" s="193"/>
      <c r="O96" s="193"/>
      <c r="P96" s="193"/>
      <c r="Q96" s="193"/>
    </row>
    <row r="97" spans="2:17" s="131" customFormat="1" ht="15" customHeight="1">
      <c r="B97" s="175"/>
      <c r="C97" s="374" t="s">
        <v>59</v>
      </c>
      <c r="D97" s="374" t="s">
        <v>10</v>
      </c>
      <c r="E97" s="374" t="s">
        <v>17</v>
      </c>
      <c r="F97" s="374" t="s">
        <v>11</v>
      </c>
      <c r="G97" s="374" t="s">
        <v>12</v>
      </c>
      <c r="H97" s="381" t="s">
        <v>13</v>
      </c>
      <c r="I97" s="374" t="s">
        <v>25</v>
      </c>
      <c r="J97" s="374"/>
      <c r="K97" s="374"/>
      <c r="L97" s="374"/>
      <c r="M97" s="374"/>
      <c r="N97" s="374"/>
      <c r="O97" s="374"/>
      <c r="P97" s="374"/>
      <c r="Q97" s="374" t="s">
        <v>14</v>
      </c>
    </row>
    <row r="98" spans="2:17" s="131" customFormat="1" ht="28.8">
      <c r="B98" s="175"/>
      <c r="C98" s="374"/>
      <c r="D98" s="374"/>
      <c r="E98" s="374"/>
      <c r="F98" s="374"/>
      <c r="G98" s="374"/>
      <c r="H98" s="381"/>
      <c r="I98" s="196">
        <f>'26MY_ODYSSEY_DATA'!M$6</f>
        <v>0</v>
      </c>
      <c r="J98" s="196" t="str">
        <f>'26MY_ODYSSEY_DATA'!N$6</f>
        <v>Sport</v>
      </c>
      <c r="K98" s="196" t="str">
        <f>'26MY_ODYSSEY_DATA'!O$6</f>
        <v>Sport-L</v>
      </c>
      <c r="L98" s="196" t="str">
        <f>'26MY_ODYSSEY_DATA'!P$6</f>
        <v>Touring</v>
      </c>
      <c r="M98" s="196" t="str">
        <f>'26MY_ODYSSEY_DATA'!Q$6</f>
        <v>Black Edition</v>
      </c>
      <c r="N98" s="196">
        <f>'26MY_ODYSSEY_DATA'!R$6</f>
        <v>0</v>
      </c>
      <c r="O98" s="196">
        <f>'26MY_ODYSSEY_DATA'!S$6</f>
        <v>0</v>
      </c>
      <c r="P98" s="196">
        <f>'26MY_ODYSSEY_DATA'!T$6</f>
        <v>0</v>
      </c>
      <c r="Q98" s="374"/>
    </row>
    <row r="99" spans="2:17" s="132" customFormat="1" ht="15" customHeight="1">
      <c r="B99" s="175" t="s">
        <v>318</v>
      </c>
      <c r="C99" s="177" t="str">
        <f>VLOOKUP(B99,'26MY_ODYSSEY_DATA'!B:AR,3,FALSE)</f>
        <v>All-Season Floor Mats - White Logo</v>
      </c>
      <c r="D99" s="79" t="str">
        <f t="shared" ref="D99" si="25">B99</f>
        <v>08P17-THR-110A</v>
      </c>
      <c r="E99" s="323">
        <f>VLOOKUP(B99,'26MY_ODYSSEY_DATA'!B:AR,9,FALSE)</f>
        <v>201</v>
      </c>
      <c r="F99" s="323">
        <f>VLOOKUP(B99,'26MY_ODYSSEY_DATA'!B:AR,10,FALSE)</f>
        <v>335</v>
      </c>
      <c r="G99" s="332">
        <f>VLOOKUP(B99,'26MY_ODYSSEY_DATA'!B:AR,7,FALSE)</f>
        <v>0.1</v>
      </c>
      <c r="H99" s="324">
        <f>VLOOKUP(B99,'26MY_ODYSSEY_DATA'!B:AR,11,FALSE)</f>
        <v>353.1</v>
      </c>
      <c r="I99" s="333">
        <f>VLOOKUP(B99,'26MY_ODYSSEY_DATA'!B:AR,12,FALSE)</f>
        <v>0</v>
      </c>
      <c r="J99" s="333" t="str">
        <f>VLOOKUP(B99,'26MY_ODYSSEY_DATA'!B:AR,13,FALSE)</f>
        <v>•</v>
      </c>
      <c r="K99" s="333" t="str">
        <f>VLOOKUP(B99,'26MY_ODYSSEY_DATA'!B:AR,14,FALSE)</f>
        <v>•</v>
      </c>
      <c r="L99" s="333" t="str">
        <f>VLOOKUP(B99,'26MY_ODYSSEY_DATA'!B:AR,15,FALSE)</f>
        <v>•</v>
      </c>
      <c r="M99" s="333" t="str">
        <f>VLOOKUP(B99,'26MY_ODYSSEY_DATA'!B:AR,16,FALSE)</f>
        <v>•</v>
      </c>
      <c r="N99" s="333">
        <f>VLOOKUP($B99,'26MY_ODYSSEY_DATA'!$B:$AR,17,FALSE)</f>
        <v>0</v>
      </c>
      <c r="O99" s="333">
        <f>VLOOKUP($B99,'26MY_ODYSSEY_DATA'!$B:$AR,18,FALSE)</f>
        <v>0</v>
      </c>
      <c r="P99" s="333">
        <f>VLOOKUP($B99,'26MY_ODYSSEY_DATA'!$B:$AR,19,FALSE)</f>
        <v>0</v>
      </c>
      <c r="Q99" s="338" t="str">
        <f>IF(VLOOKUP(B99,'26MY_ODYSSEY_DATA'!B:AR,20,FALSE)="","",VLOOKUP(B99,'26MY_ODYSSEY_DATA'!B:AR,20,FALSE))</f>
        <v>White Logo.</v>
      </c>
    </row>
    <row r="100" spans="2:17" s="132" customFormat="1" ht="15" customHeight="1">
      <c r="B100" s="175" t="s">
        <v>332</v>
      </c>
      <c r="C100" s="177" t="str">
        <f>VLOOKUP(B100,'26MY_ODYSSEY_DATA'!B:AR,3,FALSE)</f>
        <v>Cargo Tray - Deep</v>
      </c>
      <c r="D100" s="79" t="str">
        <f t="shared" ref="D100:D106" si="26">B100</f>
        <v>08U45-THR-100A</v>
      </c>
      <c r="E100" s="323">
        <f>VLOOKUP(B100,'26MY_ODYSSEY_DATA'!B:AR,9,FALSE)</f>
        <v>144</v>
      </c>
      <c r="F100" s="323">
        <f>VLOOKUP(B100,'26MY_ODYSSEY_DATA'!B:AR,10,FALSE)</f>
        <v>240</v>
      </c>
      <c r="G100" s="332">
        <f>VLOOKUP(B100,'26MY_ODYSSEY_DATA'!B:AR,7,FALSE)</f>
        <v>0.1</v>
      </c>
      <c r="H100" s="324">
        <f>VLOOKUP(B100,'26MY_ODYSSEY_DATA'!B:AR,11,FALSE)</f>
        <v>258.10000000000002</v>
      </c>
      <c r="I100" s="333">
        <f>VLOOKUP(B100,'26MY_ODYSSEY_DATA'!B:AR,12,FALSE)</f>
        <v>0</v>
      </c>
      <c r="J100" s="333" t="str">
        <f>VLOOKUP(B100,'26MY_ODYSSEY_DATA'!B:AR,13,FALSE)</f>
        <v>•</v>
      </c>
      <c r="K100" s="333" t="str">
        <f>VLOOKUP(B100,'26MY_ODYSSEY_DATA'!B:AR,14,FALSE)</f>
        <v>•</v>
      </c>
      <c r="L100" s="333" t="str">
        <f>VLOOKUP(B100,'26MY_ODYSSEY_DATA'!B:AR,15,FALSE)</f>
        <v>•</v>
      </c>
      <c r="M100" s="333" t="str">
        <f>VLOOKUP(B100,'26MY_ODYSSEY_DATA'!B:AR,16,FALSE)</f>
        <v>•</v>
      </c>
      <c r="N100" s="333">
        <f>VLOOKUP($B100,'26MY_ODYSSEY_DATA'!$B:$AR,17,FALSE)</f>
        <v>0</v>
      </c>
      <c r="O100" s="333">
        <f>VLOOKUP($B100,'26MY_ODYSSEY_DATA'!$B:$AR,18,FALSE)</f>
        <v>0</v>
      </c>
      <c r="P100" s="333">
        <f>VLOOKUP($B100,'26MY_ODYSSEY_DATA'!$B:$AR,19,FALSE)</f>
        <v>0</v>
      </c>
      <c r="Q100" s="338" t="str">
        <f>IF(VLOOKUP(B100,'26MY_ODYSSEY_DATA'!B:AR,20,FALSE)="","",VLOOKUP(B100,'26MY_ODYSSEY_DATA'!B:AR,20,FALSE))</f>
        <v/>
      </c>
    </row>
    <row r="101" spans="2:17" s="132" customFormat="1" ht="15" customHeight="1">
      <c r="B101" s="175" t="s">
        <v>335</v>
      </c>
      <c r="C101" s="177" t="str">
        <f>VLOOKUP(B101,'26MY_ODYSSEY_DATA'!B:AR,3,FALSE)</f>
        <v>Cargo Tray - Folding</v>
      </c>
      <c r="D101" s="79" t="str">
        <f t="shared" si="26"/>
        <v>08U45-THR-100B</v>
      </c>
      <c r="E101" s="323">
        <f>VLOOKUP(B101,'26MY_ODYSSEY_DATA'!B:AR,9,FALSE)</f>
        <v>165</v>
      </c>
      <c r="F101" s="323">
        <f>VLOOKUP(B101,'26MY_ODYSSEY_DATA'!B:AR,10,FALSE)</f>
        <v>275</v>
      </c>
      <c r="G101" s="332">
        <f>VLOOKUP(B101,'26MY_ODYSSEY_DATA'!B:AR,7,FALSE)</f>
        <v>0.1</v>
      </c>
      <c r="H101" s="324">
        <f>VLOOKUP(B101,'26MY_ODYSSEY_DATA'!B:AR,11,FALSE)</f>
        <v>293.10000000000002</v>
      </c>
      <c r="I101" s="333">
        <f>VLOOKUP(B101,'26MY_ODYSSEY_DATA'!B:AR,12,FALSE)</f>
        <v>0</v>
      </c>
      <c r="J101" s="333" t="str">
        <f>VLOOKUP(B101,'26MY_ODYSSEY_DATA'!B:AR,13,FALSE)</f>
        <v>•</v>
      </c>
      <c r="K101" s="333" t="str">
        <f>VLOOKUP(B101,'26MY_ODYSSEY_DATA'!B:AR,14,FALSE)</f>
        <v>•</v>
      </c>
      <c r="L101" s="333" t="str">
        <f>VLOOKUP(B101,'26MY_ODYSSEY_DATA'!B:AR,15,FALSE)</f>
        <v>•</v>
      </c>
      <c r="M101" s="333" t="str">
        <f>VLOOKUP(B101,'26MY_ODYSSEY_DATA'!B:AR,16,FALSE)</f>
        <v>•</v>
      </c>
      <c r="N101" s="333">
        <f>VLOOKUP($B101,'26MY_ODYSSEY_DATA'!$B:$AR,17,FALSE)</f>
        <v>0</v>
      </c>
      <c r="O101" s="333">
        <f>VLOOKUP($B101,'26MY_ODYSSEY_DATA'!$B:$AR,18,FALSE)</f>
        <v>0</v>
      </c>
      <c r="P101" s="333">
        <f>VLOOKUP($B101,'26MY_ODYSSEY_DATA'!$B:$AR,19,FALSE)</f>
        <v>0</v>
      </c>
      <c r="Q101" s="338" t="str">
        <f>IF(VLOOKUP(B101,'26MY_ODYSSEY_DATA'!B:AR,20,FALSE)="","",VLOOKUP(B101,'26MY_ODYSSEY_DATA'!B:AR,20,FALSE))</f>
        <v/>
      </c>
    </row>
    <row r="102" spans="2:17" s="132" customFormat="1" ht="15" customHeight="1">
      <c r="B102" s="175" t="s">
        <v>321</v>
      </c>
      <c r="C102" s="177" t="str">
        <f>VLOOKUP(B102,'26MY_ODYSSEY_DATA'!B:AR,3,FALSE)</f>
        <v>Cargo Bins</v>
      </c>
      <c r="D102" s="79" t="str">
        <f t="shared" si="26"/>
        <v>08U45-THR-300</v>
      </c>
      <c r="E102" s="323">
        <f>VLOOKUP(B102,'26MY_ODYSSEY_DATA'!B:AR,9,FALSE)</f>
        <v>424</v>
      </c>
      <c r="F102" s="323">
        <f>VLOOKUP(B102,'26MY_ODYSSEY_DATA'!B:AR,10,FALSE)</f>
        <v>707</v>
      </c>
      <c r="G102" s="332">
        <f>VLOOKUP(B102,'26MY_ODYSSEY_DATA'!B:AR,7,FALSE)</f>
        <v>0.1</v>
      </c>
      <c r="H102" s="324">
        <f>VLOOKUP(B102,'26MY_ODYSSEY_DATA'!B:AR,11,FALSE)</f>
        <v>725.1</v>
      </c>
      <c r="I102" s="333">
        <f>VLOOKUP(B102,'26MY_ODYSSEY_DATA'!B:AR,12,FALSE)</f>
        <v>0</v>
      </c>
      <c r="J102" s="333" t="str">
        <f>VLOOKUP(B102,'26MY_ODYSSEY_DATA'!B:AR,13,FALSE)</f>
        <v>•</v>
      </c>
      <c r="K102" s="333" t="str">
        <f>VLOOKUP(B102,'26MY_ODYSSEY_DATA'!B:AR,14,FALSE)</f>
        <v>•</v>
      </c>
      <c r="L102" s="333" t="str">
        <f>VLOOKUP(B102,'26MY_ODYSSEY_DATA'!B:AR,15,FALSE)</f>
        <v>•</v>
      </c>
      <c r="M102" s="333" t="str">
        <f>VLOOKUP(B102,'26MY_ODYSSEY_DATA'!B:AR,16,FALSE)</f>
        <v>•</v>
      </c>
      <c r="N102" s="333">
        <f>VLOOKUP($B102,'26MY_ODYSSEY_DATA'!$B:$AR,17,FALSE)</f>
        <v>0</v>
      </c>
      <c r="O102" s="333">
        <f>VLOOKUP($B102,'26MY_ODYSSEY_DATA'!$B:$AR,18,FALSE)</f>
        <v>0</v>
      </c>
      <c r="P102" s="333">
        <f>VLOOKUP($B102,'26MY_ODYSSEY_DATA'!$B:$AR,19,FALSE)</f>
        <v>0</v>
      </c>
      <c r="Q102" s="338" t="str">
        <f>IF(VLOOKUP(B102,'26MY_ODYSSEY_DATA'!B:AR,20,FALSE)="","",VLOOKUP(B102,'26MY_ODYSSEY_DATA'!B:AR,20,FALSE))</f>
        <v/>
      </c>
    </row>
    <row r="103" spans="2:17" s="132" customFormat="1" ht="15" customHeight="1">
      <c r="B103" s="175" t="s">
        <v>325</v>
      </c>
      <c r="C103" s="177" t="str">
        <f>VLOOKUP(B103,'26MY_ODYSSEY_DATA'!B:AR,3,FALSE)</f>
        <v>Cargo Liner</v>
      </c>
      <c r="D103" s="79" t="str">
        <f t="shared" si="26"/>
        <v>08P42-THR-100</v>
      </c>
      <c r="E103" s="323">
        <f>VLOOKUP(B103,'26MY_ODYSSEY_DATA'!B:AR,9,FALSE)</f>
        <v>303</v>
      </c>
      <c r="F103" s="323">
        <f>VLOOKUP(B103,'26MY_ODYSSEY_DATA'!B:AR,10,FALSE)</f>
        <v>433</v>
      </c>
      <c r="G103" s="332">
        <f>VLOOKUP(B103,'26MY_ODYSSEY_DATA'!B:AR,7,FALSE)</f>
        <v>1.2</v>
      </c>
      <c r="H103" s="324">
        <f>VLOOKUP(B103,'26MY_ODYSSEY_DATA'!B:AR,11,FALSE)</f>
        <v>650.20000000000005</v>
      </c>
      <c r="I103" s="333">
        <f>VLOOKUP(B103,'26MY_ODYSSEY_DATA'!B:AR,12,FALSE)</f>
        <v>0</v>
      </c>
      <c r="J103" s="333" t="str">
        <f>VLOOKUP(B103,'26MY_ODYSSEY_DATA'!B:AR,13,FALSE)</f>
        <v>•</v>
      </c>
      <c r="K103" s="333" t="str">
        <f>VLOOKUP(B103,'26MY_ODYSSEY_DATA'!B:AR,14,FALSE)</f>
        <v>•</v>
      </c>
      <c r="L103" s="333" t="str">
        <f>VLOOKUP(B103,'26MY_ODYSSEY_DATA'!B:AR,15,FALSE)</f>
        <v>•</v>
      </c>
      <c r="M103" s="333" t="str">
        <f>VLOOKUP(B103,'26MY_ODYSSEY_DATA'!B:AR,16,FALSE)</f>
        <v>•</v>
      </c>
      <c r="N103" s="333">
        <f>VLOOKUP($B103,'26MY_ODYSSEY_DATA'!$B:$AR,17,FALSE)</f>
        <v>0</v>
      </c>
      <c r="O103" s="333">
        <f>VLOOKUP($B103,'26MY_ODYSSEY_DATA'!$B:$AR,18,FALSE)</f>
        <v>0</v>
      </c>
      <c r="P103" s="333">
        <f>VLOOKUP($B103,'26MY_ODYSSEY_DATA'!$B:$AR,19,FALSE)</f>
        <v>0</v>
      </c>
      <c r="Q103" s="338" t="str">
        <f>IF(VLOOKUP(B103,'26MY_ODYSSEY_DATA'!B:AR,20,FALSE)="","",VLOOKUP(B103,'26MY_ODYSSEY_DATA'!B:AR,20,FALSE))</f>
        <v/>
      </c>
    </row>
    <row r="104" spans="2:17" s="132" customFormat="1" ht="15" customHeight="1">
      <c r="B104" s="175" t="s">
        <v>330</v>
      </c>
      <c r="C104" s="177" t="str">
        <f>VLOOKUP(B104,'26MY_ODYSSEY_DATA'!B:AR,3,FALSE)</f>
        <v>Cargo Net</v>
      </c>
      <c r="D104" s="79" t="str">
        <f t="shared" si="26"/>
        <v>08L96-THR-100</v>
      </c>
      <c r="E104" s="323">
        <f>VLOOKUP(B104,'26MY_ODYSSEY_DATA'!B:AR,9,FALSE)</f>
        <v>44</v>
      </c>
      <c r="F104" s="323">
        <f>VLOOKUP(B104,'26MY_ODYSSEY_DATA'!B:AR,10,FALSE)</f>
        <v>73</v>
      </c>
      <c r="G104" s="332">
        <f>VLOOKUP(B104,'26MY_ODYSSEY_DATA'!B:AR,7,FALSE)</f>
        <v>0.1</v>
      </c>
      <c r="H104" s="324">
        <f>VLOOKUP(B104,'26MY_ODYSSEY_DATA'!B:AR,11,FALSE)</f>
        <v>91.1</v>
      </c>
      <c r="I104" s="333">
        <f>VLOOKUP(B104,'26MY_ODYSSEY_DATA'!B:AR,12,FALSE)</f>
        <v>0</v>
      </c>
      <c r="J104" s="333" t="str">
        <f>VLOOKUP(B104,'26MY_ODYSSEY_DATA'!B:AR,13,FALSE)</f>
        <v>•</v>
      </c>
      <c r="K104" s="333" t="str">
        <f>VLOOKUP(B104,'26MY_ODYSSEY_DATA'!B:AR,14,FALSE)</f>
        <v>•</v>
      </c>
      <c r="L104" s="333" t="str">
        <f>VLOOKUP(B104,'26MY_ODYSSEY_DATA'!B:AR,15,FALSE)</f>
        <v>•</v>
      </c>
      <c r="M104" s="333" t="str">
        <f>VLOOKUP(B104,'26MY_ODYSSEY_DATA'!B:AR,16,FALSE)</f>
        <v>•</v>
      </c>
      <c r="N104" s="333">
        <f>VLOOKUP($B104,'26MY_ODYSSEY_DATA'!$B:$AR,17,FALSE)</f>
        <v>0</v>
      </c>
      <c r="O104" s="333">
        <f>VLOOKUP($B104,'26MY_ODYSSEY_DATA'!$B:$AR,18,FALSE)</f>
        <v>0</v>
      </c>
      <c r="P104" s="333">
        <f>VLOOKUP($B104,'26MY_ODYSSEY_DATA'!$B:$AR,19,FALSE)</f>
        <v>0</v>
      </c>
      <c r="Q104" s="338" t="str">
        <f>IF(VLOOKUP(B104,'26MY_ODYSSEY_DATA'!B:AR,20,FALSE)="","",VLOOKUP(B104,'26MY_ODYSSEY_DATA'!B:AR,20,FALSE))</f>
        <v/>
      </c>
    </row>
    <row r="105" spans="2:17" s="132" customFormat="1" ht="15" customHeight="1">
      <c r="B105" s="175" t="s">
        <v>340</v>
      </c>
      <c r="C105" s="177" t="str">
        <f>VLOOKUP(B105,'26MY_ODYSSEY_DATA'!B:AR,3,FALSE)</f>
        <v>Seat Cover, 2nd Row (8P)</v>
      </c>
      <c r="D105" s="79" t="str">
        <f t="shared" si="26"/>
        <v>08P32-THR-310D</v>
      </c>
      <c r="E105" s="323">
        <f>VLOOKUP(B105,'26MY_ODYSSEY_DATA'!B:AR,9,FALSE)</f>
        <v>405</v>
      </c>
      <c r="F105" s="323">
        <f>VLOOKUP(B105,'26MY_ODYSSEY_DATA'!B:AR,10,FALSE)</f>
        <v>579</v>
      </c>
      <c r="G105" s="332">
        <f>VLOOKUP(B105,'26MY_ODYSSEY_DATA'!B:AR,7,FALSE)</f>
        <v>0.3</v>
      </c>
      <c r="H105" s="324">
        <f>VLOOKUP(B105,'26MY_ODYSSEY_DATA'!B:AR,11,FALSE)</f>
        <v>633.29999999999995</v>
      </c>
      <c r="I105" s="333">
        <f>VLOOKUP(B105,'26MY_ODYSSEY_DATA'!B:AR,12,FALSE)</f>
        <v>0</v>
      </c>
      <c r="J105" s="333" t="str">
        <f>VLOOKUP(B105,'26MY_ODYSSEY_DATA'!B:AR,13,FALSE)</f>
        <v>•</v>
      </c>
      <c r="K105" s="333" t="str">
        <f>VLOOKUP(B105,'26MY_ODYSSEY_DATA'!B:AR,14,FALSE)</f>
        <v>•</v>
      </c>
      <c r="L105" s="333" t="str">
        <f>VLOOKUP(B105,'26MY_ODYSSEY_DATA'!B:AR,15,FALSE)</f>
        <v>•</v>
      </c>
      <c r="M105" s="333" t="str">
        <f>VLOOKUP(B105,'26MY_ODYSSEY_DATA'!B:AR,16,FALSE)</f>
        <v>•</v>
      </c>
      <c r="N105" s="333">
        <f>VLOOKUP($B105,'26MY_ODYSSEY_DATA'!$B:$AR,17,FALSE)</f>
        <v>0</v>
      </c>
      <c r="O105" s="333">
        <f>VLOOKUP($B105,'26MY_ODYSSEY_DATA'!$B:$AR,18,FALSE)</f>
        <v>0</v>
      </c>
      <c r="P105" s="333">
        <f>VLOOKUP($B105,'26MY_ODYSSEY_DATA'!$B:$AR,19,FALSE)</f>
        <v>0</v>
      </c>
      <c r="Q105" s="338" t="str">
        <f>IF(VLOOKUP(B105,'26MY_ODYSSEY_DATA'!B:AR,20,FALSE)="","",VLOOKUP(B105,'26MY_ODYSSEY_DATA'!B:AR,20,FALSE))</f>
        <v>8 Passenger Seating.</v>
      </c>
    </row>
    <row r="106" spans="2:17" s="132" customFormat="1" ht="15" customHeight="1">
      <c r="B106" s="175" t="s">
        <v>343</v>
      </c>
      <c r="C106" s="177" t="str">
        <f>VLOOKUP(B106,'26MY_ODYSSEY_DATA'!B:AR,3,FALSE)</f>
        <v>Seat Cover, 3rd Row</v>
      </c>
      <c r="D106" s="79" t="str">
        <f t="shared" si="26"/>
        <v>08P32-THR-310F</v>
      </c>
      <c r="E106" s="323">
        <f>VLOOKUP(B106,'26MY_ODYSSEY_DATA'!B:AR,9,FALSE)</f>
        <v>312</v>
      </c>
      <c r="F106" s="323">
        <f>VLOOKUP(B106,'26MY_ODYSSEY_DATA'!B:AR,10,FALSE)</f>
        <v>446</v>
      </c>
      <c r="G106" s="332">
        <f>VLOOKUP(B106,'26MY_ODYSSEY_DATA'!B:AR,7,FALSE)</f>
        <v>0.2</v>
      </c>
      <c r="H106" s="324">
        <f>VLOOKUP(B106,'26MY_ODYSSEY_DATA'!B:AR,11,FALSE)</f>
        <v>482.2</v>
      </c>
      <c r="I106" s="333">
        <f>VLOOKUP(B106,'26MY_ODYSSEY_DATA'!B:AR,12,FALSE)</f>
        <v>0</v>
      </c>
      <c r="J106" s="333" t="str">
        <f>VLOOKUP(B106,'26MY_ODYSSEY_DATA'!B:AR,13,FALSE)</f>
        <v>•</v>
      </c>
      <c r="K106" s="333" t="str">
        <f>VLOOKUP(B106,'26MY_ODYSSEY_DATA'!B:AR,14,FALSE)</f>
        <v>•</v>
      </c>
      <c r="L106" s="333" t="str">
        <f>VLOOKUP(B106,'26MY_ODYSSEY_DATA'!B:AR,15,FALSE)</f>
        <v>•</v>
      </c>
      <c r="M106" s="333" t="str">
        <f>VLOOKUP(B106,'26MY_ODYSSEY_DATA'!B:AR,16,FALSE)</f>
        <v>•</v>
      </c>
      <c r="N106" s="333">
        <f>VLOOKUP($B106,'26MY_ODYSSEY_DATA'!$B:$AR,17,FALSE)</f>
        <v>0</v>
      </c>
      <c r="O106" s="333">
        <f>VLOOKUP($B106,'26MY_ODYSSEY_DATA'!$B:$AR,18,FALSE)</f>
        <v>0</v>
      </c>
      <c r="P106" s="333">
        <f>VLOOKUP($B106,'26MY_ODYSSEY_DATA'!$B:$AR,19,FALSE)</f>
        <v>0</v>
      </c>
      <c r="Q106" s="338" t="str">
        <f>IF(VLOOKUP(B106,'26MY_ODYSSEY_DATA'!B:AR,20,FALSE)="","",VLOOKUP(B106,'26MY_ODYSSEY_DATA'!B:AR,20,FALSE))</f>
        <v/>
      </c>
    </row>
    <row r="107" spans="2:17" s="132" customFormat="1" ht="12" customHeight="1">
      <c r="B107" s="175"/>
      <c r="C107" s="19"/>
      <c r="D107" s="27"/>
      <c r="E107" s="21"/>
      <c r="F107" s="21"/>
      <c r="G107" s="22"/>
      <c r="H107" s="23"/>
      <c r="I107" s="24"/>
      <c r="J107" s="24"/>
      <c r="K107" s="24"/>
      <c r="L107" s="24"/>
      <c r="M107" s="24"/>
      <c r="N107" s="24"/>
      <c r="O107" s="24"/>
      <c r="P107" s="24"/>
      <c r="Q107" s="25"/>
    </row>
    <row r="108" spans="2:17" s="130" customFormat="1" ht="18">
      <c r="B108" s="202"/>
      <c r="C108" s="149" t="s">
        <v>64</v>
      </c>
      <c r="D108" s="149"/>
      <c r="E108" s="48"/>
      <c r="F108" s="49"/>
      <c r="G108" s="49"/>
      <c r="H108" s="49"/>
      <c r="I108" s="49"/>
      <c r="J108" s="49"/>
      <c r="K108" s="49"/>
      <c r="L108" s="49"/>
      <c r="M108" s="49"/>
      <c r="N108" s="49"/>
      <c r="O108" s="49"/>
      <c r="P108" s="49"/>
      <c r="Q108" s="49"/>
    </row>
    <row r="109" spans="2:17" s="131" customFormat="1" ht="15" customHeight="1">
      <c r="B109" s="176"/>
      <c r="C109" s="374" t="s">
        <v>59</v>
      </c>
      <c r="D109" s="374" t="s">
        <v>10</v>
      </c>
      <c r="E109" s="374" t="s">
        <v>17</v>
      </c>
      <c r="F109" s="374" t="s">
        <v>11</v>
      </c>
      <c r="G109" s="374" t="s">
        <v>12</v>
      </c>
      <c r="H109" s="381" t="s">
        <v>13</v>
      </c>
      <c r="I109" s="374" t="s">
        <v>25</v>
      </c>
      <c r="J109" s="374"/>
      <c r="K109" s="374"/>
      <c r="L109" s="374"/>
      <c r="M109" s="374"/>
      <c r="N109" s="374"/>
      <c r="O109" s="374"/>
      <c r="P109" s="374"/>
      <c r="Q109" s="374" t="s">
        <v>14</v>
      </c>
    </row>
    <row r="110" spans="2:17" s="131" customFormat="1" ht="28.8">
      <c r="B110" s="176"/>
      <c r="C110" s="374"/>
      <c r="D110" s="374"/>
      <c r="E110" s="374"/>
      <c r="F110" s="374"/>
      <c r="G110" s="374"/>
      <c r="H110" s="381"/>
      <c r="I110" s="196">
        <f>'26MY_ODYSSEY_DATA'!M$6</f>
        <v>0</v>
      </c>
      <c r="J110" s="196" t="str">
        <f>'26MY_ODYSSEY_DATA'!N$6</f>
        <v>Sport</v>
      </c>
      <c r="K110" s="196" t="str">
        <f>'26MY_ODYSSEY_DATA'!O$6</f>
        <v>Sport-L</v>
      </c>
      <c r="L110" s="196" t="str">
        <f>'26MY_ODYSSEY_DATA'!P$6</f>
        <v>Touring</v>
      </c>
      <c r="M110" s="196" t="str">
        <f>'26MY_ODYSSEY_DATA'!Q$6</f>
        <v>Black Edition</v>
      </c>
      <c r="N110" s="196">
        <f>'26MY_ODYSSEY_DATA'!R$6</f>
        <v>0</v>
      </c>
      <c r="O110" s="196">
        <f>'26MY_ODYSSEY_DATA'!S$6</f>
        <v>0</v>
      </c>
      <c r="P110" s="196">
        <f>'26MY_ODYSSEY_DATA'!T$6</f>
        <v>0</v>
      </c>
      <c r="Q110" s="374"/>
    </row>
    <row r="111" spans="2:17" s="132" customFormat="1" ht="15" customHeight="1">
      <c r="B111" s="175" t="s">
        <v>399</v>
      </c>
      <c r="C111" s="177" t="str">
        <f>VLOOKUP(B111,'26MY_ODYSSEY_DATA'!B:AR,3,FALSE)</f>
        <v>Illuminated Door Sill Trim - Front &amp; Rear</v>
      </c>
      <c r="D111" s="79" t="str">
        <f t="shared" ref="D111" si="27">B111</f>
        <v>08E12-THR-100</v>
      </c>
      <c r="E111" s="323">
        <f>VLOOKUP(B111,'26MY_ODYSSEY_DATA'!B:AR,9,FALSE)</f>
        <v>579</v>
      </c>
      <c r="F111" s="323">
        <f>VLOOKUP(B111,'26MY_ODYSSEY_DATA'!B:AR,10,FALSE)</f>
        <v>891</v>
      </c>
      <c r="G111" s="332">
        <f>VLOOKUP(B111,'26MY_ODYSSEY_DATA'!B:AR,7,FALSE)</f>
        <v>1.2</v>
      </c>
      <c r="H111" s="324">
        <f>VLOOKUP(B111,'26MY_ODYSSEY_DATA'!B:AR,11,FALSE)</f>
        <v>1108.2</v>
      </c>
      <c r="I111" s="333">
        <f>VLOOKUP(B111,'26MY_ODYSSEY_DATA'!B:AR,12,FALSE)</f>
        <v>0</v>
      </c>
      <c r="J111" s="333" t="str">
        <f>VLOOKUP(B111,'26MY_ODYSSEY_DATA'!B:AR,13,FALSE)</f>
        <v>•</v>
      </c>
      <c r="K111" s="333" t="str">
        <f>VLOOKUP(B111,'26MY_ODYSSEY_DATA'!B:AR,14,FALSE)</f>
        <v>•</v>
      </c>
      <c r="L111" s="333" t="str">
        <f>VLOOKUP(B111,'26MY_ODYSSEY_DATA'!B:AR,15,FALSE)</f>
        <v>•</v>
      </c>
      <c r="M111" s="333" t="str">
        <f>VLOOKUP(B111,'26MY_ODYSSEY_DATA'!B:AR,16,FALSE)</f>
        <v>•</v>
      </c>
      <c r="N111" s="333">
        <f>VLOOKUP($B111,'26MY_ODYSSEY_DATA'!$B:$AR,17,FALSE)</f>
        <v>0</v>
      </c>
      <c r="O111" s="333">
        <f>VLOOKUP($B111,'26MY_ODYSSEY_DATA'!$B:$AR,18,FALSE)</f>
        <v>0</v>
      </c>
      <c r="P111" s="333">
        <f>VLOOKUP($B111,'26MY_ODYSSEY_DATA'!$B:$AR,19,FALSE)</f>
        <v>0</v>
      </c>
      <c r="Q111" s="338" t="str">
        <f>IF(VLOOKUP(B111,'26MY_ODYSSEY_DATA'!B:AR,20,FALSE)="","",VLOOKUP(B111,'26MY_ODYSSEY_DATA'!B:AR,20,FALSE))</f>
        <v>Front and Rear Doors Sills.</v>
      </c>
    </row>
    <row r="112" spans="2:17" s="132" customFormat="1" ht="15" customHeight="1">
      <c r="B112" s="175" t="s">
        <v>400</v>
      </c>
      <c r="C112" s="177" t="str">
        <f>VLOOKUP(B112,'26MY_ODYSSEY_DATA'!B:AR,3,FALSE)</f>
        <v>Illuminated Door Sill Trim - Front Only</v>
      </c>
      <c r="D112" s="79" t="str">
        <f t="shared" ref="D112:D121" si="28">B112</f>
        <v>08E12-THR-100A</v>
      </c>
      <c r="E112" s="323">
        <f>VLOOKUP(B112,'26MY_ODYSSEY_DATA'!B:AR,9,FALSE)</f>
        <v>138.99</v>
      </c>
      <c r="F112" s="323">
        <f>VLOOKUP(B112,'26MY_ODYSSEY_DATA'!B:AR,10,FALSE)</f>
        <v>390</v>
      </c>
      <c r="G112" s="332">
        <f>VLOOKUP(B112,'26MY_ODYSSEY_DATA'!B:AR,7,FALSE)</f>
        <v>0.8</v>
      </c>
      <c r="H112" s="324">
        <f>VLOOKUP(B112,'26MY_ODYSSEY_DATA'!B:AR,11,FALSE)</f>
        <v>534.79999999999995</v>
      </c>
      <c r="I112" s="333">
        <f>VLOOKUP(B112,'26MY_ODYSSEY_DATA'!B:AR,12,FALSE)</f>
        <v>0</v>
      </c>
      <c r="J112" s="333" t="str">
        <f>VLOOKUP(B112,'26MY_ODYSSEY_DATA'!B:AR,13,FALSE)</f>
        <v>•</v>
      </c>
      <c r="K112" s="333" t="str">
        <f>VLOOKUP(B112,'26MY_ODYSSEY_DATA'!B:AR,14,FALSE)</f>
        <v>•</v>
      </c>
      <c r="L112" s="333" t="str">
        <f>VLOOKUP(B112,'26MY_ODYSSEY_DATA'!B:AR,15,FALSE)</f>
        <v>•</v>
      </c>
      <c r="M112" s="333" t="str">
        <f>VLOOKUP(B112,'26MY_ODYSSEY_DATA'!B:AR,16,FALSE)</f>
        <v>•</v>
      </c>
      <c r="N112" s="333">
        <f>VLOOKUP($B112,'26MY_ODYSSEY_DATA'!$B:$AR,17,FALSE)</f>
        <v>0</v>
      </c>
      <c r="O112" s="333">
        <f>VLOOKUP($B112,'26MY_ODYSSEY_DATA'!$B:$AR,18,FALSE)</f>
        <v>0</v>
      </c>
      <c r="P112" s="333">
        <f>VLOOKUP($B112,'26MY_ODYSSEY_DATA'!$B:$AR,19,FALSE)</f>
        <v>0</v>
      </c>
      <c r="Q112" s="338" t="str">
        <f>IF(VLOOKUP(B112,'26MY_ODYSSEY_DATA'!B:AR,20,FALSE)="","",VLOOKUP(B112,'26MY_ODYSSEY_DATA'!B:AR,20,FALSE))</f>
        <v>Front Doors Sills only.</v>
      </c>
    </row>
    <row r="113" spans="2:20" s="132" customFormat="1" ht="15" customHeight="1">
      <c r="B113" s="175" t="s">
        <v>401</v>
      </c>
      <c r="C113" s="177" t="str">
        <f>VLOOKUP(B113,'26MY_ODYSSEY_DATA'!B:AR,3,FALSE)</f>
        <v>Illuminated Interior</v>
      </c>
      <c r="D113" s="79" t="str">
        <f t="shared" si="28"/>
        <v>08E10-THR-100</v>
      </c>
      <c r="E113" s="323">
        <f>VLOOKUP(B113,'26MY_ODYSSEY_DATA'!B:AR,9,FALSE)</f>
        <v>101</v>
      </c>
      <c r="F113" s="323">
        <f>VLOOKUP(B113,'26MY_ODYSSEY_DATA'!B:AR,10,FALSE)</f>
        <v>168</v>
      </c>
      <c r="G113" s="332">
        <f>VLOOKUP(B113,'26MY_ODYSSEY_DATA'!B:AR,7,FALSE)</f>
        <v>0.8</v>
      </c>
      <c r="H113" s="324">
        <f>VLOOKUP(B113,'26MY_ODYSSEY_DATA'!B:AR,11,FALSE)</f>
        <v>312.8</v>
      </c>
      <c r="I113" s="333">
        <f>VLOOKUP(B113,'26MY_ODYSSEY_DATA'!B:AR,12,FALSE)</f>
        <v>0</v>
      </c>
      <c r="J113" s="333" t="str">
        <f>VLOOKUP(B113,'26MY_ODYSSEY_DATA'!B:AR,13,FALSE)</f>
        <v>•</v>
      </c>
      <c r="K113" s="333" t="str">
        <f>VLOOKUP(B113,'26MY_ODYSSEY_DATA'!B:AR,14,FALSE)</f>
        <v>•</v>
      </c>
      <c r="L113" s="333" t="str">
        <f>VLOOKUP(B113,'26MY_ODYSSEY_DATA'!B:AR,15,FALSE)</f>
        <v>•</v>
      </c>
      <c r="M113" s="333" t="str">
        <f>VLOOKUP(B113,'26MY_ODYSSEY_DATA'!B:AR,16,FALSE)</f>
        <v>•</v>
      </c>
      <c r="N113" s="333">
        <f>VLOOKUP($B113,'26MY_ODYSSEY_DATA'!$B:$AR,17,FALSE)</f>
        <v>0</v>
      </c>
      <c r="O113" s="333">
        <f>VLOOKUP($B113,'26MY_ODYSSEY_DATA'!$B:$AR,18,FALSE)</f>
        <v>0</v>
      </c>
      <c r="P113" s="333">
        <f>VLOOKUP($B113,'26MY_ODYSSEY_DATA'!$B:$AR,19,FALSE)</f>
        <v>0</v>
      </c>
      <c r="Q113" s="338" t="str">
        <f>IF(VLOOKUP(B113,'26MY_ODYSSEY_DATA'!B:AR,20,FALSE)="","",VLOOKUP(B113,'26MY_ODYSSEY_DATA'!B:AR,20,FALSE))</f>
        <v/>
      </c>
    </row>
    <row r="114" spans="2:20" s="132" customFormat="1" ht="15" customHeight="1">
      <c r="B114" s="175" t="s">
        <v>402</v>
      </c>
      <c r="C114" s="177" t="str">
        <f>VLOOKUP(B114,'26MY_ODYSSEY_DATA'!B:AR,3,FALSE)</f>
        <v>Pattern Projector</v>
      </c>
      <c r="D114" s="79" t="str">
        <f t="shared" si="28"/>
        <v>08V27-THR-100</v>
      </c>
      <c r="E114" s="323">
        <f>VLOOKUP(B114,'26MY_ODYSSEY_DATA'!B:AR,9,FALSE)</f>
        <v>60.99</v>
      </c>
      <c r="F114" s="323">
        <f>VLOOKUP(B114,'26MY_ODYSSEY_DATA'!B:AR,10,FALSE)</f>
        <v>220</v>
      </c>
      <c r="G114" s="332">
        <f>VLOOKUP(B114,'26MY_ODYSSEY_DATA'!B:AR,7,FALSE)</f>
        <v>1.2</v>
      </c>
      <c r="H114" s="324">
        <f>VLOOKUP(B114,'26MY_ODYSSEY_DATA'!B:AR,11,FALSE)</f>
        <v>437.2</v>
      </c>
      <c r="I114" s="333">
        <f>VLOOKUP(B114,'26MY_ODYSSEY_DATA'!B:AR,12,FALSE)</f>
        <v>0</v>
      </c>
      <c r="J114" s="333" t="str">
        <f>VLOOKUP(B114,'26MY_ODYSSEY_DATA'!B:AR,13,FALSE)</f>
        <v>•</v>
      </c>
      <c r="K114" s="333" t="str">
        <f>VLOOKUP(B114,'26MY_ODYSSEY_DATA'!B:AR,14,FALSE)</f>
        <v>•</v>
      </c>
      <c r="L114" s="333" t="str">
        <f>VLOOKUP(B114,'26MY_ODYSSEY_DATA'!B:AR,15,FALSE)</f>
        <v>•</v>
      </c>
      <c r="M114" s="333" t="str">
        <f>VLOOKUP(B114,'26MY_ODYSSEY_DATA'!B:AR,16,FALSE)</f>
        <v>•</v>
      </c>
      <c r="N114" s="333">
        <f>VLOOKUP($B114,'26MY_ODYSSEY_DATA'!$B:$AR,17,FALSE)</f>
        <v>0</v>
      </c>
      <c r="O114" s="333">
        <f>VLOOKUP($B114,'26MY_ODYSSEY_DATA'!$B:$AR,18,FALSE)</f>
        <v>0</v>
      </c>
      <c r="P114" s="333">
        <f>VLOOKUP($B114,'26MY_ODYSSEY_DATA'!$B:$AR,19,FALSE)</f>
        <v>0</v>
      </c>
      <c r="Q114" s="338" t="str">
        <f>IF(VLOOKUP(B114,'26MY_ODYSSEY_DATA'!B:AR,20,FALSE)="","",VLOOKUP(B114,'26MY_ODYSSEY_DATA'!B:AR,20,FALSE))</f>
        <v/>
      </c>
    </row>
    <row r="115" spans="2:20" s="132" customFormat="1" ht="15" customHeight="1">
      <c r="B115" s="175" t="s">
        <v>403</v>
      </c>
      <c r="C115" s="177" t="str">
        <f>VLOOKUP(B115,'26MY_ODYSSEY_DATA'!B:AR,3,FALSE)</f>
        <v>Welcome Lights</v>
      </c>
      <c r="D115" s="79" t="str">
        <f t="shared" si="28"/>
        <v>08V27-THR-100A</v>
      </c>
      <c r="E115" s="323">
        <f>VLOOKUP(B115,'26MY_ODYSSEY_DATA'!B:AR,9,FALSE)</f>
        <v>270</v>
      </c>
      <c r="F115" s="323">
        <f>VLOOKUP(B115,'26MY_ODYSSEY_DATA'!B:AR,10,FALSE)</f>
        <v>386</v>
      </c>
      <c r="G115" s="332">
        <f>VLOOKUP(B115,'26MY_ODYSSEY_DATA'!B:AR,7,FALSE)</f>
        <v>2.5</v>
      </c>
      <c r="H115" s="324">
        <f>VLOOKUP(B115,'26MY_ODYSSEY_DATA'!B:AR,11,FALSE)</f>
        <v>838.5</v>
      </c>
      <c r="I115" s="333">
        <f>VLOOKUP(B115,'26MY_ODYSSEY_DATA'!B:AR,12,FALSE)</f>
        <v>0</v>
      </c>
      <c r="J115" s="333" t="str">
        <f>VLOOKUP(B115,'26MY_ODYSSEY_DATA'!B:AR,13,FALSE)</f>
        <v>•</v>
      </c>
      <c r="K115" s="333" t="str">
        <f>VLOOKUP(B115,'26MY_ODYSSEY_DATA'!B:AR,14,FALSE)</f>
        <v>•</v>
      </c>
      <c r="L115" s="333" t="str">
        <f>VLOOKUP(B115,'26MY_ODYSSEY_DATA'!B:AR,15,FALSE)</f>
        <v>•</v>
      </c>
      <c r="M115" s="333" t="str">
        <f>VLOOKUP(B115,'26MY_ODYSSEY_DATA'!B:AR,16,FALSE)</f>
        <v>•</v>
      </c>
      <c r="N115" s="333">
        <f>VLOOKUP($B115,'26MY_ODYSSEY_DATA'!$B:$AR,17,FALSE)</f>
        <v>0</v>
      </c>
      <c r="O115" s="333">
        <f>VLOOKUP($B115,'26MY_ODYSSEY_DATA'!$B:$AR,18,FALSE)</f>
        <v>0</v>
      </c>
      <c r="P115" s="333">
        <f>VLOOKUP($B115,'26MY_ODYSSEY_DATA'!$B:$AR,19,FALSE)</f>
        <v>0</v>
      </c>
      <c r="Q115" s="338" t="str">
        <f>IF(VLOOKUP(B115,'26MY_ODYSSEY_DATA'!B:AR,20,FALSE)="","",VLOOKUP(B115,'26MY_ODYSSEY_DATA'!B:AR,20,FALSE))</f>
        <v/>
      </c>
    </row>
    <row r="116" spans="2:20" s="132" customFormat="1" ht="15" customHeight="1">
      <c r="B116" s="175" t="s">
        <v>394</v>
      </c>
      <c r="C116" s="177" t="str">
        <f>VLOOKUP(B116,'26MY_ODYSSEY_DATA'!B:AR,3,FALSE)</f>
        <v>Hands-Free Power Tailgate Sensor</v>
      </c>
      <c r="D116" s="79" t="str">
        <f t="shared" ref="D116:D118" si="29">B116</f>
        <v>08U59-THR-101</v>
      </c>
      <c r="E116" s="323">
        <f>VLOOKUP(B116,'26MY_ODYSSEY_DATA'!B:AR,9,FALSE)</f>
        <v>281</v>
      </c>
      <c r="F116" s="323">
        <f>VLOOKUP(B116,'26MY_ODYSSEY_DATA'!B:AR,10,FALSE)</f>
        <v>401</v>
      </c>
      <c r="G116" s="332">
        <f>VLOOKUP(B116,'26MY_ODYSSEY_DATA'!B:AR,7,FALSE)</f>
        <v>0.2</v>
      </c>
      <c r="H116" s="324">
        <f>VLOOKUP(B116,'26MY_ODYSSEY_DATA'!B:AR,11,FALSE)</f>
        <v>437.2</v>
      </c>
      <c r="I116" s="333">
        <f>VLOOKUP(B116,'26MY_ODYSSEY_DATA'!B:AR,12,FALSE)</f>
        <v>0</v>
      </c>
      <c r="J116" s="333" t="str">
        <f>VLOOKUP(B116,'26MY_ODYSSEY_DATA'!B:AR,13,FALSE)</f>
        <v>•</v>
      </c>
      <c r="K116" s="333" t="str">
        <f>VLOOKUP(B116,'26MY_ODYSSEY_DATA'!B:AR,14,FALSE)</f>
        <v>•</v>
      </c>
      <c r="L116" s="333" t="str">
        <f>VLOOKUP(B116,'26MY_ODYSSEY_DATA'!B:AR,15,FALSE)</f>
        <v>S</v>
      </c>
      <c r="M116" s="333" t="str">
        <f>VLOOKUP(B116,'26MY_ODYSSEY_DATA'!B:AR,16,FALSE)</f>
        <v>S</v>
      </c>
      <c r="N116" s="333">
        <f>VLOOKUP($B116,'26MY_ODYSSEY_DATA'!$B:$AR,17,FALSE)</f>
        <v>0</v>
      </c>
      <c r="O116" s="333">
        <f>VLOOKUP($B116,'26MY_ODYSSEY_DATA'!$B:$AR,18,FALSE)</f>
        <v>0</v>
      </c>
      <c r="P116" s="333">
        <f>VLOOKUP($B116,'26MY_ODYSSEY_DATA'!$B:$AR,19,FALSE)</f>
        <v>0</v>
      </c>
      <c r="Q116" s="338" t="str">
        <f>IF(VLOOKUP(B116,'26MY_ODYSSEY_DATA'!B:AR,20,FALSE)="","",VLOOKUP(B116,'26MY_ODYSSEY_DATA'!B:AR,20,FALSE))</f>
        <v>Requires Sensor &amp; Attachment.</v>
      </c>
    </row>
    <row r="117" spans="2:20" s="132" customFormat="1" ht="15" customHeight="1">
      <c r="B117" s="175" t="s">
        <v>395</v>
      </c>
      <c r="C117" s="177" t="str">
        <f>VLOOKUP(B117,'26MY_ODYSSEY_DATA'!B:AR,3,FALSE)</f>
        <v>Hands-Free Power Tailgate Sensor - Attachment</v>
      </c>
      <c r="D117" s="79" t="str">
        <f t="shared" si="29"/>
        <v>08U59-THR-300A</v>
      </c>
      <c r="E117" s="323">
        <f>VLOOKUP(B117,'26MY_ODYSSEY_DATA'!B:AR,9,FALSE)</f>
        <v>130</v>
      </c>
      <c r="F117" s="323">
        <f>VLOOKUP(B117,'26MY_ODYSSEY_DATA'!B:AR,10,FALSE)</f>
        <v>217</v>
      </c>
      <c r="G117" s="332">
        <f>VLOOKUP(B117,'26MY_ODYSSEY_DATA'!B:AR,7,FALSE)</f>
        <v>1.2</v>
      </c>
      <c r="H117" s="324">
        <f>VLOOKUP(B117,'26MY_ODYSSEY_DATA'!B:AR,11,FALSE)</f>
        <v>434.2</v>
      </c>
      <c r="I117" s="333">
        <f>VLOOKUP(B117,'26MY_ODYSSEY_DATA'!B:AR,12,FALSE)</f>
        <v>0</v>
      </c>
      <c r="J117" s="333" t="str">
        <f>VLOOKUP(B117,'26MY_ODYSSEY_DATA'!B:AR,13,FALSE)</f>
        <v>•</v>
      </c>
      <c r="K117" s="333" t="str">
        <f>VLOOKUP(B117,'26MY_ODYSSEY_DATA'!B:AR,14,FALSE)</f>
        <v>•</v>
      </c>
      <c r="L117" s="333" t="str">
        <f>VLOOKUP(B117,'26MY_ODYSSEY_DATA'!B:AR,15,FALSE)</f>
        <v>S</v>
      </c>
      <c r="M117" s="333" t="str">
        <f>VLOOKUP(B117,'26MY_ODYSSEY_DATA'!B:AR,16,FALSE)</f>
        <v>S</v>
      </c>
      <c r="N117" s="333">
        <f>VLOOKUP($B117,'26MY_ODYSSEY_DATA'!$B:$AR,17,FALSE)</f>
        <v>0</v>
      </c>
      <c r="O117" s="333">
        <f>VLOOKUP($B117,'26MY_ODYSSEY_DATA'!$B:$AR,18,FALSE)</f>
        <v>0</v>
      </c>
      <c r="P117" s="333">
        <f>VLOOKUP($B117,'26MY_ODYSSEY_DATA'!$B:$AR,19,FALSE)</f>
        <v>0</v>
      </c>
      <c r="Q117" s="338" t="str">
        <f>IF(VLOOKUP(B117,'26MY_ODYSSEY_DATA'!B:AR,20,FALSE)="","",VLOOKUP(B117,'26MY_ODYSSEY_DATA'!B:AR,20,FALSE))</f>
        <v>Requires Sensor &amp; Attachment.</v>
      </c>
    </row>
    <row r="118" spans="2:20" s="132" customFormat="1" ht="15" customHeight="1">
      <c r="B118" s="175" t="s">
        <v>396</v>
      </c>
      <c r="C118" s="177" t="str">
        <f>VLOOKUP(B118,'26MY_ODYSSEY_DATA'!B:AR,3,FALSE)</f>
        <v>Hands-Free Power Tailgate Sensor Adapter</v>
      </c>
      <c r="D118" s="79" t="str">
        <f t="shared" si="29"/>
        <v>08L91-THR-300A</v>
      </c>
      <c r="E118" s="323">
        <f>VLOOKUP(B118,'26MY_ODYSSEY_DATA'!B:AR,9,FALSE)</f>
        <v>245</v>
      </c>
      <c r="F118" s="323">
        <f>VLOOKUP(B118,'26MY_ODYSSEY_DATA'!B:AR,10,FALSE)</f>
        <v>408</v>
      </c>
      <c r="G118" s="332">
        <f>VLOOKUP(B118,'26MY_ODYSSEY_DATA'!B:AR,7,FALSE)</f>
        <v>0.2</v>
      </c>
      <c r="H118" s="324">
        <f>VLOOKUP(B118,'26MY_ODYSSEY_DATA'!B:AR,11,FALSE)</f>
        <v>444.2</v>
      </c>
      <c r="I118" s="333">
        <f>VLOOKUP(B118,'26MY_ODYSSEY_DATA'!B:AR,12,FALSE)</f>
        <v>0</v>
      </c>
      <c r="J118" s="333" t="str">
        <f>VLOOKUP(B118,'26MY_ODYSSEY_DATA'!B:AR,13,FALSE)</f>
        <v>•</v>
      </c>
      <c r="K118" s="333" t="str">
        <f>VLOOKUP(B118,'26MY_ODYSSEY_DATA'!B:AR,14,FALSE)</f>
        <v>•</v>
      </c>
      <c r="L118" s="333" t="str">
        <f>VLOOKUP(B118,'26MY_ODYSSEY_DATA'!B:AR,15,FALSE)</f>
        <v>•</v>
      </c>
      <c r="M118" s="333" t="str">
        <f>VLOOKUP(B118,'26MY_ODYSSEY_DATA'!B:AR,16,FALSE)</f>
        <v>•</v>
      </c>
      <c r="N118" s="333">
        <f>VLOOKUP($B118,'26MY_ODYSSEY_DATA'!$B:$AR,17,FALSE)</f>
        <v>0</v>
      </c>
      <c r="O118" s="333">
        <f>VLOOKUP($B118,'26MY_ODYSSEY_DATA'!$B:$AR,18,FALSE)</f>
        <v>0</v>
      </c>
      <c r="P118" s="333">
        <f>VLOOKUP($B118,'26MY_ODYSSEY_DATA'!$B:$AR,19,FALSE)</f>
        <v>0</v>
      </c>
      <c r="Q118" s="338" t="str">
        <f>IF(VLOOKUP(B118,'26MY_ODYSSEY_DATA'!B:AR,20,FALSE)="","",VLOOKUP(B118,'26MY_ODYSSEY_DATA'!B:AR,20,FALSE))</f>
        <v/>
      </c>
    </row>
    <row r="119" spans="2:20" s="132" customFormat="1" ht="15" customHeight="1">
      <c r="B119" s="175" t="s">
        <v>393</v>
      </c>
      <c r="C119" s="177" t="str">
        <f>VLOOKUP(B119,'26MY_ODYSSEY_DATA'!B:AR,3,FALSE)</f>
        <v>Engine Block Heater</v>
      </c>
      <c r="D119" s="79" t="str">
        <f t="shared" ref="D119" si="30">B119</f>
        <v>08T44-SJA-401A</v>
      </c>
      <c r="E119" s="323">
        <f>VLOOKUP(B119,'26MY_ODYSSEY_DATA'!B:AR,9,FALSE)</f>
        <v>149</v>
      </c>
      <c r="F119" s="323">
        <f>VLOOKUP(B119,'26MY_ODYSSEY_DATA'!B:AR,10,FALSE)</f>
        <v>248</v>
      </c>
      <c r="G119" s="332">
        <f>VLOOKUP(B119,'26MY_ODYSSEY_DATA'!B:AR,7,FALSE)</f>
        <v>1.4</v>
      </c>
      <c r="H119" s="324">
        <f>VLOOKUP(B119,'26MY_ODYSSEY_DATA'!B:AR,11,FALSE)</f>
        <v>501.4</v>
      </c>
      <c r="I119" s="333">
        <f>VLOOKUP(B119,'26MY_ODYSSEY_DATA'!B:AR,12,FALSE)</f>
        <v>0</v>
      </c>
      <c r="J119" s="333" t="str">
        <f>VLOOKUP(B119,'26MY_ODYSSEY_DATA'!B:AR,13,FALSE)</f>
        <v>•</v>
      </c>
      <c r="K119" s="333" t="str">
        <f>VLOOKUP(B119,'26MY_ODYSSEY_DATA'!B:AR,14,FALSE)</f>
        <v>•</v>
      </c>
      <c r="L119" s="333" t="str">
        <f>VLOOKUP(B119,'26MY_ODYSSEY_DATA'!B:AR,15,FALSE)</f>
        <v>•</v>
      </c>
      <c r="M119" s="333" t="str">
        <f>VLOOKUP(B119,'26MY_ODYSSEY_DATA'!B:AR,16,FALSE)</f>
        <v>•</v>
      </c>
      <c r="N119" s="333">
        <f>VLOOKUP($B119,'26MY_ODYSSEY_DATA'!$B:$AR,17,FALSE)</f>
        <v>0</v>
      </c>
      <c r="O119" s="333">
        <f>VLOOKUP($B119,'26MY_ODYSSEY_DATA'!$B:$AR,18,FALSE)</f>
        <v>0</v>
      </c>
      <c r="P119" s="333">
        <f>VLOOKUP($B119,'26MY_ODYSSEY_DATA'!$B:$AR,19,FALSE)</f>
        <v>0</v>
      </c>
      <c r="Q119" s="338" t="str">
        <f>IF(VLOOKUP(B119,'26MY_ODYSSEY_DATA'!B:AR,20,FALSE)="","",VLOOKUP(B119,'26MY_ODYSSEY_DATA'!B:AR,20,FALSE))</f>
        <v/>
      </c>
    </row>
    <row r="120" spans="2:20" s="132" customFormat="1" ht="15" customHeight="1">
      <c r="B120" s="175" t="s">
        <v>26</v>
      </c>
      <c r="C120" s="177" t="str">
        <f>VLOOKUP(B120,'26MY_ODYSSEY_DATA'!B:AR,3,FALSE)</f>
        <v>Optimate 12V Auto Battery Charger/Maintainer</v>
      </c>
      <c r="D120" s="79" t="str">
        <f t="shared" si="28"/>
        <v>31670-BMS-004H</v>
      </c>
      <c r="E120" s="323">
        <f>VLOOKUP(B120,'26MY_ODYSSEY_DATA'!B:AR,9,FALSE)</f>
        <v>94</v>
      </c>
      <c r="F120" s="323">
        <f>VLOOKUP(B120,'26MY_ODYSSEY_DATA'!B:AR,10,FALSE)</f>
        <v>157</v>
      </c>
      <c r="G120" s="332">
        <f>VLOOKUP(B120,'26MY_ODYSSEY_DATA'!B:AR,7,FALSE)</f>
        <v>0</v>
      </c>
      <c r="H120" s="324">
        <f>VLOOKUP(B120,'26MY_ODYSSEY_DATA'!B:AR,11,FALSE)</f>
        <v>157</v>
      </c>
      <c r="I120" s="333">
        <f>VLOOKUP(B120,'26MY_ODYSSEY_DATA'!B:AR,12,FALSE)</f>
        <v>0</v>
      </c>
      <c r="J120" s="333" t="str">
        <f>VLOOKUP(B120,'26MY_ODYSSEY_DATA'!B:AR,13,FALSE)</f>
        <v>•</v>
      </c>
      <c r="K120" s="333" t="str">
        <f>VLOOKUP(B120,'26MY_ODYSSEY_DATA'!B:AR,14,FALSE)</f>
        <v>•</v>
      </c>
      <c r="L120" s="333" t="str">
        <f>VLOOKUP(B120,'26MY_ODYSSEY_DATA'!B:AR,15,FALSE)</f>
        <v>•</v>
      </c>
      <c r="M120" s="333" t="str">
        <f>VLOOKUP(B120,'26MY_ODYSSEY_DATA'!B:AR,16,FALSE)</f>
        <v>•</v>
      </c>
      <c r="N120" s="333">
        <f>VLOOKUP($B120,'26MY_ODYSSEY_DATA'!$B:$AR,17,FALSE)</f>
        <v>0</v>
      </c>
      <c r="O120" s="333">
        <f>VLOOKUP($B120,'26MY_ODYSSEY_DATA'!$B:$AR,18,FALSE)</f>
        <v>0</v>
      </c>
      <c r="P120" s="333">
        <f>VLOOKUP($B120,'26MY_ODYSSEY_DATA'!$B:$AR,19,FALSE)</f>
        <v>0</v>
      </c>
      <c r="Q120" s="338" t="str">
        <f>IF(VLOOKUP(B120,'26MY_ODYSSEY_DATA'!B:AR,20,FALSE)="","",VLOOKUP(B120,'26MY_ODYSSEY_DATA'!B:AR,20,FALSE))</f>
        <v/>
      </c>
    </row>
    <row r="121" spans="2:20" s="132" customFormat="1" ht="15" customHeight="1">
      <c r="B121" s="175" t="s">
        <v>244</v>
      </c>
      <c r="C121" s="177" t="str">
        <f>VLOOKUP(B121,'26MY_ODYSSEY_DATA'!B:AR,3,FALSE)</f>
        <v>Battery Lead</v>
      </c>
      <c r="D121" s="79" t="str">
        <f t="shared" si="28"/>
        <v>31670-BMS-LEAD</v>
      </c>
      <c r="E121" s="323">
        <f>VLOOKUP(B121,'26MY_ODYSSEY_DATA'!B:AR,9,FALSE)</f>
        <v>20</v>
      </c>
      <c r="F121" s="323">
        <f>VLOOKUP(B121,'26MY_ODYSSEY_DATA'!B:AR,10,FALSE)</f>
        <v>28</v>
      </c>
      <c r="G121" s="332">
        <f>VLOOKUP(B121,'26MY_ODYSSEY_DATA'!B:AR,7,FALSE)</f>
        <v>0</v>
      </c>
      <c r="H121" s="324">
        <f>VLOOKUP(B121,'26MY_ODYSSEY_DATA'!B:AR,11,FALSE)</f>
        <v>28</v>
      </c>
      <c r="I121" s="333">
        <f>VLOOKUP(B121,'26MY_ODYSSEY_DATA'!B:AR,12,FALSE)</f>
        <v>0</v>
      </c>
      <c r="J121" s="333" t="str">
        <f>VLOOKUP(B121,'26MY_ODYSSEY_DATA'!B:AR,13,FALSE)</f>
        <v>•</v>
      </c>
      <c r="K121" s="333" t="str">
        <f>VLOOKUP(B121,'26MY_ODYSSEY_DATA'!B:AR,14,FALSE)</f>
        <v>•</v>
      </c>
      <c r="L121" s="333" t="str">
        <f>VLOOKUP(B121,'26MY_ODYSSEY_DATA'!B:AR,15,FALSE)</f>
        <v>•</v>
      </c>
      <c r="M121" s="333" t="str">
        <f>VLOOKUP(B121,'26MY_ODYSSEY_DATA'!B:AR,16,FALSE)</f>
        <v>•</v>
      </c>
      <c r="N121" s="333">
        <f>VLOOKUP($B121,'26MY_ODYSSEY_DATA'!$B:$AR,17,FALSE)</f>
        <v>0</v>
      </c>
      <c r="O121" s="333">
        <f>VLOOKUP($B121,'26MY_ODYSSEY_DATA'!$B:$AR,18,FALSE)</f>
        <v>0</v>
      </c>
      <c r="P121" s="333">
        <f>VLOOKUP($B121,'26MY_ODYSSEY_DATA'!$B:$AR,19,FALSE)</f>
        <v>0</v>
      </c>
      <c r="Q121" s="338" t="str">
        <f>IF(VLOOKUP(B121,'26MY_ODYSSEY_DATA'!B:AR,20,FALSE)="","",VLOOKUP(B121,'26MY_ODYSSEY_DATA'!B:AR,20,FALSE))</f>
        <v/>
      </c>
    </row>
    <row r="122" spans="2:20" s="132" customFormat="1" ht="15" customHeight="1">
      <c r="B122" s="175"/>
      <c r="C122" s="133"/>
      <c r="D122" s="200"/>
      <c r="E122" s="129"/>
      <c r="F122" s="129"/>
      <c r="G122" s="201"/>
      <c r="H122" s="129"/>
      <c r="I122" s="129"/>
      <c r="J122" s="129"/>
      <c r="K122" s="129"/>
      <c r="L122" s="129"/>
      <c r="M122" s="129"/>
      <c r="N122" s="129"/>
      <c r="O122" s="129"/>
      <c r="P122" s="129"/>
      <c r="Q122" s="337"/>
    </row>
    <row r="123" spans="2:20" s="130" customFormat="1" ht="18">
      <c r="B123" s="175"/>
      <c r="C123" s="149" t="s">
        <v>63</v>
      </c>
      <c r="D123" s="149"/>
      <c r="E123" s="140"/>
      <c r="F123" s="140"/>
      <c r="G123" s="140"/>
      <c r="H123" s="140"/>
      <c r="I123" s="140"/>
      <c r="J123" s="140"/>
      <c r="K123" s="140"/>
      <c r="L123" s="140"/>
      <c r="M123" s="140"/>
      <c r="N123" s="140"/>
      <c r="O123" s="140"/>
      <c r="P123" s="140"/>
      <c r="Q123" s="140"/>
      <c r="T123" s="132"/>
    </row>
    <row r="124" spans="2:20" s="131" customFormat="1" ht="15" customHeight="1">
      <c r="B124" s="176"/>
      <c r="C124" s="374" t="s">
        <v>59</v>
      </c>
      <c r="D124" s="374" t="s">
        <v>10</v>
      </c>
      <c r="E124" s="374" t="s">
        <v>17</v>
      </c>
      <c r="F124" s="374" t="s">
        <v>11</v>
      </c>
      <c r="G124" s="374" t="s">
        <v>12</v>
      </c>
      <c r="H124" s="381" t="s">
        <v>13</v>
      </c>
      <c r="I124" s="374" t="s">
        <v>25</v>
      </c>
      <c r="J124" s="374"/>
      <c r="K124" s="374"/>
      <c r="L124" s="374"/>
      <c r="M124" s="374"/>
      <c r="N124" s="374"/>
      <c r="O124" s="374"/>
      <c r="P124" s="374"/>
      <c r="Q124" s="374" t="s">
        <v>14</v>
      </c>
      <c r="T124" s="130"/>
    </row>
    <row r="125" spans="2:20" s="131" customFormat="1" ht="28.8">
      <c r="B125" s="176"/>
      <c r="C125" s="374"/>
      <c r="D125" s="374"/>
      <c r="E125" s="374"/>
      <c r="F125" s="374"/>
      <c r="G125" s="374"/>
      <c r="H125" s="381"/>
      <c r="I125" s="196">
        <f>'26MY_ODYSSEY_DATA'!M$6</f>
        <v>0</v>
      </c>
      <c r="J125" s="196" t="str">
        <f>'26MY_ODYSSEY_DATA'!N$6</f>
        <v>Sport</v>
      </c>
      <c r="K125" s="196" t="str">
        <f>'26MY_ODYSSEY_DATA'!O$6</f>
        <v>Sport-L</v>
      </c>
      <c r="L125" s="196" t="str">
        <f>'26MY_ODYSSEY_DATA'!P$6</f>
        <v>Touring</v>
      </c>
      <c r="M125" s="196" t="str">
        <f>'26MY_ODYSSEY_DATA'!Q$6</f>
        <v>Black Edition</v>
      </c>
      <c r="N125" s="196">
        <f>'26MY_ODYSSEY_DATA'!R$6</f>
        <v>0</v>
      </c>
      <c r="O125" s="196">
        <f>'26MY_ODYSSEY_DATA'!S$6</f>
        <v>0</v>
      </c>
      <c r="P125" s="196">
        <f>'26MY_ODYSSEY_DATA'!T$6</f>
        <v>0</v>
      </c>
      <c r="Q125" s="374"/>
    </row>
    <row r="126" spans="2:20" s="132" customFormat="1" ht="15" customHeight="1">
      <c r="B126" s="175" t="s">
        <v>174</v>
      </c>
      <c r="C126" s="177" t="str">
        <f>VLOOKUP(B126,'26MY_ODYSSEY_DATA'!B:AR,3,FALSE)</f>
        <v>Platinum White Pearl (NH-883P)</v>
      </c>
      <c r="D126" s="79" t="str">
        <f t="shared" ref="D126" si="31">B126</f>
        <v>TUCH-NH883P-A1</v>
      </c>
      <c r="E126" s="362">
        <f>VLOOKUP(B126,'26MY_ODYSSEY_DATA'!B:AR,9,FALSE)</f>
        <v>13.25</v>
      </c>
      <c r="F126" s="362">
        <f>VLOOKUP(B126,'26MY_ODYSSEY_DATA'!B:AR,10,FALSE)</f>
        <v>22</v>
      </c>
      <c r="G126" s="365">
        <f>VLOOKUP(B126,'26MY_ODYSSEY_DATA'!B:AR,7,FALSE)</f>
        <v>0</v>
      </c>
      <c r="H126" s="368">
        <f>VLOOKUP(B126,'26MY_ODYSSEY_DATA'!B:AR,11,FALSE)</f>
        <v>22</v>
      </c>
      <c r="I126" s="333">
        <f>VLOOKUP(B126,'26MY_ODYSSEY_DATA'!B:AR,12,FALSE)</f>
        <v>0</v>
      </c>
      <c r="J126" s="333" t="str">
        <f>VLOOKUP(B126,'26MY_ODYSSEY_DATA'!B:AR,13,FALSE)</f>
        <v>•</v>
      </c>
      <c r="K126" s="333" t="str">
        <f>VLOOKUP(B126,'26MY_ODYSSEY_DATA'!B:AR,14,FALSE)</f>
        <v>•</v>
      </c>
      <c r="L126" s="333" t="str">
        <f>VLOOKUP(B126,'26MY_ODYSSEY_DATA'!B:AR,15,FALSE)</f>
        <v>•</v>
      </c>
      <c r="M126" s="333" t="str">
        <f>VLOOKUP(B126,'26MY_ODYSSEY_DATA'!B:AR,16,FALSE)</f>
        <v>•</v>
      </c>
      <c r="N126" s="333">
        <f>VLOOKUP($B126,'26MY_ODYSSEY_DATA'!$B:$AR,17,FALSE)</f>
        <v>0</v>
      </c>
      <c r="O126" s="333">
        <f>VLOOKUP($B126,'26MY_ODYSSEY_DATA'!$B:$AR,18,FALSE)</f>
        <v>0</v>
      </c>
      <c r="P126" s="333">
        <f>VLOOKUP($B126,'26MY_ODYSSEY_DATA'!$B:$AR,19,FALSE)</f>
        <v>0</v>
      </c>
      <c r="Q126" s="371" t="str">
        <f>IF(VLOOKUP(B126,'26MY_ODYSSEY_DATA'!B:AR,20,FALSE)="","",VLOOKUP(B126,'26MY_ODYSSEY_DATA'!B:AR,20,FALSE))</f>
        <v/>
      </c>
      <c r="T126" s="131"/>
    </row>
    <row r="127" spans="2:20" s="132" customFormat="1" ht="15" customHeight="1">
      <c r="B127" s="175" t="s">
        <v>173</v>
      </c>
      <c r="C127" s="177" t="str">
        <f>VLOOKUP(B127,'26MY_ODYSSEY_DATA'!B:AR,3,FALSE)</f>
        <v>Crystal Black Pearl (NH-731P)</v>
      </c>
      <c r="D127" s="79" t="str">
        <f t="shared" ref="D127:D131" si="32">B127</f>
        <v>TUCH-NH731P-A1</v>
      </c>
      <c r="E127" s="363"/>
      <c r="F127" s="363"/>
      <c r="G127" s="366"/>
      <c r="H127" s="369"/>
      <c r="I127" s="333">
        <f>VLOOKUP(B127,'26MY_ODYSSEY_DATA'!B:AR,12,FALSE)</f>
        <v>0</v>
      </c>
      <c r="J127" s="333" t="str">
        <f>VLOOKUP(B127,'26MY_ODYSSEY_DATA'!B:AR,13,FALSE)</f>
        <v>•</v>
      </c>
      <c r="K127" s="333" t="str">
        <f>VLOOKUP(B127,'26MY_ODYSSEY_DATA'!B:AR,14,FALSE)</f>
        <v>•</v>
      </c>
      <c r="L127" s="333" t="str">
        <f>VLOOKUP(B127,'26MY_ODYSSEY_DATA'!B:AR,15,FALSE)</f>
        <v>N/A</v>
      </c>
      <c r="M127" s="333" t="str">
        <f>VLOOKUP(B127,'26MY_ODYSSEY_DATA'!B:AR,16,FALSE)</f>
        <v>•</v>
      </c>
      <c r="N127" s="333">
        <f>VLOOKUP($B127,'26MY_ODYSSEY_DATA'!$B:$AR,17,FALSE)</f>
        <v>0</v>
      </c>
      <c r="O127" s="333">
        <f>VLOOKUP($B127,'26MY_ODYSSEY_DATA'!$B:$AR,18,FALSE)</f>
        <v>0</v>
      </c>
      <c r="P127" s="333">
        <f>VLOOKUP($B127,'26MY_ODYSSEY_DATA'!$B:$AR,19,FALSE)</f>
        <v>0</v>
      </c>
      <c r="Q127" s="372"/>
    </row>
    <row r="128" spans="2:20" s="132" customFormat="1" ht="15" customHeight="1">
      <c r="B128" s="175" t="s">
        <v>275</v>
      </c>
      <c r="C128" s="177" t="str">
        <f>VLOOKUP(B128,'26MY_ODYSSEY_DATA'!B:AR,3,FALSE)</f>
        <v>Modern Steel Metallic (NH-797M)</v>
      </c>
      <c r="D128" s="79" t="str">
        <f t="shared" si="32"/>
        <v>TUCH-NH797M-A1</v>
      </c>
      <c r="E128" s="363"/>
      <c r="F128" s="363"/>
      <c r="G128" s="366"/>
      <c r="H128" s="369"/>
      <c r="I128" s="333">
        <f>VLOOKUP(B128,'26MY_ODYSSEY_DATA'!B:AR,12,FALSE)</f>
        <v>0</v>
      </c>
      <c r="J128" s="333" t="str">
        <f>VLOOKUP(B128,'26MY_ODYSSEY_DATA'!B:AR,13,FALSE)</f>
        <v>N/A</v>
      </c>
      <c r="K128" s="333" t="str">
        <f>VLOOKUP(B128,'26MY_ODYSSEY_DATA'!B:AR,14,FALSE)</f>
        <v>•</v>
      </c>
      <c r="L128" s="333" t="str">
        <f>VLOOKUP(B128,'26MY_ODYSSEY_DATA'!B:AR,15,FALSE)</f>
        <v>•</v>
      </c>
      <c r="M128" s="333" t="str">
        <f>VLOOKUP(B128,'26MY_ODYSSEY_DATA'!B:AR,16,FALSE)</f>
        <v>N/A</v>
      </c>
      <c r="N128" s="333">
        <f>VLOOKUP($B128,'26MY_ODYSSEY_DATA'!$B:$AR,17,FALSE)</f>
        <v>0</v>
      </c>
      <c r="O128" s="333">
        <f>VLOOKUP($B128,'26MY_ODYSSEY_DATA'!$B:$AR,18,FALSE)</f>
        <v>0</v>
      </c>
      <c r="P128" s="333">
        <f>VLOOKUP($B128,'26MY_ODYSSEY_DATA'!$B:$AR,19,FALSE)</f>
        <v>0</v>
      </c>
      <c r="Q128" s="372"/>
    </row>
    <row r="129" spans="2:17" s="132" customFormat="1" ht="15" customHeight="1">
      <c r="B129" s="175" t="s">
        <v>564</v>
      </c>
      <c r="C129" s="177" t="str">
        <f>VLOOKUP(B129,'26MY_ODYSSEY_DATA'!B:AR,3,FALSE)</f>
        <v>Sonic Gray Pearl (NH-877P)</v>
      </c>
      <c r="D129" s="79" t="str">
        <f t="shared" si="32"/>
        <v>TUCH-NH877P-A1</v>
      </c>
      <c r="E129" s="363"/>
      <c r="F129" s="363"/>
      <c r="G129" s="366"/>
      <c r="H129" s="369"/>
      <c r="I129" s="333">
        <f>VLOOKUP(B129,'26MY_ODYSSEY_DATA'!B:AR,12,FALSE)</f>
        <v>0</v>
      </c>
      <c r="J129" s="333" t="str">
        <f>VLOOKUP(B129,'26MY_ODYSSEY_DATA'!B:AR,13,FALSE)</f>
        <v>N/A</v>
      </c>
      <c r="K129" s="333" t="str">
        <f>VLOOKUP(B129,'26MY_ODYSSEY_DATA'!B:AR,14,FALSE)</f>
        <v>N/A</v>
      </c>
      <c r="L129" s="333" t="str">
        <f>VLOOKUP(B129,'26MY_ODYSSEY_DATA'!B:AR,15,FALSE)</f>
        <v>•</v>
      </c>
      <c r="M129" s="333" t="str">
        <f>VLOOKUP(B129,'26MY_ODYSSEY_DATA'!B:AR,16,FALSE)</f>
        <v>•</v>
      </c>
      <c r="N129" s="333">
        <f>VLOOKUP($B129,'26MY_ODYSSEY_DATA'!$B:$AR,17,FALSE)</f>
        <v>0</v>
      </c>
      <c r="O129" s="333">
        <f>VLOOKUP($B129,'26MY_ODYSSEY_DATA'!$B:$AR,18,FALSE)</f>
        <v>0</v>
      </c>
      <c r="P129" s="333">
        <f>VLOOKUP($B129,'26MY_ODYSSEY_DATA'!$B:$AR,19,FALSE)</f>
        <v>0</v>
      </c>
      <c r="Q129" s="372"/>
    </row>
    <row r="130" spans="2:17" s="132" customFormat="1" ht="15" customHeight="1">
      <c r="B130" s="175" t="s">
        <v>278</v>
      </c>
      <c r="C130" s="177" t="str">
        <f>VLOOKUP(B130,'26MY_ODYSSEY_DATA'!B:AR,3,FALSE)</f>
        <v>Radiant Red Metallic II (R-580M)</v>
      </c>
      <c r="D130" s="79" t="str">
        <f t="shared" si="32"/>
        <v>TUCH-R580M-A1</v>
      </c>
      <c r="E130" s="363"/>
      <c r="F130" s="363"/>
      <c r="G130" s="366"/>
      <c r="H130" s="369"/>
      <c r="I130" s="333">
        <f>VLOOKUP(B130,'26MY_ODYSSEY_DATA'!B:AR,12,FALSE)</f>
        <v>0</v>
      </c>
      <c r="J130" s="333" t="str">
        <f>VLOOKUP(B130,'26MY_ODYSSEY_DATA'!B:AR,13,FALSE)</f>
        <v>N/A</v>
      </c>
      <c r="K130" s="333" t="str">
        <f>VLOOKUP(B130,'26MY_ODYSSEY_DATA'!B:AR,14,FALSE)</f>
        <v>N/A</v>
      </c>
      <c r="L130" s="333" t="str">
        <f>VLOOKUP(B130,'26MY_ODYSSEY_DATA'!B:AR,15,FALSE)</f>
        <v>N/A</v>
      </c>
      <c r="M130" s="333" t="str">
        <f>VLOOKUP(B130,'26MY_ODYSSEY_DATA'!B:AR,16,FALSE)</f>
        <v>•</v>
      </c>
      <c r="N130" s="333">
        <f>VLOOKUP($B130,'26MY_ODYSSEY_DATA'!$B:$AR,17,FALSE)</f>
        <v>0</v>
      </c>
      <c r="O130" s="333">
        <f>VLOOKUP($B130,'26MY_ODYSSEY_DATA'!$B:$AR,18,FALSE)</f>
        <v>0</v>
      </c>
      <c r="P130" s="333">
        <f>VLOOKUP($B130,'26MY_ODYSSEY_DATA'!$B:$AR,19,FALSE)</f>
        <v>0</v>
      </c>
      <c r="Q130" s="372"/>
    </row>
    <row r="131" spans="2:17" s="132" customFormat="1" ht="15" customHeight="1">
      <c r="B131" s="175" t="s">
        <v>487</v>
      </c>
      <c r="C131" s="177" t="str">
        <f>VLOOKUP(B131,'26MY_ODYSSEY_DATA'!B:AR,3,FALSE)</f>
        <v>Solar Reflection Silver (NH-932M)</v>
      </c>
      <c r="D131" s="79" t="str">
        <f t="shared" si="32"/>
        <v>TUCH-NH932M-A1</v>
      </c>
      <c r="E131" s="364"/>
      <c r="F131" s="364"/>
      <c r="G131" s="367"/>
      <c r="H131" s="370"/>
      <c r="I131" s="333">
        <f>VLOOKUP(B131,'26MY_ODYSSEY_DATA'!B:AR,12,FALSE)</f>
        <v>0</v>
      </c>
      <c r="J131" s="333" t="str">
        <f>VLOOKUP(B131,'26MY_ODYSSEY_DATA'!B:AR,13,FALSE)</f>
        <v>•</v>
      </c>
      <c r="K131" s="333" t="str">
        <f>VLOOKUP(B131,'26MY_ODYSSEY_DATA'!B:AR,14,FALSE)</f>
        <v>•</v>
      </c>
      <c r="L131" s="333" t="str">
        <f>VLOOKUP(B131,'26MY_ODYSSEY_DATA'!B:AR,15,FALSE)</f>
        <v>•</v>
      </c>
      <c r="M131" s="333" t="str">
        <f>VLOOKUP(B131,'26MY_ODYSSEY_DATA'!B:AR,16,FALSE)</f>
        <v>N/A</v>
      </c>
      <c r="N131" s="333">
        <f>VLOOKUP($B131,'26MY_ODYSSEY_DATA'!$B:$AR,17,FALSE)</f>
        <v>0</v>
      </c>
      <c r="O131" s="333">
        <f>VLOOKUP($B131,'26MY_ODYSSEY_DATA'!$B:$AR,18,FALSE)</f>
        <v>0</v>
      </c>
      <c r="P131" s="333">
        <f>VLOOKUP($B131,'26MY_ODYSSEY_DATA'!$B:$AR,19,FALSE)</f>
        <v>0</v>
      </c>
      <c r="Q131" s="373"/>
    </row>
    <row r="132" spans="2:17" s="131" customFormat="1" ht="7.2" customHeight="1">
      <c r="B132" s="176"/>
      <c r="C132" s="199"/>
      <c r="D132" s="188"/>
      <c r="E132" s="188"/>
      <c r="F132" s="188"/>
      <c r="G132" s="188"/>
      <c r="H132" s="188"/>
      <c r="I132" s="188"/>
      <c r="J132" s="188"/>
      <c r="K132" s="188"/>
      <c r="L132" s="188"/>
      <c r="M132" s="188"/>
      <c r="N132" s="188"/>
      <c r="O132" s="188"/>
      <c r="P132" s="188"/>
      <c r="Q132" s="194"/>
    </row>
    <row r="133" spans="2:17" s="132" customFormat="1" ht="15" customHeight="1">
      <c r="B133" s="175" t="s">
        <v>62</v>
      </c>
      <c r="C133" s="177" t="str">
        <f>VLOOKUP(B133,'26MY_ODYSSEY_DATA'!B:AR,3,FALSE)</f>
        <v>Fine Sanding Needles</v>
      </c>
      <c r="D133" s="79" t="str">
        <f t="shared" ref="D133" si="33">B133</f>
        <v>TUCH-NEEDLES</v>
      </c>
      <c r="E133" s="323">
        <f>VLOOKUP(B133,'26MY_ODYSSEY_DATA'!B:AR,9,FALSE)</f>
        <v>9.5</v>
      </c>
      <c r="F133" s="323">
        <f>VLOOKUP(B133,'26MY_ODYSSEY_DATA'!B:AR,10,FALSE)</f>
        <v>15.75</v>
      </c>
      <c r="G133" s="332">
        <f>VLOOKUP(B133,'26MY_ODYSSEY_DATA'!B:AR,7,FALSE)</f>
        <v>0</v>
      </c>
      <c r="H133" s="324">
        <f>VLOOKUP(B133,'26MY_ODYSSEY_DATA'!B:AR,11,FALSE)</f>
        <v>15.75</v>
      </c>
      <c r="I133" s="333">
        <f>VLOOKUP(B133,'26MY_ODYSSEY_DATA'!B:AR,12,FALSE)</f>
        <v>0</v>
      </c>
      <c r="J133" s="333" t="str">
        <f>VLOOKUP(B133,'26MY_ODYSSEY_DATA'!B:AR,13,FALSE)</f>
        <v>•</v>
      </c>
      <c r="K133" s="333" t="str">
        <f>VLOOKUP(B133,'26MY_ODYSSEY_DATA'!B:AR,14,FALSE)</f>
        <v>•</v>
      </c>
      <c r="L133" s="333" t="str">
        <f>VLOOKUP(B133,'26MY_ODYSSEY_DATA'!B:AR,15,FALSE)</f>
        <v>•</v>
      </c>
      <c r="M133" s="333" t="str">
        <f>VLOOKUP(B133,'26MY_ODYSSEY_DATA'!B:AR,16,FALSE)</f>
        <v>•</v>
      </c>
      <c r="N133" s="333">
        <f>VLOOKUP($B133,'26MY_ODYSSEY_DATA'!$B:$AR,17,FALSE)</f>
        <v>0</v>
      </c>
      <c r="O133" s="333">
        <f>VLOOKUP($B133,'26MY_ODYSSEY_DATA'!$B:$AR,18,FALSE)</f>
        <v>0</v>
      </c>
      <c r="P133" s="333">
        <f>VLOOKUP($B133,'26MY_ODYSSEY_DATA'!$B:$AR,19,FALSE)</f>
        <v>0</v>
      </c>
      <c r="Q133" s="338" t="str">
        <f>IF(VLOOKUP(B133,'26MY_ODYSSEY_DATA'!B:AR,20,FALSE)="","",VLOOKUP(B133,'26MY_ODYSSEY_DATA'!B:AR,20,FALSE))</f>
        <v>Quantity of 5.</v>
      </c>
    </row>
    <row r="134" spans="2:17" s="132" customFormat="1" ht="15" customHeight="1">
      <c r="B134" s="175" t="s">
        <v>61</v>
      </c>
      <c r="C134" s="177" t="str">
        <f>VLOOKUP(B134,'26MY_ODYSSEY_DATA'!B:AR,3,FALSE)</f>
        <v>Fine Sanding Sticks</v>
      </c>
      <c r="D134" s="79" t="str">
        <f t="shared" ref="D134:D135" si="34">B134</f>
        <v>TUCH-STICKS</v>
      </c>
      <c r="E134" s="323">
        <f>VLOOKUP(B134,'26MY_ODYSSEY_DATA'!B:AR,9,FALSE)</f>
        <v>2.4500000000000002</v>
      </c>
      <c r="F134" s="323">
        <f>VLOOKUP(B134,'26MY_ODYSSEY_DATA'!B:AR,10,FALSE)</f>
        <v>4</v>
      </c>
      <c r="G134" s="332">
        <f>VLOOKUP(B134,'26MY_ODYSSEY_DATA'!B:AR,7,FALSE)</f>
        <v>0</v>
      </c>
      <c r="H134" s="324">
        <f>VLOOKUP(B134,'26MY_ODYSSEY_DATA'!B:AR,11,FALSE)</f>
        <v>4</v>
      </c>
      <c r="I134" s="333">
        <f>VLOOKUP(B134,'26MY_ODYSSEY_DATA'!B:AR,12,FALSE)</f>
        <v>0</v>
      </c>
      <c r="J134" s="333" t="str">
        <f>VLOOKUP(B134,'26MY_ODYSSEY_DATA'!B:AR,13,FALSE)</f>
        <v>•</v>
      </c>
      <c r="K134" s="333" t="str">
        <f>VLOOKUP(B134,'26MY_ODYSSEY_DATA'!B:AR,14,FALSE)</f>
        <v>•</v>
      </c>
      <c r="L134" s="333" t="str">
        <f>VLOOKUP(B134,'26MY_ODYSSEY_DATA'!B:AR,15,FALSE)</f>
        <v>•</v>
      </c>
      <c r="M134" s="333" t="str">
        <f>VLOOKUP(B134,'26MY_ODYSSEY_DATA'!B:AR,16,FALSE)</f>
        <v>•</v>
      </c>
      <c r="N134" s="333">
        <f>VLOOKUP($B134,'26MY_ODYSSEY_DATA'!$B:$AR,17,FALSE)</f>
        <v>0</v>
      </c>
      <c r="O134" s="333">
        <f>VLOOKUP($B134,'26MY_ODYSSEY_DATA'!$B:$AR,18,FALSE)</f>
        <v>0</v>
      </c>
      <c r="P134" s="333">
        <f>VLOOKUP($B134,'26MY_ODYSSEY_DATA'!$B:$AR,19,FALSE)</f>
        <v>0</v>
      </c>
      <c r="Q134" s="338" t="str">
        <f>IF(VLOOKUP(B134,'26MY_ODYSSEY_DATA'!B:AR,20,FALSE)="","",VLOOKUP(B134,'26MY_ODYSSEY_DATA'!B:AR,20,FALSE))</f>
        <v>Quantity of 5.</v>
      </c>
    </row>
    <row r="135" spans="2:17" s="132" customFormat="1" ht="15" customHeight="1">
      <c r="B135" s="175" t="s">
        <v>60</v>
      </c>
      <c r="C135" s="177" t="str">
        <f>VLOOKUP(B135,'26MY_ODYSSEY_DATA'!B:AR,3,FALSE)</f>
        <v>Paint Pen Replacement Tips</v>
      </c>
      <c r="D135" s="79" t="str">
        <f t="shared" si="34"/>
        <v>TUCH-TIPS</v>
      </c>
      <c r="E135" s="323">
        <f>VLOOKUP(B135,'26MY_ODYSSEY_DATA'!B:AR,9,FALSE)</f>
        <v>6.25</v>
      </c>
      <c r="F135" s="323">
        <f>VLOOKUP(B135,'26MY_ODYSSEY_DATA'!B:AR,10,FALSE)</f>
        <v>13.75</v>
      </c>
      <c r="G135" s="332">
        <f>VLOOKUP(B135,'26MY_ODYSSEY_DATA'!B:AR,7,FALSE)</f>
        <v>0</v>
      </c>
      <c r="H135" s="324">
        <f>VLOOKUP(B135,'26MY_ODYSSEY_DATA'!B:AR,11,FALSE)</f>
        <v>13.75</v>
      </c>
      <c r="I135" s="333">
        <f>VLOOKUP(B135,'26MY_ODYSSEY_DATA'!B:AR,12,FALSE)</f>
        <v>0</v>
      </c>
      <c r="J135" s="333" t="str">
        <f>VLOOKUP(B135,'26MY_ODYSSEY_DATA'!B:AR,13,FALSE)</f>
        <v>•</v>
      </c>
      <c r="K135" s="333" t="str">
        <f>VLOOKUP(B135,'26MY_ODYSSEY_DATA'!B:AR,14,FALSE)</f>
        <v>•</v>
      </c>
      <c r="L135" s="333" t="str">
        <f>VLOOKUP(B135,'26MY_ODYSSEY_DATA'!B:AR,15,FALSE)</f>
        <v>•</v>
      </c>
      <c r="M135" s="333" t="str">
        <f>VLOOKUP(B135,'26MY_ODYSSEY_DATA'!B:AR,16,FALSE)</f>
        <v>•</v>
      </c>
      <c r="N135" s="333">
        <f>VLOOKUP($B135,'26MY_ODYSSEY_DATA'!$B:$AR,17,FALSE)</f>
        <v>0</v>
      </c>
      <c r="O135" s="333">
        <f>VLOOKUP($B135,'26MY_ODYSSEY_DATA'!$B:$AR,18,FALSE)</f>
        <v>0</v>
      </c>
      <c r="P135" s="333">
        <f>VLOOKUP($B135,'26MY_ODYSSEY_DATA'!$B:$AR,19,FALSE)</f>
        <v>0</v>
      </c>
      <c r="Q135" s="338" t="str">
        <f>IF(VLOOKUP(B135,'26MY_ODYSSEY_DATA'!B:AR,20,FALSE)="","",VLOOKUP(B135,'26MY_ODYSSEY_DATA'!B:AR,20,FALSE))</f>
        <v>Quantity of 25.</v>
      </c>
    </row>
    <row r="136" spans="2:17" s="132" customFormat="1" ht="15" customHeight="1">
      <c r="B136" s="174"/>
      <c r="C136" s="20"/>
      <c r="D136" s="26"/>
      <c r="E136" s="18"/>
      <c r="F136" s="18"/>
      <c r="G136" s="16"/>
      <c r="H136" s="17"/>
      <c r="I136" s="16"/>
      <c r="J136" s="16"/>
      <c r="K136" s="16"/>
      <c r="L136" s="16"/>
      <c r="M136" s="16"/>
      <c r="N136" s="16"/>
      <c r="O136" s="16"/>
      <c r="P136" s="16"/>
      <c r="Q136" s="16"/>
    </row>
    <row r="137" spans="2:17" s="132" customFormat="1" ht="15" customHeight="1">
      <c r="B137" s="174"/>
      <c r="C137" s="44" t="s">
        <v>108</v>
      </c>
      <c r="D137" s="43" t="s">
        <v>28</v>
      </c>
      <c r="E137" s="126"/>
      <c r="F137" s="126"/>
      <c r="G137" s="126"/>
      <c r="H137" s="126"/>
      <c r="I137" s="126"/>
      <c r="J137" s="126"/>
      <c r="K137" s="126"/>
      <c r="L137" s="126"/>
      <c r="M137" s="126"/>
      <c r="N137" s="126"/>
      <c r="O137" s="126"/>
      <c r="P137" s="126"/>
      <c r="Q137" s="126"/>
    </row>
    <row r="138" spans="2:17" ht="14.25" customHeight="1">
      <c r="C138" s="134">
        <f>'26MY_ODYSSEY_DATA'!$C$3</f>
        <v>46113</v>
      </c>
      <c r="D138" s="43" t="s">
        <v>170</v>
      </c>
      <c r="E138" s="51"/>
      <c r="F138" s="51"/>
      <c r="G138" s="51"/>
      <c r="H138" s="51"/>
      <c r="I138" s="51"/>
      <c r="J138" s="51"/>
      <c r="K138" s="51"/>
      <c r="L138" s="51"/>
      <c r="M138" s="51"/>
      <c r="N138" s="51"/>
      <c r="O138" s="51"/>
      <c r="P138" s="51"/>
      <c r="Q138" s="51"/>
    </row>
    <row r="139" spans="2:17" ht="14.25" customHeight="1">
      <c r="C139" s="51"/>
      <c r="D139" s="51"/>
      <c r="E139" s="51"/>
      <c r="F139" s="51"/>
      <c r="G139" s="51"/>
      <c r="H139" s="51"/>
      <c r="I139" s="51"/>
      <c r="J139" s="51"/>
      <c r="K139" s="51"/>
      <c r="L139" s="51"/>
      <c r="M139" s="51"/>
      <c r="N139" s="51"/>
      <c r="O139" s="51"/>
      <c r="P139" s="51"/>
      <c r="Q139" s="51"/>
    </row>
    <row r="140" spans="2:17" ht="14.25" customHeight="1">
      <c r="C140" s="51"/>
      <c r="D140" s="51"/>
      <c r="E140" s="51"/>
      <c r="F140" s="51"/>
      <c r="G140" s="51"/>
      <c r="H140" s="51"/>
      <c r="I140" s="51"/>
      <c r="J140" s="51"/>
      <c r="K140" s="51"/>
      <c r="L140" s="51"/>
      <c r="M140" s="51"/>
      <c r="N140" s="51"/>
      <c r="O140" s="51"/>
      <c r="P140" s="51"/>
      <c r="Q140" s="51"/>
    </row>
    <row r="141" spans="2:17" ht="14.25" customHeight="1">
      <c r="C141" s="51"/>
      <c r="D141" s="51"/>
      <c r="E141" s="51"/>
      <c r="F141" s="51"/>
      <c r="G141" s="51"/>
      <c r="H141" s="51"/>
      <c r="I141" s="51"/>
      <c r="J141" s="51"/>
      <c r="K141" s="51"/>
      <c r="L141" s="51"/>
      <c r="M141" s="51"/>
      <c r="N141" s="51"/>
      <c r="O141" s="51"/>
      <c r="P141" s="51"/>
      <c r="Q141" s="51"/>
    </row>
    <row r="142" spans="2:17" ht="14.25" customHeight="1">
      <c r="C142" s="51"/>
      <c r="D142" s="51"/>
      <c r="E142" s="51"/>
      <c r="F142" s="51"/>
      <c r="G142" s="51"/>
      <c r="H142" s="51"/>
      <c r="I142" s="51"/>
      <c r="J142" s="51"/>
      <c r="K142" s="51"/>
      <c r="L142" s="51"/>
      <c r="M142" s="51"/>
      <c r="N142" s="51"/>
      <c r="O142" s="51"/>
      <c r="P142" s="51"/>
      <c r="Q142" s="51"/>
    </row>
    <row r="143" spans="2:17" ht="14.25" customHeight="1">
      <c r="C143" s="51"/>
      <c r="D143" s="51"/>
      <c r="E143" s="51"/>
      <c r="F143" s="51"/>
      <c r="G143" s="51"/>
      <c r="H143" s="51"/>
      <c r="I143" s="51"/>
      <c r="J143" s="51"/>
      <c r="K143" s="51"/>
      <c r="L143" s="51"/>
      <c r="M143" s="51"/>
      <c r="N143" s="51"/>
      <c r="O143" s="51"/>
      <c r="P143" s="51"/>
      <c r="Q143" s="51"/>
    </row>
    <row r="144" spans="2:17" ht="14.25" customHeight="1">
      <c r="C144" s="51"/>
      <c r="D144" s="51"/>
      <c r="E144" s="51"/>
      <c r="F144" s="51"/>
      <c r="G144" s="51"/>
      <c r="H144" s="51"/>
      <c r="I144" s="51"/>
      <c r="J144" s="51"/>
      <c r="K144" s="51"/>
      <c r="L144" s="51"/>
      <c r="M144" s="51"/>
      <c r="N144" s="51"/>
      <c r="O144" s="51"/>
      <c r="P144" s="51"/>
      <c r="Q144" s="51"/>
    </row>
    <row r="145" spans="3:17" ht="14.25" customHeight="1">
      <c r="C145" s="51"/>
      <c r="D145" s="51"/>
      <c r="E145" s="51"/>
      <c r="F145" s="51"/>
      <c r="G145" s="51"/>
      <c r="H145" s="51"/>
      <c r="I145" s="51"/>
      <c r="J145" s="51"/>
      <c r="K145" s="51"/>
      <c r="L145" s="51"/>
      <c r="M145" s="51"/>
      <c r="N145" s="51"/>
      <c r="O145" s="51"/>
      <c r="P145" s="51"/>
      <c r="Q145" s="51"/>
    </row>
    <row r="146" spans="3:17" ht="14.25" customHeight="1">
      <c r="C146" s="51"/>
      <c r="D146" s="51"/>
      <c r="E146" s="51"/>
      <c r="F146" s="51"/>
      <c r="G146" s="51"/>
      <c r="H146" s="51"/>
      <c r="I146" s="51"/>
      <c r="J146" s="51"/>
      <c r="K146" s="51"/>
      <c r="L146" s="51"/>
      <c r="M146" s="51"/>
      <c r="N146" s="51"/>
      <c r="O146" s="51"/>
      <c r="P146" s="51"/>
      <c r="Q146" s="51"/>
    </row>
    <row r="147" spans="3:17" ht="14.25" customHeight="1">
      <c r="C147" s="51"/>
      <c r="D147" s="51"/>
      <c r="E147" s="51"/>
      <c r="F147" s="51"/>
      <c r="G147" s="51"/>
      <c r="H147" s="51"/>
      <c r="I147" s="51"/>
      <c r="J147" s="51"/>
      <c r="K147" s="51"/>
      <c r="L147" s="51"/>
      <c r="M147" s="51"/>
      <c r="N147" s="51"/>
      <c r="O147" s="51"/>
      <c r="P147" s="51"/>
      <c r="Q147" s="51"/>
    </row>
    <row r="148" spans="3:17" ht="14.25" customHeight="1">
      <c r="C148" s="51"/>
      <c r="D148" s="51"/>
      <c r="E148" s="51"/>
      <c r="F148" s="51"/>
      <c r="G148" s="51"/>
      <c r="H148" s="51"/>
      <c r="I148" s="51"/>
      <c r="J148" s="51"/>
      <c r="K148" s="51"/>
      <c r="L148" s="51"/>
      <c r="M148" s="51"/>
      <c r="N148" s="51"/>
      <c r="O148" s="51"/>
      <c r="P148" s="51"/>
      <c r="Q148" s="51"/>
    </row>
    <row r="149" spans="3:17" ht="14.25" customHeight="1">
      <c r="C149" s="51"/>
      <c r="D149" s="51"/>
      <c r="E149" s="51"/>
      <c r="F149" s="51"/>
      <c r="G149" s="51"/>
      <c r="H149" s="51"/>
      <c r="I149" s="51"/>
      <c r="J149" s="51"/>
      <c r="K149" s="51"/>
      <c r="L149" s="51"/>
      <c r="M149" s="51"/>
      <c r="N149" s="51"/>
      <c r="O149" s="51"/>
      <c r="P149" s="51"/>
      <c r="Q149" s="51"/>
    </row>
    <row r="150" spans="3:17" ht="14.25" customHeight="1">
      <c r="C150" s="51"/>
      <c r="D150" s="51"/>
      <c r="E150" s="51"/>
      <c r="F150" s="51"/>
      <c r="G150" s="51"/>
      <c r="H150" s="51"/>
      <c r="I150" s="51"/>
      <c r="J150" s="51"/>
      <c r="K150" s="51"/>
      <c r="L150" s="51"/>
      <c r="M150" s="51"/>
      <c r="N150" s="51"/>
      <c r="O150" s="51"/>
      <c r="P150" s="51"/>
      <c r="Q150" s="51"/>
    </row>
    <row r="151" spans="3:17" ht="14.25" customHeight="1">
      <c r="C151" s="51"/>
      <c r="D151" s="51"/>
      <c r="E151" s="51"/>
      <c r="F151" s="51"/>
      <c r="G151" s="51"/>
      <c r="H151" s="51"/>
      <c r="I151" s="51"/>
      <c r="J151" s="51"/>
      <c r="K151" s="51"/>
      <c r="L151" s="51"/>
      <c r="M151" s="51"/>
      <c r="N151" s="51"/>
      <c r="O151" s="51"/>
      <c r="P151" s="51"/>
      <c r="Q151" s="51"/>
    </row>
    <row r="152" spans="3:17" ht="14.25" customHeight="1">
      <c r="C152" s="51"/>
      <c r="D152" s="51"/>
      <c r="E152" s="51"/>
      <c r="F152" s="51"/>
      <c r="G152" s="51"/>
      <c r="H152" s="51"/>
      <c r="I152" s="51"/>
      <c r="J152" s="51"/>
      <c r="K152" s="51"/>
      <c r="L152" s="51"/>
      <c r="M152" s="51"/>
      <c r="N152" s="51"/>
      <c r="O152" s="51"/>
      <c r="P152" s="51"/>
      <c r="Q152" s="51"/>
    </row>
    <row r="153" spans="3:17" ht="14.25" customHeight="1">
      <c r="C153" s="51"/>
      <c r="D153" s="51"/>
      <c r="E153" s="51"/>
      <c r="F153" s="51"/>
      <c r="G153" s="51"/>
      <c r="H153" s="51"/>
      <c r="I153" s="51"/>
      <c r="J153" s="51"/>
      <c r="K153" s="51"/>
      <c r="L153" s="51"/>
      <c r="M153" s="51"/>
      <c r="N153" s="51"/>
      <c r="O153" s="51"/>
      <c r="P153" s="51"/>
      <c r="Q153" s="51"/>
    </row>
    <row r="154" spans="3:17" ht="14.25" customHeight="1">
      <c r="C154" s="51"/>
      <c r="D154" s="51"/>
      <c r="E154" s="51"/>
      <c r="F154" s="51"/>
      <c r="G154" s="51"/>
      <c r="H154" s="51"/>
      <c r="I154" s="51"/>
      <c r="J154" s="51"/>
      <c r="K154" s="51"/>
      <c r="L154" s="51"/>
      <c r="M154" s="51"/>
      <c r="N154" s="51"/>
      <c r="O154" s="51"/>
      <c r="P154" s="51"/>
      <c r="Q154" s="51"/>
    </row>
    <row r="155" spans="3:17" ht="14.25" customHeight="1">
      <c r="C155" s="51"/>
      <c r="D155" s="51"/>
      <c r="E155" s="51"/>
      <c r="F155" s="51"/>
      <c r="G155" s="51"/>
      <c r="H155" s="51"/>
      <c r="I155" s="51"/>
      <c r="J155" s="51"/>
      <c r="K155" s="51"/>
      <c r="L155" s="51"/>
      <c r="M155" s="51"/>
      <c r="N155" s="51"/>
      <c r="O155" s="51"/>
      <c r="P155" s="51"/>
      <c r="Q155" s="51"/>
    </row>
    <row r="156" spans="3:17" ht="14.25" customHeight="1">
      <c r="C156" s="51"/>
      <c r="D156" s="51"/>
      <c r="E156" s="51"/>
      <c r="F156" s="51"/>
      <c r="G156" s="51"/>
      <c r="H156" s="51"/>
      <c r="I156" s="51"/>
      <c r="J156" s="51"/>
      <c r="K156" s="51"/>
      <c r="L156" s="51"/>
      <c r="M156" s="51"/>
      <c r="N156" s="51"/>
      <c r="O156" s="51"/>
      <c r="P156" s="51"/>
      <c r="Q156" s="51"/>
    </row>
    <row r="157" spans="3:17" ht="14.25" customHeight="1">
      <c r="C157" s="51"/>
      <c r="D157" s="51"/>
      <c r="E157" s="51"/>
      <c r="F157" s="51"/>
      <c r="G157" s="51"/>
      <c r="H157" s="51"/>
      <c r="I157" s="51"/>
      <c r="J157" s="51"/>
      <c r="K157" s="51"/>
      <c r="L157" s="51"/>
      <c r="M157" s="51"/>
      <c r="N157" s="51"/>
      <c r="O157" s="51"/>
      <c r="P157" s="51"/>
      <c r="Q157" s="51"/>
    </row>
    <row r="158" spans="3:17">
      <c r="C158" s="51"/>
      <c r="D158" s="51"/>
      <c r="E158" s="51"/>
      <c r="F158" s="51"/>
      <c r="G158" s="51"/>
      <c r="H158" s="51"/>
      <c r="I158" s="51"/>
      <c r="J158" s="51"/>
      <c r="K158" s="51"/>
      <c r="L158" s="51"/>
      <c r="M158" s="51"/>
      <c r="N158" s="51"/>
      <c r="O158" s="51"/>
      <c r="P158" s="51"/>
      <c r="Q158" s="51"/>
    </row>
  </sheetData>
  <mergeCells count="122">
    <mergeCell ref="M24:M26"/>
    <mergeCell ref="I19:I22"/>
    <mergeCell ref="J19:J22"/>
    <mergeCell ref="G24:G26"/>
    <mergeCell ref="H24:H26"/>
    <mergeCell ref="G19:G22"/>
    <mergeCell ref="H19:H22"/>
    <mergeCell ref="P19:P22"/>
    <mergeCell ref="Q19:Q22"/>
    <mergeCell ref="P24:P26"/>
    <mergeCell ref="Q24:Q26"/>
    <mergeCell ref="O19:O22"/>
    <mergeCell ref="N24:N26"/>
    <mergeCell ref="O24:O26"/>
    <mergeCell ref="I24:I26"/>
    <mergeCell ref="J24:J26"/>
    <mergeCell ref="K24:K26"/>
    <mergeCell ref="L24:L26"/>
    <mergeCell ref="K19:K22"/>
    <mergeCell ref="L19:L22"/>
    <mergeCell ref="M19:M22"/>
    <mergeCell ref="N19:N22"/>
    <mergeCell ref="Q28:Q32"/>
    <mergeCell ref="P28:P32"/>
    <mergeCell ref="N28:N32"/>
    <mergeCell ref="O28:O32"/>
    <mergeCell ref="I28:I32"/>
    <mergeCell ref="J28:J32"/>
    <mergeCell ref="K28:K32"/>
    <mergeCell ref="L28:L32"/>
    <mergeCell ref="M28:M32"/>
    <mergeCell ref="F109:F110"/>
    <mergeCell ref="G109:G110"/>
    <mergeCell ref="H109:H110"/>
    <mergeCell ref="H12:H13"/>
    <mergeCell ref="Q12:Q13"/>
    <mergeCell ref="G12:G13"/>
    <mergeCell ref="I12:P12"/>
    <mergeCell ref="C12:C13"/>
    <mergeCell ref="D12:D13"/>
    <mergeCell ref="E12:E13"/>
    <mergeCell ref="F12:F13"/>
    <mergeCell ref="O14:O17"/>
    <mergeCell ref="H14:H17"/>
    <mergeCell ref="I14:I17"/>
    <mergeCell ref="J14:J17"/>
    <mergeCell ref="K14:K17"/>
    <mergeCell ref="L14:L17"/>
    <mergeCell ref="M14:M17"/>
    <mergeCell ref="N14:N17"/>
    <mergeCell ref="E14:E17"/>
    <mergeCell ref="F14:F17"/>
    <mergeCell ref="P14:P17"/>
    <mergeCell ref="Q14:Q17"/>
    <mergeCell ref="G14:G17"/>
    <mergeCell ref="C42:C43"/>
    <mergeCell ref="D42:D43"/>
    <mergeCell ref="E42:E43"/>
    <mergeCell ref="F42:F43"/>
    <mergeCell ref="G42:G43"/>
    <mergeCell ref="H42:H43"/>
    <mergeCell ref="C48:C49"/>
    <mergeCell ref="D48:D49"/>
    <mergeCell ref="E48:E49"/>
    <mergeCell ref="F48:F49"/>
    <mergeCell ref="G48:G49"/>
    <mergeCell ref="H48:H49"/>
    <mergeCell ref="I109:P109"/>
    <mergeCell ref="Q109:Q110"/>
    <mergeCell ref="C97:C98"/>
    <mergeCell ref="D97:D98"/>
    <mergeCell ref="E97:E98"/>
    <mergeCell ref="F97:F98"/>
    <mergeCell ref="G97:G98"/>
    <mergeCell ref="H97:H98"/>
    <mergeCell ref="Q126:Q131"/>
    <mergeCell ref="I124:P124"/>
    <mergeCell ref="Q124:Q125"/>
    <mergeCell ref="E126:E131"/>
    <mergeCell ref="F126:F131"/>
    <mergeCell ref="G126:G131"/>
    <mergeCell ref="H126:H131"/>
    <mergeCell ref="C124:C125"/>
    <mergeCell ref="D124:D125"/>
    <mergeCell ref="E124:E125"/>
    <mergeCell ref="F124:F125"/>
    <mergeCell ref="G124:G125"/>
    <mergeCell ref="H124:H125"/>
    <mergeCell ref="C109:C110"/>
    <mergeCell ref="D109:D110"/>
    <mergeCell ref="E109:E110"/>
    <mergeCell ref="Q89:Q94"/>
    <mergeCell ref="I42:P42"/>
    <mergeCell ref="Q42:Q43"/>
    <mergeCell ref="I34:I39"/>
    <mergeCell ref="J34:J39"/>
    <mergeCell ref="K34:K39"/>
    <mergeCell ref="Q34:Q39"/>
    <mergeCell ref="P34:P39"/>
    <mergeCell ref="I97:P97"/>
    <mergeCell ref="Q97:Q98"/>
    <mergeCell ref="Q75:Q80"/>
    <mergeCell ref="Q82:Q87"/>
    <mergeCell ref="I48:P48"/>
    <mergeCell ref="Q48:Q49"/>
    <mergeCell ref="Q66:Q73"/>
    <mergeCell ref="L34:L39"/>
    <mergeCell ref="M34:M39"/>
    <mergeCell ref="N34:N39"/>
    <mergeCell ref="O34:O39"/>
    <mergeCell ref="E19:E22"/>
    <mergeCell ref="F19:F22"/>
    <mergeCell ref="E28:E32"/>
    <mergeCell ref="F28:F32"/>
    <mergeCell ref="G28:G32"/>
    <mergeCell ref="H28:H32"/>
    <mergeCell ref="E34:E39"/>
    <mergeCell ref="F34:F39"/>
    <mergeCell ref="G34:G39"/>
    <mergeCell ref="H34:H39"/>
    <mergeCell ref="E24:E26"/>
    <mergeCell ref="F24:F26"/>
  </mergeCells>
  <conditionalFormatting sqref="E1:F14 E132:F1048576 E23:F24 E18:F19 E27:F28 E33:F34 E40:F126">
    <cfRule type="containsText" dxfId="12"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1" fitToHeight="0" orientation="portrait" horizontalDpi="1200" verticalDpi="1200" r:id="rId1"/>
  <headerFooter>
    <oddFooter>&amp;CPage &amp;P of &amp;N</oddFooter>
  </headerFooter>
  <rowBreaks count="1" manualBreakCount="1">
    <brk id="80" min="2"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85" zoomScaleNormal="100" zoomScaleSheetLayoutView="85" workbookViewId="0">
      <selection activeCell="B32" sqref="B32"/>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18" customHeight="1">
      <c r="B2" s="50"/>
      <c r="C2" s="51"/>
      <c r="D2" s="51"/>
      <c r="E2" s="51"/>
      <c r="F2" s="51"/>
      <c r="G2" s="51"/>
      <c r="H2" s="51"/>
      <c r="I2" s="51"/>
      <c r="J2" s="51"/>
      <c r="K2" s="51"/>
      <c r="L2" s="51"/>
      <c r="M2" s="51"/>
      <c r="N2" s="51"/>
      <c r="O2" s="51"/>
      <c r="R2" s="47"/>
    </row>
    <row r="3" spans="2:22" ht="25.2" customHeight="1">
      <c r="B3" s="385" t="s">
        <v>563</v>
      </c>
      <c r="C3" s="385"/>
      <c r="D3" s="385"/>
      <c r="E3" s="385"/>
      <c r="F3" s="385"/>
      <c r="G3" s="385"/>
      <c r="H3" s="385"/>
      <c r="I3" s="385"/>
      <c r="J3" s="385"/>
      <c r="K3" s="385"/>
      <c r="L3" s="385"/>
      <c r="M3" s="385"/>
      <c r="N3" s="385"/>
      <c r="O3" s="385"/>
      <c r="P3" s="385"/>
      <c r="Q3" s="385"/>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86" t="s">
        <v>29</v>
      </c>
      <c r="C6" s="386"/>
      <c r="D6" s="386"/>
      <c r="E6" s="386"/>
      <c r="F6" s="386"/>
      <c r="G6" s="386"/>
      <c r="H6" s="386"/>
      <c r="I6" s="386"/>
      <c r="J6" s="386"/>
      <c r="K6" s="386"/>
      <c r="L6" s="386"/>
      <c r="M6" s="386"/>
      <c r="N6" s="386"/>
      <c r="O6" s="386"/>
      <c r="P6" s="386"/>
      <c r="Q6" s="386"/>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87"/>
      <c r="D8" s="387"/>
      <c r="E8" s="387"/>
      <c r="F8" s="387"/>
      <c r="G8" s="51"/>
      <c r="H8" s="387"/>
      <c r="I8" s="387"/>
      <c r="J8" s="387"/>
      <c r="K8" s="387"/>
      <c r="L8" s="51"/>
      <c r="M8" s="387"/>
      <c r="N8" s="387"/>
      <c r="O8" s="387"/>
      <c r="P8" s="387"/>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82" t="str">
        <f>'26MY_ODYSSEY_APP_EN'!$C$99</f>
        <v>All-Season Floor Mats - White Logo</v>
      </c>
      <c r="D10" s="383"/>
      <c r="E10" s="383"/>
      <c r="F10" s="384"/>
      <c r="G10" s="55"/>
      <c r="H10" s="382" t="str">
        <f>'26MY_ODYSSEY_APP_EN'!$C$100</f>
        <v>Cargo Tray - Deep</v>
      </c>
      <c r="I10" s="383"/>
      <c r="J10" s="383"/>
      <c r="K10" s="384"/>
      <c r="L10" s="55"/>
      <c r="M10" s="382" t="str">
        <f>'26MY_ODYSSEY_APP_EN'!$C$101</f>
        <v>Cargo Tray - Folding</v>
      </c>
      <c r="N10" s="383"/>
      <c r="O10" s="383"/>
      <c r="P10" s="384"/>
      <c r="Q10" s="51"/>
      <c r="R10" s="47"/>
    </row>
    <row r="11" spans="2:22" ht="15" customHeight="1">
      <c r="B11" s="53">
        <v>20</v>
      </c>
      <c r="C11" s="73">
        <f>'26MY_ODYSSEY_APP_EN'!$H$99</f>
        <v>353.1</v>
      </c>
      <c r="D11" s="57">
        <f>-PMT($D$29/52,5*52,C11)</f>
        <v>1.6101002762968759</v>
      </c>
      <c r="E11" s="58" t="s">
        <v>30</v>
      </c>
      <c r="F11" s="75" t="str">
        <f>$C$29</f>
        <v>(6.99%)</v>
      </c>
      <c r="G11" s="51"/>
      <c r="H11" s="73">
        <f>'26MY_ODYSSEY_APP_EN'!$H$101</f>
        <v>293.10000000000002</v>
      </c>
      <c r="I11" s="57">
        <f>-PMT($D$29/52,5*52,H11)</f>
        <v>1.3365063465947731</v>
      </c>
      <c r="J11" s="58" t="s">
        <v>30</v>
      </c>
      <c r="K11" s="75" t="str">
        <f>$C$29</f>
        <v>(6.99%)</v>
      </c>
      <c r="L11" s="51"/>
      <c r="M11" s="73">
        <f>'26MY_ODYSSEY_APP_EN'!$H$111</f>
        <v>1108.2</v>
      </c>
      <c r="N11" s="57">
        <f>-PMT($D$29/52,5*52,M11)</f>
        <v>5.0532798815978417</v>
      </c>
      <c r="O11" s="58" t="s">
        <v>30</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t="s">
        <v>495</v>
      </c>
      <c r="C13" s="387"/>
      <c r="D13" s="387"/>
      <c r="E13" s="387"/>
      <c r="F13" s="387"/>
      <c r="G13" s="51"/>
      <c r="H13" s="387"/>
      <c r="I13" s="387"/>
      <c r="J13" s="387"/>
      <c r="K13" s="387"/>
      <c r="L13" s="51"/>
      <c r="M13" s="387"/>
      <c r="N13" s="387"/>
      <c r="O13" s="387"/>
      <c r="P13" s="387"/>
      <c r="Q13" s="51"/>
      <c r="R13" s="47"/>
    </row>
    <row r="14" spans="2:22" ht="9" customHeight="1">
      <c r="B14" s="52"/>
      <c r="C14" s="80"/>
      <c r="D14" s="80"/>
      <c r="E14" s="80"/>
      <c r="F14" s="80"/>
      <c r="G14" s="51"/>
      <c r="H14" s="80"/>
      <c r="I14" s="80"/>
      <c r="J14" s="80"/>
      <c r="K14" s="80"/>
      <c r="L14" s="51"/>
      <c r="M14" s="80"/>
      <c r="N14" s="80"/>
      <c r="O14" s="80"/>
      <c r="P14" s="80"/>
      <c r="Q14" s="51"/>
      <c r="R14" s="47"/>
    </row>
    <row r="15" spans="2:22" ht="22.2" customHeight="1">
      <c r="B15" s="52">
        <v>20</v>
      </c>
      <c r="C15" s="388" t="str">
        <f>TEXT('26MY_ODYSSEY_APP_EN'!$C$62,0)&amp;(TEXT($B$13,0)&amp;TEXT('26MY_ODYSSEY_APP_EN'!$C$64,0))</f>
        <v xml:space="preserve">Roof Rails - Black  &amp; Crossbars </v>
      </c>
      <c r="D15" s="389"/>
      <c r="E15" s="389"/>
      <c r="F15" s="390"/>
      <c r="G15" s="64"/>
      <c r="H15" s="388" t="str">
        <f>TEXT('26MY_ODYSSEY_APP_EN'!$C$75,0)&amp;(TEXT($B$13,0)&amp;TEXT('26MY_ODYSSEY_APP_EN'!$C$78,0))</f>
        <v>Trailer Hitch &amp; Trailer Hitch Harness</v>
      </c>
      <c r="I15" s="389"/>
      <c r="J15" s="389"/>
      <c r="K15" s="390"/>
      <c r="L15" s="64"/>
      <c r="M15" s="382" t="str">
        <f>'26MY_ODYSSEY_APP_EN'!$C$111</f>
        <v>Illuminated Door Sill Trim - Front &amp; Rear</v>
      </c>
      <c r="N15" s="383"/>
      <c r="O15" s="383"/>
      <c r="P15" s="384"/>
      <c r="Q15" s="51"/>
      <c r="R15" s="47"/>
    </row>
    <row r="16" spans="2:22" s="63" customFormat="1" ht="15.6">
      <c r="B16" s="56">
        <v>50</v>
      </c>
      <c r="C16" s="73">
        <f>'26MY_ODYSSEY_APP_EN'!$H$62+'26MY_ODYSSEY_APP_EN'!$H$64</f>
        <v>1374.2</v>
      </c>
      <c r="D16" s="57">
        <f>-PMT($D$29/52,5*52,C16)</f>
        <v>6.2662129699438323</v>
      </c>
      <c r="E16" s="58" t="s">
        <v>30</v>
      </c>
      <c r="F16" s="75" t="str">
        <f>$C$29</f>
        <v>(6.99%)</v>
      </c>
      <c r="G16" s="60"/>
      <c r="H16" s="73">
        <f>'26MY_ODYSSEY_APP_EN'!$H$75+'26MY_ODYSSEY_APP_EN'!$H$78</f>
        <v>1679.3</v>
      </c>
      <c r="I16" s="57">
        <f>-PMT($D$29/52,5*52,H16)</f>
        <v>7.6574381024790243</v>
      </c>
      <c r="J16" s="58" t="s">
        <v>30</v>
      </c>
      <c r="K16" s="75" t="str">
        <f>$C$29</f>
        <v>(6.99%)</v>
      </c>
      <c r="L16" s="60"/>
      <c r="M16" s="73">
        <f>'26MY_ODYSSEY_APP_EN'!$H$111</f>
        <v>1108.2</v>
      </c>
      <c r="N16" s="57">
        <f>-PMT($D$29/52,5*52,M16)</f>
        <v>5.0532798815978417</v>
      </c>
      <c r="O16" s="58" t="s">
        <v>30</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87"/>
      <c r="D18" s="387"/>
      <c r="E18" s="387"/>
      <c r="F18" s="387"/>
      <c r="G18" s="51"/>
      <c r="H18" s="387"/>
      <c r="I18" s="387"/>
      <c r="J18" s="387"/>
      <c r="K18" s="387"/>
      <c r="L18" s="51"/>
      <c r="M18" s="387"/>
      <c r="N18" s="387"/>
      <c r="O18" s="387"/>
      <c r="P18" s="387"/>
      <c r="Q18" s="51"/>
    </row>
    <row r="19" spans="1:20" ht="9.75" customHeight="1">
      <c r="B19" s="52"/>
      <c r="C19" s="80"/>
      <c r="D19" s="80"/>
      <c r="E19" s="80"/>
      <c r="F19" s="80"/>
      <c r="G19" s="51"/>
      <c r="H19" s="80"/>
      <c r="I19" s="80"/>
      <c r="J19" s="80"/>
      <c r="K19" s="80"/>
      <c r="L19" s="51"/>
      <c r="M19" s="80"/>
      <c r="N19" s="80"/>
      <c r="O19" s="80"/>
      <c r="P19" s="80"/>
      <c r="Q19" s="51"/>
    </row>
    <row r="20" spans="1:20" ht="22.2" customHeight="1">
      <c r="B20" s="52">
        <v>20</v>
      </c>
      <c r="C20" s="382" t="str">
        <f>'26MY_ODYSSEY_APP_EN'!$C$58</f>
        <v>Hood Air Deflector</v>
      </c>
      <c r="D20" s="383"/>
      <c r="E20" s="383"/>
      <c r="F20" s="384"/>
      <c r="G20" s="64"/>
      <c r="H20" s="393" t="str">
        <f>'26MY_ODYSSEY_APP_EN'!$C$57</f>
        <v>Door Visor</v>
      </c>
      <c r="I20" s="383"/>
      <c r="J20" s="383"/>
      <c r="K20" s="384"/>
      <c r="L20" s="64"/>
      <c r="M20" s="394" t="str">
        <f>'26MY_ODYSSEY_APP_EN'!$C$61</f>
        <v xml:space="preserve">Tent </v>
      </c>
      <c r="N20" s="395"/>
      <c r="O20" s="395"/>
      <c r="P20" s="396"/>
      <c r="Q20" s="51"/>
    </row>
    <row r="21" spans="1:20" ht="15.6">
      <c r="B21" s="52">
        <v>50</v>
      </c>
      <c r="C21" s="73">
        <f>'26MY_ODYSSEY_APP_EN'!$H$58</f>
        <v>440.5</v>
      </c>
      <c r="D21" s="57">
        <f>-PMT($D$29/52,5*52,C21)</f>
        <v>2.0086354338962726</v>
      </c>
      <c r="E21" s="58" t="s">
        <v>30</v>
      </c>
      <c r="F21" s="76" t="str">
        <f>$C$29</f>
        <v>(6.99%)</v>
      </c>
      <c r="G21" s="60"/>
      <c r="H21" s="73">
        <f>'26MY_ODYSSEY_APP_EN'!$H$57</f>
        <v>492.5</v>
      </c>
      <c r="I21" s="57">
        <f>-PMT($D$29/52,5*52,H21)</f>
        <v>2.2457501729714284</v>
      </c>
      <c r="J21" s="58" t="s">
        <v>30</v>
      </c>
      <c r="K21" s="76" t="str">
        <f>$C$29</f>
        <v>(6.99%)</v>
      </c>
      <c r="L21" s="60"/>
      <c r="M21" s="73">
        <f>'26MY_ODYSSEY_APP_EN'!$H$61</f>
        <v>700</v>
      </c>
      <c r="N21" s="57">
        <f>-PMT($D$29/52,5*52,M21)</f>
        <v>3.1919291798578682</v>
      </c>
      <c r="O21" s="58" t="s">
        <v>30</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32</v>
      </c>
      <c r="D23" s="51"/>
      <c r="E23" s="51"/>
      <c r="F23" s="51"/>
      <c r="G23" s="51"/>
      <c r="H23" s="51"/>
      <c r="I23" s="51"/>
      <c r="J23" s="51"/>
      <c r="K23" s="51"/>
      <c r="L23" s="51"/>
      <c r="M23" s="51"/>
      <c r="N23" s="51"/>
      <c r="O23" s="51"/>
      <c r="P23" s="51"/>
      <c r="Q23" s="51"/>
    </row>
    <row r="24" spans="1:20" ht="15" customHeight="1">
      <c r="B24" s="65"/>
      <c r="C24" s="66" t="s">
        <v>33</v>
      </c>
      <c r="D24" s="51"/>
      <c r="E24" s="51"/>
      <c r="F24" s="51"/>
      <c r="G24" s="67"/>
      <c r="H24" s="67"/>
      <c r="I24" s="67"/>
      <c r="J24" s="67"/>
      <c r="K24" s="67"/>
      <c r="L24" s="67"/>
      <c r="M24" s="67"/>
      <c r="N24" s="67"/>
      <c r="O24" s="67"/>
      <c r="P24" s="67"/>
      <c r="Q24" s="51"/>
    </row>
    <row r="25" spans="1:20" ht="15" customHeight="1">
      <c r="B25" s="65">
        <v>20</v>
      </c>
      <c r="C25" s="66" t="s">
        <v>46</v>
      </c>
      <c r="D25" s="51"/>
      <c r="E25" s="51"/>
      <c r="F25" s="51"/>
      <c r="G25" s="67"/>
      <c r="H25" s="67"/>
      <c r="I25" s="67"/>
      <c r="J25" s="67"/>
      <c r="K25" s="67"/>
      <c r="L25" s="67"/>
      <c r="M25" s="67"/>
      <c r="N25" s="67"/>
      <c r="O25" s="67"/>
      <c r="P25" s="67"/>
      <c r="Q25" s="51"/>
    </row>
    <row r="26" spans="1:20" ht="60" customHeight="1">
      <c r="B26" s="52">
        <v>60</v>
      </c>
      <c r="C26" s="391" t="s">
        <v>109</v>
      </c>
      <c r="D26" s="391"/>
      <c r="E26" s="391"/>
      <c r="F26" s="391"/>
      <c r="G26" s="391"/>
      <c r="H26" s="391"/>
      <c r="I26" s="391"/>
      <c r="J26" s="391"/>
      <c r="K26" s="391"/>
      <c r="L26" s="391"/>
      <c r="M26" s="391"/>
      <c r="N26" s="391"/>
      <c r="O26" s="391"/>
      <c r="P26" s="391"/>
      <c r="Q26" s="51"/>
    </row>
    <row r="27" spans="1:20" ht="20.25" customHeight="1" thickBot="1">
      <c r="B27" s="241"/>
      <c r="C27" s="242" t="s">
        <v>31</v>
      </c>
      <c r="D27" s="243"/>
      <c r="E27" s="244"/>
      <c r="F27" s="243"/>
      <c r="G27" s="245"/>
      <c r="H27" s="245"/>
      <c r="I27" s="245"/>
      <c r="J27" s="245"/>
      <c r="K27" s="246"/>
      <c r="L27" s="246"/>
      <c r="M27" s="246"/>
      <c r="N27" s="247"/>
      <c r="O27" s="392"/>
      <c r="P27" s="392"/>
      <c r="Q27" s="248"/>
    </row>
    <row r="28" spans="1:20" ht="20.25" customHeight="1">
      <c r="A28" s="68"/>
      <c r="B28" s="236">
        <v>20</v>
      </c>
      <c r="C28" s="238"/>
      <c r="D28" s="236"/>
      <c r="E28" s="235"/>
      <c r="F28" s="236"/>
      <c r="G28" s="237"/>
      <c r="H28" s="237"/>
      <c r="I28" s="237"/>
      <c r="J28" s="237"/>
      <c r="K28" s="238"/>
      <c r="L28" s="238"/>
      <c r="M28" s="238"/>
      <c r="N28" s="238"/>
      <c r="O28" s="238"/>
      <c r="P28" s="77"/>
      <c r="Q28" s="51"/>
    </row>
    <row r="29" spans="1:20" ht="18" customHeight="1">
      <c r="A29" s="68"/>
      <c r="B29" s="236">
        <v>18</v>
      </c>
      <c r="C29" s="234" t="s">
        <v>112</v>
      </c>
      <c r="D29" s="235">
        <v>6.9900000000000004E-2</v>
      </c>
      <c r="E29" s="235"/>
      <c r="F29" s="236"/>
      <c r="G29" s="237"/>
      <c r="H29" s="237"/>
      <c r="I29" s="237"/>
      <c r="J29" s="237"/>
      <c r="K29" s="238"/>
      <c r="L29" s="238"/>
      <c r="M29" s="238"/>
      <c r="N29" s="238"/>
      <c r="O29" s="238"/>
      <c r="P29" s="77"/>
      <c r="Q29" s="51"/>
    </row>
    <row r="30" spans="1:20" s="51" customFormat="1" ht="15" customHeight="1">
      <c r="A30" s="69"/>
      <c r="B30" s="239">
        <v>7.5</v>
      </c>
      <c r="C30" s="239">
        <v>12</v>
      </c>
      <c r="D30" s="239">
        <v>8</v>
      </c>
      <c r="E30" s="239">
        <v>8</v>
      </c>
      <c r="F30" s="239">
        <v>10</v>
      </c>
      <c r="G30" s="239">
        <v>8.5</v>
      </c>
      <c r="H30" s="239">
        <v>12</v>
      </c>
      <c r="I30" s="239">
        <v>8</v>
      </c>
      <c r="J30" s="239">
        <v>8</v>
      </c>
      <c r="K30" s="239">
        <v>10</v>
      </c>
      <c r="L30" s="239">
        <v>8.5</v>
      </c>
      <c r="M30" s="239">
        <v>12</v>
      </c>
      <c r="N30" s="239">
        <v>8</v>
      </c>
      <c r="O30" s="239">
        <v>8</v>
      </c>
      <c r="P30" s="52">
        <v>10</v>
      </c>
      <c r="Q30" s="52">
        <v>7.5</v>
      </c>
    </row>
    <row r="31" spans="1:20" s="51" customFormat="1" ht="22.2" customHeight="1">
      <c r="A31" s="69"/>
      <c r="B31" s="240" t="s">
        <v>172</v>
      </c>
      <c r="C31" s="233">
        <f>'26MY_ODYSSEY_DATA'!$C$3</f>
        <v>46113</v>
      </c>
      <c r="D31" s="67" t="str">
        <f>'SELECT PROVINCE'!$A$23</f>
        <v>All published prices, trim specifications, and availability are subject to change without prior notice.</v>
      </c>
      <c r="E31" s="230"/>
      <c r="F31" s="230"/>
      <c r="G31" s="230"/>
      <c r="H31" s="230"/>
      <c r="I31" s="230"/>
      <c r="J31" s="230"/>
      <c r="K31" s="230"/>
      <c r="L31" s="230"/>
      <c r="M31" s="230"/>
      <c r="N31" s="230"/>
      <c r="O31" s="65"/>
      <c r="P31" s="232" t="s">
        <v>58</v>
      </c>
      <c r="Q31" s="231" t="str">
        <f>'26MY_ODYSSEY_DATA'!L5</f>
        <v>YT</v>
      </c>
    </row>
    <row r="32" spans="1:20" ht="15.6">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58"/>
  <sheetViews>
    <sheetView view="pageBreakPreview" topLeftCell="A15" zoomScale="80" zoomScaleNormal="60" zoomScaleSheetLayoutView="80" workbookViewId="0">
      <selection activeCell="B32" sqref="B32"/>
    </sheetView>
  </sheetViews>
  <sheetFormatPr defaultColWidth="9.109375" defaultRowHeight="13.8" outlineLevelCol="1"/>
  <cols>
    <col min="1" max="1" width="9.109375" style="46"/>
    <col min="2" max="2" width="15.5546875" style="173" hidden="1" customWidth="1"/>
    <col min="3" max="3" width="56.109375" style="46" customWidth="1"/>
    <col min="4" max="4" width="22" style="46" customWidth="1"/>
    <col min="5" max="5" width="10.88671875" style="46" hidden="1" customWidth="1" outlineLevel="1"/>
    <col min="6" max="6" width="14.5546875" style="46" customWidth="1" collapsed="1"/>
    <col min="7" max="7" width="9.44140625" style="46" customWidth="1"/>
    <col min="8" max="8" width="15" style="46" customWidth="1"/>
    <col min="9" max="9" width="10.5546875" style="46" hidden="1" customWidth="1"/>
    <col min="10" max="11" width="10.5546875" style="46" customWidth="1"/>
    <col min="12" max="12" width="10.88671875" style="46" customWidth="1"/>
    <col min="13" max="13" width="10.5546875" style="46" customWidth="1"/>
    <col min="14" max="16" width="10.5546875" style="46" hidden="1" customWidth="1"/>
    <col min="17" max="17" width="62" style="46" customWidth="1"/>
    <col min="18" max="16384" width="9.109375" style="46"/>
  </cols>
  <sheetData>
    <row r="2" spans="2:20" ht="35.25" customHeight="1">
      <c r="B2" s="172" t="s">
        <v>160</v>
      </c>
      <c r="C2" s="154" t="s">
        <v>70</v>
      </c>
      <c r="D2" s="154"/>
      <c r="E2" s="151"/>
      <c r="F2" s="15"/>
      <c r="G2" s="125"/>
      <c r="H2" s="126"/>
      <c r="I2" s="126"/>
      <c r="J2" s="126"/>
      <c r="K2" s="141"/>
      <c r="L2" s="142"/>
      <c r="M2" s="141"/>
      <c r="N2" s="141"/>
      <c r="O2" s="141"/>
      <c r="P2" s="141"/>
      <c r="Q2" s="141"/>
    </row>
    <row r="3" spans="2:20" ht="30" customHeight="1">
      <c r="B3" s="172"/>
      <c r="C3" s="155" t="s">
        <v>71</v>
      </c>
      <c r="D3" s="156" t="str">
        <f>'26MY_ODYSSEY_DATA'!C1</f>
        <v>Odyssey</v>
      </c>
      <c r="E3" s="152"/>
      <c r="F3" s="2"/>
      <c r="G3" s="125"/>
      <c r="H3" s="126"/>
      <c r="I3" s="126"/>
      <c r="J3" s="126"/>
      <c r="K3" s="143"/>
      <c r="M3" s="144"/>
      <c r="N3" s="144"/>
      <c r="O3" s="144"/>
      <c r="P3" s="141"/>
      <c r="Q3" s="141"/>
    </row>
    <row r="4" spans="2:20" ht="30" customHeight="1">
      <c r="B4" s="172"/>
      <c r="C4" s="155" t="s">
        <v>72</v>
      </c>
      <c r="D4" s="156">
        <f>'26MY_ODYSSEY_DATA'!C2</f>
        <v>2026</v>
      </c>
      <c r="E4" s="152"/>
      <c r="F4" s="2"/>
      <c r="G4" s="125"/>
      <c r="H4" s="126"/>
      <c r="I4" s="126"/>
      <c r="J4" s="126"/>
      <c r="K4" s="141"/>
      <c r="L4" s="145"/>
      <c r="M4" s="141"/>
      <c r="N4" s="141"/>
      <c r="O4" s="141"/>
      <c r="P4" s="141"/>
      <c r="Q4" s="141"/>
    </row>
    <row r="5" spans="2:20">
      <c r="B5" s="172"/>
      <c r="C5" s="397" t="s">
        <v>73</v>
      </c>
      <c r="D5" s="398"/>
      <c r="E5" s="398"/>
      <c r="F5" s="398"/>
      <c r="G5" s="398"/>
      <c r="H5" s="398"/>
      <c r="I5" s="398"/>
      <c r="J5" s="398"/>
      <c r="K5" s="398"/>
      <c r="L5" s="398"/>
      <c r="M5" s="399"/>
      <c r="N5" s="325"/>
      <c r="O5" s="325"/>
      <c r="P5" s="113"/>
      <c r="Q5" s="146"/>
    </row>
    <row r="6" spans="2:20">
      <c r="B6" s="172"/>
      <c r="C6" s="400" t="s">
        <v>74</v>
      </c>
      <c r="D6" s="401"/>
      <c r="E6" s="401"/>
      <c r="F6" s="401"/>
      <c r="G6" s="401"/>
      <c r="H6" s="401"/>
      <c r="I6" s="401"/>
      <c r="J6" s="401"/>
      <c r="K6" s="401"/>
      <c r="L6" s="401"/>
      <c r="M6" s="402"/>
      <c r="N6" s="326"/>
      <c r="O6" s="326"/>
      <c r="P6" s="113"/>
      <c r="Q6" s="146"/>
    </row>
    <row r="7" spans="2:20">
      <c r="B7" s="172"/>
      <c r="C7" s="400" t="s">
        <v>75</v>
      </c>
      <c r="D7" s="401"/>
      <c r="E7" s="401"/>
      <c r="F7" s="401"/>
      <c r="G7" s="401"/>
      <c r="H7" s="401"/>
      <c r="I7" s="401"/>
      <c r="J7" s="401"/>
      <c r="K7" s="401"/>
      <c r="L7" s="401"/>
      <c r="M7" s="402"/>
      <c r="N7" s="326"/>
      <c r="O7" s="326"/>
      <c r="P7" s="113"/>
      <c r="Q7" s="146"/>
    </row>
    <row r="8" spans="2:20">
      <c r="B8" s="172"/>
      <c r="C8" s="403" t="s">
        <v>76</v>
      </c>
      <c r="D8" s="404"/>
      <c r="E8" s="404"/>
      <c r="F8" s="404"/>
      <c r="G8" s="404"/>
      <c r="H8" s="404"/>
      <c r="I8" s="404"/>
      <c r="J8" s="404"/>
      <c r="K8" s="404"/>
      <c r="L8" s="404"/>
      <c r="M8" s="405"/>
      <c r="N8" s="327"/>
      <c r="O8" s="327"/>
      <c r="P8" s="113"/>
      <c r="Q8" s="146"/>
    </row>
    <row r="9" spans="2:20">
      <c r="B9" s="172"/>
      <c r="C9" s="138"/>
      <c r="D9" s="138"/>
      <c r="E9" s="138"/>
      <c r="F9" s="138"/>
      <c r="G9" s="138"/>
      <c r="H9" s="138"/>
      <c r="I9" s="138"/>
      <c r="J9" s="138"/>
      <c r="K9" s="138"/>
      <c r="L9" s="138"/>
      <c r="M9" s="138"/>
      <c r="N9" s="138"/>
      <c r="O9" s="138"/>
      <c r="P9" s="139"/>
      <c r="Q9" s="157"/>
    </row>
    <row r="10" spans="2:20" ht="14.4">
      <c r="B10" s="172"/>
      <c r="C10" s="51"/>
      <c r="D10" s="51"/>
      <c r="E10" s="51"/>
      <c r="F10" s="51"/>
      <c r="G10" s="51"/>
      <c r="H10" s="148" t="s">
        <v>58</v>
      </c>
      <c r="I10" s="51"/>
      <c r="J10" s="51"/>
      <c r="K10" s="51"/>
      <c r="L10" s="51"/>
      <c r="M10" s="51"/>
      <c r="N10" s="51"/>
      <c r="O10" s="51"/>
      <c r="P10" s="51"/>
      <c r="Q10" s="147"/>
    </row>
    <row r="11" spans="2:20" ht="18">
      <c r="B11" s="172"/>
      <c r="C11" s="149" t="s">
        <v>77</v>
      </c>
      <c r="D11" s="150"/>
      <c r="E11" s="129"/>
      <c r="F11" s="129"/>
      <c r="G11" s="128"/>
      <c r="H11" s="181" t="str">
        <f>prov_cd</f>
        <v>YT</v>
      </c>
      <c r="I11" s="180"/>
      <c r="J11" s="51"/>
      <c r="K11" s="51"/>
      <c r="L11" s="51"/>
      <c r="M11" s="51"/>
      <c r="N11" s="51"/>
      <c r="O11" s="51"/>
      <c r="P11" s="51"/>
      <c r="Q11" s="51"/>
    </row>
    <row r="12" spans="2:20" ht="14.4">
      <c r="B12" s="172"/>
      <c r="C12" s="374" t="s">
        <v>78</v>
      </c>
      <c r="D12" s="374" t="s">
        <v>79</v>
      </c>
      <c r="E12" s="374" t="s">
        <v>80</v>
      </c>
      <c r="F12" s="374" t="s">
        <v>81</v>
      </c>
      <c r="G12" s="374" t="s">
        <v>82</v>
      </c>
      <c r="H12" s="381" t="s">
        <v>83</v>
      </c>
      <c r="I12" s="374" t="s">
        <v>25</v>
      </c>
      <c r="J12" s="374"/>
      <c r="K12" s="374"/>
      <c r="L12" s="374"/>
      <c r="M12" s="374"/>
      <c r="N12" s="374"/>
      <c r="O12" s="374"/>
      <c r="P12" s="374"/>
      <c r="Q12" s="374" t="s">
        <v>84</v>
      </c>
    </row>
    <row r="13" spans="2:20" ht="29.1" customHeight="1">
      <c r="B13" s="172"/>
      <c r="C13" s="374"/>
      <c r="D13" s="374"/>
      <c r="E13" s="374"/>
      <c r="F13" s="374"/>
      <c r="G13" s="374"/>
      <c r="H13" s="381"/>
      <c r="I13" s="196">
        <f>'26MY_ODYSSEY_DATA'!M$6</f>
        <v>0</v>
      </c>
      <c r="J13" s="196" t="str">
        <f>'26MY_ODYSSEY_DATA'!N$6</f>
        <v>Sport</v>
      </c>
      <c r="K13" s="196" t="str">
        <f>'26MY_ODYSSEY_DATA'!O$6</f>
        <v>Sport-L</v>
      </c>
      <c r="L13" s="196" t="str">
        <f>'26MY_ODYSSEY_DATA'!P$6</f>
        <v>Touring</v>
      </c>
      <c r="M13" s="196" t="str">
        <f>'26MY_ODYSSEY_DATA'!Q$6</f>
        <v>Black Edition</v>
      </c>
      <c r="N13" s="196">
        <f>'26MY_ODYSSEY_DATA'!R$6</f>
        <v>0</v>
      </c>
      <c r="O13" s="196">
        <f>'26MY_ODYSSEY_DATA'!S$6</f>
        <v>0</v>
      </c>
      <c r="P13" s="196">
        <f>'26MY_ODYSSEY_DATA'!T$6</f>
        <v>0</v>
      </c>
      <c r="Q13" s="374"/>
    </row>
    <row r="14" spans="2:20" s="131" customFormat="1" ht="14.4">
      <c r="B14" s="203" t="s">
        <v>532</v>
      </c>
      <c r="C14" s="195" t="str">
        <f>VLOOKUP(B14,'26MY_ODYSSEY_DATA'!B:AR,4,FALSE)</f>
        <v xml:space="preserve">Ensemble de protection 1 </v>
      </c>
      <c r="D14" s="78" t="str">
        <f>B14</f>
        <v>25ODY-PRO-PKG1</v>
      </c>
      <c r="E14" s="362">
        <f>VLOOKUP(B14,'26MY_ODYSSEY_DATA'!B:AR,9,FALSE)</f>
        <v>387</v>
      </c>
      <c r="F14" s="362">
        <f>VLOOKUP(B14,'26MY_ODYSSEY_DATA'!B:AR,10,FALSE)</f>
        <v>717</v>
      </c>
      <c r="G14" s="365">
        <f>VLOOKUP(B14,'26MY_ODYSSEY_DATA'!B:AR,7,FALSE)</f>
        <v>0.60000000000000009</v>
      </c>
      <c r="H14" s="368">
        <f>VLOOKUP(B14,'26MY_ODYSSEY_DATA'!B:AR,11,FALSE)</f>
        <v>825.6</v>
      </c>
      <c r="I14" s="375">
        <f>VLOOKUP(B14,'26MY_ODYSSEY_DATA'!B:AR,12,FALSE)</f>
        <v>0</v>
      </c>
      <c r="J14" s="375" t="str">
        <f>VLOOKUP(B14,'26MY_ODYSSEY_DATA'!B:AR,13,FALSE)</f>
        <v>•</v>
      </c>
      <c r="K14" s="375" t="str">
        <f>VLOOKUP(B14,'26MY_ODYSSEY_DATA'!B:AR,14,FALSE)</f>
        <v>•</v>
      </c>
      <c r="L14" s="375" t="str">
        <f>VLOOKUP(B14,'26MY_ODYSSEY_DATA'!B:AR,15,FALSE)</f>
        <v>•</v>
      </c>
      <c r="M14" s="375" t="str">
        <f>VLOOKUP(B14,'26MY_ODYSSEY_DATA'!B:AR,16,FALSE)</f>
        <v>•</v>
      </c>
      <c r="N14" s="375">
        <f>VLOOKUP($B14,'26MY_ODYSSEY_DATA'!$B:$AR,17,FALSE)</f>
        <v>0</v>
      </c>
      <c r="O14" s="375">
        <f>VLOOKUP($B14,'26MY_ODYSSEY_DATA'!$B:$AR,18,FALSE)</f>
        <v>0</v>
      </c>
      <c r="P14" s="375">
        <f>VLOOKUP($B14,'26MY_ODYSSEY_DATA'!$B:$AR,19,FALSE)</f>
        <v>0</v>
      </c>
      <c r="Q14" s="371" t="str">
        <f>IF(VLOOKUP(B14,'26MY_ODYSSEY_DATA'!B:AR,21,FALSE)="","",VLOOKUP(B14,'26MY_ODYSSEY_DATA'!B:AR,21,FALSE))</f>
        <v>Inscription 'ODYSSEY' blanche sur les tapis de sol.Plateau de chargement - Profond.</v>
      </c>
      <c r="R14" s="96"/>
      <c r="S14" s="96"/>
      <c r="T14" s="96"/>
    </row>
    <row r="15" spans="2:20" s="131" customFormat="1" ht="14.4">
      <c r="B15" s="226" t="s">
        <v>318</v>
      </c>
      <c r="C15" s="191" t="str">
        <f>VLOOKUP(B15,'26MY_ODYSSEY_DATA'!B:AR,4,FALSE)</f>
        <v>Protège-tapis toutes saisons - logo blanc</v>
      </c>
      <c r="D15" s="225" t="str">
        <f t="shared" ref="D15:D17" si="0">B15</f>
        <v>08P17-THR-110A</v>
      </c>
      <c r="E15" s="363"/>
      <c r="F15" s="363"/>
      <c r="G15" s="366"/>
      <c r="H15" s="369"/>
      <c r="I15" s="376"/>
      <c r="J15" s="376"/>
      <c r="K15" s="376"/>
      <c r="L15" s="376"/>
      <c r="M15" s="376"/>
      <c r="N15" s="376"/>
      <c r="O15" s="376"/>
      <c r="P15" s="376"/>
      <c r="Q15" s="372"/>
      <c r="R15" s="96"/>
      <c r="S15" s="96"/>
      <c r="T15" s="96"/>
    </row>
    <row r="16" spans="2:20" s="131" customFormat="1" ht="14.4">
      <c r="B16" s="226" t="s">
        <v>332</v>
      </c>
      <c r="C16" s="191" t="str">
        <f>VLOOKUP(B16,'26MY_ODYSSEY_DATA'!B:AR,4,FALSE)</f>
        <v>Plateau de compartiment à bagages - profond</v>
      </c>
      <c r="D16" s="225" t="str">
        <f t="shared" ref="D16" si="1">B16</f>
        <v>08U45-THR-100A</v>
      </c>
      <c r="E16" s="363"/>
      <c r="F16" s="363"/>
      <c r="G16" s="366"/>
      <c r="H16" s="369"/>
      <c r="I16" s="376"/>
      <c r="J16" s="376"/>
      <c r="K16" s="376"/>
      <c r="L16" s="376"/>
      <c r="M16" s="376"/>
      <c r="N16" s="376"/>
      <c r="O16" s="376"/>
      <c r="P16" s="376"/>
      <c r="Q16" s="372"/>
      <c r="R16" s="96"/>
      <c r="S16" s="96"/>
      <c r="T16" s="96"/>
    </row>
    <row r="17" spans="2:20" s="131" customFormat="1" ht="14.1" customHeight="1">
      <c r="B17" s="203" t="s">
        <v>534</v>
      </c>
      <c r="C17" s="191" t="str">
        <f>VLOOKUP(B17,'26MY_ODYSSEY_DATA'!B:AR,4,FALSE)</f>
        <v xml:space="preserve">Garde-boue arrière </v>
      </c>
      <c r="D17" s="204" t="str">
        <f t="shared" si="0"/>
        <v>08P09-THR-300A</v>
      </c>
      <c r="E17" s="364"/>
      <c r="F17" s="364"/>
      <c r="G17" s="367"/>
      <c r="H17" s="370"/>
      <c r="I17" s="377"/>
      <c r="J17" s="377"/>
      <c r="K17" s="377"/>
      <c r="L17" s="377"/>
      <c r="M17" s="377"/>
      <c r="N17" s="377"/>
      <c r="O17" s="377"/>
      <c r="P17" s="377"/>
      <c r="Q17" s="373"/>
      <c r="R17" s="96"/>
      <c r="S17" s="96"/>
      <c r="T17" s="96"/>
    </row>
    <row r="18" spans="2:20" s="131" customFormat="1" ht="7.2" customHeight="1">
      <c r="B18" s="203"/>
      <c r="C18" s="205"/>
      <c r="D18" s="206"/>
      <c r="E18" s="206"/>
      <c r="F18" s="206"/>
      <c r="G18" s="206"/>
      <c r="H18" s="206"/>
      <c r="I18" s="206"/>
      <c r="J18" s="206"/>
      <c r="K18" s="206"/>
      <c r="L18" s="206"/>
      <c r="M18" s="206"/>
      <c r="N18" s="206"/>
      <c r="O18" s="206"/>
      <c r="P18" s="206"/>
      <c r="Q18" s="335"/>
      <c r="R18" s="96"/>
      <c r="S18" s="96"/>
      <c r="T18" s="96"/>
    </row>
    <row r="19" spans="2:20" s="131" customFormat="1" ht="14.4">
      <c r="B19" s="203" t="s">
        <v>533</v>
      </c>
      <c r="C19" s="195" t="str">
        <f>VLOOKUP(B19,'26MY_ODYSSEY_DATA'!B:AR,4,FALSE)</f>
        <v>Ensemble de protection 2</v>
      </c>
      <c r="D19" s="78" t="str">
        <f>B19</f>
        <v>25ODY-PRO-PKG2</v>
      </c>
      <c r="E19" s="362">
        <f>VLOOKUP(B19,'26MY_ODYSSEY_DATA'!B:AR,9,FALSE)</f>
        <v>405.90000000000003</v>
      </c>
      <c r="F19" s="362">
        <f>VLOOKUP(B19,'26MY_ODYSSEY_DATA'!B:AR,10,FALSE)</f>
        <v>752</v>
      </c>
      <c r="G19" s="365">
        <f>VLOOKUP(B19,'26MY_ODYSSEY_DATA'!B:AR,7,FALSE)</f>
        <v>0.60000000000000009</v>
      </c>
      <c r="H19" s="368">
        <f>VLOOKUP(B19,'26MY_ODYSSEY_DATA'!B:AR,11,FALSE)</f>
        <v>860.6</v>
      </c>
      <c r="I19" s="375">
        <f>VLOOKUP(B19,'26MY_ODYSSEY_DATA'!B:AR,12,FALSE)</f>
        <v>0</v>
      </c>
      <c r="J19" s="375" t="str">
        <f>VLOOKUP(B19,'26MY_ODYSSEY_DATA'!B:AR,13,FALSE)</f>
        <v>•</v>
      </c>
      <c r="K19" s="375" t="str">
        <f>VLOOKUP(B19,'26MY_ODYSSEY_DATA'!B:AR,14,FALSE)</f>
        <v>•</v>
      </c>
      <c r="L19" s="375" t="str">
        <f>VLOOKUP(B19,'26MY_ODYSSEY_DATA'!B:AR,15,FALSE)</f>
        <v>•</v>
      </c>
      <c r="M19" s="375" t="str">
        <f>VLOOKUP(B19,'26MY_ODYSSEY_DATA'!B:AR,16,FALSE)</f>
        <v>•</v>
      </c>
      <c r="N19" s="375">
        <f>VLOOKUP($B19,'26MY_ODYSSEY_DATA'!$B:$AR,17,FALSE)</f>
        <v>0</v>
      </c>
      <c r="O19" s="375">
        <f>VLOOKUP($B19,'26MY_ODYSSEY_DATA'!$B:$AR,18,FALSE)</f>
        <v>0</v>
      </c>
      <c r="P19" s="375">
        <f>VLOOKUP($B19,'26MY_ODYSSEY_DATA'!$B:$AR,19,FALSE)</f>
        <v>0</v>
      </c>
      <c r="Q19" s="371" t="str">
        <f>IF(VLOOKUP(B19,'26MY_ODYSSEY_DATA'!B:AR,21,FALSE)="","",VLOOKUP(B19,'26MY_ODYSSEY_DATA'!B:AR,21,FALSE))</f>
        <v>Inscription 'ODYSSEY' blanche sur les tapis de sol.
Plateau de chargement - Pliable.</v>
      </c>
      <c r="R19" s="96"/>
      <c r="S19" s="96"/>
      <c r="T19" s="96"/>
    </row>
    <row r="20" spans="2:20" s="131" customFormat="1" ht="14.4">
      <c r="B20" s="226" t="s">
        <v>318</v>
      </c>
      <c r="C20" s="191" t="str">
        <f>VLOOKUP(B20,'26MY_ODYSSEY_DATA'!B:AR,4,FALSE)</f>
        <v>Protège-tapis toutes saisons - logo blanc</v>
      </c>
      <c r="D20" s="225" t="str">
        <f t="shared" ref="D20:D21" si="2">B20</f>
        <v>08P17-THR-110A</v>
      </c>
      <c r="E20" s="363"/>
      <c r="F20" s="363"/>
      <c r="G20" s="366"/>
      <c r="H20" s="369"/>
      <c r="I20" s="376"/>
      <c r="J20" s="376"/>
      <c r="K20" s="376"/>
      <c r="L20" s="376"/>
      <c r="M20" s="376"/>
      <c r="N20" s="376"/>
      <c r="O20" s="376"/>
      <c r="P20" s="376"/>
      <c r="Q20" s="372"/>
      <c r="R20" s="96"/>
      <c r="S20" s="96"/>
      <c r="T20" s="96"/>
    </row>
    <row r="21" spans="2:20" s="131" customFormat="1" ht="14.4">
      <c r="B21" s="203" t="s">
        <v>335</v>
      </c>
      <c r="C21" s="191" t="str">
        <f>VLOOKUP(B21,'26MY_ODYSSEY_DATA'!B:AR,4,FALSE)</f>
        <v>Plateaux de coffre pliants</v>
      </c>
      <c r="D21" s="204" t="str">
        <f t="shared" si="2"/>
        <v>08U45-THR-100B</v>
      </c>
      <c r="E21" s="363"/>
      <c r="F21" s="363"/>
      <c r="G21" s="366"/>
      <c r="H21" s="369"/>
      <c r="I21" s="376"/>
      <c r="J21" s="376"/>
      <c r="K21" s="376"/>
      <c r="L21" s="376"/>
      <c r="M21" s="376"/>
      <c r="N21" s="376"/>
      <c r="O21" s="376"/>
      <c r="P21" s="376"/>
      <c r="Q21" s="372"/>
      <c r="R21" s="96"/>
      <c r="S21" s="96"/>
      <c r="T21" s="96"/>
    </row>
    <row r="22" spans="2:20" s="131" customFormat="1" ht="14.4">
      <c r="B22" s="203" t="s">
        <v>534</v>
      </c>
      <c r="C22" s="191" t="str">
        <f>VLOOKUP(B22,'26MY_ODYSSEY_DATA'!B:AR,4,FALSE)</f>
        <v xml:space="preserve">Garde-boue arrière </v>
      </c>
      <c r="D22" s="204" t="str">
        <f t="shared" ref="D22" si="3">B22</f>
        <v>08P09-THR-300A</v>
      </c>
      <c r="E22" s="364"/>
      <c r="F22" s="364"/>
      <c r="G22" s="367"/>
      <c r="H22" s="370"/>
      <c r="I22" s="377"/>
      <c r="J22" s="377"/>
      <c r="K22" s="377"/>
      <c r="L22" s="377"/>
      <c r="M22" s="377"/>
      <c r="N22" s="377"/>
      <c r="O22" s="377"/>
      <c r="P22" s="377"/>
      <c r="Q22" s="373"/>
      <c r="R22" s="96"/>
      <c r="S22" s="96"/>
      <c r="T22" s="96"/>
    </row>
    <row r="23" spans="2:20" s="131" customFormat="1" ht="7.2" customHeight="1">
      <c r="B23" s="203"/>
      <c r="C23" s="205"/>
      <c r="D23" s="206"/>
      <c r="E23" s="206"/>
      <c r="F23" s="206"/>
      <c r="G23" s="206"/>
      <c r="H23" s="206"/>
      <c r="I23" s="206"/>
      <c r="J23" s="206"/>
      <c r="K23" s="206"/>
      <c r="L23" s="206"/>
      <c r="M23" s="206"/>
      <c r="N23" s="206"/>
      <c r="O23" s="206"/>
      <c r="P23" s="206"/>
      <c r="Q23" s="335"/>
      <c r="R23" s="96"/>
      <c r="S23" s="96"/>
      <c r="T23" s="96"/>
    </row>
    <row r="24" spans="2:20" s="131" customFormat="1" ht="14.4">
      <c r="B24" s="203" t="s">
        <v>450</v>
      </c>
      <c r="C24" s="195" t="str">
        <f>VLOOKUP(B24,'26MY_ODYSSEY_DATA'!B:AR,4,FALSE)</f>
        <v>Ensemble de temps froid</v>
      </c>
      <c r="D24" s="78" t="str">
        <f>B24</f>
        <v>21ODY-COLD-PKG</v>
      </c>
      <c r="E24" s="362">
        <f>VLOOKUP(B24,'26MY_ODYSSEY_DATA'!B:AR,9,FALSE)</f>
        <v>230.85</v>
      </c>
      <c r="F24" s="362">
        <f>VLOOKUP(B24,'26MY_ODYSSEY_DATA'!B:AR,10,FALSE)</f>
        <v>384.75</v>
      </c>
      <c r="G24" s="365">
        <f>VLOOKUP(B24,'26MY_ODYSSEY_DATA'!B:AR,7,FALSE)</f>
        <v>1.4</v>
      </c>
      <c r="H24" s="368">
        <f>VLOOKUP(B24,'26MY_ODYSSEY_DATA'!B:AR,11,FALSE)</f>
        <v>638.15</v>
      </c>
      <c r="I24" s="375">
        <f>VLOOKUP(B24,'26MY_ODYSSEY_DATA'!B:AR,12,FALSE)</f>
        <v>0</v>
      </c>
      <c r="J24" s="375" t="str">
        <f>VLOOKUP(B24,'26MY_ODYSSEY_DATA'!B:AR,13,FALSE)</f>
        <v>•</v>
      </c>
      <c r="K24" s="375" t="str">
        <f>VLOOKUP(B24,'26MY_ODYSSEY_DATA'!B:AR,14,FALSE)</f>
        <v>•</v>
      </c>
      <c r="L24" s="375" t="str">
        <f>VLOOKUP(B24,'26MY_ODYSSEY_DATA'!B:AR,15,FALSE)</f>
        <v>•</v>
      </c>
      <c r="M24" s="375" t="str">
        <f>VLOOKUP(B24,'26MY_ODYSSEY_DATA'!B:AR,16,FALSE)</f>
        <v>•</v>
      </c>
      <c r="N24" s="375">
        <f>VLOOKUP($B24,'26MY_ODYSSEY_DATA'!$B:$AR,17,FALSE)</f>
        <v>0</v>
      </c>
      <c r="O24" s="375">
        <f>VLOOKUP($B24,'26MY_ODYSSEY_DATA'!$B:$AR,18,FALSE)</f>
        <v>0</v>
      </c>
      <c r="P24" s="375">
        <f>VLOOKUP($B24,'26MY_ODYSSEY_DATA'!$B:$AR,19,FALSE)</f>
        <v>0</v>
      </c>
      <c r="Q24" s="371" t="str">
        <f>IF(VLOOKUP(B24,'26MY_ODYSSEY_DATA'!B:AR,21,FALSE)="","",VLOOKUP(B24,'26MY_ODYSSEY_DATA'!B:AR,21,FALSE))</f>
        <v>Rabais de 5% est appliqué.</v>
      </c>
      <c r="R24" s="96"/>
      <c r="S24" s="96"/>
      <c r="T24" s="96"/>
    </row>
    <row r="25" spans="2:20" s="131" customFormat="1" ht="14.4">
      <c r="B25" s="203" t="s">
        <v>393</v>
      </c>
      <c r="C25" s="191" t="str">
        <f>VLOOKUP(B25,'26MY_ODYSSEY_DATA'!B:AR,4,FALSE)</f>
        <v xml:space="preserve">Chauffe-moteur   </v>
      </c>
      <c r="D25" s="204" t="str">
        <f t="shared" ref="D25:D26" si="4">B25</f>
        <v>08T44-SJA-401A</v>
      </c>
      <c r="E25" s="363"/>
      <c r="F25" s="363"/>
      <c r="G25" s="366"/>
      <c r="H25" s="369"/>
      <c r="I25" s="376"/>
      <c r="J25" s="376"/>
      <c r="K25" s="376"/>
      <c r="L25" s="376"/>
      <c r="M25" s="376"/>
      <c r="N25" s="376"/>
      <c r="O25" s="376"/>
      <c r="P25" s="376"/>
      <c r="Q25" s="372"/>
      <c r="R25" s="96"/>
      <c r="S25" s="96"/>
      <c r="T25" s="96"/>
    </row>
    <row r="26" spans="2:20" s="131" customFormat="1" ht="14.4">
      <c r="B26" s="203" t="s">
        <v>26</v>
      </c>
      <c r="C26" s="191" t="str">
        <f>VLOOKUP(B26,'26MY_ODYSSEY_DATA'!B:AR,4,FALSE)</f>
        <v>Chargeur/mainteneur de charge de batterie automobile 12 V</v>
      </c>
      <c r="D26" s="204" t="str">
        <f t="shared" si="4"/>
        <v>31670-BMS-004H</v>
      </c>
      <c r="E26" s="364"/>
      <c r="F26" s="364"/>
      <c r="G26" s="367"/>
      <c r="H26" s="370"/>
      <c r="I26" s="377"/>
      <c r="J26" s="377"/>
      <c r="K26" s="377"/>
      <c r="L26" s="377"/>
      <c r="M26" s="377"/>
      <c r="N26" s="377"/>
      <c r="O26" s="377"/>
      <c r="P26" s="377"/>
      <c r="Q26" s="373"/>
      <c r="R26" s="96"/>
      <c r="S26" s="96"/>
      <c r="T26" s="96"/>
    </row>
    <row r="27" spans="2:20" s="131" customFormat="1" ht="7.2" customHeight="1">
      <c r="B27" s="203"/>
      <c r="C27" s="205"/>
      <c r="D27" s="206"/>
      <c r="E27" s="206"/>
      <c r="F27" s="206"/>
      <c r="G27" s="206"/>
      <c r="H27" s="206"/>
      <c r="I27" s="206"/>
      <c r="J27" s="206"/>
      <c r="K27" s="206"/>
      <c r="L27" s="206"/>
      <c r="M27" s="206"/>
      <c r="N27" s="206"/>
      <c r="O27" s="206"/>
      <c r="P27" s="206"/>
      <c r="Q27" s="335"/>
      <c r="R27" s="96"/>
      <c r="S27" s="96"/>
      <c r="T27" s="96"/>
    </row>
    <row r="28" spans="2:20" s="131" customFormat="1" ht="28.8">
      <c r="B28" s="203" t="s">
        <v>464</v>
      </c>
      <c r="C28" s="195" t="str">
        <f>VLOOKUP(B28,'26MY_ODYSSEY_DATA'!B:AR,4,FALSE)</f>
        <v xml:space="preserve">Ensemble de remorquage </v>
      </c>
      <c r="D28" s="263" t="str">
        <f>B28</f>
        <v>25ODY-TOWA1 ou 
25ODY-TOWB1</v>
      </c>
      <c r="E28" s="362">
        <f>VLOOKUP(B28,'26MY_ODYSSEY_DATA'!B:AR,9,FALSE)</f>
        <v>806.4</v>
      </c>
      <c r="F28" s="362">
        <f>VLOOKUP(B28,'26MY_ODYSSEY_DATA'!B:AR,10,FALSE)</f>
        <v>1331.1000000000001</v>
      </c>
      <c r="G28" s="365">
        <f>VLOOKUP(B28,'26MY_ODYSSEY_DATA'!B:AR,7,FALSE)</f>
        <v>2.2999999999999998</v>
      </c>
      <c r="H28" s="368">
        <f>VLOOKUP(B28,'26MY_ODYSSEY_DATA'!B:AR,11,FALSE)</f>
        <v>1747.4</v>
      </c>
      <c r="I28" s="375">
        <f>VLOOKUP(B28,'26MY_ODYSSEY_DATA'!B:AR,12,FALSE)</f>
        <v>0</v>
      </c>
      <c r="J28" s="375" t="str">
        <f>VLOOKUP(B28,'26MY_ODYSSEY_DATA'!B:AR,13,FALSE)</f>
        <v>•</v>
      </c>
      <c r="K28" s="375" t="str">
        <f>VLOOKUP(B28,'26MY_ODYSSEY_DATA'!B:AR,14,FALSE)</f>
        <v>•</v>
      </c>
      <c r="L28" s="375" t="str">
        <f>VLOOKUP(B28,'26MY_ODYSSEY_DATA'!B:AR,15,FALSE)</f>
        <v>N/A</v>
      </c>
      <c r="M28" s="375" t="str">
        <f>VLOOKUP(B28,'26MY_ODYSSEY_DATA'!B:AR,16,FALSE)</f>
        <v>N/A</v>
      </c>
      <c r="N28" s="375">
        <f>VLOOKUP($B28,'26MY_ODYSSEY_DATA'!$B:$AR,17,FALSE)</f>
        <v>0</v>
      </c>
      <c r="O28" s="375">
        <f>VLOOKUP($B28,'26MY_ODYSSEY_DATA'!$B:$AR,18,FALSE)</f>
        <v>0</v>
      </c>
      <c r="P28" s="375">
        <f>VLOOKUP($B28,'26MY_ODYSSEY_DATA'!$B:$AR,19,FALSE)</f>
        <v>0</v>
      </c>
      <c r="Q28" s="371" t="str">
        <f>IF(VLOOKUP(B28,'26MY_ODYSSEY_DATA'!B:AR,21,FALSE)="","",VLOOKUP(B28,'26MY_ODYSSEY_DATA'!B:AR,21,FALSE))</f>
        <v>Rabais de 10 % est appliqué.
Attelage de remorque: Classe II.
Attelage de remorque dimensions du réceptacle: 2 po x 2 po.
Capacité de remorquage: 1,360 kg / 3,000 lbs.</v>
      </c>
      <c r="R28" s="96"/>
      <c r="S28" s="96"/>
      <c r="T28" s="96"/>
    </row>
    <row r="29" spans="2:20" s="131" customFormat="1" ht="14.4">
      <c r="B29" s="203" t="s">
        <v>535</v>
      </c>
      <c r="C29" s="191" t="str">
        <f>VLOOKUP(B29,'26MY_ODYSSEY_DATA'!B:AR,4,FALSE)</f>
        <v xml:space="preserve">Attelage de remorque   </v>
      </c>
      <c r="D29" s="204" t="str">
        <f>B29</f>
        <v>08L92-THR-300A</v>
      </c>
      <c r="E29" s="363"/>
      <c r="F29" s="363"/>
      <c r="G29" s="366"/>
      <c r="H29" s="369"/>
      <c r="I29" s="376"/>
      <c r="J29" s="376"/>
      <c r="K29" s="376"/>
      <c r="L29" s="376"/>
      <c r="M29" s="376"/>
      <c r="N29" s="376"/>
      <c r="O29" s="376"/>
      <c r="P29" s="376"/>
      <c r="Q29" s="372"/>
      <c r="R29" s="96"/>
      <c r="S29" s="96"/>
      <c r="T29" s="96"/>
    </row>
    <row r="30" spans="2:20" s="131" customFormat="1" ht="28.8">
      <c r="B30" s="203" t="s">
        <v>470</v>
      </c>
      <c r="C30" s="191" t="str">
        <f>VLOOKUP(B30,'26MY_ODYSSEY_DATA'!B:AR,4,FALSE)</f>
        <v>Rotule d'attelage de 1 7/8 po ou 2 po</v>
      </c>
      <c r="D30" s="225" t="str">
        <f>B30</f>
        <v>08L92-SCV-300A ou 08L92-SCV-100B</v>
      </c>
      <c r="E30" s="363"/>
      <c r="F30" s="363"/>
      <c r="G30" s="366"/>
      <c r="H30" s="369"/>
      <c r="I30" s="376"/>
      <c r="J30" s="376"/>
      <c r="K30" s="376"/>
      <c r="L30" s="376"/>
      <c r="M30" s="376"/>
      <c r="N30" s="376"/>
      <c r="O30" s="376"/>
      <c r="P30" s="376"/>
      <c r="Q30" s="372"/>
      <c r="R30" s="96"/>
      <c r="S30" s="96"/>
      <c r="T30" s="96"/>
    </row>
    <row r="31" spans="2:20" s="131" customFormat="1" ht="14.4">
      <c r="B31" s="203" t="s">
        <v>387</v>
      </c>
      <c r="C31" s="191" t="str">
        <f>VLOOKUP(B31,'26MY_ODYSSEY_DATA'!B:AR,4,FALSE)</f>
        <v>Harnais pour remorque</v>
      </c>
      <c r="D31" s="225" t="str">
        <f>B31</f>
        <v>08L91-THR-300</v>
      </c>
      <c r="E31" s="363"/>
      <c r="F31" s="363"/>
      <c r="G31" s="366"/>
      <c r="H31" s="369"/>
      <c r="I31" s="376"/>
      <c r="J31" s="376"/>
      <c r="K31" s="376"/>
      <c r="L31" s="376"/>
      <c r="M31" s="376"/>
      <c r="N31" s="376"/>
      <c r="O31" s="376"/>
      <c r="P31" s="376"/>
      <c r="Q31" s="372"/>
      <c r="R31" s="96"/>
      <c r="S31" s="96"/>
      <c r="T31" s="96"/>
    </row>
    <row r="32" spans="2:20" s="131" customFormat="1" ht="14.4">
      <c r="B32" s="203" t="s">
        <v>206</v>
      </c>
      <c r="C32" s="191" t="str">
        <f>VLOOKUP(B32,'26MY_ODYSSEY_DATA'!B:AR,4,FALSE)</f>
        <v>Goupille de verrouillage pour l'attelage de remorque</v>
      </c>
      <c r="D32" s="204" t="str">
        <f t="shared" ref="D32" si="5">B32</f>
        <v>08L92-SJC-300A</v>
      </c>
      <c r="E32" s="364"/>
      <c r="F32" s="364"/>
      <c r="G32" s="367"/>
      <c r="H32" s="370"/>
      <c r="I32" s="377"/>
      <c r="J32" s="377"/>
      <c r="K32" s="377"/>
      <c r="L32" s="377"/>
      <c r="M32" s="377"/>
      <c r="N32" s="377"/>
      <c r="O32" s="377"/>
      <c r="P32" s="377"/>
      <c r="Q32" s="373"/>
      <c r="R32" s="96"/>
      <c r="S32" s="96"/>
      <c r="T32" s="96"/>
    </row>
    <row r="33" spans="2:20" s="131" customFormat="1" ht="7.2" customHeight="1">
      <c r="B33" s="203"/>
      <c r="C33" s="205"/>
      <c r="D33" s="206"/>
      <c r="Q33" s="336"/>
      <c r="R33" s="96"/>
      <c r="S33" s="96"/>
      <c r="T33" s="96"/>
    </row>
    <row r="34" spans="2:20" s="131" customFormat="1" ht="28.8">
      <c r="B34" s="203" t="s">
        <v>468</v>
      </c>
      <c r="C34" s="195" t="str">
        <f>VLOOKUP(B34,'26MY_ODYSSEY_DATA'!B:AR,4,FALSE)</f>
        <v xml:space="preserve">Ensemble de remorquage </v>
      </c>
      <c r="D34" s="263" t="str">
        <f>B34</f>
        <v>25ODY-TOW-A2 ou 
25ODY-TOW-B2</v>
      </c>
      <c r="E34" s="362">
        <f>VLOOKUP(B34,'26MY_ODYSSEY_DATA'!B:AR,9,FALSE)</f>
        <v>1026.9000000000001</v>
      </c>
      <c r="F34" s="362">
        <f>VLOOKUP(B34,'26MY_ODYSSEY_DATA'!B:AR,10,FALSE)</f>
        <v>1698.3</v>
      </c>
      <c r="G34" s="365">
        <f>VLOOKUP(B34,'26MY_ODYSSEY_DATA'!B:AR,7,FALSE)</f>
        <v>2.5</v>
      </c>
      <c r="H34" s="368">
        <f>VLOOKUP(B34,'26MY_ODYSSEY_DATA'!B:AR,11,FALSE)</f>
        <v>2150.8000000000002</v>
      </c>
      <c r="I34" s="375">
        <f>VLOOKUP(B34,'26MY_ODYSSEY_DATA'!B:AR,12,FALSE)</f>
        <v>0</v>
      </c>
      <c r="J34" s="375" t="str">
        <f>VLOOKUP(B34,'26MY_ODYSSEY_DATA'!B:AR,13,FALSE)</f>
        <v>N/A</v>
      </c>
      <c r="K34" s="375" t="str">
        <f>VLOOKUP(B34,'26MY_ODYSSEY_DATA'!B:AR,14,FALSE)</f>
        <v>N/A</v>
      </c>
      <c r="L34" s="375" t="str">
        <f>VLOOKUP(B34,'26MY_ODYSSEY_DATA'!B:AR,15,FALSE)</f>
        <v>•</v>
      </c>
      <c r="M34" s="378" t="str">
        <f>VLOOKUP(B34,'26MY_ODYSSEY_DATA'!B:AR,16,FALSE)</f>
        <v>•</v>
      </c>
      <c r="N34" s="375">
        <f>VLOOKUP($B34,'26MY_ODYSSEY_DATA'!$B:$AR,17,FALSE)</f>
        <v>0</v>
      </c>
      <c r="O34" s="375">
        <f>VLOOKUP($B34,'26MY_ODYSSEY_DATA'!$B:$AR,18,FALSE)</f>
        <v>0</v>
      </c>
      <c r="P34" s="375">
        <f>VLOOKUP($B34,'26MY_ODYSSEY_DATA'!$B:$AR,19,FALSE)</f>
        <v>0</v>
      </c>
      <c r="Q34" s="371" t="str">
        <f>IF(VLOOKUP(B34,'26MY_ODYSSEY_DATA'!B:AR,21,FALSE)="","",VLOOKUP(B34,'26MY_ODYSSEY_DATA'!B:AR,21,FALSE))</f>
        <v>Rabais de 10 % est appliqué.
Black Edition :Nécessite adaptateur de capteur de hayon électrique mains libres puisque le système mains libres est de série.
Attelage de remorque: Classe II.
Attelage de remorque dimensions du réceptacle: 2 po x 2 po.
Capacité de remorquage: 1,360 kg / 3,000 lbs.</v>
      </c>
      <c r="R34" s="96"/>
      <c r="S34" s="96"/>
      <c r="T34" s="96"/>
    </row>
    <row r="35" spans="2:20" s="131" customFormat="1" ht="14.4">
      <c r="B35" s="203" t="s">
        <v>535</v>
      </c>
      <c r="C35" s="191" t="str">
        <f>VLOOKUP(B35,'26MY_ODYSSEY_DATA'!B:AR,4,FALSE)</f>
        <v xml:space="preserve">Attelage de remorque   </v>
      </c>
      <c r="D35" s="204" t="str">
        <f t="shared" ref="D35:D39" si="6">B35</f>
        <v>08L92-THR-300A</v>
      </c>
      <c r="E35" s="363"/>
      <c r="F35" s="363"/>
      <c r="G35" s="366"/>
      <c r="H35" s="369"/>
      <c r="I35" s="376"/>
      <c r="J35" s="376"/>
      <c r="K35" s="376"/>
      <c r="L35" s="376"/>
      <c r="M35" s="379"/>
      <c r="N35" s="376"/>
      <c r="O35" s="376"/>
      <c r="P35" s="376"/>
      <c r="Q35" s="372"/>
      <c r="R35" s="96"/>
      <c r="S35" s="96"/>
      <c r="T35" s="96"/>
    </row>
    <row r="36" spans="2:20" s="131" customFormat="1" ht="14.4">
      <c r="B36" s="203" t="s">
        <v>396</v>
      </c>
      <c r="C36" s="191" t="str">
        <f>VLOOKUP(B36,'26MY_ODYSSEY_DATA'!B:AR,4,FALSE)</f>
        <v>Adaptateur de capteur de hayon électrique mains libres</v>
      </c>
      <c r="D36" s="204" t="str">
        <f t="shared" ref="D36:D38" si="7">B36</f>
        <v>08L91-THR-300A</v>
      </c>
      <c r="E36" s="363"/>
      <c r="F36" s="363"/>
      <c r="G36" s="366"/>
      <c r="H36" s="369"/>
      <c r="I36" s="376"/>
      <c r="J36" s="376"/>
      <c r="K36" s="376"/>
      <c r="L36" s="376"/>
      <c r="M36" s="379"/>
      <c r="N36" s="376"/>
      <c r="O36" s="376"/>
      <c r="P36" s="376"/>
      <c r="Q36" s="372"/>
      <c r="R36" s="96"/>
      <c r="S36" s="96"/>
      <c r="T36" s="96"/>
    </row>
    <row r="37" spans="2:20" s="131" customFormat="1" ht="28.8">
      <c r="B37" s="203" t="s">
        <v>470</v>
      </c>
      <c r="C37" s="286" t="str">
        <f>VLOOKUP(B37,'26MY_ODYSSEY_DATA'!B:AR,4,FALSE)</f>
        <v>Rotule d'attelage de 1 7/8 po ou 2 po</v>
      </c>
      <c r="D37" s="225" t="str">
        <f t="shared" si="7"/>
        <v>08L92-SCV-300A ou 08L92-SCV-100B</v>
      </c>
      <c r="E37" s="363"/>
      <c r="F37" s="363"/>
      <c r="G37" s="366"/>
      <c r="H37" s="369"/>
      <c r="I37" s="376"/>
      <c r="J37" s="376"/>
      <c r="K37" s="376"/>
      <c r="L37" s="376"/>
      <c r="M37" s="379"/>
      <c r="N37" s="376"/>
      <c r="O37" s="376"/>
      <c r="P37" s="376"/>
      <c r="Q37" s="372"/>
      <c r="R37" s="96"/>
      <c r="S37" s="96"/>
      <c r="T37" s="96"/>
    </row>
    <row r="38" spans="2:20" s="131" customFormat="1" ht="14.4">
      <c r="B38" s="203" t="s">
        <v>387</v>
      </c>
      <c r="C38" s="191" t="str">
        <f>VLOOKUP(B38,'26MY_ODYSSEY_DATA'!B:AR,4,FALSE)</f>
        <v>Harnais pour remorque</v>
      </c>
      <c r="D38" s="225" t="str">
        <f t="shared" si="7"/>
        <v>08L91-THR-300</v>
      </c>
      <c r="E38" s="363"/>
      <c r="F38" s="363"/>
      <c r="G38" s="366"/>
      <c r="H38" s="369"/>
      <c r="I38" s="376"/>
      <c r="J38" s="376"/>
      <c r="K38" s="376"/>
      <c r="L38" s="376"/>
      <c r="M38" s="379"/>
      <c r="N38" s="376"/>
      <c r="O38" s="376"/>
      <c r="P38" s="376"/>
      <c r="Q38" s="372"/>
      <c r="R38" s="96"/>
      <c r="S38" s="96"/>
      <c r="T38" s="96"/>
    </row>
    <row r="39" spans="2:20" s="131" customFormat="1" ht="14.4">
      <c r="B39" s="203" t="s">
        <v>206</v>
      </c>
      <c r="C39" s="191" t="str">
        <f>VLOOKUP(B39,'26MY_ODYSSEY_DATA'!B:AR,4,FALSE)</f>
        <v>Goupille de verrouillage pour l'attelage de remorque</v>
      </c>
      <c r="D39" s="204" t="str">
        <f t="shared" si="6"/>
        <v>08L92-SJC-300A</v>
      </c>
      <c r="E39" s="364"/>
      <c r="F39" s="364"/>
      <c r="G39" s="367"/>
      <c r="H39" s="370"/>
      <c r="I39" s="377"/>
      <c r="J39" s="377"/>
      <c r="K39" s="377"/>
      <c r="L39" s="377"/>
      <c r="M39" s="380"/>
      <c r="N39" s="377"/>
      <c r="O39" s="377"/>
      <c r="P39" s="377"/>
      <c r="Q39" s="373"/>
      <c r="R39" s="96"/>
      <c r="S39" s="96"/>
      <c r="T39" s="96"/>
    </row>
    <row r="40" spans="2:20" s="132" customFormat="1" ht="15" customHeight="1">
      <c r="B40" s="175"/>
      <c r="C40" s="129"/>
      <c r="D40" s="129"/>
      <c r="E40" s="129"/>
      <c r="F40" s="129"/>
      <c r="G40" s="128"/>
      <c r="H40" s="129"/>
      <c r="I40" s="129"/>
      <c r="J40" s="129"/>
      <c r="K40" s="129"/>
      <c r="L40" s="129"/>
      <c r="M40" s="129"/>
      <c r="N40" s="129"/>
      <c r="O40" s="129"/>
      <c r="P40" s="129"/>
      <c r="Q40" s="337"/>
    </row>
    <row r="41" spans="2:20" s="130" customFormat="1" ht="18">
      <c r="B41" s="202"/>
      <c r="C41" s="149" t="s">
        <v>85</v>
      </c>
      <c r="D41" s="149"/>
      <c r="E41" s="140"/>
      <c r="F41" s="140"/>
      <c r="G41" s="140"/>
      <c r="H41" s="140"/>
      <c r="I41" s="140"/>
      <c r="J41" s="140"/>
      <c r="K41" s="140"/>
      <c r="L41" s="140"/>
      <c r="M41" s="140"/>
      <c r="N41" s="140"/>
      <c r="O41" s="140"/>
      <c r="P41" s="140"/>
      <c r="Q41" s="140"/>
    </row>
    <row r="42" spans="2:20" s="131" customFormat="1" ht="15" customHeight="1">
      <c r="B42" s="176"/>
      <c r="C42" s="374" t="s">
        <v>78</v>
      </c>
      <c r="D42" s="374" t="s">
        <v>79</v>
      </c>
      <c r="E42" s="374" t="s">
        <v>80</v>
      </c>
      <c r="F42" s="374" t="s">
        <v>81</v>
      </c>
      <c r="G42" s="374" t="s">
        <v>82</v>
      </c>
      <c r="H42" s="381" t="s">
        <v>83</v>
      </c>
      <c r="I42" s="374" t="s">
        <v>25</v>
      </c>
      <c r="J42" s="374"/>
      <c r="K42" s="374"/>
      <c r="L42" s="374"/>
      <c r="M42" s="374"/>
      <c r="N42" s="374"/>
      <c r="O42" s="374"/>
      <c r="P42" s="374"/>
      <c r="Q42" s="374" t="s">
        <v>84</v>
      </c>
    </row>
    <row r="43" spans="2:20" s="131" customFormat="1" ht="29.1" customHeight="1">
      <c r="B43" s="176"/>
      <c r="C43" s="374"/>
      <c r="D43" s="374"/>
      <c r="E43" s="374"/>
      <c r="F43" s="374"/>
      <c r="G43" s="374"/>
      <c r="H43" s="381"/>
      <c r="I43" s="196">
        <f>'26MY_ODYSSEY_DATA'!M$6</f>
        <v>0</v>
      </c>
      <c r="J43" s="196" t="str">
        <f>'26MY_ODYSSEY_DATA'!N$6</f>
        <v>Sport</v>
      </c>
      <c r="K43" s="196" t="str">
        <f>'26MY_ODYSSEY_DATA'!O$6</f>
        <v>Sport-L</v>
      </c>
      <c r="L43" s="196" t="str">
        <f>'26MY_ODYSSEY_DATA'!P$6</f>
        <v>Touring</v>
      </c>
      <c r="M43" s="196" t="str">
        <f>'26MY_ODYSSEY_DATA'!Q$6</f>
        <v>Black Edition</v>
      </c>
      <c r="N43" s="196">
        <f>'26MY_ODYSSEY_DATA'!R$6</f>
        <v>0</v>
      </c>
      <c r="O43" s="196">
        <f>'26MY_ODYSSEY_DATA'!S$6</f>
        <v>0</v>
      </c>
      <c r="P43" s="196">
        <f>'26MY_ODYSSEY_DATA'!T$6</f>
        <v>0</v>
      </c>
      <c r="Q43" s="374"/>
    </row>
    <row r="44" spans="2:20" s="132" customFormat="1" ht="15" customHeight="1">
      <c r="B44" s="175" t="s">
        <v>203</v>
      </c>
      <c r="C44" s="229" t="str">
        <f>VLOOKUP(B44,'26MY_ODYSSEY_DATA'!B:AR,4,FALSE)</f>
        <v>Écrous de roue antivol  - Noirs</v>
      </c>
      <c r="D44" s="79" t="str">
        <f>B44</f>
        <v>08W42-TG7-301A</v>
      </c>
      <c r="E44" s="323">
        <f>VLOOKUP(B44,'26MY_ODYSSEY_DATA'!B:AR,9,FALSE)</f>
        <v>88</v>
      </c>
      <c r="F44" s="323">
        <f>VLOOKUP(B44,'26MY_ODYSSEY_DATA'!B:AR,10,FALSE)</f>
        <v>147</v>
      </c>
      <c r="G44" s="332">
        <f>VLOOKUP(B44,'26MY_ODYSSEY_DATA'!B:AR,7,FALSE)</f>
        <v>0.2</v>
      </c>
      <c r="H44" s="324">
        <f>VLOOKUP(B44,'26MY_ODYSSEY_DATA'!B:AR,11,FALSE)</f>
        <v>183.2</v>
      </c>
      <c r="I44" s="333">
        <f>VLOOKUP(B44,'26MY_ODYSSEY_DATA'!B:AR,12,FALSE)</f>
        <v>0</v>
      </c>
      <c r="J44" s="333" t="str">
        <f>VLOOKUP(B44,'26MY_ODYSSEY_DATA'!B:AR,13,FALSE)</f>
        <v>•</v>
      </c>
      <c r="K44" s="333" t="str">
        <f>VLOOKUP(B44,'26MY_ODYSSEY_DATA'!B:AR,14,FALSE)</f>
        <v>•</v>
      </c>
      <c r="L44" s="333" t="str">
        <f>VLOOKUP(B44,'26MY_ODYSSEY_DATA'!B:AR,15,FALSE)</f>
        <v>•</v>
      </c>
      <c r="M44" s="333" t="str">
        <f>VLOOKUP(B44,'26MY_ODYSSEY_DATA'!B:AR,16,FALSE)</f>
        <v>•</v>
      </c>
      <c r="N44" s="333">
        <f>VLOOKUP($B44,'26MY_ODYSSEY_DATA'!$B:$AR,17,FALSE)</f>
        <v>0</v>
      </c>
      <c r="O44" s="333">
        <f>VLOOKUP($B44,'26MY_ODYSSEY_DATA'!$B:$AR,18,FALSE)</f>
        <v>0</v>
      </c>
      <c r="P44" s="333">
        <f>VLOOKUP($B44,'26MY_ODYSSEY_DATA'!$B:$AR,19,FALSE)</f>
        <v>0</v>
      </c>
      <c r="Q44" s="338" t="str">
        <f>IF(VLOOKUP(B44,'26MY_ODYSSEY_DATA'!B:AR,21,FALSE)="","",VLOOKUP(B44,'26MY_ODYSSEY_DATA'!B:AR,21,FALSE))</f>
        <v/>
      </c>
    </row>
    <row r="45" spans="2:20" s="131" customFormat="1" ht="14.4">
      <c r="B45" s="176" t="s">
        <v>204</v>
      </c>
      <c r="C45" s="229" t="str">
        <f>VLOOKUP(B45,'26MY_ODYSSEY_DATA'!B:AR,4,FALSE)</f>
        <v>Écrous de roue antivol  - Chromés</v>
      </c>
      <c r="D45" s="79" t="str">
        <f t="shared" ref="D45" si="8">B45</f>
        <v>08W42-TK4-301</v>
      </c>
      <c r="E45" s="323">
        <f>VLOOKUP(B45,'26MY_ODYSSEY_DATA'!B:AR,9,FALSE)</f>
        <v>94</v>
      </c>
      <c r="F45" s="323">
        <f>VLOOKUP(B45,'26MY_ODYSSEY_DATA'!B:AR,10,FALSE)</f>
        <v>157</v>
      </c>
      <c r="G45" s="332">
        <f>VLOOKUP(B45,'26MY_ODYSSEY_DATA'!B:AR,7,FALSE)</f>
        <v>0.2</v>
      </c>
      <c r="H45" s="324">
        <f>VLOOKUP(B45,'26MY_ODYSSEY_DATA'!B:AR,11,FALSE)</f>
        <v>193.2</v>
      </c>
      <c r="I45" s="333">
        <f>VLOOKUP(B45,'26MY_ODYSSEY_DATA'!B:AR,12,FALSE)</f>
        <v>0</v>
      </c>
      <c r="J45" s="333" t="str">
        <f>VLOOKUP(B45,'26MY_ODYSSEY_DATA'!B:AR,13,FALSE)</f>
        <v>•</v>
      </c>
      <c r="K45" s="333" t="str">
        <f>VLOOKUP(B45,'26MY_ODYSSEY_DATA'!B:AR,14,FALSE)</f>
        <v>•</v>
      </c>
      <c r="L45" s="333" t="str">
        <f>VLOOKUP(B45,'26MY_ODYSSEY_DATA'!B:AR,15,FALSE)</f>
        <v>•</v>
      </c>
      <c r="M45" s="333" t="str">
        <f>VLOOKUP(B45,'26MY_ODYSSEY_DATA'!B:AR,16,FALSE)</f>
        <v>•</v>
      </c>
      <c r="N45" s="333">
        <f>VLOOKUP($B45,'26MY_ODYSSEY_DATA'!$B:$AR,17,FALSE)</f>
        <v>0</v>
      </c>
      <c r="O45" s="333">
        <f>VLOOKUP($B45,'26MY_ODYSSEY_DATA'!$B:$AR,18,FALSE)</f>
        <v>0</v>
      </c>
      <c r="P45" s="333">
        <f>VLOOKUP($B45,'26MY_ODYSSEY_DATA'!$B:$AR,19,FALSE)</f>
        <v>0</v>
      </c>
      <c r="Q45" s="338" t="str">
        <f>IF(VLOOKUP(B45,'26MY_ODYSSEY_DATA'!B:AR,21,FALSE)="","",VLOOKUP(B45,'26MY_ODYSSEY_DATA'!B:AR,21,FALSE))</f>
        <v/>
      </c>
    </row>
    <row r="46" spans="2:20" s="132" customFormat="1" ht="10.5" customHeight="1">
      <c r="B46" s="175"/>
      <c r="C46" s="20"/>
      <c r="D46" s="182"/>
      <c r="E46" s="183"/>
      <c r="F46" s="183"/>
      <c r="G46" s="184"/>
      <c r="H46" s="185"/>
      <c r="I46" s="91"/>
      <c r="J46" s="96"/>
      <c r="K46" s="91"/>
      <c r="L46" s="91"/>
      <c r="M46" s="91"/>
      <c r="N46" s="91"/>
      <c r="O46" s="91"/>
      <c r="P46" s="91"/>
      <c r="Q46" s="186"/>
    </row>
    <row r="47" spans="2:20" s="130" customFormat="1" ht="18">
      <c r="B47" s="202"/>
      <c r="C47" s="149" t="s">
        <v>86</v>
      </c>
      <c r="D47" s="149"/>
      <c r="E47" s="140"/>
      <c r="F47" s="140"/>
      <c r="G47" s="140"/>
      <c r="H47" s="140"/>
      <c r="I47" s="140"/>
      <c r="J47" s="91"/>
      <c r="K47" s="140"/>
      <c r="L47" s="140"/>
      <c r="M47" s="140"/>
      <c r="N47" s="140"/>
      <c r="O47" s="140"/>
      <c r="P47" s="140"/>
      <c r="Q47" s="140"/>
    </row>
    <row r="48" spans="2:20" s="131" customFormat="1" ht="15" customHeight="1">
      <c r="B48" s="176"/>
      <c r="C48" s="374" t="s">
        <v>78</v>
      </c>
      <c r="D48" s="374" t="s">
        <v>79</v>
      </c>
      <c r="E48" s="374" t="s">
        <v>80</v>
      </c>
      <c r="F48" s="374" t="s">
        <v>81</v>
      </c>
      <c r="G48" s="374" t="s">
        <v>82</v>
      </c>
      <c r="H48" s="381" t="s">
        <v>83</v>
      </c>
      <c r="I48" s="374" t="s">
        <v>25</v>
      </c>
      <c r="J48" s="374"/>
      <c r="K48" s="374"/>
      <c r="L48" s="374"/>
      <c r="M48" s="374"/>
      <c r="N48" s="374"/>
      <c r="O48" s="374"/>
      <c r="P48" s="374"/>
      <c r="Q48" s="374" t="s">
        <v>84</v>
      </c>
    </row>
    <row r="49" spans="2:17" s="131" customFormat="1" ht="28.8">
      <c r="B49" s="176"/>
      <c r="C49" s="374"/>
      <c r="D49" s="374"/>
      <c r="E49" s="374"/>
      <c r="F49" s="374"/>
      <c r="G49" s="374"/>
      <c r="H49" s="381"/>
      <c r="I49" s="196">
        <f>'26MY_ODYSSEY_DATA'!M$6</f>
        <v>0</v>
      </c>
      <c r="J49" s="196" t="str">
        <f>'26MY_ODYSSEY_DATA'!N$6</f>
        <v>Sport</v>
      </c>
      <c r="K49" s="196" t="str">
        <f>'26MY_ODYSSEY_DATA'!O$6</f>
        <v>Sport-L</v>
      </c>
      <c r="L49" s="196" t="str">
        <f>'26MY_ODYSSEY_DATA'!P$6</f>
        <v>Touring</v>
      </c>
      <c r="M49" s="196" t="str">
        <f>'26MY_ODYSSEY_DATA'!Q$6</f>
        <v>Black Edition</v>
      </c>
      <c r="N49" s="196">
        <f>'26MY_ODYSSEY_DATA'!R$6</f>
        <v>0</v>
      </c>
      <c r="O49" s="196">
        <f>'26MY_ODYSSEY_DATA'!S$6</f>
        <v>0</v>
      </c>
      <c r="P49" s="196">
        <f>'26MY_ODYSSEY_DATA'!T$6</f>
        <v>0</v>
      </c>
      <c r="Q49" s="374"/>
    </row>
    <row r="50" spans="2:17" s="132" customFormat="1" ht="15" customHeight="1">
      <c r="B50" s="175" t="s">
        <v>360</v>
      </c>
      <c r="C50" s="229" t="str">
        <f>VLOOKUP(B50,'26MY_ODYSSEY_DATA'!B:AR,4,FALSE)</f>
        <v>Emblèmes noir - Logo « H » et Oydssey</v>
      </c>
      <c r="D50" s="79" t="str">
        <f>B50</f>
        <v>08F20-THR-100</v>
      </c>
      <c r="E50" s="323">
        <f>VLOOKUP(B50,'26MY_ODYSSEY_DATA'!B:AR,9,FALSE)</f>
        <v>71</v>
      </c>
      <c r="F50" s="323">
        <f>VLOOKUP(B50,'26MY_ODYSSEY_DATA'!B:AR,10,FALSE)</f>
        <v>118</v>
      </c>
      <c r="G50" s="332">
        <f>VLOOKUP(B50,'26MY_ODYSSEY_DATA'!B:AR,7,FALSE)</f>
        <v>0.9</v>
      </c>
      <c r="H50" s="324">
        <f>VLOOKUP(B50,'26MY_ODYSSEY_DATA'!B:AR,11,FALSE)</f>
        <v>280.89999999999998</v>
      </c>
      <c r="I50" s="333">
        <f>VLOOKUP(B50,'26MY_ODYSSEY_DATA'!B:AR,12,FALSE)</f>
        <v>0</v>
      </c>
      <c r="J50" s="333" t="str">
        <f>VLOOKUP(B50,'26MY_ODYSSEY_DATA'!B:AR,13,FALSE)</f>
        <v>•</v>
      </c>
      <c r="K50" s="333" t="str">
        <f>VLOOKUP(B50,'26MY_ODYSSEY_DATA'!B:AR,14,FALSE)</f>
        <v>•</v>
      </c>
      <c r="L50" s="333" t="str">
        <f>VLOOKUP(B50,'26MY_ODYSSEY_DATA'!B:AR,15,FALSE)</f>
        <v>•</v>
      </c>
      <c r="M50" s="333" t="str">
        <f>VLOOKUP(B50,'26MY_ODYSSEY_DATA'!B:AR,16,FALSE)</f>
        <v>•</v>
      </c>
      <c r="N50" s="333">
        <f>VLOOKUP($B50,'26MY_ODYSSEY_DATA'!$B:$AR,17,FALSE)</f>
        <v>0</v>
      </c>
      <c r="O50" s="333">
        <f>VLOOKUP($B50,'26MY_ODYSSEY_DATA'!$B:$AR,18,FALSE)</f>
        <v>0</v>
      </c>
      <c r="P50" s="333">
        <f>VLOOKUP($B50,'26MY_ODYSSEY_DATA'!$B:$AR,19,FALSE)</f>
        <v>0</v>
      </c>
      <c r="Q50" s="338" t="str">
        <f>IF(VLOOKUP(B50,'26MY_ODYSSEY_DATA'!B:AR,21,FALSE)="","",VLOOKUP(B50,'26MY_ODYSSEY_DATA'!B:AR,21,FALSE))</f>
        <v/>
      </c>
    </row>
    <row r="51" spans="2:17" s="132" customFormat="1" ht="15" customHeight="1">
      <c r="B51" s="175" t="s">
        <v>524</v>
      </c>
      <c r="C51" s="229" t="str">
        <f>VLOOKUP(B51,'26MY_ODYSSEY_DATA'!B:AR,4,FALSE)</f>
        <v>Emblème noir - SPORT</v>
      </c>
      <c r="D51" s="79" t="str">
        <f>B51</f>
        <v>08F20-T7S-100C</v>
      </c>
      <c r="E51" s="323">
        <f>VLOOKUP(B51,'26MY_ODYSSEY_DATA'!B:AR,9,FALSE)</f>
        <v>43</v>
      </c>
      <c r="F51" s="323">
        <f>VLOOKUP(B51,'26MY_ODYSSEY_DATA'!B:AR,10,FALSE)</f>
        <v>72</v>
      </c>
      <c r="G51" s="332">
        <f>VLOOKUP(B51,'26MY_ODYSSEY_DATA'!B:AR,7,FALSE)</f>
        <v>0.3</v>
      </c>
      <c r="H51" s="324">
        <f>VLOOKUP(B51,'26MY_ODYSSEY_DATA'!B:AR,11,FALSE)</f>
        <v>126.3</v>
      </c>
      <c r="I51" s="333">
        <f>VLOOKUP(B51,'26MY_ODYSSEY_DATA'!B:AR,12,FALSE)</f>
        <v>0</v>
      </c>
      <c r="J51" s="333" t="str">
        <f>VLOOKUP(B51,'26MY_ODYSSEY_DATA'!B:AR,13,FALSE)</f>
        <v>•</v>
      </c>
      <c r="K51" s="333" t="str">
        <f>VLOOKUP(B51,'26MY_ODYSSEY_DATA'!B:AR,14,FALSE)</f>
        <v>•</v>
      </c>
      <c r="L51" s="333" t="str">
        <f>VLOOKUP(B51,'26MY_ODYSSEY_DATA'!B:AR,15,FALSE)</f>
        <v>N/A</v>
      </c>
      <c r="M51" s="333" t="str">
        <f>VLOOKUP(B51,'26MY_ODYSSEY_DATA'!B:AR,16,FALSE)</f>
        <v>N/A</v>
      </c>
      <c r="N51" s="333">
        <f>VLOOKUP($B51,'26MY_ODYSSEY_DATA'!$B:$AR,17,FALSE)</f>
        <v>0</v>
      </c>
      <c r="O51" s="333">
        <f>VLOOKUP($B51,'26MY_ODYSSEY_DATA'!$B:$AR,18,FALSE)</f>
        <v>0</v>
      </c>
      <c r="P51" s="333">
        <f>VLOOKUP($B51,'26MY_ODYSSEY_DATA'!$B:$AR,19,FALSE)</f>
        <v>0</v>
      </c>
      <c r="Q51" s="338" t="str">
        <f>IF(VLOOKUP(B51,'26MY_ODYSSEY_DATA'!B:AR,21,FALSE)="","",VLOOKUP(B51,'26MY_ODYSSEY_DATA'!B:AR,21,FALSE))</f>
        <v/>
      </c>
    </row>
    <row r="52" spans="2:17" s="132" customFormat="1" ht="15" customHeight="1">
      <c r="B52" s="175" t="s">
        <v>536</v>
      </c>
      <c r="C52" s="229" t="str">
        <f>VLOOKUP(B52,'26MY_ODYSSEY_DATA'!B:AR,4,FALSE)</f>
        <v>Emblème noir  - Black Edition</v>
      </c>
      <c r="D52" s="79" t="str">
        <f>B52</f>
        <v>08F20-TG7-100G</v>
      </c>
      <c r="E52" s="323">
        <f>VLOOKUP(B52,'26MY_ODYSSEY_DATA'!B:AR,9,FALSE)</f>
        <v>72</v>
      </c>
      <c r="F52" s="323">
        <f>VLOOKUP(B52,'26MY_ODYSSEY_DATA'!B:AR,10,FALSE)</f>
        <v>120</v>
      </c>
      <c r="G52" s="332">
        <f>VLOOKUP(B52,'26MY_ODYSSEY_DATA'!B:AR,7,FALSE)</f>
        <v>0.3</v>
      </c>
      <c r="H52" s="324">
        <f>VLOOKUP(B52,'26MY_ODYSSEY_DATA'!B:AR,11,FALSE)</f>
        <v>174.3</v>
      </c>
      <c r="I52" s="333">
        <f>VLOOKUP(B52,'26MY_ODYSSEY_DATA'!B:AR,12,FALSE)</f>
        <v>0</v>
      </c>
      <c r="J52" s="333" t="str">
        <f>VLOOKUP(B52,'26MY_ODYSSEY_DATA'!B:AR,13,FALSE)</f>
        <v>N/A</v>
      </c>
      <c r="K52" s="333" t="str">
        <f>VLOOKUP(B52,'26MY_ODYSSEY_DATA'!B:AR,14,FALSE)</f>
        <v>N/A</v>
      </c>
      <c r="L52" s="333" t="str">
        <f>VLOOKUP(B52,'26MY_ODYSSEY_DATA'!B:AR,15,FALSE)</f>
        <v>N/A</v>
      </c>
      <c r="M52" s="333" t="str">
        <f>VLOOKUP(B52,'26MY_ODYSSEY_DATA'!B:AR,16,FALSE)</f>
        <v>•</v>
      </c>
      <c r="N52" s="333">
        <f>VLOOKUP($B52,'26MY_ODYSSEY_DATA'!$B:$AR,17,FALSE)</f>
        <v>0</v>
      </c>
      <c r="O52" s="333">
        <f>VLOOKUP($B52,'26MY_ODYSSEY_DATA'!$B:$AR,18,FALSE)</f>
        <v>0</v>
      </c>
      <c r="P52" s="333">
        <f>VLOOKUP($B52,'26MY_ODYSSEY_DATA'!$B:$AR,19,FALSE)</f>
        <v>0</v>
      </c>
      <c r="Q52" s="338" t="str">
        <f>IF(VLOOKUP(B52,'26MY_ODYSSEY_DATA'!B:AR,21,FALSE)="","",VLOOKUP(B52,'26MY_ODYSSEY_DATA'!B:AR,21,FALSE))</f>
        <v/>
      </c>
    </row>
    <row r="53" spans="2:17" s="132" customFormat="1" ht="15" customHeight="1">
      <c r="B53" s="175" t="s">
        <v>363</v>
      </c>
      <c r="C53" s="229" t="str">
        <f>VLOOKUP(B53,'26MY_ODYSSEY_DATA'!B:AR,4,FALSE)</f>
        <v>Écussons d’ailes</v>
      </c>
      <c r="D53" s="79" t="str">
        <f t="shared" ref="D53:D55" si="9">B53</f>
        <v>08F59-THR-100A</v>
      </c>
      <c r="E53" s="323">
        <f>VLOOKUP(B53,'26MY_ODYSSEY_DATA'!B:AR,9,FALSE)</f>
        <v>142</v>
      </c>
      <c r="F53" s="323">
        <f>VLOOKUP(B53,'26MY_ODYSSEY_DATA'!B:AR,10,FALSE)</f>
        <v>203</v>
      </c>
      <c r="G53" s="332">
        <f>VLOOKUP(B53,'26MY_ODYSSEY_DATA'!B:AR,7,FALSE)</f>
        <v>0.2</v>
      </c>
      <c r="H53" s="324">
        <f>VLOOKUP(B53,'26MY_ODYSSEY_DATA'!B:AR,11,FALSE)</f>
        <v>239.2</v>
      </c>
      <c r="I53" s="333">
        <f>VLOOKUP(B53,'26MY_ODYSSEY_DATA'!B:AR,12,FALSE)</f>
        <v>0</v>
      </c>
      <c r="J53" s="333" t="str">
        <f>VLOOKUP(B53,'26MY_ODYSSEY_DATA'!B:AR,13,FALSE)</f>
        <v>•</v>
      </c>
      <c r="K53" s="333" t="str">
        <f>VLOOKUP(B53,'26MY_ODYSSEY_DATA'!B:AR,14,FALSE)</f>
        <v>•</v>
      </c>
      <c r="L53" s="333" t="str">
        <f>VLOOKUP(B53,'26MY_ODYSSEY_DATA'!B:AR,15,FALSE)</f>
        <v>•</v>
      </c>
      <c r="M53" s="333" t="str">
        <f>VLOOKUP(B53,'26MY_ODYSSEY_DATA'!B:AR,16,FALSE)</f>
        <v>•</v>
      </c>
      <c r="N53" s="333">
        <f>VLOOKUP($B53,'26MY_ODYSSEY_DATA'!$B:$AR,17,FALSE)</f>
        <v>0</v>
      </c>
      <c r="O53" s="333">
        <f>VLOOKUP($B53,'26MY_ODYSSEY_DATA'!$B:$AR,18,FALSE)</f>
        <v>0</v>
      </c>
      <c r="P53" s="333">
        <f>VLOOKUP($B53,'26MY_ODYSSEY_DATA'!$B:$AR,19,FALSE)</f>
        <v>0</v>
      </c>
      <c r="Q53" s="338" t="str">
        <f>IF(VLOOKUP(B53,'26MY_ODYSSEY_DATA'!B:AR,21,FALSE)="","",VLOOKUP(B53,'26MY_ODYSSEY_DATA'!B:AR,21,FALSE))</f>
        <v/>
      </c>
    </row>
    <row r="54" spans="2:17" s="132" customFormat="1" ht="14.4">
      <c r="B54" s="175" t="s">
        <v>373</v>
      </c>
      <c r="C54" s="229" t="str">
        <f>VLOOKUP(B54,'26MY_ODYSSEY_DATA'!B:AR,4,FALSE)</f>
        <v>Garnitures de portière - chromées</v>
      </c>
      <c r="D54" s="79" t="str">
        <f t="shared" si="9"/>
        <v>08F57-THR-101</v>
      </c>
      <c r="E54" s="323">
        <f>VLOOKUP(B54,'26MY_ODYSSEY_DATA'!B:AR,9,FALSE)</f>
        <v>50.99</v>
      </c>
      <c r="F54" s="323">
        <f>VLOOKUP(B54,'26MY_ODYSSEY_DATA'!B:AR,10,FALSE)</f>
        <v>220</v>
      </c>
      <c r="G54" s="332">
        <f>VLOOKUP(B54,'26MY_ODYSSEY_DATA'!B:AR,7,FALSE)</f>
        <v>0.4</v>
      </c>
      <c r="H54" s="324">
        <f>VLOOKUP(B54,'26MY_ODYSSEY_DATA'!B:AR,11,FALSE)</f>
        <v>292.39999999999998</v>
      </c>
      <c r="I54" s="333">
        <f>VLOOKUP(B54,'26MY_ODYSSEY_DATA'!B:AR,12,FALSE)</f>
        <v>0</v>
      </c>
      <c r="J54" s="333" t="str">
        <f>VLOOKUP(B54,'26MY_ODYSSEY_DATA'!B:AR,13,FALSE)</f>
        <v>•</v>
      </c>
      <c r="K54" s="333" t="str">
        <f>VLOOKUP(B54,'26MY_ODYSSEY_DATA'!B:AR,14,FALSE)</f>
        <v>•</v>
      </c>
      <c r="L54" s="333" t="str">
        <f>VLOOKUP(B54,'26MY_ODYSSEY_DATA'!B:AR,15,FALSE)</f>
        <v>•</v>
      </c>
      <c r="M54" s="333" t="str">
        <f>VLOOKUP(B54,'26MY_ODYSSEY_DATA'!B:AR,16,FALSE)</f>
        <v>•</v>
      </c>
      <c r="N54" s="333">
        <f>VLOOKUP($B54,'26MY_ODYSSEY_DATA'!$B:$AR,17,FALSE)</f>
        <v>0</v>
      </c>
      <c r="O54" s="333">
        <f>VLOOKUP($B54,'26MY_ODYSSEY_DATA'!$B:$AR,18,FALSE)</f>
        <v>0</v>
      </c>
      <c r="P54" s="333">
        <f>VLOOKUP($B54,'26MY_ODYSSEY_DATA'!$B:$AR,19,FALSE)</f>
        <v>0</v>
      </c>
      <c r="Q54" s="338" t="str">
        <f>IF(VLOOKUP(B54,'26MY_ODYSSEY_DATA'!B:AR,21,FALSE)="","",VLOOKUP(B54,'26MY_ODYSSEY_DATA'!B:AR,21,FALSE))</f>
        <v/>
      </c>
    </row>
    <row r="55" spans="2:17" s="132" customFormat="1" ht="15" customHeight="1">
      <c r="B55" s="175" t="s">
        <v>350</v>
      </c>
      <c r="C55" s="229" t="str">
        <f>VLOOKUP(B55,'26MY_ODYSSEY_DATA'!B:AR,4,FALSE)</f>
        <v xml:space="preserve">Protecteur de pare-chocs arrière  </v>
      </c>
      <c r="D55" s="79" t="str">
        <f t="shared" si="9"/>
        <v>08P01-THR-100</v>
      </c>
      <c r="E55" s="323">
        <f>VLOOKUP(B55,'26MY_ODYSSEY_DATA'!B:AR,9,FALSE)</f>
        <v>39.99</v>
      </c>
      <c r="F55" s="323">
        <f>VLOOKUP(B55,'26MY_ODYSSEY_DATA'!B:AR,10,FALSE)</f>
        <v>175</v>
      </c>
      <c r="G55" s="332">
        <f>VLOOKUP(B55,'26MY_ODYSSEY_DATA'!B:AR,7,FALSE)</f>
        <v>0.8</v>
      </c>
      <c r="H55" s="324">
        <f>VLOOKUP(B55,'26MY_ODYSSEY_DATA'!B:AR,11,FALSE)</f>
        <v>319.8</v>
      </c>
      <c r="I55" s="333">
        <f>VLOOKUP(B55,'26MY_ODYSSEY_DATA'!B:AR,12,FALSE)</f>
        <v>0</v>
      </c>
      <c r="J55" s="333" t="str">
        <f>VLOOKUP(B55,'26MY_ODYSSEY_DATA'!B:AR,13,FALSE)</f>
        <v>•</v>
      </c>
      <c r="K55" s="333" t="str">
        <f>VLOOKUP(B55,'26MY_ODYSSEY_DATA'!B:AR,14,FALSE)</f>
        <v>•</v>
      </c>
      <c r="L55" s="333" t="str">
        <f>VLOOKUP(B55,'26MY_ODYSSEY_DATA'!B:AR,15,FALSE)</f>
        <v>•</v>
      </c>
      <c r="M55" s="333" t="str">
        <f>VLOOKUP(B55,'26MY_ODYSSEY_DATA'!B:AR,16,FALSE)</f>
        <v>•</v>
      </c>
      <c r="N55" s="333">
        <f>VLOOKUP($B55,'26MY_ODYSSEY_DATA'!$B:$AR,17,FALSE)</f>
        <v>0</v>
      </c>
      <c r="O55" s="333">
        <f>VLOOKUP($B55,'26MY_ODYSSEY_DATA'!$B:$AR,18,FALSE)</f>
        <v>0</v>
      </c>
      <c r="P55" s="333">
        <f>VLOOKUP($B55,'26MY_ODYSSEY_DATA'!$B:$AR,19,FALSE)</f>
        <v>0</v>
      </c>
      <c r="Q55" s="338" t="str">
        <f>IF(VLOOKUP(B55,'26MY_ODYSSEY_DATA'!B:AR,21,FALSE)="","",VLOOKUP(B55,'26MY_ODYSSEY_DATA'!B:AR,21,FALSE))</f>
        <v/>
      </c>
    </row>
    <row r="56" spans="2:17" s="132" customFormat="1" ht="15" customHeight="1">
      <c r="B56" s="176" t="s">
        <v>355</v>
      </c>
      <c r="C56" s="229" t="str">
        <f>VLOOKUP(B56,'26MY_ODYSSEY_DATA'!B:AR,4,FALSE)</f>
        <v>Pellicule pour rebord de portière</v>
      </c>
      <c r="D56" s="79" t="str">
        <f>B56</f>
        <v>08P20-THR-100</v>
      </c>
      <c r="E56" s="323">
        <f>VLOOKUP(B56,'26MY_ODYSSEY_DATA'!B:AR,9,FALSE)</f>
        <v>12.99</v>
      </c>
      <c r="F56" s="323">
        <f>VLOOKUP(B56,'26MY_ODYSSEY_DATA'!B:AR,10,FALSE)</f>
        <v>50</v>
      </c>
      <c r="G56" s="332">
        <f>VLOOKUP(B56,'26MY_ODYSSEY_DATA'!B:AR,7,FALSE)</f>
        <v>0.2</v>
      </c>
      <c r="H56" s="324">
        <f>VLOOKUP(B56,'26MY_ODYSSEY_DATA'!B:AR,11,FALSE)</f>
        <v>86.2</v>
      </c>
      <c r="I56" s="333">
        <f>VLOOKUP(B56,'26MY_ODYSSEY_DATA'!B:AR,12,FALSE)</f>
        <v>0</v>
      </c>
      <c r="J56" s="333" t="str">
        <f>VLOOKUP(B56,'26MY_ODYSSEY_DATA'!B:AR,13,FALSE)</f>
        <v>•</v>
      </c>
      <c r="K56" s="333" t="str">
        <f>VLOOKUP(B56,'26MY_ODYSSEY_DATA'!B:AR,14,FALSE)</f>
        <v>•</v>
      </c>
      <c r="L56" s="333" t="str">
        <f>VLOOKUP(B56,'26MY_ODYSSEY_DATA'!B:AR,15,FALSE)</f>
        <v>•</v>
      </c>
      <c r="M56" s="333" t="str">
        <f>VLOOKUP(B56,'26MY_ODYSSEY_DATA'!B:AR,16,FALSE)</f>
        <v>•</v>
      </c>
      <c r="N56" s="333">
        <f>VLOOKUP($B56,'26MY_ODYSSEY_DATA'!$B:$AR,17,FALSE)</f>
        <v>0</v>
      </c>
      <c r="O56" s="333">
        <f>VLOOKUP($B56,'26MY_ODYSSEY_DATA'!$B:$AR,18,FALSE)</f>
        <v>0</v>
      </c>
      <c r="P56" s="333">
        <f>VLOOKUP($B56,'26MY_ODYSSEY_DATA'!$B:$AR,19,FALSE)</f>
        <v>0</v>
      </c>
      <c r="Q56" s="338" t="str">
        <f>IF(VLOOKUP(B56,'26MY_ODYSSEY_DATA'!B:AR,21,FALSE)="","",VLOOKUP(B56,'26MY_ODYSSEY_DATA'!B:AR,21,FALSE))</f>
        <v>Ne peut être installé simultanément avec pellicule pour rebord de portière</v>
      </c>
    </row>
    <row r="57" spans="2:17" s="132" customFormat="1" ht="15" customHeight="1">
      <c r="B57" s="176" t="s">
        <v>356</v>
      </c>
      <c r="C57" s="229" t="str">
        <f>VLOOKUP(B57,'26MY_ODYSSEY_DATA'!B:AR,4,FALSE)</f>
        <v>Pare-soleil de portière</v>
      </c>
      <c r="D57" s="79" t="str">
        <f t="shared" ref="D57:D64" si="10">B57</f>
        <v>08R04-THR-102</v>
      </c>
      <c r="E57" s="323">
        <f>VLOOKUP(B57,'26MY_ODYSSEY_DATA'!B:AR,9,FALSE)</f>
        <v>241</v>
      </c>
      <c r="F57" s="323">
        <f>VLOOKUP(B57,'26MY_ODYSSEY_DATA'!B:AR,10,FALSE)</f>
        <v>402</v>
      </c>
      <c r="G57" s="332">
        <f>VLOOKUP(B57,'26MY_ODYSSEY_DATA'!B:AR,7,FALSE)</f>
        <v>0.5</v>
      </c>
      <c r="H57" s="324">
        <f>VLOOKUP(B57,'26MY_ODYSSEY_DATA'!B:AR,11,FALSE)</f>
        <v>492.5</v>
      </c>
      <c r="I57" s="333">
        <f>VLOOKUP(B57,'26MY_ODYSSEY_DATA'!B:AR,12,FALSE)</f>
        <v>0</v>
      </c>
      <c r="J57" s="333" t="str">
        <f>VLOOKUP(B57,'26MY_ODYSSEY_DATA'!B:AR,13,FALSE)</f>
        <v>•</v>
      </c>
      <c r="K57" s="333" t="str">
        <f>VLOOKUP(B57,'26MY_ODYSSEY_DATA'!B:AR,14,FALSE)</f>
        <v>•</v>
      </c>
      <c r="L57" s="333" t="str">
        <f>VLOOKUP(B57,'26MY_ODYSSEY_DATA'!B:AR,15,FALSE)</f>
        <v>•</v>
      </c>
      <c r="M57" s="333" t="str">
        <f>VLOOKUP(B57,'26MY_ODYSSEY_DATA'!B:AR,16,FALSE)</f>
        <v>•</v>
      </c>
      <c r="N57" s="333">
        <f>VLOOKUP($B57,'26MY_ODYSSEY_DATA'!$B:$AR,17,FALSE)</f>
        <v>0</v>
      </c>
      <c r="O57" s="333">
        <f>VLOOKUP($B57,'26MY_ODYSSEY_DATA'!$B:$AR,18,FALSE)</f>
        <v>0</v>
      </c>
      <c r="P57" s="333">
        <f>VLOOKUP($B57,'26MY_ODYSSEY_DATA'!$B:$AR,19,FALSE)</f>
        <v>0</v>
      </c>
      <c r="Q57" s="338" t="str">
        <f>IF(VLOOKUP(B57,'26MY_ODYSSEY_DATA'!B:AR,21,FALSE)="","",VLOOKUP(B57,'26MY_ODYSSEY_DATA'!B:AR,21,FALSE))</f>
        <v/>
      </c>
    </row>
    <row r="58" spans="2:17" s="132" customFormat="1" ht="15" customHeight="1">
      <c r="B58" s="175" t="s">
        <v>368</v>
      </c>
      <c r="C58" s="229" t="str">
        <f>VLOOKUP(B58,'26MY_ODYSSEY_DATA'!B:AR,4,FALSE)</f>
        <v>Déflecteur d’air du capot</v>
      </c>
      <c r="D58" s="79" t="str">
        <f t="shared" si="10"/>
        <v>08P47-THR-301</v>
      </c>
      <c r="E58" s="323">
        <f>VLOOKUP(B58,'26MY_ODYSSEY_DATA'!B:AR,9,FALSE)</f>
        <v>210</v>
      </c>
      <c r="F58" s="323">
        <f>VLOOKUP(B58,'26MY_ODYSSEY_DATA'!B:AR,10,FALSE)</f>
        <v>350</v>
      </c>
      <c r="G58" s="332">
        <f>VLOOKUP(B58,'26MY_ODYSSEY_DATA'!B:AR,7,FALSE)</f>
        <v>0.5</v>
      </c>
      <c r="H58" s="324">
        <f>VLOOKUP(B58,'26MY_ODYSSEY_DATA'!B:AR,11,FALSE)</f>
        <v>440.5</v>
      </c>
      <c r="I58" s="333">
        <f>VLOOKUP(B58,'26MY_ODYSSEY_DATA'!B:AR,12,FALSE)</f>
        <v>0</v>
      </c>
      <c r="J58" s="333" t="str">
        <f>VLOOKUP(B58,'26MY_ODYSSEY_DATA'!B:AR,13,FALSE)</f>
        <v>•</v>
      </c>
      <c r="K58" s="333" t="str">
        <f>VLOOKUP(B58,'26MY_ODYSSEY_DATA'!B:AR,14,FALSE)</f>
        <v>•</v>
      </c>
      <c r="L58" s="333" t="str">
        <f>VLOOKUP(B58,'26MY_ODYSSEY_DATA'!B:AR,15,FALSE)</f>
        <v>•</v>
      </c>
      <c r="M58" s="333" t="str">
        <f>VLOOKUP(B58,'26MY_ODYSSEY_DATA'!B:AR,16,FALSE)</f>
        <v>•</v>
      </c>
      <c r="N58" s="333">
        <f>VLOOKUP($B58,'26MY_ODYSSEY_DATA'!$B:$AR,17,FALSE)</f>
        <v>0</v>
      </c>
      <c r="O58" s="333">
        <f>VLOOKUP($B58,'26MY_ODYSSEY_DATA'!$B:$AR,18,FALSE)</f>
        <v>0</v>
      </c>
      <c r="P58" s="333">
        <f>VLOOKUP($B58,'26MY_ODYSSEY_DATA'!$B:$AR,19,FALSE)</f>
        <v>0</v>
      </c>
      <c r="Q58" s="338" t="str">
        <f>IF(VLOOKUP(B58,'26MY_ODYSSEY_DATA'!B:AR,21,FALSE)="","",VLOOKUP(B58,'26MY_ODYSSEY_DATA'!B:AR,21,FALSE))</f>
        <v/>
      </c>
    </row>
    <row r="59" spans="2:17" s="132" customFormat="1" ht="15" customHeight="1">
      <c r="B59" s="175" t="s">
        <v>376</v>
      </c>
      <c r="C59" s="229" t="str">
        <f>VLOOKUP(B59,'26MY_ODYSSEY_DATA'!B:AR,4,FALSE)</f>
        <v>Pare-soleil de toit ouvrant</v>
      </c>
      <c r="D59" s="79" t="str">
        <f t="shared" si="10"/>
        <v>08R01-THR-301</v>
      </c>
      <c r="E59" s="323">
        <f>VLOOKUP(B59,'26MY_ODYSSEY_DATA'!B:AR,9,FALSE)</f>
        <v>176</v>
      </c>
      <c r="F59" s="323">
        <f>VLOOKUP(B59,'26MY_ODYSSEY_DATA'!B:AR,10,FALSE)</f>
        <v>293</v>
      </c>
      <c r="G59" s="332">
        <f>VLOOKUP(B59,'26MY_ODYSSEY_DATA'!B:AR,7,FALSE)</f>
        <v>0.3</v>
      </c>
      <c r="H59" s="324">
        <f>VLOOKUP(B59,'26MY_ODYSSEY_DATA'!B:AR,11,FALSE)</f>
        <v>347.3</v>
      </c>
      <c r="I59" s="333">
        <f>VLOOKUP(B59,'26MY_ODYSSEY_DATA'!B:AR,12,FALSE)</f>
        <v>0</v>
      </c>
      <c r="J59" s="333" t="str">
        <f>VLOOKUP(B59,'26MY_ODYSSEY_DATA'!B:AR,13,FALSE)</f>
        <v>•</v>
      </c>
      <c r="K59" s="333" t="str">
        <f>VLOOKUP(B59,'26MY_ODYSSEY_DATA'!B:AR,14,FALSE)</f>
        <v>•</v>
      </c>
      <c r="L59" s="333" t="str">
        <f>VLOOKUP(B59,'26MY_ODYSSEY_DATA'!B:AR,15,FALSE)</f>
        <v>•</v>
      </c>
      <c r="M59" s="333" t="str">
        <f>VLOOKUP(B59,'26MY_ODYSSEY_DATA'!B:AR,16,FALSE)</f>
        <v>•</v>
      </c>
      <c r="N59" s="333">
        <f>VLOOKUP($B59,'26MY_ODYSSEY_DATA'!$B:$AR,17,FALSE)</f>
        <v>0</v>
      </c>
      <c r="O59" s="333">
        <f>VLOOKUP($B59,'26MY_ODYSSEY_DATA'!$B:$AR,18,FALSE)</f>
        <v>0</v>
      </c>
      <c r="P59" s="333">
        <f>VLOOKUP($B59,'26MY_ODYSSEY_DATA'!$B:$AR,19,FALSE)</f>
        <v>0</v>
      </c>
      <c r="Q59" s="338" t="str">
        <f>IF(VLOOKUP(B59,'26MY_ODYSSEY_DATA'!B:AR,21,FALSE)="","",VLOOKUP(B59,'26MY_ODYSSEY_DATA'!B:AR,21,FALSE))</f>
        <v/>
      </c>
    </row>
    <row r="60" spans="2:17" s="132" customFormat="1" ht="15" customHeight="1">
      <c r="B60" s="175" t="s">
        <v>534</v>
      </c>
      <c r="C60" s="229" t="str">
        <f>VLOOKUP(B60,'26MY_ODYSSEY_DATA'!B:AR,4,FALSE)</f>
        <v xml:space="preserve">Garde-boue arrière </v>
      </c>
      <c r="D60" s="79" t="str">
        <f t="shared" si="10"/>
        <v>08P09-THR-300A</v>
      </c>
      <c r="E60" s="323">
        <f>VLOOKUP(B60,'26MY_ODYSSEY_DATA'!B:AR,9,FALSE)</f>
        <v>85</v>
      </c>
      <c r="F60" s="323">
        <f>VLOOKUP(B60,'26MY_ODYSSEY_DATA'!B:AR,10,FALSE)</f>
        <v>142</v>
      </c>
      <c r="G60" s="332">
        <f>VLOOKUP(B60,'26MY_ODYSSEY_DATA'!B:AR,7,FALSE)</f>
        <v>0.4</v>
      </c>
      <c r="H60" s="324">
        <f>VLOOKUP(B60,'26MY_ODYSSEY_DATA'!B:AR,11,FALSE)</f>
        <v>214.4</v>
      </c>
      <c r="I60" s="333">
        <f>VLOOKUP(B60,'26MY_ODYSSEY_DATA'!B:AR,12,FALSE)</f>
        <v>0</v>
      </c>
      <c r="J60" s="333" t="str">
        <f>VLOOKUP(B60,'26MY_ODYSSEY_DATA'!B:AR,13,FALSE)</f>
        <v>•</v>
      </c>
      <c r="K60" s="333" t="str">
        <f>VLOOKUP(B60,'26MY_ODYSSEY_DATA'!B:AR,14,FALSE)</f>
        <v>•</v>
      </c>
      <c r="L60" s="333" t="str">
        <f>VLOOKUP(B60,'26MY_ODYSSEY_DATA'!B:AR,15,FALSE)</f>
        <v>•</v>
      </c>
      <c r="M60" s="333" t="str">
        <f>VLOOKUP(B60,'26MY_ODYSSEY_DATA'!B:AR,16,FALSE)</f>
        <v>•</v>
      </c>
      <c r="N60" s="333">
        <f>VLOOKUP($B60,'26MY_ODYSSEY_DATA'!$B:$AR,17,FALSE)</f>
        <v>0</v>
      </c>
      <c r="O60" s="333">
        <f>VLOOKUP($B60,'26MY_ODYSSEY_DATA'!$B:$AR,18,FALSE)</f>
        <v>0</v>
      </c>
      <c r="P60" s="333">
        <f>VLOOKUP($B60,'26MY_ODYSSEY_DATA'!$B:$AR,19,FALSE)</f>
        <v>0</v>
      </c>
      <c r="Q60" s="338" t="str">
        <f>IF(VLOOKUP(B60,'26MY_ODYSSEY_DATA'!B:AR,21,FALSE)="","",VLOOKUP(B60,'26MY_ODYSSEY_DATA'!B:AR,21,FALSE))</f>
        <v/>
      </c>
    </row>
    <row r="61" spans="2:17" s="132" customFormat="1" ht="14.4">
      <c r="B61" s="175" t="s">
        <v>238</v>
      </c>
      <c r="C61" s="229" t="str">
        <f>VLOOKUP(B61,'26MY_ODYSSEY_DATA'!B:AR,4,FALSE)</f>
        <v>Tente</v>
      </c>
      <c r="D61" s="79" t="str">
        <f t="shared" si="10"/>
        <v>08Z04-SCV-110B</v>
      </c>
      <c r="E61" s="323">
        <f>VLOOKUP(B61,'26MY_ODYSSEY_DATA'!B:AR,9,FALSE)</f>
        <v>490</v>
      </c>
      <c r="F61" s="323">
        <f>VLOOKUP(B61,'26MY_ODYSSEY_DATA'!B:AR,10,FALSE)</f>
        <v>700</v>
      </c>
      <c r="G61" s="332">
        <f>VLOOKUP(B61,'26MY_ODYSSEY_DATA'!B:AR,7,FALSE)</f>
        <v>0</v>
      </c>
      <c r="H61" s="324">
        <f>VLOOKUP(B61,'26MY_ODYSSEY_DATA'!B:AR,11,FALSE)</f>
        <v>700</v>
      </c>
      <c r="I61" s="333">
        <f>VLOOKUP(B61,'26MY_ODYSSEY_DATA'!B:AR,12,FALSE)</f>
        <v>0</v>
      </c>
      <c r="J61" s="333" t="str">
        <f>VLOOKUP(B61,'26MY_ODYSSEY_DATA'!B:AR,13,FALSE)</f>
        <v>•</v>
      </c>
      <c r="K61" s="333" t="str">
        <f>VLOOKUP(B61,'26MY_ODYSSEY_DATA'!B:AR,14,FALSE)</f>
        <v>•</v>
      </c>
      <c r="L61" s="333" t="str">
        <f>VLOOKUP(B61,'26MY_ODYSSEY_DATA'!B:AR,15,FALSE)</f>
        <v>•</v>
      </c>
      <c r="M61" s="333" t="str">
        <f>VLOOKUP(B61,'26MY_ODYSSEY_DATA'!B:AR,16,FALSE)</f>
        <v>•</v>
      </c>
      <c r="N61" s="333">
        <f>VLOOKUP($B61,'26MY_ODYSSEY_DATA'!$B:$AR,17,FALSE)</f>
        <v>0</v>
      </c>
      <c r="O61" s="333">
        <f>VLOOKUP($B61,'26MY_ODYSSEY_DATA'!$B:$AR,18,FALSE)</f>
        <v>0</v>
      </c>
      <c r="P61" s="333">
        <f>VLOOKUP($B61,'26MY_ODYSSEY_DATA'!$B:$AR,19,FALSE)</f>
        <v>0</v>
      </c>
      <c r="Q61" s="338" t="str">
        <f>IF(VLOOKUP(B61,'26MY_ODYSSEY_DATA'!B:AR,21,FALSE)="","",VLOOKUP(B61,'26MY_ODYSSEY_DATA'!B:AR,21,FALSE))</f>
        <v/>
      </c>
    </row>
    <row r="62" spans="2:17" s="132" customFormat="1" ht="14.4">
      <c r="B62" s="175" t="s">
        <v>290</v>
      </c>
      <c r="C62" s="229" t="str">
        <f>VLOOKUP(B62,'26MY_ODYSSEY_DATA'!B:AR,4,FALSE)</f>
        <v xml:space="preserve">Rails de toit - Noir </v>
      </c>
      <c r="D62" s="79" t="str">
        <f t="shared" si="10"/>
        <v>08L02-THR-102</v>
      </c>
      <c r="E62" s="323">
        <f>VLOOKUP(B62,'26MY_ODYSSEY_DATA'!B:AR,9,FALSE)</f>
        <v>472</v>
      </c>
      <c r="F62" s="323">
        <f>VLOOKUP(B62,'26MY_ODYSSEY_DATA'!B:AR,10,FALSE)</f>
        <v>787</v>
      </c>
      <c r="G62" s="332">
        <f>VLOOKUP(B62,'26MY_ODYSSEY_DATA'!B:AR,7,FALSE)</f>
        <v>1</v>
      </c>
      <c r="H62" s="324">
        <f>VLOOKUP(B62,'26MY_ODYSSEY_DATA'!B:AR,11,FALSE)</f>
        <v>968</v>
      </c>
      <c r="I62" s="333">
        <f>VLOOKUP(B62,'26MY_ODYSSEY_DATA'!B:AR,12,FALSE)</f>
        <v>0</v>
      </c>
      <c r="J62" s="333" t="str">
        <f>VLOOKUP(B62,'26MY_ODYSSEY_DATA'!B:AR,13,FALSE)</f>
        <v>•</v>
      </c>
      <c r="K62" s="333" t="str">
        <f>VLOOKUP(B62,'26MY_ODYSSEY_DATA'!B:AR,14,FALSE)</f>
        <v>•</v>
      </c>
      <c r="L62" s="333" t="str">
        <f>VLOOKUP(B62,'26MY_ODYSSEY_DATA'!B:AR,15,FALSE)</f>
        <v>•</v>
      </c>
      <c r="M62" s="333" t="str">
        <f>VLOOKUP(B62,'26MY_ODYSSEY_DATA'!B:AR,16,FALSE)</f>
        <v>•</v>
      </c>
      <c r="N62" s="333">
        <f>VLOOKUP($B62,'26MY_ODYSSEY_DATA'!$B:$AR,17,FALSE)</f>
        <v>0</v>
      </c>
      <c r="O62" s="333">
        <f>VLOOKUP($B62,'26MY_ODYSSEY_DATA'!$B:$AR,18,FALSE)</f>
        <v>0</v>
      </c>
      <c r="P62" s="333">
        <f>VLOOKUP($B62,'26MY_ODYSSEY_DATA'!$B:$AR,19,FALSE)</f>
        <v>0</v>
      </c>
      <c r="Q62" s="338" t="str">
        <f>IF(VLOOKUP(B62,'26MY_ODYSSEY_DATA'!B:AR,21,FALSE)="","",VLOOKUP(B62,'26MY_ODYSSEY_DATA'!B:AR,21,FALSE))</f>
        <v/>
      </c>
    </row>
    <row r="63" spans="2:17" s="132" customFormat="1" ht="15" customHeight="1">
      <c r="B63" s="175" t="s">
        <v>293</v>
      </c>
      <c r="C63" s="229" t="str">
        <f>VLOOKUP(B63,'26MY_ODYSSEY_DATA'!B:AR,4,FALSE)</f>
        <v xml:space="preserve">Rails de toit - Chromées </v>
      </c>
      <c r="D63" s="79" t="str">
        <f t="shared" si="10"/>
        <v>08L02-THR-102A</v>
      </c>
      <c r="E63" s="323">
        <f>VLOOKUP(B63,'26MY_ODYSSEY_DATA'!B:AR,9,FALSE)</f>
        <v>673</v>
      </c>
      <c r="F63" s="323">
        <f>VLOOKUP(B63,'26MY_ODYSSEY_DATA'!B:AR,10,FALSE)</f>
        <v>1035</v>
      </c>
      <c r="G63" s="332">
        <f>VLOOKUP(B63,'26MY_ODYSSEY_DATA'!B:AR,7,FALSE)</f>
        <v>1</v>
      </c>
      <c r="H63" s="324">
        <f>VLOOKUP(B63,'26MY_ODYSSEY_DATA'!B:AR,11,FALSE)</f>
        <v>1216</v>
      </c>
      <c r="I63" s="333">
        <f>VLOOKUP(B63,'26MY_ODYSSEY_DATA'!B:AR,12,FALSE)</f>
        <v>0</v>
      </c>
      <c r="J63" s="333" t="str">
        <f>VLOOKUP(B63,'26MY_ODYSSEY_DATA'!B:AR,13,FALSE)</f>
        <v>•</v>
      </c>
      <c r="K63" s="333" t="str">
        <f>VLOOKUP(B63,'26MY_ODYSSEY_DATA'!B:AR,14,FALSE)</f>
        <v>•</v>
      </c>
      <c r="L63" s="333" t="str">
        <f>VLOOKUP(B63,'26MY_ODYSSEY_DATA'!B:AR,15,FALSE)</f>
        <v>•</v>
      </c>
      <c r="M63" s="333" t="str">
        <f>VLOOKUP(B63,'26MY_ODYSSEY_DATA'!B:AR,16,FALSE)</f>
        <v>•</v>
      </c>
      <c r="N63" s="333">
        <f>VLOOKUP($B63,'26MY_ODYSSEY_DATA'!$B:$AR,17,FALSE)</f>
        <v>0</v>
      </c>
      <c r="O63" s="333">
        <f>VLOOKUP($B63,'26MY_ODYSSEY_DATA'!$B:$AR,18,FALSE)</f>
        <v>0</v>
      </c>
      <c r="P63" s="333">
        <f>VLOOKUP($B63,'26MY_ODYSSEY_DATA'!$B:$AR,19,FALSE)</f>
        <v>0</v>
      </c>
      <c r="Q63" s="338" t="str">
        <f>IF(VLOOKUP(B63,'26MY_ODYSSEY_DATA'!B:AR,21,FALSE)="","",VLOOKUP(B63,'26MY_ODYSSEY_DATA'!B:AR,21,FALSE))</f>
        <v/>
      </c>
    </row>
    <row r="64" spans="2:17" s="132" customFormat="1" ht="15" customHeight="1">
      <c r="B64" s="175" t="s">
        <v>295</v>
      </c>
      <c r="C64" s="229" t="str">
        <f>VLOOKUP(B64,'26MY_ODYSSEY_DATA'!B:AR,4,FALSE)</f>
        <v xml:space="preserve">Barres transversales </v>
      </c>
      <c r="D64" s="79" t="str">
        <f t="shared" si="10"/>
        <v>08L04-THR-100</v>
      </c>
      <c r="E64" s="323">
        <f>VLOOKUP(B64,'26MY_ODYSSEY_DATA'!B:AR,9,FALSE)</f>
        <v>222</v>
      </c>
      <c r="F64" s="323">
        <f>VLOOKUP(B64,'26MY_ODYSSEY_DATA'!B:AR,10,FALSE)</f>
        <v>370</v>
      </c>
      <c r="G64" s="332">
        <f>VLOOKUP(B64,'26MY_ODYSSEY_DATA'!B:AR,7,FALSE)</f>
        <v>0.2</v>
      </c>
      <c r="H64" s="324">
        <f>VLOOKUP(B64,'26MY_ODYSSEY_DATA'!B:AR,11,FALSE)</f>
        <v>406.2</v>
      </c>
      <c r="I64" s="333">
        <f>VLOOKUP(B64,'26MY_ODYSSEY_DATA'!B:AR,12,FALSE)</f>
        <v>0</v>
      </c>
      <c r="J64" s="333" t="str">
        <f>VLOOKUP(B64,'26MY_ODYSSEY_DATA'!B:AR,13,FALSE)</f>
        <v>•</v>
      </c>
      <c r="K64" s="333" t="str">
        <f>VLOOKUP(B64,'26MY_ODYSSEY_DATA'!B:AR,14,FALSE)</f>
        <v>•</v>
      </c>
      <c r="L64" s="333" t="str">
        <f>VLOOKUP(B64,'26MY_ODYSSEY_DATA'!B:AR,15,FALSE)</f>
        <v>•</v>
      </c>
      <c r="M64" s="333" t="str">
        <f>VLOOKUP(B64,'26MY_ODYSSEY_DATA'!B:AR,16,FALSE)</f>
        <v>•</v>
      </c>
      <c r="N64" s="333">
        <f>VLOOKUP($B64,'26MY_ODYSSEY_DATA'!$B:$AR,17,FALSE)</f>
        <v>0</v>
      </c>
      <c r="O64" s="333">
        <f>VLOOKUP($B64,'26MY_ODYSSEY_DATA'!$B:$AR,18,FALSE)</f>
        <v>0</v>
      </c>
      <c r="P64" s="333">
        <f>VLOOKUP($B64,'26MY_ODYSSEY_DATA'!$B:$AR,19,FALSE)</f>
        <v>0</v>
      </c>
      <c r="Q64" s="338" t="str">
        <f>IF(VLOOKUP(B64,'26MY_ODYSSEY_DATA'!B:AR,21,FALSE)="","",VLOOKUP(B64,'26MY_ODYSSEY_DATA'!B:AR,21,FALSE))</f>
        <v>Nécessite des rails de toit.</v>
      </c>
    </row>
    <row r="65" spans="2:17" s="132" customFormat="1" ht="15" customHeight="1">
      <c r="B65" s="175" t="s">
        <v>194</v>
      </c>
      <c r="C65" s="199" t="str">
        <f>VLOOKUP(B65,'26MY_ODYSSEY_DATA'!B:AR,4,FALSE)</f>
        <v>Accessoires de toit</v>
      </c>
      <c r="D65" s="188"/>
      <c r="E65" s="188"/>
      <c r="F65" s="188"/>
      <c r="G65" s="188"/>
      <c r="H65" s="188"/>
      <c r="I65" s="188"/>
      <c r="J65" s="188"/>
      <c r="K65" s="188"/>
      <c r="L65" s="188"/>
      <c r="M65" s="188"/>
      <c r="N65" s="188"/>
      <c r="O65" s="188"/>
      <c r="P65" s="188"/>
      <c r="Q65" s="179"/>
    </row>
    <row r="66" spans="2:17" s="132" customFormat="1" ht="15" customHeight="1">
      <c r="B66" s="175" t="s">
        <v>184</v>
      </c>
      <c r="C66" s="191" t="str">
        <f>VLOOKUP(B66,'26MY_ODYSSEY_DATA'!B:AR,4,FALSE)</f>
        <v>Panier de toit</v>
      </c>
      <c r="D66" s="79" t="str">
        <f t="shared" ref="D66:D73" si="11">B66</f>
        <v>08L20-E09-101C</v>
      </c>
      <c r="E66" s="323">
        <f>VLOOKUP(B66,'26MY_ODYSSEY_DATA'!B:AR,9,FALSE)</f>
        <v>586</v>
      </c>
      <c r="F66" s="323">
        <f>VLOOKUP(B66,'26MY_ODYSSEY_DATA'!B:AR,10,FALSE)</f>
        <v>977</v>
      </c>
      <c r="G66" s="332">
        <f>VLOOKUP(B66,'26MY_ODYSSEY_DATA'!B:AR,7,FALSE)</f>
        <v>0.4</v>
      </c>
      <c r="H66" s="324">
        <f>VLOOKUP(B66,'26MY_ODYSSEY_DATA'!B:AR,11,FALSE)</f>
        <v>1049.4000000000001</v>
      </c>
      <c r="I66" s="333">
        <f>VLOOKUP(B66,'26MY_ODYSSEY_DATA'!B:AR,12,FALSE)</f>
        <v>0</v>
      </c>
      <c r="J66" s="333" t="str">
        <f>VLOOKUP(B66,'26MY_ODYSSEY_DATA'!B:AR,13,FALSE)</f>
        <v>•</v>
      </c>
      <c r="K66" s="333" t="str">
        <f>VLOOKUP(B66,'26MY_ODYSSEY_DATA'!B:AR,14,FALSE)</f>
        <v>•</v>
      </c>
      <c r="L66" s="333" t="str">
        <f>VLOOKUP(B66,'26MY_ODYSSEY_DATA'!B:AR,15,FALSE)</f>
        <v>•</v>
      </c>
      <c r="M66" s="333" t="str">
        <f>VLOOKUP(B66,'26MY_ODYSSEY_DATA'!B:AR,16,FALSE)</f>
        <v>•</v>
      </c>
      <c r="N66" s="333">
        <f>VLOOKUP($B66,'26MY_ODYSSEY_DATA'!$B:$AR,17,FALSE)</f>
        <v>0</v>
      </c>
      <c r="O66" s="333">
        <f>VLOOKUP($B66,'26MY_ODYSSEY_DATA'!$B:$AR,18,FALSE)</f>
        <v>0</v>
      </c>
      <c r="P66" s="333">
        <f>VLOOKUP($B66,'26MY_ODYSSEY_DATA'!$B:$AR,19,FALSE)</f>
        <v>0</v>
      </c>
      <c r="Q66" s="371" t="str">
        <f>IF(VLOOKUP(B66,'26MY_ODYSSEY_DATA'!B:AR,21,FALSE)="","",VLOOKUP(B66,'26MY_ODYSSEY_DATA'!B:AR,21,FALSE))</f>
        <v>Nécessite des rails de toit et des barres transversales.</v>
      </c>
    </row>
    <row r="67" spans="2:17" s="132" customFormat="1" ht="15" customHeight="1">
      <c r="B67" s="175" t="s">
        <v>223</v>
      </c>
      <c r="C67" s="191" t="str">
        <f>VLOOKUP(B67,'26MY_ODYSSEY_DATA'!B:AR,4,FALSE)</f>
        <v>Galerie de toit, Porte-vélo - monture de fourche</v>
      </c>
      <c r="D67" s="79" t="str">
        <f t="shared" si="11"/>
        <v>08L07-E09-300A</v>
      </c>
      <c r="E67" s="323">
        <f>VLOOKUP(B67,'26MY_ODYSSEY_DATA'!B:AR,9,FALSE)</f>
        <v>300</v>
      </c>
      <c r="F67" s="323">
        <f>VLOOKUP(B67,'26MY_ODYSSEY_DATA'!B:AR,10,FALSE)</f>
        <v>500</v>
      </c>
      <c r="G67" s="332">
        <f>VLOOKUP(B67,'26MY_ODYSSEY_DATA'!B:AR,7,FALSE)</f>
        <v>0.4</v>
      </c>
      <c r="H67" s="324">
        <f>VLOOKUP(B67,'26MY_ODYSSEY_DATA'!B:AR,11,FALSE)</f>
        <v>572.4</v>
      </c>
      <c r="I67" s="333">
        <f>VLOOKUP(B67,'26MY_ODYSSEY_DATA'!B:AR,12,FALSE)</f>
        <v>0</v>
      </c>
      <c r="J67" s="333" t="str">
        <f>VLOOKUP(B67,'26MY_ODYSSEY_DATA'!B:AR,13,FALSE)</f>
        <v>•</v>
      </c>
      <c r="K67" s="333" t="str">
        <f>VLOOKUP(B67,'26MY_ODYSSEY_DATA'!B:AR,14,FALSE)</f>
        <v>•</v>
      </c>
      <c r="L67" s="333" t="str">
        <f>VLOOKUP(B67,'26MY_ODYSSEY_DATA'!B:AR,15,FALSE)</f>
        <v>•</v>
      </c>
      <c r="M67" s="333" t="str">
        <f>VLOOKUP(B67,'26MY_ODYSSEY_DATA'!B:AR,16,FALSE)</f>
        <v>•</v>
      </c>
      <c r="N67" s="333">
        <f>VLOOKUP($B67,'26MY_ODYSSEY_DATA'!$B:$AR,17,FALSE)</f>
        <v>0</v>
      </c>
      <c r="O67" s="333">
        <f>VLOOKUP($B67,'26MY_ODYSSEY_DATA'!$B:$AR,18,FALSE)</f>
        <v>0</v>
      </c>
      <c r="P67" s="333">
        <f>VLOOKUP($B67,'26MY_ODYSSEY_DATA'!$B:$AR,19,FALSE)</f>
        <v>0</v>
      </c>
      <c r="Q67" s="372"/>
    </row>
    <row r="68" spans="2:17" s="132" customFormat="1" ht="15" customHeight="1">
      <c r="B68" s="175" t="s">
        <v>185</v>
      </c>
      <c r="C68" s="191" t="str">
        <f>VLOOKUP(B68,'26MY_ODYSSEY_DATA'!B:AR,4,FALSE)</f>
        <v>Support à vélo vertical pour porte-bagages de toit</v>
      </c>
      <c r="D68" s="79" t="str">
        <f t="shared" si="11"/>
        <v>08L07-E09-101</v>
      </c>
      <c r="E68" s="323">
        <f>VLOOKUP(B68,'26MY_ODYSSEY_DATA'!B:AR,9,FALSE)</f>
        <v>393</v>
      </c>
      <c r="F68" s="323">
        <f>VLOOKUP(B68,'26MY_ODYSSEY_DATA'!B:AR,10,FALSE)</f>
        <v>561</v>
      </c>
      <c r="G68" s="332">
        <f>VLOOKUP(B68,'26MY_ODYSSEY_DATA'!B:AR,7,FALSE)</f>
        <v>0.6</v>
      </c>
      <c r="H68" s="324">
        <f>VLOOKUP(B68,'26MY_ODYSSEY_DATA'!B:AR,11,FALSE)</f>
        <v>669.6</v>
      </c>
      <c r="I68" s="333">
        <f>VLOOKUP(B68,'26MY_ODYSSEY_DATA'!B:AR,12,FALSE)</f>
        <v>0</v>
      </c>
      <c r="J68" s="333" t="str">
        <f>VLOOKUP(B68,'26MY_ODYSSEY_DATA'!B:AR,13,FALSE)</f>
        <v>•</v>
      </c>
      <c r="K68" s="333" t="str">
        <f>VLOOKUP(B68,'26MY_ODYSSEY_DATA'!B:AR,14,FALSE)</f>
        <v>•</v>
      </c>
      <c r="L68" s="333" t="str">
        <f>VLOOKUP(B68,'26MY_ODYSSEY_DATA'!B:AR,15,FALSE)</f>
        <v>•</v>
      </c>
      <c r="M68" s="333" t="str">
        <f>VLOOKUP(B68,'26MY_ODYSSEY_DATA'!B:AR,16,FALSE)</f>
        <v>•</v>
      </c>
      <c r="N68" s="333">
        <f>VLOOKUP($B68,'26MY_ODYSSEY_DATA'!$B:$AR,17,FALSE)</f>
        <v>0</v>
      </c>
      <c r="O68" s="333">
        <f>VLOOKUP($B68,'26MY_ODYSSEY_DATA'!$B:$AR,18,FALSE)</f>
        <v>0</v>
      </c>
      <c r="P68" s="333">
        <f>VLOOKUP($B68,'26MY_ODYSSEY_DATA'!$B:$AR,19,FALSE)</f>
        <v>0</v>
      </c>
      <c r="Q68" s="372"/>
    </row>
    <row r="69" spans="2:17" s="132" customFormat="1" ht="15" customHeight="1">
      <c r="B69" s="175" t="s">
        <v>182</v>
      </c>
      <c r="C69" s="191" t="str">
        <f>VLOOKUP(B69,'26MY_ODYSSEY_DATA'!B:AR,4,FALSE)</f>
        <v>Boîte de toit - moyenne</v>
      </c>
      <c r="D69" s="79" t="str">
        <f t="shared" si="11"/>
        <v>08L20-E09-300A</v>
      </c>
      <c r="E69" s="323">
        <f>VLOOKUP(B69,'26MY_ODYSSEY_DATA'!B:AR,9,FALSE)</f>
        <v>898</v>
      </c>
      <c r="F69" s="323">
        <f>VLOOKUP(B69,'26MY_ODYSSEY_DATA'!B:AR,10,FALSE)</f>
        <v>1497</v>
      </c>
      <c r="G69" s="332">
        <f>VLOOKUP(B69,'26MY_ODYSSEY_DATA'!B:AR,7,FALSE)</f>
        <v>0.2</v>
      </c>
      <c r="H69" s="324">
        <f>VLOOKUP(B69,'26MY_ODYSSEY_DATA'!B:AR,11,FALSE)</f>
        <v>1533.2</v>
      </c>
      <c r="I69" s="333">
        <f>VLOOKUP(B69,'26MY_ODYSSEY_DATA'!B:AR,12,FALSE)</f>
        <v>0</v>
      </c>
      <c r="J69" s="333" t="str">
        <f>VLOOKUP(B69,'26MY_ODYSSEY_DATA'!B:AR,13,FALSE)</f>
        <v>•</v>
      </c>
      <c r="K69" s="333" t="str">
        <f>VLOOKUP(B69,'26MY_ODYSSEY_DATA'!B:AR,14,FALSE)</f>
        <v>•</v>
      </c>
      <c r="L69" s="333" t="str">
        <f>VLOOKUP(B69,'26MY_ODYSSEY_DATA'!B:AR,15,FALSE)</f>
        <v>•</v>
      </c>
      <c r="M69" s="333" t="str">
        <f>VLOOKUP(B69,'26MY_ODYSSEY_DATA'!B:AR,16,FALSE)</f>
        <v>•</v>
      </c>
      <c r="N69" s="333">
        <f>VLOOKUP($B69,'26MY_ODYSSEY_DATA'!$B:$AR,17,FALSE)</f>
        <v>0</v>
      </c>
      <c r="O69" s="333">
        <f>VLOOKUP($B69,'26MY_ODYSSEY_DATA'!$B:$AR,18,FALSE)</f>
        <v>0</v>
      </c>
      <c r="P69" s="333">
        <f>VLOOKUP($B69,'26MY_ODYSSEY_DATA'!$B:$AR,19,FALSE)</f>
        <v>0</v>
      </c>
      <c r="Q69" s="372"/>
    </row>
    <row r="70" spans="2:17" s="132" customFormat="1" ht="15" customHeight="1">
      <c r="B70" s="175" t="s">
        <v>183</v>
      </c>
      <c r="C70" s="191" t="str">
        <f>VLOOKUP(B70,'26MY_ODYSSEY_DATA'!B:AR,4,FALSE)</f>
        <v>Boîte de toit - courte</v>
      </c>
      <c r="D70" s="79" t="str">
        <f t="shared" si="11"/>
        <v>08L20-E09-300B</v>
      </c>
      <c r="E70" s="323">
        <f>VLOOKUP(B70,'26MY_ODYSSEY_DATA'!B:AR,9,FALSE)</f>
        <v>820</v>
      </c>
      <c r="F70" s="323">
        <f>VLOOKUP(B70,'26MY_ODYSSEY_DATA'!B:AR,10,FALSE)</f>
        <v>1367</v>
      </c>
      <c r="G70" s="332">
        <f>VLOOKUP(B70,'26MY_ODYSSEY_DATA'!B:AR,7,FALSE)</f>
        <v>0.2</v>
      </c>
      <c r="H70" s="324">
        <f>VLOOKUP(B70,'26MY_ODYSSEY_DATA'!B:AR,11,FALSE)</f>
        <v>1403.2</v>
      </c>
      <c r="I70" s="333">
        <f>VLOOKUP(B70,'26MY_ODYSSEY_DATA'!B:AR,12,FALSE)</f>
        <v>0</v>
      </c>
      <c r="J70" s="333" t="str">
        <f>VLOOKUP(B70,'26MY_ODYSSEY_DATA'!B:AR,13,FALSE)</f>
        <v>•</v>
      </c>
      <c r="K70" s="333" t="str">
        <f>VLOOKUP(B70,'26MY_ODYSSEY_DATA'!B:AR,14,FALSE)</f>
        <v>•</v>
      </c>
      <c r="L70" s="333" t="str">
        <f>VLOOKUP(B70,'26MY_ODYSSEY_DATA'!B:AR,15,FALSE)</f>
        <v>•</v>
      </c>
      <c r="M70" s="333" t="str">
        <f>VLOOKUP(B70,'26MY_ODYSSEY_DATA'!B:AR,16,FALSE)</f>
        <v>•</v>
      </c>
      <c r="N70" s="333">
        <f>VLOOKUP($B70,'26MY_ODYSSEY_DATA'!$B:$AR,17,FALSE)</f>
        <v>0</v>
      </c>
      <c r="O70" s="333">
        <f>VLOOKUP($B70,'26MY_ODYSSEY_DATA'!$B:$AR,18,FALSE)</f>
        <v>0</v>
      </c>
      <c r="P70" s="333">
        <f>VLOOKUP($B70,'26MY_ODYSSEY_DATA'!$B:$AR,19,FALSE)</f>
        <v>0</v>
      </c>
      <c r="Q70" s="372"/>
    </row>
    <row r="71" spans="2:17" s="132" customFormat="1" ht="14.4">
      <c r="B71" s="175" t="s">
        <v>186</v>
      </c>
      <c r="C71" s="191" t="str">
        <f>VLOOKUP(B71,'26MY_ODYSSEY_DATA'!B:AR,4,FALSE)</f>
        <v>Galerie de toit, fixation pour kayak</v>
      </c>
      <c r="D71" s="79" t="str">
        <f t="shared" si="11"/>
        <v>08L09-E09-101</v>
      </c>
      <c r="E71" s="323">
        <f>VLOOKUP(B71,'26MY_ODYSSEY_DATA'!B:AR,9,FALSE)</f>
        <v>442</v>
      </c>
      <c r="F71" s="323">
        <f>VLOOKUP(B71,'26MY_ODYSSEY_DATA'!B:AR,10,FALSE)</f>
        <v>737</v>
      </c>
      <c r="G71" s="332">
        <f>VLOOKUP(B71,'26MY_ODYSSEY_DATA'!B:AR,7,FALSE)</f>
        <v>0.2</v>
      </c>
      <c r="H71" s="324">
        <f>VLOOKUP(B71,'26MY_ODYSSEY_DATA'!B:AR,11,FALSE)</f>
        <v>773.2</v>
      </c>
      <c r="I71" s="333">
        <f>VLOOKUP(B71,'26MY_ODYSSEY_DATA'!B:AR,12,FALSE)</f>
        <v>0</v>
      </c>
      <c r="J71" s="333" t="str">
        <f>VLOOKUP(B71,'26MY_ODYSSEY_DATA'!B:AR,13,FALSE)</f>
        <v>•</v>
      </c>
      <c r="K71" s="333" t="str">
        <f>VLOOKUP(B71,'26MY_ODYSSEY_DATA'!B:AR,14,FALSE)</f>
        <v>•</v>
      </c>
      <c r="L71" s="333" t="str">
        <f>VLOOKUP(B71,'26MY_ODYSSEY_DATA'!B:AR,15,FALSE)</f>
        <v>•</v>
      </c>
      <c r="M71" s="333" t="str">
        <f>VLOOKUP(B71,'26MY_ODYSSEY_DATA'!B:AR,16,FALSE)</f>
        <v>•</v>
      </c>
      <c r="N71" s="333">
        <f>VLOOKUP($B71,'26MY_ODYSSEY_DATA'!$B:$AR,17,FALSE)</f>
        <v>0</v>
      </c>
      <c r="O71" s="333">
        <f>VLOOKUP($B71,'26MY_ODYSSEY_DATA'!$B:$AR,18,FALSE)</f>
        <v>0</v>
      </c>
      <c r="P71" s="333">
        <f>VLOOKUP($B71,'26MY_ODYSSEY_DATA'!$B:$AR,19,FALSE)</f>
        <v>0</v>
      </c>
      <c r="Q71" s="372"/>
    </row>
    <row r="72" spans="2:17" s="132" customFormat="1" ht="14.4">
      <c r="B72" s="175" t="s">
        <v>187</v>
      </c>
      <c r="C72" s="191" t="str">
        <f>VLOOKUP(B72,'26MY_ODYSSEY_DATA'!B:AR,4,FALSE)</f>
        <v>Galerie de toit, Fixation pour skis/planche à neige</v>
      </c>
      <c r="D72" s="79" t="str">
        <f t="shared" si="11"/>
        <v>08L03-E09-300C</v>
      </c>
      <c r="E72" s="323">
        <f>VLOOKUP(B72,'26MY_ODYSSEY_DATA'!B:AR,9,FALSE)</f>
        <v>426</v>
      </c>
      <c r="F72" s="323">
        <f>VLOOKUP(B72,'26MY_ODYSSEY_DATA'!B:AR,10,FALSE)</f>
        <v>710</v>
      </c>
      <c r="G72" s="332">
        <f>VLOOKUP(B72,'26MY_ODYSSEY_DATA'!B:AR,7,FALSE)</f>
        <v>0.2</v>
      </c>
      <c r="H72" s="324">
        <f>VLOOKUP(B72,'26MY_ODYSSEY_DATA'!B:AR,11,FALSE)</f>
        <v>746.2</v>
      </c>
      <c r="I72" s="333">
        <f>VLOOKUP(B72,'26MY_ODYSSEY_DATA'!B:AR,12,FALSE)</f>
        <v>0</v>
      </c>
      <c r="J72" s="333" t="str">
        <f>VLOOKUP(B72,'26MY_ODYSSEY_DATA'!B:AR,13,FALSE)</f>
        <v>•</v>
      </c>
      <c r="K72" s="333" t="str">
        <f>VLOOKUP(B72,'26MY_ODYSSEY_DATA'!B:AR,14,FALSE)</f>
        <v>•</v>
      </c>
      <c r="L72" s="333" t="str">
        <f>VLOOKUP(B72,'26MY_ODYSSEY_DATA'!B:AR,15,FALSE)</f>
        <v>•</v>
      </c>
      <c r="M72" s="333" t="str">
        <f>VLOOKUP(B72,'26MY_ODYSSEY_DATA'!B:AR,16,FALSE)</f>
        <v>•</v>
      </c>
      <c r="N72" s="333">
        <f>VLOOKUP($B72,'26MY_ODYSSEY_DATA'!$B:$AR,17,FALSE)</f>
        <v>0</v>
      </c>
      <c r="O72" s="333">
        <f>VLOOKUP($B72,'26MY_ODYSSEY_DATA'!$B:$AR,18,FALSE)</f>
        <v>0</v>
      </c>
      <c r="P72" s="333">
        <f>VLOOKUP($B72,'26MY_ODYSSEY_DATA'!$B:$AR,19,FALSE)</f>
        <v>0</v>
      </c>
      <c r="Q72" s="372"/>
    </row>
    <row r="73" spans="2:17" s="132" customFormat="1" ht="15" customHeight="1">
      <c r="B73" s="175" t="s">
        <v>188</v>
      </c>
      <c r="C73" s="191" t="str">
        <f>VLOOKUP(B73,'26MY_ODYSSEY_DATA'!B:AR,4,FALSE)</f>
        <v>Galerie de toit, Fixation pour planche de surf</v>
      </c>
      <c r="D73" s="79" t="str">
        <f t="shared" si="11"/>
        <v>08L05-E09-100</v>
      </c>
      <c r="E73" s="323">
        <f>VLOOKUP(B73,'26MY_ODYSSEY_DATA'!B:AR,9,FALSE)</f>
        <v>213</v>
      </c>
      <c r="F73" s="323">
        <f>VLOOKUP(B73,'26MY_ODYSSEY_DATA'!B:AR,10,FALSE)</f>
        <v>355</v>
      </c>
      <c r="G73" s="332">
        <f>VLOOKUP(B73,'26MY_ODYSSEY_DATA'!B:AR,7,FALSE)</f>
        <v>0.2</v>
      </c>
      <c r="H73" s="324">
        <f>VLOOKUP(B73,'26MY_ODYSSEY_DATA'!B:AR,11,FALSE)</f>
        <v>391.2</v>
      </c>
      <c r="I73" s="333">
        <f>VLOOKUP(B73,'26MY_ODYSSEY_DATA'!B:AR,12,FALSE)</f>
        <v>0</v>
      </c>
      <c r="J73" s="333" t="str">
        <f>VLOOKUP(B73,'26MY_ODYSSEY_DATA'!B:AR,13,FALSE)</f>
        <v>•</v>
      </c>
      <c r="K73" s="333" t="str">
        <f>VLOOKUP(B73,'26MY_ODYSSEY_DATA'!B:AR,14,FALSE)</f>
        <v>•</v>
      </c>
      <c r="L73" s="333" t="str">
        <f>VLOOKUP(B73,'26MY_ODYSSEY_DATA'!B:AR,15,FALSE)</f>
        <v>•</v>
      </c>
      <c r="M73" s="333" t="str">
        <f>VLOOKUP(B73,'26MY_ODYSSEY_DATA'!B:AR,16,FALSE)</f>
        <v>•</v>
      </c>
      <c r="N73" s="333">
        <f>VLOOKUP($B73,'26MY_ODYSSEY_DATA'!$B:$AR,17,FALSE)</f>
        <v>0</v>
      </c>
      <c r="O73" s="333">
        <f>VLOOKUP($B73,'26MY_ODYSSEY_DATA'!$B:$AR,18,FALSE)</f>
        <v>0</v>
      </c>
      <c r="P73" s="333">
        <f>VLOOKUP($B73,'26MY_ODYSSEY_DATA'!$B:$AR,19,FALSE)</f>
        <v>0</v>
      </c>
      <c r="Q73" s="373"/>
    </row>
    <row r="74" spans="2:17" s="132" customFormat="1" ht="15" customHeight="1">
      <c r="B74" s="175" t="s">
        <v>484</v>
      </c>
      <c r="C74" s="199" t="str">
        <f>VLOOKUP(B74,'26MY_ODYSSEY_DATA'!B:AR,4,FALSE)</f>
        <v>Pièces d’attelage de remorque</v>
      </c>
      <c r="D74" s="188"/>
      <c r="E74" s="188"/>
      <c r="F74" s="188"/>
      <c r="G74" s="188"/>
      <c r="H74" s="188"/>
      <c r="I74" s="188"/>
      <c r="J74" s="188"/>
      <c r="K74" s="188"/>
      <c r="L74" s="188"/>
      <c r="M74" s="188"/>
      <c r="N74" s="188"/>
      <c r="O74" s="188"/>
      <c r="P74" s="188"/>
      <c r="Q74" s="179"/>
    </row>
    <row r="75" spans="2:17" s="132" customFormat="1" ht="14.4">
      <c r="B75" s="175" t="s">
        <v>535</v>
      </c>
      <c r="C75" s="191" t="str">
        <f>VLOOKUP(B75,'26MY_ODYSSEY_DATA'!B:AR,4,FALSE)</f>
        <v xml:space="preserve">Attelage de remorque   </v>
      </c>
      <c r="D75" s="79" t="str">
        <f>B75</f>
        <v>08L92-THR-300A</v>
      </c>
      <c r="E75" s="323">
        <f>VLOOKUP(B75,'26MY_ODYSSEY_DATA'!B:AR,9,FALSE)</f>
        <v>591</v>
      </c>
      <c r="F75" s="323">
        <f>VLOOKUP(B75,'26MY_ODYSSEY_DATA'!B:AR,10,FALSE)</f>
        <v>985</v>
      </c>
      <c r="G75" s="332">
        <f>VLOOKUP(B75,'26MY_ODYSSEY_DATA'!B:AR,7,FALSE)</f>
        <v>1.5</v>
      </c>
      <c r="H75" s="324">
        <f>VLOOKUP(B75,'26MY_ODYSSEY_DATA'!B:AR,11,FALSE)</f>
        <v>1256.5</v>
      </c>
      <c r="I75" s="333">
        <f>VLOOKUP(B75,'26MY_ODYSSEY_DATA'!B:AR,12,FALSE)</f>
        <v>0</v>
      </c>
      <c r="J75" s="333" t="str">
        <f>VLOOKUP(B75,'26MY_ODYSSEY_DATA'!B:AR,13,FALSE)</f>
        <v>•</v>
      </c>
      <c r="K75" s="333" t="str">
        <f>VLOOKUP(B75,'26MY_ODYSSEY_DATA'!B:AR,14,FALSE)</f>
        <v>•</v>
      </c>
      <c r="L75" s="333" t="str">
        <f>VLOOKUP(B75,'26MY_ODYSSEY_DATA'!B:AR,15,FALSE)</f>
        <v>•</v>
      </c>
      <c r="M75" s="333" t="str">
        <f>VLOOKUP(B75,'26MY_ODYSSEY_DATA'!B:AR,16,FALSE)</f>
        <v>•</v>
      </c>
      <c r="N75" s="333">
        <f>VLOOKUP($B75,'26MY_ODYSSEY_DATA'!$B:$AR,17,FALSE)</f>
        <v>0</v>
      </c>
      <c r="O75" s="333">
        <f>VLOOKUP($B75,'26MY_ODYSSEY_DATA'!$B:$AR,18,FALSE)</f>
        <v>0</v>
      </c>
      <c r="P75" s="333">
        <f>VLOOKUP($B75,'26MY_ODYSSEY_DATA'!$B:$AR,19,FALSE)</f>
        <v>0</v>
      </c>
      <c r="Q75" s="371" t="str">
        <f>IF(VLOOKUP(B75,'26MY_ODYSSEY_DATA'!B:AR,21,FALSE)="","",VLOOKUP(B75,'26MY_ODYSSEY_DATA'!B:AR,21,FALSE))</f>
        <v>Attelage de remorque: Classe II.
Attelage de remorque dimensions du réceptacle: 2 po x 2 po.
TOURING:
Nécessite adaptateur de capteur de hayon électrique mains libres.</v>
      </c>
    </row>
    <row r="76" spans="2:17" s="132" customFormat="1" ht="15" customHeight="1">
      <c r="B76" s="175" t="s">
        <v>385</v>
      </c>
      <c r="C76" s="191" t="str">
        <f>VLOOKUP(B76,'26MY_ODYSSEY_DATA'!B:AR,4,FALSE)</f>
        <v>Rotule d'attelage de 1 7/8 po</v>
      </c>
      <c r="D76" s="79" t="str">
        <f t="shared" ref="D76:D80" si="12">B76</f>
        <v>08L92-SCV-300A</v>
      </c>
      <c r="E76" s="323">
        <f>VLOOKUP(B76,'26MY_ODYSSEY_DATA'!B:AR,9,FALSE)</f>
        <v>29</v>
      </c>
      <c r="F76" s="323">
        <f>VLOOKUP(B76,'26MY_ODYSSEY_DATA'!B:AR,10,FALSE)</f>
        <v>48</v>
      </c>
      <c r="G76" s="332">
        <f>VLOOKUP(B76,'26MY_ODYSSEY_DATA'!B:AR,7,FALSE)</f>
        <v>0</v>
      </c>
      <c r="H76" s="324">
        <f>VLOOKUP(B76,'26MY_ODYSSEY_DATA'!B:AR,11,FALSE)</f>
        <v>48</v>
      </c>
      <c r="I76" s="333">
        <f>VLOOKUP(B76,'26MY_ODYSSEY_DATA'!B:AR,12,FALSE)</f>
        <v>0</v>
      </c>
      <c r="J76" s="333" t="str">
        <f>VLOOKUP(B76,'26MY_ODYSSEY_DATA'!B:AR,13,FALSE)</f>
        <v>•</v>
      </c>
      <c r="K76" s="333" t="str">
        <f>VLOOKUP(B76,'26MY_ODYSSEY_DATA'!B:AR,14,FALSE)</f>
        <v>•</v>
      </c>
      <c r="L76" s="333" t="str">
        <f>VLOOKUP(B76,'26MY_ODYSSEY_DATA'!B:AR,15,FALSE)</f>
        <v>•</v>
      </c>
      <c r="M76" s="333" t="str">
        <f>VLOOKUP(B76,'26MY_ODYSSEY_DATA'!B:AR,16,FALSE)</f>
        <v>•</v>
      </c>
      <c r="N76" s="333">
        <f>VLOOKUP($B76,'26MY_ODYSSEY_DATA'!$B:$AR,17,FALSE)</f>
        <v>0</v>
      </c>
      <c r="O76" s="333">
        <f>VLOOKUP($B76,'26MY_ODYSSEY_DATA'!$B:$AR,18,FALSE)</f>
        <v>0</v>
      </c>
      <c r="P76" s="333">
        <f>VLOOKUP($B76,'26MY_ODYSSEY_DATA'!$B:$AR,19,FALSE)</f>
        <v>0</v>
      </c>
      <c r="Q76" s="372"/>
    </row>
    <row r="77" spans="2:17" s="132" customFormat="1" ht="15" customHeight="1">
      <c r="B77" s="175" t="s">
        <v>386</v>
      </c>
      <c r="C77" s="191" t="str">
        <f>VLOOKUP(B77,'26MY_ODYSSEY_DATA'!B:AR,4,FALSE)</f>
        <v>Rotule d'attelage de 2 po</v>
      </c>
      <c r="D77" s="79" t="str">
        <f t="shared" si="12"/>
        <v>08L92-SCV-100B</v>
      </c>
      <c r="E77" s="323">
        <f>VLOOKUP(B77,'26MY_ODYSSEY_DATA'!B:AR,9,FALSE)</f>
        <v>29</v>
      </c>
      <c r="F77" s="323">
        <f>VLOOKUP(B77,'26MY_ODYSSEY_DATA'!B:AR,10,FALSE)</f>
        <v>48</v>
      </c>
      <c r="G77" s="332">
        <f>VLOOKUP(B77,'26MY_ODYSSEY_DATA'!B:AR,7,FALSE)</f>
        <v>0</v>
      </c>
      <c r="H77" s="324">
        <f>VLOOKUP(B77,'26MY_ODYSSEY_DATA'!B:AR,11,FALSE)</f>
        <v>48</v>
      </c>
      <c r="I77" s="333">
        <f>VLOOKUP(B77,'26MY_ODYSSEY_DATA'!B:AR,12,FALSE)</f>
        <v>0</v>
      </c>
      <c r="J77" s="333" t="str">
        <f>VLOOKUP(B77,'26MY_ODYSSEY_DATA'!B:AR,13,FALSE)</f>
        <v>•</v>
      </c>
      <c r="K77" s="333" t="str">
        <f>VLOOKUP(B77,'26MY_ODYSSEY_DATA'!B:AR,14,FALSE)</f>
        <v>•</v>
      </c>
      <c r="L77" s="333" t="str">
        <f>VLOOKUP(B77,'26MY_ODYSSEY_DATA'!B:AR,15,FALSE)</f>
        <v>•</v>
      </c>
      <c r="M77" s="333" t="str">
        <f>VLOOKUP(B77,'26MY_ODYSSEY_DATA'!B:AR,16,FALSE)</f>
        <v>•</v>
      </c>
      <c r="N77" s="333">
        <f>VLOOKUP($B77,'26MY_ODYSSEY_DATA'!$B:$AR,17,FALSE)</f>
        <v>0</v>
      </c>
      <c r="O77" s="333">
        <f>VLOOKUP($B77,'26MY_ODYSSEY_DATA'!$B:$AR,18,FALSE)</f>
        <v>0</v>
      </c>
      <c r="P77" s="333">
        <f>VLOOKUP($B77,'26MY_ODYSSEY_DATA'!$B:$AR,19,FALSE)</f>
        <v>0</v>
      </c>
      <c r="Q77" s="372"/>
    </row>
    <row r="78" spans="2:17" s="132" customFormat="1" ht="15" customHeight="1">
      <c r="B78" s="175" t="s">
        <v>387</v>
      </c>
      <c r="C78" s="191" t="str">
        <f>VLOOKUP(B78,'26MY_ODYSSEY_DATA'!B:AR,4,FALSE)</f>
        <v>Harnais pour remorque</v>
      </c>
      <c r="D78" s="79" t="str">
        <f t="shared" si="12"/>
        <v>08L91-THR-300</v>
      </c>
      <c r="E78" s="323">
        <f>VLOOKUP(B78,'26MY_ODYSSEY_DATA'!B:AR,9,FALSE)</f>
        <v>167</v>
      </c>
      <c r="F78" s="323">
        <f>VLOOKUP(B78,'26MY_ODYSSEY_DATA'!B:AR,10,FALSE)</f>
        <v>278</v>
      </c>
      <c r="G78" s="332">
        <f>VLOOKUP(B78,'26MY_ODYSSEY_DATA'!B:AR,7,FALSE)</f>
        <v>0.8</v>
      </c>
      <c r="H78" s="324">
        <f>VLOOKUP(B78,'26MY_ODYSSEY_DATA'!B:AR,11,FALSE)</f>
        <v>422.8</v>
      </c>
      <c r="I78" s="333">
        <f>VLOOKUP(B78,'26MY_ODYSSEY_DATA'!B:AR,12,FALSE)</f>
        <v>0</v>
      </c>
      <c r="J78" s="333" t="str">
        <f>VLOOKUP(B78,'26MY_ODYSSEY_DATA'!B:AR,13,FALSE)</f>
        <v>•</v>
      </c>
      <c r="K78" s="333" t="str">
        <f>VLOOKUP(B78,'26MY_ODYSSEY_DATA'!B:AR,14,FALSE)</f>
        <v>•</v>
      </c>
      <c r="L78" s="333" t="str">
        <f>VLOOKUP(B78,'26MY_ODYSSEY_DATA'!B:AR,15,FALSE)</f>
        <v>•</v>
      </c>
      <c r="M78" s="333" t="str">
        <f>VLOOKUP(B78,'26MY_ODYSSEY_DATA'!B:AR,16,FALSE)</f>
        <v>•</v>
      </c>
      <c r="N78" s="333">
        <f>VLOOKUP($B78,'26MY_ODYSSEY_DATA'!$B:$AR,17,FALSE)</f>
        <v>0</v>
      </c>
      <c r="O78" s="333">
        <f>VLOOKUP($B78,'26MY_ODYSSEY_DATA'!$B:$AR,18,FALSE)</f>
        <v>0</v>
      </c>
      <c r="P78" s="333">
        <f>VLOOKUP($B78,'26MY_ODYSSEY_DATA'!$B:$AR,19,FALSE)</f>
        <v>0</v>
      </c>
      <c r="Q78" s="372"/>
    </row>
    <row r="79" spans="2:17" s="132" customFormat="1" ht="15" customHeight="1">
      <c r="B79" s="175" t="s">
        <v>206</v>
      </c>
      <c r="C79" s="191" t="str">
        <f>VLOOKUP(B79,'26MY_ODYSSEY_DATA'!B:AR,4,FALSE)</f>
        <v>Goupille de verrouillage pour l'attelage de remorque</v>
      </c>
      <c r="D79" s="79" t="str">
        <f t="shared" ref="D79" si="13">B79</f>
        <v>08L92-SJC-300A</v>
      </c>
      <c r="E79" s="323">
        <f>VLOOKUP(B79,'26MY_ODYSSEY_DATA'!B:AR,9,FALSE)</f>
        <v>109</v>
      </c>
      <c r="F79" s="323">
        <f>VLOOKUP(B79,'26MY_ODYSSEY_DATA'!B:AR,10,FALSE)</f>
        <v>168</v>
      </c>
      <c r="G79" s="332">
        <f>VLOOKUP(B79,'26MY_ODYSSEY_DATA'!B:AR,7,FALSE)</f>
        <v>0</v>
      </c>
      <c r="H79" s="324">
        <f>VLOOKUP(B79,'26MY_ODYSSEY_DATA'!B:AR,11,FALSE)</f>
        <v>168</v>
      </c>
      <c r="I79" s="333">
        <f>VLOOKUP(B79,'26MY_ODYSSEY_DATA'!B:AR,12,FALSE)</f>
        <v>0</v>
      </c>
      <c r="J79" s="333" t="str">
        <f>VLOOKUP(B79,'26MY_ODYSSEY_DATA'!B:AR,13,FALSE)</f>
        <v>•</v>
      </c>
      <c r="K79" s="333" t="str">
        <f>VLOOKUP(B79,'26MY_ODYSSEY_DATA'!B:AR,14,FALSE)</f>
        <v>•</v>
      </c>
      <c r="L79" s="333" t="str">
        <f>VLOOKUP(B79,'26MY_ODYSSEY_DATA'!B:AR,15,FALSE)</f>
        <v>•</v>
      </c>
      <c r="M79" s="333" t="str">
        <f>VLOOKUP(B79,'26MY_ODYSSEY_DATA'!B:AR,16,FALSE)</f>
        <v>•</v>
      </c>
      <c r="N79" s="333">
        <f>VLOOKUP($B79,'26MY_ODYSSEY_DATA'!$B:$AR,17,FALSE)</f>
        <v>0</v>
      </c>
      <c r="O79" s="333">
        <f>VLOOKUP($B79,'26MY_ODYSSEY_DATA'!$B:$AR,18,FALSE)</f>
        <v>0</v>
      </c>
      <c r="P79" s="333">
        <f>VLOOKUP($B79,'26MY_ODYSSEY_DATA'!$B:$AR,19,FALSE)</f>
        <v>0</v>
      </c>
      <c r="Q79" s="372"/>
    </row>
    <row r="80" spans="2:17" s="132" customFormat="1" ht="15" customHeight="1">
      <c r="B80" s="175" t="s">
        <v>396</v>
      </c>
      <c r="C80" s="191" t="str">
        <f>VLOOKUP(B80,'26MY_ODYSSEY_DATA'!B:AR,4,FALSE)</f>
        <v>Adaptateur de capteur de hayon électrique mains libres</v>
      </c>
      <c r="D80" s="79" t="str">
        <f t="shared" si="12"/>
        <v>08L91-THR-300A</v>
      </c>
      <c r="E80" s="323">
        <f>VLOOKUP(B80,'26MY_ODYSSEY_DATA'!B:AR,9,FALSE)</f>
        <v>245</v>
      </c>
      <c r="F80" s="323">
        <f>VLOOKUP(B80,'26MY_ODYSSEY_DATA'!B:AR,10,FALSE)</f>
        <v>408</v>
      </c>
      <c r="G80" s="332">
        <f>VLOOKUP(B80,'26MY_ODYSSEY_DATA'!B:AR,7,FALSE)</f>
        <v>0.2</v>
      </c>
      <c r="H80" s="324">
        <f>VLOOKUP(B80,'26MY_ODYSSEY_DATA'!B:AR,11,FALSE)</f>
        <v>444.2</v>
      </c>
      <c r="I80" s="333">
        <f>VLOOKUP(B80,'26MY_ODYSSEY_DATA'!B:AR,12,FALSE)</f>
        <v>0</v>
      </c>
      <c r="J80" s="333" t="str">
        <f>VLOOKUP(B80,'26MY_ODYSSEY_DATA'!B:AR,13,FALSE)</f>
        <v>•</v>
      </c>
      <c r="K80" s="333" t="str">
        <f>VLOOKUP(B80,'26MY_ODYSSEY_DATA'!B:AR,14,FALSE)</f>
        <v>•</v>
      </c>
      <c r="L80" s="333" t="str">
        <f>VLOOKUP(B80,'26MY_ODYSSEY_DATA'!B:AR,15,FALSE)</f>
        <v>•</v>
      </c>
      <c r="M80" s="333" t="str">
        <f>VLOOKUP(B80,'26MY_ODYSSEY_DATA'!B:AR,16,FALSE)</f>
        <v>•</v>
      </c>
      <c r="N80" s="333">
        <f>VLOOKUP($B80,'26MY_ODYSSEY_DATA'!$B:$AR,17,FALSE)</f>
        <v>0</v>
      </c>
      <c r="O80" s="333">
        <f>VLOOKUP($B80,'26MY_ODYSSEY_DATA'!$B:$AR,18,FALSE)</f>
        <v>0</v>
      </c>
      <c r="P80" s="333">
        <f>VLOOKUP($B80,'26MY_ODYSSEY_DATA'!$B:$AR,19,FALSE)</f>
        <v>0</v>
      </c>
      <c r="Q80" s="373"/>
    </row>
    <row r="81" spans="2:17" s="132" customFormat="1" ht="15" customHeight="1">
      <c r="B81" s="175" t="s">
        <v>268</v>
      </c>
      <c r="C81" s="199" t="str">
        <f>VLOOKUP(B81,'26MY_ODYSSEY_DATA'!B:AR,4,FALSE)</f>
        <v>Moulure latérale</v>
      </c>
      <c r="D81" s="188"/>
      <c r="E81" s="188"/>
      <c r="F81" s="188"/>
      <c r="G81" s="188"/>
      <c r="H81" s="188"/>
      <c r="I81" s="188"/>
      <c r="J81" s="188"/>
      <c r="K81" s="188"/>
      <c r="L81" s="188"/>
      <c r="M81" s="188"/>
      <c r="N81" s="188"/>
      <c r="O81" s="188"/>
      <c r="P81" s="188"/>
      <c r="Q81" s="179"/>
    </row>
    <row r="82" spans="2:17" s="132" customFormat="1" ht="15" customHeight="1">
      <c r="B82" s="175" t="s">
        <v>269</v>
      </c>
      <c r="C82" s="191" t="str">
        <f>VLOOKUP(B82,'26MY_ODYSSEY_DATA'!B:AR,4,FALSE)</f>
        <v>Blanc platine nacré (NH-883P)</v>
      </c>
      <c r="D82" s="79" t="str">
        <f>B82</f>
        <v>08P05-THR-191</v>
      </c>
      <c r="E82" s="323">
        <f>VLOOKUP(B82,'26MY_ODYSSEY_DATA'!B:AR,9,FALSE)</f>
        <v>238</v>
      </c>
      <c r="F82" s="323">
        <f>VLOOKUP(B82,'26MY_ODYSSEY_DATA'!B:AR,10,FALSE)</f>
        <v>397</v>
      </c>
      <c r="G82" s="332">
        <f>VLOOKUP(B82,'26MY_ODYSSEY_DATA'!B:AR,7,FALSE)</f>
        <v>0.4</v>
      </c>
      <c r="H82" s="324">
        <f>VLOOKUP(B82,'26MY_ODYSSEY_DATA'!B:AR,11,FALSE)</f>
        <v>469.4</v>
      </c>
      <c r="I82" s="333">
        <f>VLOOKUP(B82,'26MY_ODYSSEY_DATA'!B:AR,12,FALSE)</f>
        <v>0</v>
      </c>
      <c r="J82" s="333" t="str">
        <f>VLOOKUP(B82,'26MY_ODYSSEY_DATA'!B:AR,13,FALSE)</f>
        <v>•</v>
      </c>
      <c r="K82" s="333" t="str">
        <f>VLOOKUP(B82,'26MY_ODYSSEY_DATA'!B:AR,14,FALSE)</f>
        <v>•</v>
      </c>
      <c r="L82" s="333" t="str">
        <f>VLOOKUP(B82,'26MY_ODYSSEY_DATA'!B:AR,15,FALSE)</f>
        <v>•</v>
      </c>
      <c r="M82" s="333" t="str">
        <f>VLOOKUP(B82,'26MY_ODYSSEY_DATA'!B:AR,16,FALSE)</f>
        <v>•</v>
      </c>
      <c r="N82" s="333">
        <f>VLOOKUP($B82,'26MY_ODYSSEY_DATA'!$B:$AR,17,FALSE)</f>
        <v>0</v>
      </c>
      <c r="O82" s="333">
        <f>VLOOKUP($B82,'26MY_ODYSSEY_DATA'!$B:$AR,18,FALSE)</f>
        <v>0</v>
      </c>
      <c r="P82" s="333">
        <f>VLOOKUP($B82,'26MY_ODYSSEY_DATA'!$B:$AR,19,FALSE)</f>
        <v>0</v>
      </c>
      <c r="Q82" s="371" t="str">
        <f>IF(VLOOKUP(B82,'26MY_ODYSSEY_DATA'!B:AR,21,FALSE)="","",VLOOKUP(B82,'26MY_ODYSSEY_DATA'!B:AR,21,FALSE))</f>
        <v/>
      </c>
    </row>
    <row r="83" spans="2:17" s="132" customFormat="1" ht="15" customHeight="1">
      <c r="B83" s="175" t="s">
        <v>541</v>
      </c>
      <c r="C83" s="191" t="str">
        <f>VLOOKUP(B83,'26MY_ODYSSEY_DATA'!B:AR,4,FALSE)</f>
        <v>Noir cristal nacré (NH-731P)</v>
      </c>
      <c r="D83" s="79" t="str">
        <f t="shared" ref="D83:D86" si="14">B83</f>
        <v>08P05-THR-121</v>
      </c>
      <c r="E83" s="323">
        <f>VLOOKUP(B83,'26MY_ODYSSEY_DATA'!B:AR,9,FALSE)</f>
        <v>238</v>
      </c>
      <c r="F83" s="323">
        <f>VLOOKUP(B83,'26MY_ODYSSEY_DATA'!B:AR,10,FALSE)</f>
        <v>397</v>
      </c>
      <c r="G83" s="332">
        <f>VLOOKUP(B83,'26MY_ODYSSEY_DATA'!B:AR,7,FALSE)</f>
        <v>0.4</v>
      </c>
      <c r="H83" s="324">
        <f>VLOOKUP(B83,'26MY_ODYSSEY_DATA'!B:AR,11,FALSE)</f>
        <v>469.4</v>
      </c>
      <c r="I83" s="333">
        <f>VLOOKUP(B83,'26MY_ODYSSEY_DATA'!B:AR,12,FALSE)</f>
        <v>0</v>
      </c>
      <c r="J83" s="333" t="str">
        <f>VLOOKUP(B83,'26MY_ODYSSEY_DATA'!B:AR,13,FALSE)</f>
        <v>•</v>
      </c>
      <c r="K83" s="333" t="str">
        <f>VLOOKUP(B83,'26MY_ODYSSEY_DATA'!B:AR,14,FALSE)</f>
        <v>N/A</v>
      </c>
      <c r="L83" s="333" t="str">
        <f>VLOOKUP(B83,'26MY_ODYSSEY_DATA'!B:AR,15,FALSE)</f>
        <v>N/A</v>
      </c>
      <c r="M83" s="333" t="str">
        <f>VLOOKUP(B83,'26MY_ODYSSEY_DATA'!B:AR,16,FALSE)</f>
        <v>•</v>
      </c>
      <c r="N83" s="333">
        <f>VLOOKUP($B83,'26MY_ODYSSEY_DATA'!$B:$AR,17,FALSE)</f>
        <v>0</v>
      </c>
      <c r="O83" s="333">
        <f>VLOOKUP($B83,'26MY_ODYSSEY_DATA'!$B:$AR,18,FALSE)</f>
        <v>0</v>
      </c>
      <c r="P83" s="333">
        <f>VLOOKUP($B83,'26MY_ODYSSEY_DATA'!$B:$AR,19,FALSE)</f>
        <v>0</v>
      </c>
      <c r="Q83" s="372"/>
    </row>
    <row r="84" spans="2:17" s="132" customFormat="1" ht="15" customHeight="1">
      <c r="B84" s="175" t="s">
        <v>279</v>
      </c>
      <c r="C84" s="191" t="str">
        <f>VLOOKUP(B84,'26MY_ODYSSEY_DATA'!B:AR,4,FALSE)</f>
        <v>Acier moderne métallisé (NH-797M)</v>
      </c>
      <c r="D84" s="79" t="str">
        <f t="shared" si="14"/>
        <v>08P05-THR-131</v>
      </c>
      <c r="E84" s="323">
        <f>VLOOKUP(B84,'26MY_ODYSSEY_DATA'!B:AR,9,FALSE)</f>
        <v>238</v>
      </c>
      <c r="F84" s="323">
        <f>VLOOKUP(B84,'26MY_ODYSSEY_DATA'!B:AR,10,FALSE)</f>
        <v>397</v>
      </c>
      <c r="G84" s="332">
        <f>VLOOKUP(B84,'26MY_ODYSSEY_DATA'!B:AR,7,FALSE)</f>
        <v>0.4</v>
      </c>
      <c r="H84" s="324">
        <f>VLOOKUP(B84,'26MY_ODYSSEY_DATA'!B:AR,11,FALSE)</f>
        <v>469.4</v>
      </c>
      <c r="I84" s="333">
        <f>VLOOKUP(B84,'26MY_ODYSSEY_DATA'!B:AR,12,FALSE)</f>
        <v>0</v>
      </c>
      <c r="J84" s="333" t="str">
        <f>VLOOKUP(B84,'26MY_ODYSSEY_DATA'!B:AR,13,FALSE)</f>
        <v>N/A</v>
      </c>
      <c r="K84" s="333" t="str">
        <f>VLOOKUP(B84,'26MY_ODYSSEY_DATA'!B:AR,14,FALSE)</f>
        <v>•</v>
      </c>
      <c r="L84" s="333" t="str">
        <f>VLOOKUP(B84,'26MY_ODYSSEY_DATA'!B:AR,15,FALSE)</f>
        <v>•</v>
      </c>
      <c r="M84" s="333" t="str">
        <f>VLOOKUP(B84,'26MY_ODYSSEY_DATA'!B:AR,16,FALSE)</f>
        <v>N/A</v>
      </c>
      <c r="N84" s="333">
        <f>VLOOKUP($B84,'26MY_ODYSSEY_DATA'!$B:$AR,17,FALSE)</f>
        <v>0</v>
      </c>
      <c r="O84" s="333">
        <f>VLOOKUP($B84,'26MY_ODYSSEY_DATA'!$B:$AR,18,FALSE)</f>
        <v>0</v>
      </c>
      <c r="P84" s="333">
        <f>VLOOKUP($B84,'26MY_ODYSSEY_DATA'!$B:$AR,19,FALSE)</f>
        <v>0</v>
      </c>
      <c r="Q84" s="372"/>
    </row>
    <row r="85" spans="2:17" s="132" customFormat="1" ht="15" customHeight="1">
      <c r="B85" s="175" t="s">
        <v>270</v>
      </c>
      <c r="C85" s="191" t="str">
        <f>VLOOKUP(B85,'26MY_ODYSSEY_DATA'!B:AR,4,FALSE)</f>
        <v>Gris sonique nacré (NH-877P)</v>
      </c>
      <c r="D85" s="79" t="str">
        <f t="shared" si="14"/>
        <v>08P05-THR-1B1</v>
      </c>
      <c r="E85" s="323">
        <f>VLOOKUP(B85,'26MY_ODYSSEY_DATA'!B:AR,9,FALSE)</f>
        <v>238</v>
      </c>
      <c r="F85" s="323">
        <f>VLOOKUP(B85,'26MY_ODYSSEY_DATA'!B:AR,10,FALSE)</f>
        <v>397</v>
      </c>
      <c r="G85" s="332">
        <f>VLOOKUP(B85,'26MY_ODYSSEY_DATA'!B:AR,7,FALSE)</f>
        <v>0.4</v>
      </c>
      <c r="H85" s="324">
        <f>VLOOKUP(B85,'26MY_ODYSSEY_DATA'!B:AR,11,FALSE)</f>
        <v>469.4</v>
      </c>
      <c r="I85" s="333">
        <f>VLOOKUP(B85,'26MY_ODYSSEY_DATA'!B:AR,12,FALSE)</f>
        <v>0</v>
      </c>
      <c r="J85" s="333" t="str">
        <f>VLOOKUP(B85,'26MY_ODYSSEY_DATA'!B:AR,13,FALSE)</f>
        <v>N/A</v>
      </c>
      <c r="K85" s="333" t="str">
        <f>VLOOKUP(B85,'26MY_ODYSSEY_DATA'!B:AR,14,FALSE)</f>
        <v>N/A</v>
      </c>
      <c r="L85" s="333" t="str">
        <f>VLOOKUP(B85,'26MY_ODYSSEY_DATA'!B:AR,15,FALSE)</f>
        <v>•</v>
      </c>
      <c r="M85" s="333" t="str">
        <f>VLOOKUP(B85,'26MY_ODYSSEY_DATA'!B:AR,16,FALSE)</f>
        <v>•</v>
      </c>
      <c r="N85" s="333">
        <f>VLOOKUP($B85,'26MY_ODYSSEY_DATA'!$B:$AR,17,FALSE)</f>
        <v>0</v>
      </c>
      <c r="O85" s="333">
        <f>VLOOKUP($B85,'26MY_ODYSSEY_DATA'!$B:$AR,18,FALSE)</f>
        <v>0</v>
      </c>
      <c r="P85" s="333">
        <f>VLOOKUP($B85,'26MY_ODYSSEY_DATA'!$B:$AR,19,FALSE)</f>
        <v>0</v>
      </c>
      <c r="Q85" s="372"/>
    </row>
    <row r="86" spans="2:17" s="132" customFormat="1" ht="15" customHeight="1">
      <c r="B86" s="175" t="s">
        <v>280</v>
      </c>
      <c r="C86" s="191" t="str">
        <f>VLOOKUP(B86,'26MY_ODYSSEY_DATA'!B:AR,4,FALSE)</f>
        <v>Radiant rouge métallisé II (R-580M)</v>
      </c>
      <c r="D86" s="79" t="str">
        <f t="shared" si="14"/>
        <v>08P05-THR-1A1</v>
      </c>
      <c r="E86" s="323">
        <f>VLOOKUP(B86,'26MY_ODYSSEY_DATA'!B:AR,9,FALSE)</f>
        <v>238</v>
      </c>
      <c r="F86" s="323">
        <f>VLOOKUP(B86,'26MY_ODYSSEY_DATA'!B:AR,10,FALSE)</f>
        <v>397</v>
      </c>
      <c r="G86" s="332">
        <f>VLOOKUP(B86,'26MY_ODYSSEY_DATA'!B:AR,7,FALSE)</f>
        <v>0.4</v>
      </c>
      <c r="H86" s="324">
        <f>VLOOKUP(B86,'26MY_ODYSSEY_DATA'!B:AR,11,FALSE)</f>
        <v>469.4</v>
      </c>
      <c r="I86" s="333">
        <f>VLOOKUP(B86,'26MY_ODYSSEY_DATA'!B:AR,12,FALSE)</f>
        <v>0</v>
      </c>
      <c r="J86" s="333" t="str">
        <f>VLOOKUP(B86,'26MY_ODYSSEY_DATA'!B:AR,13,FALSE)</f>
        <v>N/A</v>
      </c>
      <c r="K86" s="333" t="str">
        <f>VLOOKUP(B86,'26MY_ODYSSEY_DATA'!B:AR,14,FALSE)</f>
        <v>N/A</v>
      </c>
      <c r="L86" s="333" t="str">
        <f>VLOOKUP(B86,'26MY_ODYSSEY_DATA'!B:AR,15,FALSE)</f>
        <v>N/A</v>
      </c>
      <c r="M86" s="333" t="str">
        <f>VLOOKUP(B86,'26MY_ODYSSEY_DATA'!B:AR,16,FALSE)</f>
        <v>•</v>
      </c>
      <c r="N86" s="333">
        <f>VLOOKUP($B86,'26MY_ODYSSEY_DATA'!$B:$AR,17,FALSE)</f>
        <v>0</v>
      </c>
      <c r="O86" s="333">
        <f>VLOOKUP($B86,'26MY_ODYSSEY_DATA'!$B:$AR,18,FALSE)</f>
        <v>0</v>
      </c>
      <c r="P86" s="333">
        <f>VLOOKUP($B86,'26MY_ODYSSEY_DATA'!$B:$AR,19,FALSE)</f>
        <v>0</v>
      </c>
      <c r="Q86" s="372"/>
    </row>
    <row r="87" spans="2:17" s="132" customFormat="1" ht="15" customHeight="1">
      <c r="B87" s="175" t="s">
        <v>281</v>
      </c>
      <c r="C87" s="191" t="str">
        <f>VLOOKUP(B87,'26MY_ODYSSEY_DATA'!B:AR,4,FALSE)</f>
        <v>Refl et solaire argent métallisé (NH-932M)</v>
      </c>
      <c r="D87" s="79" t="str">
        <f t="shared" ref="D87" si="15">B87</f>
        <v>08P05-THR-1C1</v>
      </c>
      <c r="E87" s="323">
        <f>VLOOKUP(B87,'26MY_ODYSSEY_DATA'!B:AR,9,FALSE)</f>
        <v>238</v>
      </c>
      <c r="F87" s="323">
        <f>VLOOKUP(B87,'26MY_ODYSSEY_DATA'!B:AR,10,FALSE)</f>
        <v>397</v>
      </c>
      <c r="G87" s="332">
        <f>VLOOKUP(B87,'26MY_ODYSSEY_DATA'!B:AR,7,FALSE)</f>
        <v>0.4</v>
      </c>
      <c r="H87" s="324">
        <f>VLOOKUP(B87,'26MY_ODYSSEY_DATA'!B:AR,11,FALSE)</f>
        <v>469.4</v>
      </c>
      <c r="I87" s="333">
        <f>VLOOKUP(B87,'26MY_ODYSSEY_DATA'!B:AR,12,FALSE)</f>
        <v>0</v>
      </c>
      <c r="J87" s="333" t="str">
        <f>VLOOKUP(B87,'26MY_ODYSSEY_DATA'!B:AR,13,FALSE)</f>
        <v>•</v>
      </c>
      <c r="K87" s="333" t="str">
        <f>VLOOKUP(B87,'26MY_ODYSSEY_DATA'!B:AR,14,FALSE)</f>
        <v>•</v>
      </c>
      <c r="L87" s="333" t="str">
        <f>VLOOKUP(B87,'26MY_ODYSSEY_DATA'!B:AR,15,FALSE)</f>
        <v>•</v>
      </c>
      <c r="M87" s="333" t="str">
        <f>VLOOKUP(B87,'26MY_ODYSSEY_DATA'!B:AR,16,FALSE)</f>
        <v>N/A</v>
      </c>
      <c r="N87" s="333">
        <f>VLOOKUP($B87,'26MY_ODYSSEY_DATA'!$B:$AR,17,FALSE)</f>
        <v>0</v>
      </c>
      <c r="O87" s="333">
        <f>VLOOKUP($B87,'26MY_ODYSSEY_DATA'!$B:$AR,18,FALSE)</f>
        <v>0</v>
      </c>
      <c r="P87" s="333">
        <f>VLOOKUP($B87,'26MY_ODYSSEY_DATA'!$B:$AR,19,FALSE)</f>
        <v>0</v>
      </c>
      <c r="Q87" s="373"/>
    </row>
    <row r="88" spans="2:17" s="132" customFormat="1" ht="15" customHeight="1">
      <c r="B88" s="175" t="s">
        <v>311</v>
      </c>
      <c r="C88" s="199" t="str">
        <f>VLOOKUP(B88,'26MY_ODYSSEY_DATA'!B:AR,4,FALSE)</f>
        <v>Protecteurs de bordure de porte</v>
      </c>
      <c r="D88" s="188"/>
      <c r="E88" s="188"/>
      <c r="F88" s="188"/>
      <c r="G88" s="188"/>
      <c r="H88" s="188"/>
      <c r="I88" s="188"/>
      <c r="J88" s="188"/>
      <c r="K88" s="188"/>
      <c r="L88" s="188"/>
      <c r="M88" s="188"/>
      <c r="N88" s="188"/>
      <c r="O88" s="188"/>
      <c r="P88" s="188"/>
      <c r="Q88" s="179"/>
    </row>
    <row r="89" spans="2:17" s="132" customFormat="1" ht="15" customHeight="1">
      <c r="B89" s="175" t="s">
        <v>283</v>
      </c>
      <c r="C89" s="191" t="str">
        <f>VLOOKUP(B89,'26MY_ODYSSEY_DATA'!B:AR,4,FALSE)</f>
        <v>Blanc platine nacré (NH-883P)</v>
      </c>
      <c r="D89" s="79" t="str">
        <f>B89</f>
        <v>08P20-THR-190A</v>
      </c>
      <c r="E89" s="323">
        <f>VLOOKUP(B89,'26MY_ODYSSEY_DATA'!B:AR,9,FALSE)</f>
        <v>90</v>
      </c>
      <c r="F89" s="323">
        <f>VLOOKUP(B89,'26MY_ODYSSEY_DATA'!B:AR,10,FALSE)</f>
        <v>150</v>
      </c>
      <c r="G89" s="332">
        <f>VLOOKUP(B89,'26MY_ODYSSEY_DATA'!B:AR,7,FALSE)</f>
        <v>0.3</v>
      </c>
      <c r="H89" s="324">
        <f>VLOOKUP(B89,'26MY_ODYSSEY_DATA'!B:AR,11,FALSE)</f>
        <v>204.3</v>
      </c>
      <c r="I89" s="333">
        <f>VLOOKUP(B89,'26MY_ODYSSEY_DATA'!B:AR,12,FALSE)</f>
        <v>0</v>
      </c>
      <c r="J89" s="333" t="str">
        <f>VLOOKUP(B89,'26MY_ODYSSEY_DATA'!B:AR,13,FALSE)</f>
        <v>•</v>
      </c>
      <c r="K89" s="333" t="str">
        <f>VLOOKUP(B89,'26MY_ODYSSEY_DATA'!B:AR,14,FALSE)</f>
        <v>•</v>
      </c>
      <c r="L89" s="333" t="str">
        <f>VLOOKUP(B89,'26MY_ODYSSEY_DATA'!B:AR,15,FALSE)</f>
        <v>•</v>
      </c>
      <c r="M89" s="333" t="str">
        <f>VLOOKUP(B89,'26MY_ODYSSEY_DATA'!B:AR,16,FALSE)</f>
        <v>•</v>
      </c>
      <c r="N89" s="333">
        <f>VLOOKUP($B89,'26MY_ODYSSEY_DATA'!$B:$AR,17,FALSE)</f>
        <v>0</v>
      </c>
      <c r="O89" s="333">
        <f>VLOOKUP($B89,'26MY_ODYSSEY_DATA'!$B:$AR,18,FALSE)</f>
        <v>0</v>
      </c>
      <c r="P89" s="333">
        <f>VLOOKUP($B89,'26MY_ODYSSEY_DATA'!$B:$AR,19,FALSE)</f>
        <v>0</v>
      </c>
      <c r="Q89" s="371" t="str">
        <f>IF(VLOOKUP(B89,'26MY_ODYSSEY_DATA'!B:AR,21,FALSE)="","",VLOOKUP(B89,'26MY_ODYSSEY_DATA'!B:AR,21,FALSE))</f>
        <v/>
      </c>
    </row>
    <row r="90" spans="2:17" s="132" customFormat="1" ht="15" customHeight="1">
      <c r="B90" s="175" t="s">
        <v>282</v>
      </c>
      <c r="C90" s="191" t="str">
        <f>VLOOKUP(B90,'26MY_ODYSSEY_DATA'!B:AR,4,FALSE)</f>
        <v>Noir cristal nacré (NH-731P)</v>
      </c>
      <c r="D90" s="79" t="str">
        <f t="shared" ref="D90:D94" si="16">B90</f>
        <v>08P20-THR-120A</v>
      </c>
      <c r="E90" s="323">
        <f>VLOOKUP(B90,'26MY_ODYSSEY_DATA'!B:AR,9,FALSE)</f>
        <v>90</v>
      </c>
      <c r="F90" s="323">
        <f>VLOOKUP(B90,'26MY_ODYSSEY_DATA'!B:AR,10,FALSE)</f>
        <v>150</v>
      </c>
      <c r="G90" s="332">
        <f>VLOOKUP(B90,'26MY_ODYSSEY_DATA'!B:AR,7,FALSE)</f>
        <v>0.3</v>
      </c>
      <c r="H90" s="324">
        <f>VLOOKUP(B90,'26MY_ODYSSEY_DATA'!B:AR,11,FALSE)</f>
        <v>204.3</v>
      </c>
      <c r="I90" s="333">
        <f>VLOOKUP(B90,'26MY_ODYSSEY_DATA'!B:AR,12,FALSE)</f>
        <v>0</v>
      </c>
      <c r="J90" s="333" t="str">
        <f>VLOOKUP(B90,'26MY_ODYSSEY_DATA'!B:AR,13,FALSE)</f>
        <v>•</v>
      </c>
      <c r="K90" s="333" t="str">
        <f>VLOOKUP(B90,'26MY_ODYSSEY_DATA'!B:AR,14,FALSE)</f>
        <v>N/A</v>
      </c>
      <c r="L90" s="333" t="str">
        <f>VLOOKUP(B90,'26MY_ODYSSEY_DATA'!B:AR,15,FALSE)</f>
        <v>N/A</v>
      </c>
      <c r="M90" s="333" t="str">
        <f>VLOOKUP(B90,'26MY_ODYSSEY_DATA'!B:AR,16,FALSE)</f>
        <v>•</v>
      </c>
      <c r="N90" s="333">
        <f>VLOOKUP($B90,'26MY_ODYSSEY_DATA'!$B:$AR,17,FALSE)</f>
        <v>0</v>
      </c>
      <c r="O90" s="333">
        <f>VLOOKUP($B90,'26MY_ODYSSEY_DATA'!$B:$AR,18,FALSE)</f>
        <v>0</v>
      </c>
      <c r="P90" s="333">
        <f>VLOOKUP($B90,'26MY_ODYSSEY_DATA'!$B:$AR,19,FALSE)</f>
        <v>0</v>
      </c>
      <c r="Q90" s="372"/>
    </row>
    <row r="91" spans="2:17" s="132" customFormat="1" ht="15" customHeight="1">
      <c r="B91" s="175" t="s">
        <v>284</v>
      </c>
      <c r="C91" s="191" t="str">
        <f>VLOOKUP(B91,'26MY_ODYSSEY_DATA'!B:AR,4,FALSE)</f>
        <v>Acier moderne métallisé (NH-797M)</v>
      </c>
      <c r="D91" s="79" t="str">
        <f t="shared" si="16"/>
        <v>08P20-THR-130A</v>
      </c>
      <c r="E91" s="323">
        <f>VLOOKUP(B91,'26MY_ODYSSEY_DATA'!B:AR,9,FALSE)</f>
        <v>90</v>
      </c>
      <c r="F91" s="323">
        <f>VLOOKUP(B91,'26MY_ODYSSEY_DATA'!B:AR,10,FALSE)</f>
        <v>150</v>
      </c>
      <c r="G91" s="332">
        <f>VLOOKUP(B91,'26MY_ODYSSEY_DATA'!B:AR,7,FALSE)</f>
        <v>0.3</v>
      </c>
      <c r="H91" s="324">
        <f>VLOOKUP(B91,'26MY_ODYSSEY_DATA'!B:AR,11,FALSE)</f>
        <v>204.3</v>
      </c>
      <c r="I91" s="333">
        <f>VLOOKUP(B91,'26MY_ODYSSEY_DATA'!B:AR,12,FALSE)</f>
        <v>0</v>
      </c>
      <c r="J91" s="333" t="str">
        <f>VLOOKUP(B91,'26MY_ODYSSEY_DATA'!B:AR,13,FALSE)</f>
        <v>N/A</v>
      </c>
      <c r="K91" s="333" t="str">
        <f>VLOOKUP(B91,'26MY_ODYSSEY_DATA'!B:AR,14,FALSE)</f>
        <v>•</v>
      </c>
      <c r="L91" s="333" t="str">
        <f>VLOOKUP(B91,'26MY_ODYSSEY_DATA'!B:AR,15,FALSE)</f>
        <v>•</v>
      </c>
      <c r="M91" s="333" t="str">
        <f>VLOOKUP(B91,'26MY_ODYSSEY_DATA'!B:AR,16,FALSE)</f>
        <v>N/A</v>
      </c>
      <c r="N91" s="333">
        <f>VLOOKUP($B91,'26MY_ODYSSEY_DATA'!$B:$AR,17,FALSE)</f>
        <v>0</v>
      </c>
      <c r="O91" s="333">
        <f>VLOOKUP($B91,'26MY_ODYSSEY_DATA'!$B:$AR,18,FALSE)</f>
        <v>0</v>
      </c>
      <c r="P91" s="333">
        <f>VLOOKUP($B91,'26MY_ODYSSEY_DATA'!$B:$AR,19,FALSE)</f>
        <v>0</v>
      </c>
      <c r="Q91" s="372"/>
    </row>
    <row r="92" spans="2:17" s="132" customFormat="1" ht="15" customHeight="1">
      <c r="B92" s="175" t="s">
        <v>285</v>
      </c>
      <c r="C92" s="191" t="str">
        <f>VLOOKUP(B92,'26MY_ODYSSEY_DATA'!B:AR,4,FALSE)</f>
        <v>Gris sonique nacré (NH-877P)</v>
      </c>
      <c r="D92" s="79" t="str">
        <f t="shared" si="16"/>
        <v>08P20-THR-1B0A</v>
      </c>
      <c r="E92" s="323">
        <f>VLOOKUP(B92,'26MY_ODYSSEY_DATA'!B:AR,9,FALSE)</f>
        <v>90</v>
      </c>
      <c r="F92" s="323">
        <f>VLOOKUP(B92,'26MY_ODYSSEY_DATA'!B:AR,10,FALSE)</f>
        <v>150</v>
      </c>
      <c r="G92" s="332">
        <f>VLOOKUP(B92,'26MY_ODYSSEY_DATA'!B:AR,7,FALSE)</f>
        <v>0.3</v>
      </c>
      <c r="H92" s="324">
        <f>VLOOKUP(B92,'26MY_ODYSSEY_DATA'!B:AR,11,FALSE)</f>
        <v>204.3</v>
      </c>
      <c r="I92" s="333">
        <f>VLOOKUP(B92,'26MY_ODYSSEY_DATA'!B:AR,12,FALSE)</f>
        <v>0</v>
      </c>
      <c r="J92" s="333" t="str">
        <f>VLOOKUP(B92,'26MY_ODYSSEY_DATA'!B:AR,13,FALSE)</f>
        <v>N/A</v>
      </c>
      <c r="K92" s="333" t="str">
        <f>VLOOKUP(B92,'26MY_ODYSSEY_DATA'!B:AR,14,FALSE)</f>
        <v>N/A</v>
      </c>
      <c r="L92" s="333" t="str">
        <f>VLOOKUP(B92,'26MY_ODYSSEY_DATA'!B:AR,15,FALSE)</f>
        <v>•</v>
      </c>
      <c r="M92" s="333" t="str">
        <f>VLOOKUP(B92,'26MY_ODYSSEY_DATA'!B:AR,16,FALSE)</f>
        <v>•</v>
      </c>
      <c r="N92" s="333">
        <f>VLOOKUP($B92,'26MY_ODYSSEY_DATA'!$B:$AR,17,FALSE)</f>
        <v>0</v>
      </c>
      <c r="O92" s="333">
        <f>VLOOKUP($B92,'26MY_ODYSSEY_DATA'!$B:$AR,18,FALSE)</f>
        <v>0</v>
      </c>
      <c r="P92" s="333">
        <f>VLOOKUP($B92,'26MY_ODYSSEY_DATA'!$B:$AR,19,FALSE)</f>
        <v>0</v>
      </c>
      <c r="Q92" s="372"/>
    </row>
    <row r="93" spans="2:17" ht="14.4">
      <c r="B93" s="172" t="s">
        <v>286</v>
      </c>
      <c r="C93" s="191" t="str">
        <f>VLOOKUP(B93,'26MY_ODYSSEY_DATA'!B:AR,4,FALSE)</f>
        <v>Radiant rouge métallisé II (R-580M)</v>
      </c>
      <c r="D93" s="79" t="str">
        <f t="shared" si="16"/>
        <v>08P20-THR-1A0A</v>
      </c>
      <c r="E93" s="323">
        <f>VLOOKUP(B93,'26MY_ODYSSEY_DATA'!B:AR,9,FALSE)</f>
        <v>79</v>
      </c>
      <c r="F93" s="323">
        <f>VLOOKUP(B93,'26MY_ODYSSEY_DATA'!B:AR,10,FALSE)</f>
        <v>145</v>
      </c>
      <c r="G93" s="332">
        <f>VLOOKUP(B93,'26MY_ODYSSEY_DATA'!B:AR,7,FALSE)</f>
        <v>0.3</v>
      </c>
      <c r="H93" s="324">
        <f>VLOOKUP(B93,'26MY_ODYSSEY_DATA'!B:AR,11,FALSE)</f>
        <v>199.3</v>
      </c>
      <c r="I93" s="333">
        <f>VLOOKUP(B93,'26MY_ODYSSEY_DATA'!B:AR,12,FALSE)</f>
        <v>0</v>
      </c>
      <c r="J93" s="333" t="str">
        <f>VLOOKUP(B93,'26MY_ODYSSEY_DATA'!B:AR,13,FALSE)</f>
        <v>N/A</v>
      </c>
      <c r="K93" s="333" t="str">
        <f>VLOOKUP(B93,'26MY_ODYSSEY_DATA'!B:AR,14,FALSE)</f>
        <v>N/A</v>
      </c>
      <c r="L93" s="333" t="str">
        <f>VLOOKUP(B93,'26MY_ODYSSEY_DATA'!B:AR,15,FALSE)</f>
        <v>N/A</v>
      </c>
      <c r="M93" s="333" t="str">
        <f>VLOOKUP(B93,'26MY_ODYSSEY_DATA'!B:AR,16,FALSE)</f>
        <v>•</v>
      </c>
      <c r="N93" s="333">
        <f>VLOOKUP($B93,'26MY_ODYSSEY_DATA'!$B:$AR,17,FALSE)</f>
        <v>0</v>
      </c>
      <c r="O93" s="333">
        <f>VLOOKUP($B93,'26MY_ODYSSEY_DATA'!$B:$AR,18,FALSE)</f>
        <v>0</v>
      </c>
      <c r="P93" s="333">
        <f>VLOOKUP($B93,'26MY_ODYSSEY_DATA'!$B:$AR,19,FALSE)</f>
        <v>0</v>
      </c>
      <c r="Q93" s="372"/>
    </row>
    <row r="94" spans="2:17" s="132" customFormat="1" ht="15" customHeight="1">
      <c r="B94" s="172" t="s">
        <v>287</v>
      </c>
      <c r="C94" s="191" t="str">
        <f>VLOOKUP(B94,'26MY_ODYSSEY_DATA'!B:AR,4,FALSE)</f>
        <v>Refl et solaire argent métallisé (NH-932M)</v>
      </c>
      <c r="D94" s="79" t="str">
        <f t="shared" si="16"/>
        <v>08P20-THR-1C0A</v>
      </c>
      <c r="E94" s="323">
        <f>VLOOKUP(B94,'26MY_ODYSSEY_DATA'!B:AR,9,FALSE)</f>
        <v>90</v>
      </c>
      <c r="F94" s="323">
        <f>VLOOKUP(B94,'26MY_ODYSSEY_DATA'!B:AR,10,FALSE)</f>
        <v>150</v>
      </c>
      <c r="G94" s="332">
        <f>VLOOKUP(B94,'26MY_ODYSSEY_DATA'!B:AR,7,FALSE)</f>
        <v>0.3</v>
      </c>
      <c r="H94" s="324">
        <f>VLOOKUP(B94,'26MY_ODYSSEY_DATA'!B:AR,11,FALSE)</f>
        <v>204.3</v>
      </c>
      <c r="I94" s="333">
        <f>VLOOKUP(B94,'26MY_ODYSSEY_DATA'!B:AR,12,FALSE)</f>
        <v>0</v>
      </c>
      <c r="J94" s="333" t="str">
        <f>VLOOKUP(B94,'26MY_ODYSSEY_DATA'!B:AR,13,FALSE)</f>
        <v>•</v>
      </c>
      <c r="K94" s="333" t="str">
        <f>VLOOKUP(B94,'26MY_ODYSSEY_DATA'!B:AR,14,FALSE)</f>
        <v>•</v>
      </c>
      <c r="L94" s="333" t="str">
        <f>VLOOKUP(B94,'26MY_ODYSSEY_DATA'!B:AR,15,FALSE)</f>
        <v>•</v>
      </c>
      <c r="M94" s="333" t="str">
        <f>VLOOKUP(B94,'26MY_ODYSSEY_DATA'!B:AR,16,FALSE)</f>
        <v>N/A</v>
      </c>
      <c r="N94" s="333">
        <f>VLOOKUP($B94,'26MY_ODYSSEY_DATA'!$B:$AR,17,FALSE)</f>
        <v>0</v>
      </c>
      <c r="O94" s="333">
        <f>VLOOKUP($B94,'26MY_ODYSSEY_DATA'!$B:$AR,18,FALSE)</f>
        <v>0</v>
      </c>
      <c r="P94" s="333">
        <f>VLOOKUP($B94,'26MY_ODYSSEY_DATA'!$B:$AR,19,FALSE)</f>
        <v>0</v>
      </c>
      <c r="Q94" s="373"/>
    </row>
    <row r="95" spans="2:17" ht="14.4" hidden="1">
      <c r="B95" s="172" t="s">
        <v>307</v>
      </c>
      <c r="C95" s="191" t="str">
        <f>VLOOKUP(B95,'26MY_ODYSSEY_DATA'!B:AR,4,FALSE)</f>
        <v>Radiant rouge métallisé II (R-580M)</v>
      </c>
      <c r="D95" s="79" t="str">
        <f t="shared" ref="D95" si="17">B95</f>
        <v>08V67-THR-1A0K</v>
      </c>
      <c r="E95" s="227">
        <f>VLOOKUP(B95,'26MY_ODYSSEY_DATA'!B:AR,24,FALSE)</f>
        <v>0</v>
      </c>
      <c r="F95" s="227">
        <f>VLOOKUP(B95,'26MY_ODYSSEY_DATA'!B:AR,25,FALSE)</f>
        <v>0</v>
      </c>
      <c r="G95" s="197">
        <f>VLOOKUP(B95,'26MY_ODYSSEY_DATA'!B:AR,22,FALSE)</f>
        <v>0</v>
      </c>
      <c r="H95" s="228">
        <f>VLOOKUP(B95,'26MY_ODYSSEY_DATA'!B:AR,26,FALSE)</f>
        <v>0</v>
      </c>
      <c r="I95" s="178"/>
      <c r="J95" s="178">
        <f>VLOOKUP(B95,'26MY_ODYSSEY_DATA'!B:AR,28,FALSE)</f>
        <v>0</v>
      </c>
      <c r="K95" s="178">
        <f>VLOOKUP(B95,'26MY_ODYSSEY_DATA'!B:AR,29,FALSE)</f>
        <v>0</v>
      </c>
      <c r="L95" s="178">
        <f>VLOOKUP(B95,'26MY_ODYSSEY_DATA'!B:AR,30,FALSE)</f>
        <v>0</v>
      </c>
      <c r="M95" s="178">
        <f>VLOOKUP(B95,'26MY_ODYSSEY_DATA'!B:AR,31,FALSE)</f>
        <v>0</v>
      </c>
      <c r="N95" s="178" t="e">
        <f>VLOOKUP(C95,'26MY_ODYSSEY_DATA'!C:AS,31,FALSE)</f>
        <v>#N/A</v>
      </c>
      <c r="O95" s="178" t="e">
        <f>VLOOKUP(C95,'26MY_ODYSSEY_DATA'!C:AS,31,FALSE)</f>
        <v>#N/A</v>
      </c>
      <c r="P95" s="178"/>
      <c r="Q95" s="334"/>
    </row>
    <row r="96" spans="2:17" s="132" customFormat="1" ht="15" customHeight="1">
      <c r="B96" s="175"/>
      <c r="C96" s="127"/>
      <c r="D96" s="127"/>
      <c r="E96" s="137"/>
      <c r="F96" s="137"/>
      <c r="G96" s="192"/>
      <c r="H96" s="137"/>
      <c r="I96" s="137"/>
      <c r="J96" s="137"/>
      <c r="K96" s="137"/>
      <c r="L96" s="137"/>
      <c r="M96" s="137"/>
      <c r="N96" s="137"/>
      <c r="O96" s="137"/>
      <c r="P96" s="137"/>
      <c r="Q96" s="339"/>
    </row>
    <row r="97" spans="2:17" s="130" customFormat="1" ht="18">
      <c r="B97" s="202"/>
      <c r="C97" s="149" t="s">
        <v>89</v>
      </c>
      <c r="D97" s="149"/>
      <c r="E97" s="193"/>
      <c r="F97" s="193"/>
      <c r="G97" s="193"/>
      <c r="H97" s="193"/>
      <c r="I97" s="193"/>
      <c r="J97" s="193"/>
      <c r="K97" s="193"/>
      <c r="L97" s="193"/>
      <c r="M97" s="193"/>
      <c r="N97" s="193"/>
      <c r="O97" s="193"/>
      <c r="P97" s="193"/>
      <c r="Q97" s="193"/>
    </row>
    <row r="98" spans="2:17" s="131" customFormat="1" ht="15" customHeight="1">
      <c r="B98" s="176"/>
      <c r="C98" s="374" t="s">
        <v>78</v>
      </c>
      <c r="D98" s="374" t="s">
        <v>79</v>
      </c>
      <c r="E98" s="374" t="s">
        <v>80</v>
      </c>
      <c r="F98" s="374" t="s">
        <v>81</v>
      </c>
      <c r="G98" s="374" t="s">
        <v>82</v>
      </c>
      <c r="H98" s="381" t="s">
        <v>83</v>
      </c>
      <c r="I98" s="374" t="s">
        <v>25</v>
      </c>
      <c r="J98" s="374"/>
      <c r="K98" s="374"/>
      <c r="L98" s="374"/>
      <c r="M98" s="374"/>
      <c r="N98" s="374"/>
      <c r="O98" s="374"/>
      <c r="P98" s="374"/>
      <c r="Q98" s="374" t="s">
        <v>84</v>
      </c>
    </row>
    <row r="99" spans="2:17" s="131" customFormat="1" ht="28.8">
      <c r="B99" s="176"/>
      <c r="C99" s="374"/>
      <c r="D99" s="374"/>
      <c r="E99" s="374"/>
      <c r="F99" s="374"/>
      <c r="G99" s="374"/>
      <c r="H99" s="381"/>
      <c r="I99" s="196">
        <f>'26MY_ODYSSEY_DATA'!M$6</f>
        <v>0</v>
      </c>
      <c r="J99" s="196" t="str">
        <f>'26MY_ODYSSEY_DATA'!N$6</f>
        <v>Sport</v>
      </c>
      <c r="K99" s="196" t="str">
        <f>'26MY_ODYSSEY_DATA'!O$6</f>
        <v>Sport-L</v>
      </c>
      <c r="L99" s="196" t="str">
        <f>'26MY_ODYSSEY_DATA'!P$6</f>
        <v>Touring</v>
      </c>
      <c r="M99" s="196" t="str">
        <f>'26MY_ODYSSEY_DATA'!Q$6</f>
        <v>Black Edition</v>
      </c>
      <c r="N99" s="196">
        <f>'26MY_ODYSSEY_DATA'!R$6</f>
        <v>0</v>
      </c>
      <c r="O99" s="196">
        <f>'26MY_ODYSSEY_DATA'!S$6</f>
        <v>0</v>
      </c>
      <c r="P99" s="196">
        <f>'26MY_ODYSSEY_DATA'!T$6</f>
        <v>0</v>
      </c>
      <c r="Q99" s="374"/>
    </row>
    <row r="100" spans="2:17" s="132" customFormat="1" ht="15" customHeight="1">
      <c r="B100" s="175" t="s">
        <v>318</v>
      </c>
      <c r="C100" s="229" t="str">
        <f>VLOOKUP(B100,'26MY_ODYSSEY_DATA'!B:AR,4,FALSE)</f>
        <v>Protège-tapis toutes saisons - logo blanc</v>
      </c>
      <c r="D100" s="79" t="str">
        <f t="shared" ref="D100" si="18">B100</f>
        <v>08P17-THR-110A</v>
      </c>
      <c r="E100" s="323">
        <f>VLOOKUP(B100,'26MY_ODYSSEY_DATA'!B:AR,9,FALSE)</f>
        <v>201</v>
      </c>
      <c r="F100" s="323">
        <f>VLOOKUP(B100,'26MY_ODYSSEY_DATA'!B:AR,10,FALSE)</f>
        <v>335</v>
      </c>
      <c r="G100" s="332">
        <f>VLOOKUP(B100,'26MY_ODYSSEY_DATA'!B:AR,7,FALSE)</f>
        <v>0.1</v>
      </c>
      <c r="H100" s="324">
        <f>VLOOKUP(B100,'26MY_ODYSSEY_DATA'!B:AR,11,FALSE)</f>
        <v>353.1</v>
      </c>
      <c r="I100" s="333">
        <f>VLOOKUP(B100,'26MY_ODYSSEY_DATA'!B:AR,12,FALSE)</f>
        <v>0</v>
      </c>
      <c r="J100" s="333" t="str">
        <f>VLOOKUP(B100,'26MY_ODYSSEY_DATA'!B:AR,13,FALSE)</f>
        <v>•</v>
      </c>
      <c r="K100" s="333" t="str">
        <f>VLOOKUP(B100,'26MY_ODYSSEY_DATA'!B:AR,14,FALSE)</f>
        <v>•</v>
      </c>
      <c r="L100" s="333" t="str">
        <f>VLOOKUP(B100,'26MY_ODYSSEY_DATA'!B:AR,15,FALSE)</f>
        <v>•</v>
      </c>
      <c r="M100" s="333" t="str">
        <f>VLOOKUP(B100,'26MY_ODYSSEY_DATA'!B:AR,16,FALSE)</f>
        <v>•</v>
      </c>
      <c r="N100" s="333">
        <f>VLOOKUP($B100,'26MY_ODYSSEY_DATA'!$B:$AR,17,FALSE)</f>
        <v>0</v>
      </c>
      <c r="O100" s="333">
        <f>VLOOKUP($B100,'26MY_ODYSSEY_DATA'!$B:$AR,18,FALSE)</f>
        <v>0</v>
      </c>
      <c r="P100" s="333">
        <f>VLOOKUP($B100,'26MY_ODYSSEY_DATA'!$B:$AR,19,FALSE)</f>
        <v>0</v>
      </c>
      <c r="Q100" s="338" t="str">
        <f>IF(VLOOKUP(B100,'26MY_ODYSSEY_DATA'!B:AR,21,FALSE)="","",VLOOKUP(B100,'26MY_ODYSSEY_DATA'!B:AR,21,FALSE))</f>
        <v>Logo blanc.</v>
      </c>
    </row>
    <row r="101" spans="2:17" s="132" customFormat="1" ht="15" customHeight="1">
      <c r="B101" s="175" t="s">
        <v>332</v>
      </c>
      <c r="C101" s="229" t="str">
        <f>VLOOKUP(B101,'26MY_ODYSSEY_DATA'!B:AR,4,FALSE)</f>
        <v>Plateau de compartiment à bagages - profond</v>
      </c>
      <c r="D101" s="79" t="str">
        <f t="shared" ref="D101:D107" si="19">B101</f>
        <v>08U45-THR-100A</v>
      </c>
      <c r="E101" s="323">
        <f>VLOOKUP(B101,'26MY_ODYSSEY_DATA'!B:AR,9,FALSE)</f>
        <v>144</v>
      </c>
      <c r="F101" s="323">
        <f>VLOOKUP(B101,'26MY_ODYSSEY_DATA'!B:AR,10,FALSE)</f>
        <v>240</v>
      </c>
      <c r="G101" s="332">
        <f>VLOOKUP(B101,'26MY_ODYSSEY_DATA'!B:AR,7,FALSE)</f>
        <v>0.1</v>
      </c>
      <c r="H101" s="324">
        <f>VLOOKUP(B101,'26MY_ODYSSEY_DATA'!B:AR,11,FALSE)</f>
        <v>258.10000000000002</v>
      </c>
      <c r="I101" s="333">
        <f>VLOOKUP(B101,'26MY_ODYSSEY_DATA'!B:AR,12,FALSE)</f>
        <v>0</v>
      </c>
      <c r="J101" s="333" t="str">
        <f>VLOOKUP(B101,'26MY_ODYSSEY_DATA'!B:AR,13,FALSE)</f>
        <v>•</v>
      </c>
      <c r="K101" s="333" t="str">
        <f>VLOOKUP(B101,'26MY_ODYSSEY_DATA'!B:AR,14,FALSE)</f>
        <v>•</v>
      </c>
      <c r="L101" s="333" t="str">
        <f>VLOOKUP(B101,'26MY_ODYSSEY_DATA'!B:AR,15,FALSE)</f>
        <v>•</v>
      </c>
      <c r="M101" s="333" t="str">
        <f>VLOOKUP(B101,'26MY_ODYSSEY_DATA'!B:AR,16,FALSE)</f>
        <v>•</v>
      </c>
      <c r="N101" s="333">
        <f>VLOOKUP($B101,'26MY_ODYSSEY_DATA'!$B:$AR,17,FALSE)</f>
        <v>0</v>
      </c>
      <c r="O101" s="333">
        <f>VLOOKUP($B101,'26MY_ODYSSEY_DATA'!$B:$AR,18,FALSE)</f>
        <v>0</v>
      </c>
      <c r="P101" s="333">
        <f>VLOOKUP($B101,'26MY_ODYSSEY_DATA'!$B:$AR,19,FALSE)</f>
        <v>0</v>
      </c>
      <c r="Q101" s="338" t="str">
        <f>IF(VLOOKUP(B101,'26MY_ODYSSEY_DATA'!B:AR,21,FALSE)="","",VLOOKUP(B101,'26MY_ODYSSEY_DATA'!B:AR,21,FALSE))</f>
        <v/>
      </c>
    </row>
    <row r="102" spans="2:17" s="132" customFormat="1" ht="15" customHeight="1">
      <c r="B102" s="175" t="s">
        <v>335</v>
      </c>
      <c r="C102" s="229" t="str">
        <f>VLOOKUP(B102,'26MY_ODYSSEY_DATA'!B:AR,4,FALSE)</f>
        <v>Plateaux de coffre pliants</v>
      </c>
      <c r="D102" s="79" t="str">
        <f t="shared" si="19"/>
        <v>08U45-THR-100B</v>
      </c>
      <c r="E102" s="323">
        <f>VLOOKUP(B102,'26MY_ODYSSEY_DATA'!B:AR,9,FALSE)</f>
        <v>165</v>
      </c>
      <c r="F102" s="323">
        <f>VLOOKUP(B102,'26MY_ODYSSEY_DATA'!B:AR,10,FALSE)</f>
        <v>275</v>
      </c>
      <c r="G102" s="332">
        <f>VLOOKUP(B102,'26MY_ODYSSEY_DATA'!B:AR,7,FALSE)</f>
        <v>0.1</v>
      </c>
      <c r="H102" s="324">
        <f>VLOOKUP(B102,'26MY_ODYSSEY_DATA'!B:AR,11,FALSE)</f>
        <v>293.10000000000002</v>
      </c>
      <c r="I102" s="333">
        <f>VLOOKUP(B102,'26MY_ODYSSEY_DATA'!B:AR,12,FALSE)</f>
        <v>0</v>
      </c>
      <c r="J102" s="333" t="str">
        <f>VLOOKUP(B102,'26MY_ODYSSEY_DATA'!B:AR,13,FALSE)</f>
        <v>•</v>
      </c>
      <c r="K102" s="333" t="str">
        <f>VLOOKUP(B102,'26MY_ODYSSEY_DATA'!B:AR,14,FALSE)</f>
        <v>•</v>
      </c>
      <c r="L102" s="333" t="str">
        <f>VLOOKUP(B102,'26MY_ODYSSEY_DATA'!B:AR,15,FALSE)</f>
        <v>•</v>
      </c>
      <c r="M102" s="333" t="str">
        <f>VLOOKUP(B102,'26MY_ODYSSEY_DATA'!B:AR,16,FALSE)</f>
        <v>•</v>
      </c>
      <c r="N102" s="333">
        <f>VLOOKUP($B102,'26MY_ODYSSEY_DATA'!$B:$AR,17,FALSE)</f>
        <v>0</v>
      </c>
      <c r="O102" s="333">
        <f>VLOOKUP($B102,'26MY_ODYSSEY_DATA'!$B:$AR,18,FALSE)</f>
        <v>0</v>
      </c>
      <c r="P102" s="333">
        <f>VLOOKUP($B102,'26MY_ODYSSEY_DATA'!$B:$AR,19,FALSE)</f>
        <v>0</v>
      </c>
      <c r="Q102" s="338" t="str">
        <f>IF(VLOOKUP(B102,'26MY_ODYSSEY_DATA'!B:AR,21,FALSE)="","",VLOOKUP(B102,'26MY_ODYSSEY_DATA'!B:AR,21,FALSE))</f>
        <v/>
      </c>
    </row>
    <row r="103" spans="2:17" s="132" customFormat="1" ht="15" customHeight="1">
      <c r="B103" s="175" t="s">
        <v>321</v>
      </c>
      <c r="C103" s="229" t="str">
        <f>VLOOKUP(B103,'26MY_ODYSSEY_DATA'!B:AR,4,FALSE)</f>
        <v>Des paniers de compartiment à bagages</v>
      </c>
      <c r="D103" s="79" t="str">
        <f t="shared" si="19"/>
        <v>08U45-THR-300</v>
      </c>
      <c r="E103" s="323">
        <f>VLOOKUP(B103,'26MY_ODYSSEY_DATA'!B:AR,9,FALSE)</f>
        <v>424</v>
      </c>
      <c r="F103" s="323">
        <f>VLOOKUP(B103,'26MY_ODYSSEY_DATA'!B:AR,10,FALSE)</f>
        <v>707</v>
      </c>
      <c r="G103" s="332">
        <f>VLOOKUP(B103,'26MY_ODYSSEY_DATA'!B:AR,7,FALSE)</f>
        <v>0.1</v>
      </c>
      <c r="H103" s="324">
        <f>VLOOKUP(B103,'26MY_ODYSSEY_DATA'!B:AR,11,FALSE)</f>
        <v>725.1</v>
      </c>
      <c r="I103" s="333">
        <f>VLOOKUP(B103,'26MY_ODYSSEY_DATA'!B:AR,12,FALSE)</f>
        <v>0</v>
      </c>
      <c r="J103" s="333" t="str">
        <f>VLOOKUP(B103,'26MY_ODYSSEY_DATA'!B:AR,13,FALSE)</f>
        <v>•</v>
      </c>
      <c r="K103" s="333" t="str">
        <f>VLOOKUP(B103,'26MY_ODYSSEY_DATA'!B:AR,14,FALSE)</f>
        <v>•</v>
      </c>
      <c r="L103" s="333" t="str">
        <f>VLOOKUP(B103,'26MY_ODYSSEY_DATA'!B:AR,15,FALSE)</f>
        <v>•</v>
      </c>
      <c r="M103" s="333" t="str">
        <f>VLOOKUP(B103,'26MY_ODYSSEY_DATA'!B:AR,16,FALSE)</f>
        <v>•</v>
      </c>
      <c r="N103" s="333">
        <f>VLOOKUP($B103,'26MY_ODYSSEY_DATA'!$B:$AR,17,FALSE)</f>
        <v>0</v>
      </c>
      <c r="O103" s="333">
        <f>VLOOKUP($B103,'26MY_ODYSSEY_DATA'!$B:$AR,18,FALSE)</f>
        <v>0</v>
      </c>
      <c r="P103" s="333">
        <f>VLOOKUP($B103,'26MY_ODYSSEY_DATA'!$B:$AR,19,FALSE)</f>
        <v>0</v>
      </c>
      <c r="Q103" s="338" t="str">
        <f>IF(VLOOKUP(B103,'26MY_ODYSSEY_DATA'!B:AR,21,FALSE)="","",VLOOKUP(B103,'26MY_ODYSSEY_DATA'!B:AR,21,FALSE))</f>
        <v/>
      </c>
    </row>
    <row r="104" spans="2:17" s="132" customFormat="1" ht="15" customHeight="1">
      <c r="B104" s="175" t="s">
        <v>325</v>
      </c>
      <c r="C104" s="229" t="str">
        <f>VLOOKUP(B104,'26MY_ODYSSEY_DATA'!B:AR,4,FALSE)</f>
        <v xml:space="preserve">Protection pour compartiment utilitaire </v>
      </c>
      <c r="D104" s="79" t="str">
        <f t="shared" si="19"/>
        <v>08P42-THR-100</v>
      </c>
      <c r="E104" s="323">
        <f>VLOOKUP(B104,'26MY_ODYSSEY_DATA'!B:AR,9,FALSE)</f>
        <v>303</v>
      </c>
      <c r="F104" s="323">
        <f>VLOOKUP(B104,'26MY_ODYSSEY_DATA'!B:AR,10,FALSE)</f>
        <v>433</v>
      </c>
      <c r="G104" s="332">
        <f>VLOOKUP(B104,'26MY_ODYSSEY_DATA'!B:AR,7,FALSE)</f>
        <v>1.2</v>
      </c>
      <c r="H104" s="324">
        <f>VLOOKUP(B104,'26MY_ODYSSEY_DATA'!B:AR,11,FALSE)</f>
        <v>650.20000000000005</v>
      </c>
      <c r="I104" s="333">
        <f>VLOOKUP(B104,'26MY_ODYSSEY_DATA'!B:AR,12,FALSE)</f>
        <v>0</v>
      </c>
      <c r="J104" s="333" t="str">
        <f>VLOOKUP(B104,'26MY_ODYSSEY_DATA'!B:AR,13,FALSE)</f>
        <v>•</v>
      </c>
      <c r="K104" s="333" t="str">
        <f>VLOOKUP(B104,'26MY_ODYSSEY_DATA'!B:AR,14,FALSE)</f>
        <v>•</v>
      </c>
      <c r="L104" s="333" t="str">
        <f>VLOOKUP(B104,'26MY_ODYSSEY_DATA'!B:AR,15,FALSE)</f>
        <v>•</v>
      </c>
      <c r="M104" s="333" t="str">
        <f>VLOOKUP(B104,'26MY_ODYSSEY_DATA'!B:AR,16,FALSE)</f>
        <v>•</v>
      </c>
      <c r="N104" s="333">
        <f>VLOOKUP($B104,'26MY_ODYSSEY_DATA'!$B:$AR,17,FALSE)</f>
        <v>0</v>
      </c>
      <c r="O104" s="333">
        <f>VLOOKUP($B104,'26MY_ODYSSEY_DATA'!$B:$AR,18,FALSE)</f>
        <v>0</v>
      </c>
      <c r="P104" s="333">
        <f>VLOOKUP($B104,'26MY_ODYSSEY_DATA'!$B:$AR,19,FALSE)</f>
        <v>0</v>
      </c>
      <c r="Q104" s="338" t="str">
        <f>IF(VLOOKUP(B104,'26MY_ODYSSEY_DATA'!B:AR,21,FALSE)="","",VLOOKUP(B104,'26MY_ODYSSEY_DATA'!B:AR,21,FALSE))</f>
        <v/>
      </c>
    </row>
    <row r="105" spans="2:17" s="132" customFormat="1" ht="15" customHeight="1">
      <c r="B105" s="175" t="s">
        <v>330</v>
      </c>
      <c r="C105" s="229" t="str">
        <f>VLOOKUP(B105,'26MY_ODYSSEY_DATA'!B:AR,4,FALSE)</f>
        <v xml:space="preserve">Filet d’arrimage </v>
      </c>
      <c r="D105" s="79" t="str">
        <f t="shared" si="19"/>
        <v>08L96-THR-100</v>
      </c>
      <c r="E105" s="323">
        <f>VLOOKUP(B105,'26MY_ODYSSEY_DATA'!B:AR,9,FALSE)</f>
        <v>44</v>
      </c>
      <c r="F105" s="323">
        <f>VLOOKUP(B105,'26MY_ODYSSEY_DATA'!B:AR,10,FALSE)</f>
        <v>73</v>
      </c>
      <c r="G105" s="332">
        <f>VLOOKUP(B105,'26MY_ODYSSEY_DATA'!B:AR,7,FALSE)</f>
        <v>0.1</v>
      </c>
      <c r="H105" s="324">
        <f>VLOOKUP(B105,'26MY_ODYSSEY_DATA'!B:AR,11,FALSE)</f>
        <v>91.1</v>
      </c>
      <c r="I105" s="333">
        <f>VLOOKUP(B105,'26MY_ODYSSEY_DATA'!B:AR,12,FALSE)</f>
        <v>0</v>
      </c>
      <c r="J105" s="333" t="str">
        <f>VLOOKUP(B105,'26MY_ODYSSEY_DATA'!B:AR,13,FALSE)</f>
        <v>•</v>
      </c>
      <c r="K105" s="333" t="str">
        <f>VLOOKUP(B105,'26MY_ODYSSEY_DATA'!B:AR,14,FALSE)</f>
        <v>•</v>
      </c>
      <c r="L105" s="333" t="str">
        <f>VLOOKUP(B105,'26MY_ODYSSEY_DATA'!B:AR,15,FALSE)</f>
        <v>•</v>
      </c>
      <c r="M105" s="333" t="str">
        <f>VLOOKUP(B105,'26MY_ODYSSEY_DATA'!B:AR,16,FALSE)</f>
        <v>•</v>
      </c>
      <c r="N105" s="333">
        <f>VLOOKUP($B105,'26MY_ODYSSEY_DATA'!$B:$AR,17,FALSE)</f>
        <v>0</v>
      </c>
      <c r="O105" s="333">
        <f>VLOOKUP($B105,'26MY_ODYSSEY_DATA'!$B:$AR,18,FALSE)</f>
        <v>0</v>
      </c>
      <c r="P105" s="333">
        <f>VLOOKUP($B105,'26MY_ODYSSEY_DATA'!$B:$AR,19,FALSE)</f>
        <v>0</v>
      </c>
      <c r="Q105" s="338" t="str">
        <f>IF(VLOOKUP(B105,'26MY_ODYSSEY_DATA'!B:AR,21,FALSE)="","",VLOOKUP(B105,'26MY_ODYSSEY_DATA'!B:AR,21,FALSE))</f>
        <v/>
      </c>
    </row>
    <row r="106" spans="2:17" s="132" customFormat="1" ht="15" customHeight="1">
      <c r="B106" s="175" t="s">
        <v>340</v>
      </c>
      <c r="C106" s="229" t="str">
        <f>VLOOKUP(B106,'26MY_ODYSSEY_DATA'!B:AR,4,FALSE)</f>
        <v>Housse pour sièges, 2e rangée</v>
      </c>
      <c r="D106" s="79" t="str">
        <f t="shared" si="19"/>
        <v>08P32-THR-310D</v>
      </c>
      <c r="E106" s="323">
        <f>VLOOKUP(B106,'26MY_ODYSSEY_DATA'!B:AR,9,FALSE)</f>
        <v>405</v>
      </c>
      <c r="F106" s="323">
        <f>VLOOKUP(B106,'26MY_ODYSSEY_DATA'!B:AR,10,FALSE)</f>
        <v>579</v>
      </c>
      <c r="G106" s="332">
        <f>VLOOKUP(B106,'26MY_ODYSSEY_DATA'!B:AR,7,FALSE)</f>
        <v>0.3</v>
      </c>
      <c r="H106" s="324">
        <f>VLOOKUP(B106,'26MY_ODYSSEY_DATA'!B:AR,11,FALSE)</f>
        <v>633.29999999999995</v>
      </c>
      <c r="I106" s="333">
        <f>VLOOKUP(B106,'26MY_ODYSSEY_DATA'!B:AR,12,FALSE)</f>
        <v>0</v>
      </c>
      <c r="J106" s="333" t="str">
        <f>VLOOKUP(B106,'26MY_ODYSSEY_DATA'!B:AR,13,FALSE)</f>
        <v>•</v>
      </c>
      <c r="K106" s="333" t="str">
        <f>VLOOKUP(B106,'26MY_ODYSSEY_DATA'!B:AR,14,FALSE)</f>
        <v>•</v>
      </c>
      <c r="L106" s="333" t="str">
        <f>VLOOKUP(B106,'26MY_ODYSSEY_DATA'!B:AR,15,FALSE)</f>
        <v>•</v>
      </c>
      <c r="M106" s="333" t="str">
        <f>VLOOKUP(B106,'26MY_ODYSSEY_DATA'!B:AR,16,FALSE)</f>
        <v>•</v>
      </c>
      <c r="N106" s="333">
        <f>VLOOKUP($B106,'26MY_ODYSSEY_DATA'!$B:$AR,17,FALSE)</f>
        <v>0</v>
      </c>
      <c r="O106" s="333">
        <f>VLOOKUP($B106,'26MY_ODYSSEY_DATA'!$B:$AR,18,FALSE)</f>
        <v>0</v>
      </c>
      <c r="P106" s="333">
        <f>VLOOKUP($B106,'26MY_ODYSSEY_DATA'!$B:$AR,19,FALSE)</f>
        <v>0</v>
      </c>
      <c r="Q106" s="338" t="str">
        <f>IF(VLOOKUP(B106,'26MY_ODYSSEY_DATA'!B:AR,21,FALSE)="","",VLOOKUP(B106,'26MY_ODYSSEY_DATA'!B:AR,21,FALSE))</f>
        <v>8 sièges passagers.</v>
      </c>
    </row>
    <row r="107" spans="2:17" s="132" customFormat="1" ht="15" customHeight="1">
      <c r="B107" s="175" t="s">
        <v>343</v>
      </c>
      <c r="C107" s="229" t="str">
        <f>VLOOKUP(B107,'26MY_ODYSSEY_DATA'!B:AR,4,FALSE)</f>
        <v>Housse pour sièges, 3e rangée</v>
      </c>
      <c r="D107" s="79" t="str">
        <f t="shared" si="19"/>
        <v>08P32-THR-310F</v>
      </c>
      <c r="E107" s="323">
        <f>VLOOKUP(B107,'26MY_ODYSSEY_DATA'!B:AR,9,FALSE)</f>
        <v>312</v>
      </c>
      <c r="F107" s="323">
        <f>VLOOKUP(B107,'26MY_ODYSSEY_DATA'!B:AR,10,FALSE)</f>
        <v>446</v>
      </c>
      <c r="G107" s="332">
        <f>VLOOKUP(B107,'26MY_ODYSSEY_DATA'!B:AR,7,FALSE)</f>
        <v>0.2</v>
      </c>
      <c r="H107" s="324">
        <f>VLOOKUP(B107,'26MY_ODYSSEY_DATA'!B:AR,11,FALSE)</f>
        <v>482.2</v>
      </c>
      <c r="I107" s="333">
        <f>VLOOKUP(B107,'26MY_ODYSSEY_DATA'!B:AR,12,FALSE)</f>
        <v>0</v>
      </c>
      <c r="J107" s="333" t="str">
        <f>VLOOKUP(B107,'26MY_ODYSSEY_DATA'!B:AR,13,FALSE)</f>
        <v>•</v>
      </c>
      <c r="K107" s="333" t="str">
        <f>VLOOKUP(B107,'26MY_ODYSSEY_DATA'!B:AR,14,FALSE)</f>
        <v>•</v>
      </c>
      <c r="L107" s="333" t="str">
        <f>VLOOKUP(B107,'26MY_ODYSSEY_DATA'!B:AR,15,FALSE)</f>
        <v>•</v>
      </c>
      <c r="M107" s="333" t="str">
        <f>VLOOKUP(B107,'26MY_ODYSSEY_DATA'!B:AR,16,FALSE)</f>
        <v>•</v>
      </c>
      <c r="N107" s="333">
        <f>VLOOKUP($B107,'26MY_ODYSSEY_DATA'!$B:$AR,17,FALSE)</f>
        <v>0</v>
      </c>
      <c r="O107" s="333">
        <f>VLOOKUP($B107,'26MY_ODYSSEY_DATA'!$B:$AR,18,FALSE)</f>
        <v>0</v>
      </c>
      <c r="P107" s="333">
        <f>VLOOKUP($B107,'26MY_ODYSSEY_DATA'!$B:$AR,19,FALSE)</f>
        <v>0</v>
      </c>
      <c r="Q107" s="338" t="str">
        <f>IF(VLOOKUP(B107,'26MY_ODYSSEY_DATA'!B:AR,21,FALSE)="","",VLOOKUP(B107,'26MY_ODYSSEY_DATA'!B:AR,21,FALSE))</f>
        <v/>
      </c>
    </row>
    <row r="108" spans="2:17" s="132" customFormat="1" ht="12" customHeight="1">
      <c r="B108" s="175"/>
      <c r="C108" s="19"/>
      <c r="D108" s="27"/>
      <c r="E108" s="21"/>
      <c r="F108" s="21"/>
      <c r="G108" s="22"/>
      <c r="H108" s="23"/>
      <c r="I108" s="24"/>
      <c r="J108" s="24"/>
      <c r="K108" s="24"/>
      <c r="L108" s="24"/>
      <c r="M108" s="24"/>
      <c r="N108" s="24"/>
      <c r="O108" s="24"/>
      <c r="P108" s="24"/>
      <c r="Q108" s="25"/>
    </row>
    <row r="109" spans="2:17" s="130" customFormat="1" ht="18">
      <c r="B109" s="202"/>
      <c r="C109" s="149" t="s">
        <v>90</v>
      </c>
      <c r="D109" s="149"/>
      <c r="E109" s="48"/>
      <c r="F109" s="49"/>
      <c r="G109" s="49"/>
      <c r="H109" s="49"/>
      <c r="I109" s="49"/>
      <c r="J109" s="49"/>
      <c r="K109" s="49"/>
      <c r="L109" s="49"/>
      <c r="M109" s="49"/>
      <c r="N109" s="49"/>
      <c r="O109" s="49"/>
      <c r="P109" s="49"/>
      <c r="Q109" s="49"/>
    </row>
    <row r="110" spans="2:17" s="131" customFormat="1" ht="15" customHeight="1">
      <c r="B110" s="176"/>
      <c r="C110" s="374" t="s">
        <v>78</v>
      </c>
      <c r="D110" s="374" t="s">
        <v>79</v>
      </c>
      <c r="E110" s="374" t="s">
        <v>80</v>
      </c>
      <c r="F110" s="374" t="s">
        <v>81</v>
      </c>
      <c r="G110" s="374" t="s">
        <v>82</v>
      </c>
      <c r="H110" s="381" t="s">
        <v>83</v>
      </c>
      <c r="I110" s="374" t="s">
        <v>25</v>
      </c>
      <c r="J110" s="374"/>
      <c r="K110" s="374"/>
      <c r="L110" s="374"/>
      <c r="M110" s="374"/>
      <c r="N110" s="374"/>
      <c r="O110" s="374"/>
      <c r="P110" s="374"/>
      <c r="Q110" s="374" t="s">
        <v>84</v>
      </c>
    </row>
    <row r="111" spans="2:17" s="131" customFormat="1" ht="28.8">
      <c r="B111" s="176"/>
      <c r="C111" s="374"/>
      <c r="D111" s="374"/>
      <c r="E111" s="374"/>
      <c r="F111" s="374"/>
      <c r="G111" s="374"/>
      <c r="H111" s="381"/>
      <c r="I111" s="196">
        <f>'26MY_ODYSSEY_DATA'!M$6</f>
        <v>0</v>
      </c>
      <c r="J111" s="196" t="str">
        <f>'26MY_ODYSSEY_DATA'!N$6</f>
        <v>Sport</v>
      </c>
      <c r="K111" s="196" t="str">
        <f>'26MY_ODYSSEY_DATA'!O$6</f>
        <v>Sport-L</v>
      </c>
      <c r="L111" s="196" t="str">
        <f>'26MY_ODYSSEY_DATA'!P$6</f>
        <v>Touring</v>
      </c>
      <c r="M111" s="196" t="str">
        <f>'26MY_ODYSSEY_DATA'!Q$6</f>
        <v>Black Edition</v>
      </c>
      <c r="N111" s="196">
        <f>'26MY_ODYSSEY_DATA'!R$6</f>
        <v>0</v>
      </c>
      <c r="O111" s="196">
        <f>'26MY_ODYSSEY_DATA'!S$6</f>
        <v>0</v>
      </c>
      <c r="P111" s="196">
        <f>'26MY_ODYSSEY_DATA'!T$6</f>
        <v>0</v>
      </c>
      <c r="Q111" s="374"/>
    </row>
    <row r="112" spans="2:17" s="132" customFormat="1" ht="15" customHeight="1">
      <c r="B112" s="175" t="s">
        <v>399</v>
      </c>
      <c r="C112" s="229" t="str">
        <f>VLOOKUP(B112,'26MY_ODYSSEY_DATA'!B:AR,4,FALSE)</f>
        <v>Garniture lumineuses de bas de portière - Avant et arrière</v>
      </c>
      <c r="D112" s="79" t="str">
        <f t="shared" ref="D112" si="20">B112</f>
        <v>08E12-THR-100</v>
      </c>
      <c r="E112" s="323">
        <f>VLOOKUP(B112,'26MY_ODYSSEY_DATA'!B:AR,9,FALSE)</f>
        <v>579</v>
      </c>
      <c r="F112" s="323">
        <f>VLOOKUP(B112,'26MY_ODYSSEY_DATA'!B:AR,10,FALSE)</f>
        <v>891</v>
      </c>
      <c r="G112" s="332">
        <f>VLOOKUP(B112,'26MY_ODYSSEY_DATA'!B:AR,7,FALSE)</f>
        <v>1.2</v>
      </c>
      <c r="H112" s="324">
        <f>VLOOKUP(B112,'26MY_ODYSSEY_DATA'!B:AR,11,FALSE)</f>
        <v>1108.2</v>
      </c>
      <c r="I112" s="333">
        <f>VLOOKUP(B112,'26MY_ODYSSEY_DATA'!B:AR,12,FALSE)</f>
        <v>0</v>
      </c>
      <c r="J112" s="333" t="str">
        <f>VLOOKUP(B112,'26MY_ODYSSEY_DATA'!B:AR,13,FALSE)</f>
        <v>•</v>
      </c>
      <c r="K112" s="333" t="str">
        <f>VLOOKUP(B112,'26MY_ODYSSEY_DATA'!B:AR,14,FALSE)</f>
        <v>•</v>
      </c>
      <c r="L112" s="333" t="str">
        <f>VLOOKUP(B112,'26MY_ODYSSEY_DATA'!B:AR,15,FALSE)</f>
        <v>•</v>
      </c>
      <c r="M112" s="333" t="str">
        <f>VLOOKUP(B112,'26MY_ODYSSEY_DATA'!B:AR,16,FALSE)</f>
        <v>•</v>
      </c>
      <c r="N112" s="333">
        <f>VLOOKUP($B112,'26MY_ODYSSEY_DATA'!$B:$AR,17,FALSE)</f>
        <v>0</v>
      </c>
      <c r="O112" s="333">
        <f>VLOOKUP($B112,'26MY_ODYSSEY_DATA'!$B:$AR,18,FALSE)</f>
        <v>0</v>
      </c>
      <c r="P112" s="333">
        <f>VLOOKUP($B112,'26MY_ODYSSEY_DATA'!$B:$AR,19,FALSE)</f>
        <v>0</v>
      </c>
      <c r="Q112" s="338" t="str">
        <f>IF(VLOOKUP(B112,'26MY_ODYSSEY_DATA'!B:AR,21,FALSE)="","",VLOOKUP(B112,'26MY_ODYSSEY_DATA'!B:AR,21,FALSE))</f>
        <v>Garniture de portes avant et arrière.</v>
      </c>
    </row>
    <row r="113" spans="2:17" s="132" customFormat="1" ht="15" customHeight="1">
      <c r="B113" s="175" t="s">
        <v>400</v>
      </c>
      <c r="C113" s="229" t="str">
        <f>VLOOKUP(B113,'26MY_ODYSSEY_DATA'!B:AR,4,FALSE)</f>
        <v>Garniture lumineuse de bas de portière - Avant seulement</v>
      </c>
      <c r="D113" s="79" t="str">
        <f t="shared" ref="D113:D122" si="21">B113</f>
        <v>08E12-THR-100A</v>
      </c>
      <c r="E113" s="323">
        <f>VLOOKUP(B113,'26MY_ODYSSEY_DATA'!B:AR,9,FALSE)</f>
        <v>138.99</v>
      </c>
      <c r="F113" s="323">
        <f>VLOOKUP(B113,'26MY_ODYSSEY_DATA'!B:AR,10,FALSE)</f>
        <v>390</v>
      </c>
      <c r="G113" s="332">
        <f>VLOOKUP(B113,'26MY_ODYSSEY_DATA'!B:AR,7,FALSE)</f>
        <v>0.8</v>
      </c>
      <c r="H113" s="324">
        <f>VLOOKUP(B113,'26MY_ODYSSEY_DATA'!B:AR,11,FALSE)</f>
        <v>534.79999999999995</v>
      </c>
      <c r="I113" s="333">
        <f>VLOOKUP(B113,'26MY_ODYSSEY_DATA'!B:AR,12,FALSE)</f>
        <v>0</v>
      </c>
      <c r="J113" s="333" t="str">
        <f>VLOOKUP(B113,'26MY_ODYSSEY_DATA'!B:AR,13,FALSE)</f>
        <v>•</v>
      </c>
      <c r="K113" s="333" t="str">
        <f>VLOOKUP(B113,'26MY_ODYSSEY_DATA'!B:AR,14,FALSE)</f>
        <v>•</v>
      </c>
      <c r="L113" s="333" t="str">
        <f>VLOOKUP(B113,'26MY_ODYSSEY_DATA'!B:AR,15,FALSE)</f>
        <v>•</v>
      </c>
      <c r="M113" s="333" t="str">
        <f>VLOOKUP(B113,'26MY_ODYSSEY_DATA'!B:AR,16,FALSE)</f>
        <v>•</v>
      </c>
      <c r="N113" s="333">
        <f>VLOOKUP($B113,'26MY_ODYSSEY_DATA'!$B:$AR,17,FALSE)</f>
        <v>0</v>
      </c>
      <c r="O113" s="333">
        <f>VLOOKUP($B113,'26MY_ODYSSEY_DATA'!$B:$AR,18,FALSE)</f>
        <v>0</v>
      </c>
      <c r="P113" s="333">
        <f>VLOOKUP($B113,'26MY_ODYSSEY_DATA'!$B:$AR,19,FALSE)</f>
        <v>0</v>
      </c>
      <c r="Q113" s="338" t="str">
        <f>IF(VLOOKUP(B113,'26MY_ODYSSEY_DATA'!B:AR,21,FALSE)="","",VLOOKUP(B113,'26MY_ODYSSEY_DATA'!B:AR,21,FALSE))</f>
        <v>Garniture de portes avant.</v>
      </c>
    </row>
    <row r="114" spans="2:17" s="132" customFormat="1" ht="15" customHeight="1">
      <c r="B114" s="175" t="s">
        <v>401</v>
      </c>
      <c r="C114" s="229" t="str">
        <f>VLOOKUP(B114,'26MY_ODYSSEY_DATA'!B:AR,4,FALSE)</f>
        <v>Lumières d'amiance</v>
      </c>
      <c r="D114" s="79" t="str">
        <f t="shared" si="21"/>
        <v>08E10-THR-100</v>
      </c>
      <c r="E114" s="323">
        <f>VLOOKUP(B114,'26MY_ODYSSEY_DATA'!B:AR,9,FALSE)</f>
        <v>101</v>
      </c>
      <c r="F114" s="323">
        <f>VLOOKUP(B114,'26MY_ODYSSEY_DATA'!B:AR,10,FALSE)</f>
        <v>168</v>
      </c>
      <c r="G114" s="332">
        <f>VLOOKUP(B114,'26MY_ODYSSEY_DATA'!B:AR,7,FALSE)</f>
        <v>0.8</v>
      </c>
      <c r="H114" s="324">
        <f>VLOOKUP(B114,'26MY_ODYSSEY_DATA'!B:AR,11,FALSE)</f>
        <v>312.8</v>
      </c>
      <c r="I114" s="333">
        <f>VLOOKUP(B114,'26MY_ODYSSEY_DATA'!B:AR,12,FALSE)</f>
        <v>0</v>
      </c>
      <c r="J114" s="333" t="str">
        <f>VLOOKUP(B114,'26MY_ODYSSEY_DATA'!B:AR,13,FALSE)</f>
        <v>•</v>
      </c>
      <c r="K114" s="333" t="str">
        <f>VLOOKUP(B114,'26MY_ODYSSEY_DATA'!B:AR,14,FALSE)</f>
        <v>•</v>
      </c>
      <c r="L114" s="333" t="str">
        <f>VLOOKUP(B114,'26MY_ODYSSEY_DATA'!B:AR,15,FALSE)</f>
        <v>•</v>
      </c>
      <c r="M114" s="333" t="str">
        <f>VLOOKUP(B114,'26MY_ODYSSEY_DATA'!B:AR,16,FALSE)</f>
        <v>•</v>
      </c>
      <c r="N114" s="333">
        <f>VLOOKUP($B114,'26MY_ODYSSEY_DATA'!$B:$AR,17,FALSE)</f>
        <v>0</v>
      </c>
      <c r="O114" s="333">
        <f>VLOOKUP($B114,'26MY_ODYSSEY_DATA'!$B:$AR,18,FALSE)</f>
        <v>0</v>
      </c>
      <c r="P114" s="333">
        <f>VLOOKUP($B114,'26MY_ODYSSEY_DATA'!$B:$AR,19,FALSE)</f>
        <v>0</v>
      </c>
      <c r="Q114" s="338" t="str">
        <f>IF(VLOOKUP(B114,'26MY_ODYSSEY_DATA'!B:AR,21,FALSE)="","",VLOOKUP(B114,'26MY_ODYSSEY_DATA'!B:AR,21,FALSE))</f>
        <v/>
      </c>
    </row>
    <row r="115" spans="2:17" s="132" customFormat="1" ht="15" customHeight="1">
      <c r="B115" s="175" t="s">
        <v>402</v>
      </c>
      <c r="C115" s="229" t="str">
        <f>VLOOKUP(B115,'26MY_ODYSSEY_DATA'!B:AR,4,FALSE)</f>
        <v>Projecteurs de motifs</v>
      </c>
      <c r="D115" s="79" t="str">
        <f t="shared" si="21"/>
        <v>08V27-THR-100</v>
      </c>
      <c r="E115" s="323">
        <f>VLOOKUP(B115,'26MY_ODYSSEY_DATA'!B:AR,9,FALSE)</f>
        <v>60.99</v>
      </c>
      <c r="F115" s="323">
        <f>VLOOKUP(B115,'26MY_ODYSSEY_DATA'!B:AR,10,FALSE)</f>
        <v>220</v>
      </c>
      <c r="G115" s="332">
        <f>VLOOKUP(B115,'26MY_ODYSSEY_DATA'!B:AR,7,FALSE)</f>
        <v>1.2</v>
      </c>
      <c r="H115" s="324">
        <f>VLOOKUP(B115,'26MY_ODYSSEY_DATA'!B:AR,11,FALSE)</f>
        <v>437.2</v>
      </c>
      <c r="I115" s="333">
        <f>VLOOKUP(B115,'26MY_ODYSSEY_DATA'!B:AR,12,FALSE)</f>
        <v>0</v>
      </c>
      <c r="J115" s="333" t="str">
        <f>VLOOKUP(B115,'26MY_ODYSSEY_DATA'!B:AR,13,FALSE)</f>
        <v>•</v>
      </c>
      <c r="K115" s="333" t="str">
        <f>VLOOKUP(B115,'26MY_ODYSSEY_DATA'!B:AR,14,FALSE)</f>
        <v>•</v>
      </c>
      <c r="L115" s="333" t="str">
        <f>VLOOKUP(B115,'26MY_ODYSSEY_DATA'!B:AR,15,FALSE)</f>
        <v>•</v>
      </c>
      <c r="M115" s="333" t="str">
        <f>VLOOKUP(B115,'26MY_ODYSSEY_DATA'!B:AR,16,FALSE)</f>
        <v>•</v>
      </c>
      <c r="N115" s="333">
        <f>VLOOKUP($B115,'26MY_ODYSSEY_DATA'!$B:$AR,17,FALSE)</f>
        <v>0</v>
      </c>
      <c r="O115" s="333">
        <f>VLOOKUP($B115,'26MY_ODYSSEY_DATA'!$B:$AR,18,FALSE)</f>
        <v>0</v>
      </c>
      <c r="P115" s="333">
        <f>VLOOKUP($B115,'26MY_ODYSSEY_DATA'!$B:$AR,19,FALSE)</f>
        <v>0</v>
      </c>
      <c r="Q115" s="338" t="str">
        <f>IF(VLOOKUP(B115,'26MY_ODYSSEY_DATA'!B:AR,21,FALSE)="","",VLOOKUP(B115,'26MY_ODYSSEY_DATA'!B:AR,21,FALSE))</f>
        <v/>
      </c>
    </row>
    <row r="116" spans="2:17" s="132" customFormat="1" ht="15" customHeight="1">
      <c r="B116" s="175" t="s">
        <v>403</v>
      </c>
      <c r="C116" s="229" t="str">
        <f>VLOOKUP(B116,'26MY_ODYSSEY_DATA'!B:AR,4,FALSE)</f>
        <v>Lumières d’accueil</v>
      </c>
      <c r="D116" s="79" t="str">
        <f t="shared" si="21"/>
        <v>08V27-THR-100A</v>
      </c>
      <c r="E116" s="323">
        <f>VLOOKUP(B116,'26MY_ODYSSEY_DATA'!B:AR,9,FALSE)</f>
        <v>270</v>
      </c>
      <c r="F116" s="323">
        <f>VLOOKUP(B116,'26MY_ODYSSEY_DATA'!B:AR,10,FALSE)</f>
        <v>386</v>
      </c>
      <c r="G116" s="332">
        <f>VLOOKUP(B116,'26MY_ODYSSEY_DATA'!B:AR,7,FALSE)</f>
        <v>2.5</v>
      </c>
      <c r="H116" s="324">
        <f>VLOOKUP(B116,'26MY_ODYSSEY_DATA'!B:AR,11,FALSE)</f>
        <v>838.5</v>
      </c>
      <c r="I116" s="333">
        <f>VLOOKUP(B116,'26MY_ODYSSEY_DATA'!B:AR,12,FALSE)</f>
        <v>0</v>
      </c>
      <c r="J116" s="333" t="str">
        <f>VLOOKUP(B116,'26MY_ODYSSEY_DATA'!B:AR,13,FALSE)</f>
        <v>•</v>
      </c>
      <c r="K116" s="333" t="str">
        <f>VLOOKUP(B116,'26MY_ODYSSEY_DATA'!B:AR,14,FALSE)</f>
        <v>•</v>
      </c>
      <c r="L116" s="333" t="str">
        <f>VLOOKUP(B116,'26MY_ODYSSEY_DATA'!B:AR,15,FALSE)</f>
        <v>•</v>
      </c>
      <c r="M116" s="333" t="str">
        <f>VLOOKUP(B116,'26MY_ODYSSEY_DATA'!B:AR,16,FALSE)</f>
        <v>•</v>
      </c>
      <c r="N116" s="333">
        <f>VLOOKUP($B116,'26MY_ODYSSEY_DATA'!$B:$AR,17,FALSE)</f>
        <v>0</v>
      </c>
      <c r="O116" s="333">
        <f>VLOOKUP($B116,'26MY_ODYSSEY_DATA'!$B:$AR,18,FALSE)</f>
        <v>0</v>
      </c>
      <c r="P116" s="333">
        <f>VLOOKUP($B116,'26MY_ODYSSEY_DATA'!$B:$AR,19,FALSE)</f>
        <v>0</v>
      </c>
      <c r="Q116" s="338" t="str">
        <f>IF(VLOOKUP(B116,'26MY_ODYSSEY_DATA'!B:AR,21,FALSE)="","",VLOOKUP(B116,'26MY_ODYSSEY_DATA'!B:AR,21,FALSE))</f>
        <v/>
      </c>
    </row>
    <row r="117" spans="2:17" s="132" customFormat="1" ht="15" customHeight="1">
      <c r="B117" s="175" t="s">
        <v>394</v>
      </c>
      <c r="C117" s="229" t="str">
        <f>VLOOKUP(B117,'26MY_ODYSSEY_DATA'!B:AR,4,FALSE)</f>
        <v>Capteur de hayon électrique mains libres</v>
      </c>
      <c r="D117" s="79" t="str">
        <f t="shared" ref="D117:D119" si="22">B117</f>
        <v>08U59-THR-101</v>
      </c>
      <c r="E117" s="323">
        <f>VLOOKUP(B117,'26MY_ODYSSEY_DATA'!B:AR,9,FALSE)</f>
        <v>281</v>
      </c>
      <c r="F117" s="323">
        <f>VLOOKUP(B117,'26MY_ODYSSEY_DATA'!B:AR,10,FALSE)</f>
        <v>401</v>
      </c>
      <c r="G117" s="332">
        <f>VLOOKUP(B117,'26MY_ODYSSEY_DATA'!B:AR,7,FALSE)</f>
        <v>0.2</v>
      </c>
      <c r="H117" s="324">
        <f>VLOOKUP(B117,'26MY_ODYSSEY_DATA'!B:AR,11,FALSE)</f>
        <v>437.2</v>
      </c>
      <c r="I117" s="333">
        <f>VLOOKUP(B117,'26MY_ODYSSEY_DATA'!B:AR,12,FALSE)</f>
        <v>0</v>
      </c>
      <c r="J117" s="333" t="str">
        <f>VLOOKUP(B117,'26MY_ODYSSEY_DATA'!B:AR,13,FALSE)</f>
        <v>•</v>
      </c>
      <c r="K117" s="333" t="str">
        <f>VLOOKUP(B117,'26MY_ODYSSEY_DATA'!B:AR,14,FALSE)</f>
        <v>•</v>
      </c>
      <c r="L117" s="333" t="str">
        <f>VLOOKUP(B117,'26MY_ODYSSEY_DATA'!B:AR,15,FALSE)</f>
        <v>S</v>
      </c>
      <c r="M117" s="333" t="str">
        <f>VLOOKUP(B117,'26MY_ODYSSEY_DATA'!B:AR,16,FALSE)</f>
        <v>S</v>
      </c>
      <c r="N117" s="333">
        <f>VLOOKUP($B117,'26MY_ODYSSEY_DATA'!$B:$AR,17,FALSE)</f>
        <v>0</v>
      </c>
      <c r="O117" s="333">
        <f>VLOOKUP($B117,'26MY_ODYSSEY_DATA'!$B:$AR,18,FALSE)</f>
        <v>0</v>
      </c>
      <c r="P117" s="333">
        <f>VLOOKUP($B117,'26MY_ODYSSEY_DATA'!$B:$AR,19,FALSE)</f>
        <v>0</v>
      </c>
      <c r="Q117" s="338" t="str">
        <f>IF(VLOOKUP(B117,'26MY_ODYSSEY_DATA'!B:AR,21,FALSE)="","",VLOOKUP(B117,'26MY_ODYSSEY_DATA'!B:AR,21,FALSE))</f>
        <v>Nécessite un capteur et un accessoire.</v>
      </c>
    </row>
    <row r="118" spans="2:17" s="132" customFormat="1" ht="15" customHeight="1">
      <c r="B118" s="175" t="s">
        <v>395</v>
      </c>
      <c r="C118" s="229" t="str">
        <f>VLOOKUP(B118,'26MY_ODYSSEY_DATA'!B:AR,4,FALSE)</f>
        <v>Fixation du capteur de hayon électrique mains libres</v>
      </c>
      <c r="D118" s="79" t="str">
        <f t="shared" si="22"/>
        <v>08U59-THR-300A</v>
      </c>
      <c r="E118" s="323">
        <f>VLOOKUP(B118,'26MY_ODYSSEY_DATA'!B:AR,9,FALSE)</f>
        <v>130</v>
      </c>
      <c r="F118" s="323">
        <f>VLOOKUP(B118,'26MY_ODYSSEY_DATA'!B:AR,10,FALSE)</f>
        <v>217</v>
      </c>
      <c r="G118" s="332">
        <f>VLOOKUP(B118,'26MY_ODYSSEY_DATA'!B:AR,7,FALSE)</f>
        <v>1.2</v>
      </c>
      <c r="H118" s="324">
        <f>VLOOKUP(B118,'26MY_ODYSSEY_DATA'!B:AR,11,FALSE)</f>
        <v>434.2</v>
      </c>
      <c r="I118" s="333">
        <f>VLOOKUP(B118,'26MY_ODYSSEY_DATA'!B:AR,12,FALSE)</f>
        <v>0</v>
      </c>
      <c r="J118" s="333" t="str">
        <f>VLOOKUP(B118,'26MY_ODYSSEY_DATA'!B:AR,13,FALSE)</f>
        <v>•</v>
      </c>
      <c r="K118" s="333" t="str">
        <f>VLOOKUP(B118,'26MY_ODYSSEY_DATA'!B:AR,14,FALSE)</f>
        <v>•</v>
      </c>
      <c r="L118" s="333" t="str">
        <f>VLOOKUP(B118,'26MY_ODYSSEY_DATA'!B:AR,15,FALSE)</f>
        <v>S</v>
      </c>
      <c r="M118" s="333" t="str">
        <f>VLOOKUP(B118,'26MY_ODYSSEY_DATA'!B:AR,16,FALSE)</f>
        <v>S</v>
      </c>
      <c r="N118" s="333">
        <f>VLOOKUP($B118,'26MY_ODYSSEY_DATA'!$B:$AR,17,FALSE)</f>
        <v>0</v>
      </c>
      <c r="O118" s="333">
        <f>VLOOKUP($B118,'26MY_ODYSSEY_DATA'!$B:$AR,18,FALSE)</f>
        <v>0</v>
      </c>
      <c r="P118" s="333">
        <f>VLOOKUP($B118,'26MY_ODYSSEY_DATA'!$B:$AR,19,FALSE)</f>
        <v>0</v>
      </c>
      <c r="Q118" s="338" t="str">
        <f>IF(VLOOKUP(B118,'26MY_ODYSSEY_DATA'!B:AR,21,FALSE)="","",VLOOKUP(B118,'26MY_ODYSSEY_DATA'!B:AR,21,FALSE))</f>
        <v>Nécessite un capteur et un accessoire.</v>
      </c>
    </row>
    <row r="119" spans="2:17" s="132" customFormat="1" ht="15" customHeight="1">
      <c r="B119" s="175" t="s">
        <v>396</v>
      </c>
      <c r="C119" s="229" t="str">
        <f>VLOOKUP(B119,'26MY_ODYSSEY_DATA'!B:AR,4,FALSE)</f>
        <v>Adaptateur de capteur de hayon électrique mains libres</v>
      </c>
      <c r="D119" s="79" t="str">
        <f t="shared" si="22"/>
        <v>08L91-THR-300A</v>
      </c>
      <c r="E119" s="323">
        <f>VLOOKUP(B119,'26MY_ODYSSEY_DATA'!B:AR,9,FALSE)</f>
        <v>245</v>
      </c>
      <c r="F119" s="323">
        <f>VLOOKUP(B119,'26MY_ODYSSEY_DATA'!B:AR,10,FALSE)</f>
        <v>408</v>
      </c>
      <c r="G119" s="332">
        <f>VLOOKUP(B119,'26MY_ODYSSEY_DATA'!B:AR,7,FALSE)</f>
        <v>0.2</v>
      </c>
      <c r="H119" s="324">
        <f>VLOOKUP(B119,'26MY_ODYSSEY_DATA'!B:AR,11,FALSE)</f>
        <v>444.2</v>
      </c>
      <c r="I119" s="333">
        <f>VLOOKUP(B119,'26MY_ODYSSEY_DATA'!B:AR,12,FALSE)</f>
        <v>0</v>
      </c>
      <c r="J119" s="333" t="str">
        <f>VLOOKUP(B119,'26MY_ODYSSEY_DATA'!B:AR,13,FALSE)</f>
        <v>•</v>
      </c>
      <c r="K119" s="333" t="str">
        <f>VLOOKUP(B119,'26MY_ODYSSEY_DATA'!B:AR,14,FALSE)</f>
        <v>•</v>
      </c>
      <c r="L119" s="333" t="str">
        <f>VLOOKUP(B119,'26MY_ODYSSEY_DATA'!B:AR,15,FALSE)</f>
        <v>•</v>
      </c>
      <c r="M119" s="333" t="str">
        <f>VLOOKUP(B119,'26MY_ODYSSEY_DATA'!B:AR,16,FALSE)</f>
        <v>•</v>
      </c>
      <c r="N119" s="333">
        <f>VLOOKUP($B119,'26MY_ODYSSEY_DATA'!$B:$AR,17,FALSE)</f>
        <v>0</v>
      </c>
      <c r="O119" s="333">
        <f>VLOOKUP($B119,'26MY_ODYSSEY_DATA'!$B:$AR,18,FALSE)</f>
        <v>0</v>
      </c>
      <c r="P119" s="333">
        <f>VLOOKUP($B119,'26MY_ODYSSEY_DATA'!$B:$AR,19,FALSE)</f>
        <v>0</v>
      </c>
      <c r="Q119" s="338" t="str">
        <f>IF(VLOOKUP(B119,'26MY_ODYSSEY_DATA'!B:AR,21,FALSE)="","",VLOOKUP(B119,'26MY_ODYSSEY_DATA'!B:AR,21,FALSE))</f>
        <v/>
      </c>
    </row>
    <row r="120" spans="2:17" s="132" customFormat="1" ht="15" customHeight="1">
      <c r="B120" s="175" t="s">
        <v>393</v>
      </c>
      <c r="C120" s="229" t="str">
        <f>VLOOKUP(B120,'26MY_ODYSSEY_DATA'!B:AR,4,FALSE)</f>
        <v xml:space="preserve">Chauffe-moteur   </v>
      </c>
      <c r="D120" s="79" t="str">
        <f t="shared" ref="D120" si="23">B120</f>
        <v>08T44-SJA-401A</v>
      </c>
      <c r="E120" s="323">
        <f>VLOOKUP(B120,'26MY_ODYSSEY_DATA'!B:AR,9,FALSE)</f>
        <v>149</v>
      </c>
      <c r="F120" s="323">
        <f>VLOOKUP(B120,'26MY_ODYSSEY_DATA'!B:AR,10,FALSE)</f>
        <v>248</v>
      </c>
      <c r="G120" s="332">
        <f>VLOOKUP(B120,'26MY_ODYSSEY_DATA'!B:AR,7,FALSE)</f>
        <v>1.4</v>
      </c>
      <c r="H120" s="324">
        <f>VLOOKUP(B120,'26MY_ODYSSEY_DATA'!B:AR,11,FALSE)</f>
        <v>501.4</v>
      </c>
      <c r="I120" s="333">
        <f>VLOOKUP(B120,'26MY_ODYSSEY_DATA'!B:AR,12,FALSE)</f>
        <v>0</v>
      </c>
      <c r="J120" s="333" t="str">
        <f>VLOOKUP(B120,'26MY_ODYSSEY_DATA'!B:AR,13,FALSE)</f>
        <v>•</v>
      </c>
      <c r="K120" s="333" t="str">
        <f>VLOOKUP(B120,'26MY_ODYSSEY_DATA'!B:AR,14,FALSE)</f>
        <v>•</v>
      </c>
      <c r="L120" s="333" t="str">
        <f>VLOOKUP(B120,'26MY_ODYSSEY_DATA'!B:AR,15,FALSE)</f>
        <v>•</v>
      </c>
      <c r="M120" s="333" t="str">
        <f>VLOOKUP(B120,'26MY_ODYSSEY_DATA'!B:AR,16,FALSE)</f>
        <v>•</v>
      </c>
      <c r="N120" s="333">
        <f>VLOOKUP($B120,'26MY_ODYSSEY_DATA'!$B:$AR,17,FALSE)</f>
        <v>0</v>
      </c>
      <c r="O120" s="333">
        <f>VLOOKUP($B120,'26MY_ODYSSEY_DATA'!$B:$AR,18,FALSE)</f>
        <v>0</v>
      </c>
      <c r="P120" s="333">
        <f>VLOOKUP($B120,'26MY_ODYSSEY_DATA'!$B:$AR,19,FALSE)</f>
        <v>0</v>
      </c>
      <c r="Q120" s="338" t="str">
        <f>IF(VLOOKUP(B120,'26MY_ODYSSEY_DATA'!B:AR,21,FALSE)="","",VLOOKUP(B120,'26MY_ODYSSEY_DATA'!B:AR,21,FALSE))</f>
        <v/>
      </c>
    </row>
    <row r="121" spans="2:17" s="132" customFormat="1" ht="15" customHeight="1">
      <c r="B121" s="175" t="s">
        <v>26</v>
      </c>
      <c r="C121" s="229" t="str">
        <f>VLOOKUP(B121,'26MY_ODYSSEY_DATA'!B:AR,4,FALSE)</f>
        <v>Chargeur/mainteneur de charge de batterie automobile 12 V</v>
      </c>
      <c r="D121" s="79" t="str">
        <f t="shared" si="21"/>
        <v>31670-BMS-004H</v>
      </c>
      <c r="E121" s="323">
        <f>VLOOKUP(B121,'26MY_ODYSSEY_DATA'!B:AR,9,FALSE)</f>
        <v>94</v>
      </c>
      <c r="F121" s="323">
        <f>VLOOKUP(B121,'26MY_ODYSSEY_DATA'!B:AR,10,FALSE)</f>
        <v>157</v>
      </c>
      <c r="G121" s="332">
        <f>VLOOKUP(B121,'26MY_ODYSSEY_DATA'!B:AR,7,FALSE)</f>
        <v>0</v>
      </c>
      <c r="H121" s="324">
        <f>VLOOKUP(B121,'26MY_ODYSSEY_DATA'!B:AR,11,FALSE)</f>
        <v>157</v>
      </c>
      <c r="I121" s="333">
        <f>VLOOKUP(B121,'26MY_ODYSSEY_DATA'!B:AR,12,FALSE)</f>
        <v>0</v>
      </c>
      <c r="J121" s="333" t="str">
        <f>VLOOKUP(B121,'26MY_ODYSSEY_DATA'!B:AR,13,FALSE)</f>
        <v>•</v>
      </c>
      <c r="K121" s="333" t="str">
        <f>VLOOKUP(B121,'26MY_ODYSSEY_DATA'!B:AR,14,FALSE)</f>
        <v>•</v>
      </c>
      <c r="L121" s="333" t="str">
        <f>VLOOKUP(B121,'26MY_ODYSSEY_DATA'!B:AR,15,FALSE)</f>
        <v>•</v>
      </c>
      <c r="M121" s="333" t="str">
        <f>VLOOKUP(B121,'26MY_ODYSSEY_DATA'!B:AR,16,FALSE)</f>
        <v>•</v>
      </c>
      <c r="N121" s="333">
        <f>VLOOKUP($B121,'26MY_ODYSSEY_DATA'!$B:$AR,17,FALSE)</f>
        <v>0</v>
      </c>
      <c r="O121" s="333">
        <f>VLOOKUP($B121,'26MY_ODYSSEY_DATA'!$B:$AR,18,FALSE)</f>
        <v>0</v>
      </c>
      <c r="P121" s="333">
        <f>VLOOKUP($B121,'26MY_ODYSSEY_DATA'!$B:$AR,19,FALSE)</f>
        <v>0</v>
      </c>
      <c r="Q121" s="338" t="str">
        <f>IF(VLOOKUP(B121,'26MY_ODYSSEY_DATA'!B:AR,21,FALSE)="","",VLOOKUP(B121,'26MY_ODYSSEY_DATA'!B:AR,21,FALSE))</f>
        <v/>
      </c>
    </row>
    <row r="122" spans="2:17" s="132" customFormat="1" ht="15" customHeight="1">
      <c r="B122" s="175" t="s">
        <v>244</v>
      </c>
      <c r="C122" s="229" t="str">
        <f>VLOOKUP(B122,'26MY_ODYSSEY_DATA'!B:AR,4,FALSE)</f>
        <v>Câble de batterie</v>
      </c>
      <c r="D122" s="79" t="str">
        <f t="shared" si="21"/>
        <v>31670-BMS-LEAD</v>
      </c>
      <c r="E122" s="323">
        <f>VLOOKUP(B122,'26MY_ODYSSEY_DATA'!B:AR,9,FALSE)</f>
        <v>20</v>
      </c>
      <c r="F122" s="323">
        <f>VLOOKUP(B122,'26MY_ODYSSEY_DATA'!B:AR,10,FALSE)</f>
        <v>28</v>
      </c>
      <c r="G122" s="332">
        <f>VLOOKUP(B122,'26MY_ODYSSEY_DATA'!B:AR,7,FALSE)</f>
        <v>0</v>
      </c>
      <c r="H122" s="324">
        <f>VLOOKUP(B122,'26MY_ODYSSEY_DATA'!B:AR,11,FALSE)</f>
        <v>28</v>
      </c>
      <c r="I122" s="333">
        <f>VLOOKUP(B122,'26MY_ODYSSEY_DATA'!B:AR,12,FALSE)</f>
        <v>0</v>
      </c>
      <c r="J122" s="333" t="str">
        <f>VLOOKUP(B122,'26MY_ODYSSEY_DATA'!B:AR,13,FALSE)</f>
        <v>•</v>
      </c>
      <c r="K122" s="333" t="str">
        <f>VLOOKUP(B122,'26MY_ODYSSEY_DATA'!B:AR,14,FALSE)</f>
        <v>•</v>
      </c>
      <c r="L122" s="333" t="str">
        <f>VLOOKUP(B122,'26MY_ODYSSEY_DATA'!B:AR,15,FALSE)</f>
        <v>•</v>
      </c>
      <c r="M122" s="333" t="str">
        <f>VLOOKUP(B122,'26MY_ODYSSEY_DATA'!B:AR,16,FALSE)</f>
        <v>•</v>
      </c>
      <c r="N122" s="333">
        <f>VLOOKUP($B122,'26MY_ODYSSEY_DATA'!$B:$AR,17,FALSE)</f>
        <v>0</v>
      </c>
      <c r="O122" s="333">
        <f>VLOOKUP($B122,'26MY_ODYSSEY_DATA'!$B:$AR,18,FALSE)</f>
        <v>0</v>
      </c>
      <c r="P122" s="333">
        <f>VLOOKUP($B122,'26MY_ODYSSEY_DATA'!$B:$AR,19,FALSE)</f>
        <v>0</v>
      </c>
      <c r="Q122" s="338" t="str">
        <f>IF(VLOOKUP(B122,'26MY_ODYSSEY_DATA'!B:AR,21,FALSE)="","",VLOOKUP(B122,'26MY_ODYSSEY_DATA'!B:AR,21,FALSE))</f>
        <v/>
      </c>
    </row>
    <row r="123" spans="2:17" s="132" customFormat="1" ht="15" customHeight="1">
      <c r="B123" s="175"/>
      <c r="C123" s="133"/>
      <c r="D123" s="200"/>
      <c r="E123" s="129"/>
      <c r="F123" s="129"/>
      <c r="G123" s="201"/>
      <c r="H123" s="129"/>
      <c r="I123" s="129"/>
      <c r="J123" s="129"/>
      <c r="K123" s="140"/>
      <c r="L123" s="129"/>
      <c r="M123" s="129"/>
      <c r="N123" s="129"/>
      <c r="O123" s="129"/>
      <c r="P123" s="129"/>
      <c r="Q123" s="337"/>
    </row>
    <row r="124" spans="2:17" s="130" customFormat="1" ht="18">
      <c r="B124" s="175"/>
      <c r="C124" s="149" t="s">
        <v>91</v>
      </c>
      <c r="D124" s="149"/>
      <c r="E124" s="140"/>
      <c r="F124" s="140"/>
      <c r="G124" s="140"/>
      <c r="H124" s="140"/>
      <c r="I124" s="140"/>
      <c r="J124" s="140"/>
      <c r="L124" s="140"/>
      <c r="M124" s="140"/>
      <c r="N124" s="140"/>
      <c r="O124" s="140"/>
      <c r="P124" s="140"/>
      <c r="Q124" s="140"/>
    </row>
    <row r="125" spans="2:17" s="131" customFormat="1" ht="15" customHeight="1">
      <c r="B125" s="176"/>
      <c r="C125" s="374" t="s">
        <v>78</v>
      </c>
      <c r="D125" s="374" t="s">
        <v>79</v>
      </c>
      <c r="E125" s="374" t="s">
        <v>80</v>
      </c>
      <c r="F125" s="374" t="s">
        <v>81</v>
      </c>
      <c r="G125" s="374" t="s">
        <v>82</v>
      </c>
      <c r="H125" s="381" t="s">
        <v>83</v>
      </c>
      <c r="I125" s="374" t="s">
        <v>25</v>
      </c>
      <c r="J125" s="374"/>
      <c r="K125" s="374"/>
      <c r="L125" s="374"/>
      <c r="M125" s="374"/>
      <c r="N125" s="374"/>
      <c r="O125" s="374"/>
      <c r="P125" s="374"/>
      <c r="Q125" s="374" t="s">
        <v>84</v>
      </c>
    </row>
    <row r="126" spans="2:17" s="131" customFormat="1" ht="28.8">
      <c r="B126" s="176"/>
      <c r="C126" s="374"/>
      <c r="D126" s="374"/>
      <c r="E126" s="374"/>
      <c r="F126" s="374"/>
      <c r="G126" s="374"/>
      <c r="H126" s="381"/>
      <c r="I126" s="196">
        <f>'26MY_ODYSSEY_DATA'!M$6</f>
        <v>0</v>
      </c>
      <c r="J126" s="196" t="str">
        <f>'26MY_ODYSSEY_DATA'!N$6</f>
        <v>Sport</v>
      </c>
      <c r="K126" s="196" t="str">
        <f>'26MY_ODYSSEY_DATA'!O$6</f>
        <v>Sport-L</v>
      </c>
      <c r="L126" s="196" t="str">
        <f>'26MY_ODYSSEY_DATA'!P$6</f>
        <v>Touring</v>
      </c>
      <c r="M126" s="196" t="str">
        <f>'26MY_ODYSSEY_DATA'!Q$6</f>
        <v>Black Edition</v>
      </c>
      <c r="N126" s="196">
        <f>'26MY_ODYSSEY_DATA'!R$6</f>
        <v>0</v>
      </c>
      <c r="O126" s="196">
        <f>'26MY_ODYSSEY_DATA'!S$6</f>
        <v>0</v>
      </c>
      <c r="P126" s="196">
        <f>'26MY_ODYSSEY_DATA'!T$6</f>
        <v>0</v>
      </c>
      <c r="Q126" s="374"/>
    </row>
    <row r="127" spans="2:17" s="132" customFormat="1" ht="15" customHeight="1">
      <c r="B127" s="175" t="s">
        <v>174</v>
      </c>
      <c r="C127" s="229" t="str">
        <f>VLOOKUP(B127,'26MY_ODYSSEY_DATA'!B:AR,4,FALSE)</f>
        <v>Blanc platine nacré (NH-883P)</v>
      </c>
      <c r="D127" s="79" t="str">
        <f t="shared" ref="D127:D132" si="24">B127</f>
        <v>TUCH-NH883P-A1</v>
      </c>
      <c r="E127" s="362">
        <f>VLOOKUP(B127,'26MY_ODYSSEY_DATA'!B:AR,9,FALSE)</f>
        <v>13.25</v>
      </c>
      <c r="F127" s="362">
        <f>VLOOKUP(B127,'26MY_ODYSSEY_DATA'!B:AR,10,FALSE)</f>
        <v>22</v>
      </c>
      <c r="G127" s="365">
        <f>VLOOKUP(B127,'26MY_ODYSSEY_DATA'!B:AR,7,FALSE)</f>
        <v>0</v>
      </c>
      <c r="H127" s="368">
        <f>VLOOKUP(B127,'26MY_ODYSSEY_DATA'!B:AR,11,FALSE)</f>
        <v>22</v>
      </c>
      <c r="I127" s="333">
        <f>VLOOKUP(B127,'26MY_ODYSSEY_DATA'!B:AR,12,FALSE)</f>
        <v>0</v>
      </c>
      <c r="J127" s="333" t="str">
        <f>VLOOKUP(B127,'26MY_ODYSSEY_DATA'!B:AR,13,FALSE)</f>
        <v>•</v>
      </c>
      <c r="K127" s="333" t="str">
        <f>VLOOKUP(B127,'26MY_ODYSSEY_DATA'!B:AR,14,FALSE)</f>
        <v>•</v>
      </c>
      <c r="L127" s="333" t="str">
        <f>VLOOKUP(B127,'26MY_ODYSSEY_DATA'!B:AR,15,FALSE)</f>
        <v>•</v>
      </c>
      <c r="M127" s="333" t="str">
        <f>VLOOKUP(B127,'26MY_ODYSSEY_DATA'!B:AR,16,FALSE)</f>
        <v>•</v>
      </c>
      <c r="N127" s="333">
        <f>VLOOKUP($B127,'26MY_ODYSSEY_DATA'!$B:$AR,17,FALSE)</f>
        <v>0</v>
      </c>
      <c r="O127" s="333">
        <f>VLOOKUP($B127,'26MY_ODYSSEY_DATA'!$B:$AR,18,FALSE)</f>
        <v>0</v>
      </c>
      <c r="P127" s="333">
        <f>VLOOKUP($B127,'26MY_ODYSSEY_DATA'!$B:$AR,19,FALSE)</f>
        <v>0</v>
      </c>
      <c r="Q127" s="371" t="str">
        <f>IF(VLOOKUP(B127,'26MY_ODYSSEY_DATA'!B:AR,21,FALSE)="","",VLOOKUP(B127,'26MY_ODYSSEY_DATA'!B:AR,21,FALSE))</f>
        <v/>
      </c>
    </row>
    <row r="128" spans="2:17" s="132" customFormat="1" ht="15" customHeight="1">
      <c r="B128" s="175" t="s">
        <v>173</v>
      </c>
      <c r="C128" s="229" t="str">
        <f>VLOOKUP(B128,'26MY_ODYSSEY_DATA'!B:AR,4,FALSE)</f>
        <v>Noir cristal nacré (NH-731P)</v>
      </c>
      <c r="D128" s="79" t="str">
        <f t="shared" si="24"/>
        <v>TUCH-NH731P-A1</v>
      </c>
      <c r="E128" s="363"/>
      <c r="F128" s="363"/>
      <c r="G128" s="366"/>
      <c r="H128" s="369"/>
      <c r="I128" s="333">
        <f>VLOOKUP(B128,'26MY_ODYSSEY_DATA'!B:AR,12,FALSE)</f>
        <v>0</v>
      </c>
      <c r="J128" s="333" t="str">
        <f>VLOOKUP(B128,'26MY_ODYSSEY_DATA'!B:AR,13,FALSE)</f>
        <v>•</v>
      </c>
      <c r="K128" s="333" t="str">
        <f>VLOOKUP(B128,'26MY_ODYSSEY_DATA'!B:AR,14,FALSE)</f>
        <v>•</v>
      </c>
      <c r="L128" s="333" t="str">
        <f>VLOOKUP(B128,'26MY_ODYSSEY_DATA'!B:AR,15,FALSE)</f>
        <v>N/A</v>
      </c>
      <c r="M128" s="333" t="str">
        <f>VLOOKUP(B128,'26MY_ODYSSEY_DATA'!B:AR,16,FALSE)</f>
        <v>•</v>
      </c>
      <c r="N128" s="333">
        <f>VLOOKUP($B128,'26MY_ODYSSEY_DATA'!$B:$AR,17,FALSE)</f>
        <v>0</v>
      </c>
      <c r="O128" s="333">
        <f>VLOOKUP($B128,'26MY_ODYSSEY_DATA'!$B:$AR,18,FALSE)</f>
        <v>0</v>
      </c>
      <c r="P128" s="333">
        <f>VLOOKUP($B128,'26MY_ODYSSEY_DATA'!$B:$AR,19,FALSE)</f>
        <v>0</v>
      </c>
      <c r="Q128" s="372"/>
    </row>
    <row r="129" spans="2:17" s="132" customFormat="1" ht="15" customHeight="1">
      <c r="B129" s="175" t="s">
        <v>275</v>
      </c>
      <c r="C129" s="229" t="str">
        <f>VLOOKUP(B129,'26MY_ODYSSEY_DATA'!B:AR,4,FALSE)</f>
        <v>Acier moderne métallisé (NH-797M)</v>
      </c>
      <c r="D129" s="79" t="str">
        <f t="shared" si="24"/>
        <v>TUCH-NH797M-A1</v>
      </c>
      <c r="E129" s="363"/>
      <c r="F129" s="363"/>
      <c r="G129" s="366"/>
      <c r="H129" s="369"/>
      <c r="I129" s="333">
        <f>VLOOKUP(B129,'26MY_ODYSSEY_DATA'!B:AR,12,FALSE)</f>
        <v>0</v>
      </c>
      <c r="J129" s="333" t="str">
        <f>VLOOKUP(B129,'26MY_ODYSSEY_DATA'!B:AR,13,FALSE)</f>
        <v>N/A</v>
      </c>
      <c r="K129" s="333" t="str">
        <f>VLOOKUP(B129,'26MY_ODYSSEY_DATA'!B:AR,14,FALSE)</f>
        <v>•</v>
      </c>
      <c r="L129" s="333" t="str">
        <f>VLOOKUP(B129,'26MY_ODYSSEY_DATA'!B:AR,15,FALSE)</f>
        <v>•</v>
      </c>
      <c r="M129" s="333" t="str">
        <f>VLOOKUP(B129,'26MY_ODYSSEY_DATA'!B:AR,16,FALSE)</f>
        <v>N/A</v>
      </c>
      <c r="N129" s="333">
        <f>VLOOKUP($B129,'26MY_ODYSSEY_DATA'!$B:$AR,17,FALSE)</f>
        <v>0</v>
      </c>
      <c r="O129" s="333">
        <f>VLOOKUP($B129,'26MY_ODYSSEY_DATA'!$B:$AR,18,FALSE)</f>
        <v>0</v>
      </c>
      <c r="P129" s="333">
        <f>VLOOKUP($B129,'26MY_ODYSSEY_DATA'!$B:$AR,19,FALSE)</f>
        <v>0</v>
      </c>
      <c r="Q129" s="372"/>
    </row>
    <row r="130" spans="2:17" s="132" customFormat="1" ht="15" customHeight="1">
      <c r="B130" s="175" t="s">
        <v>564</v>
      </c>
      <c r="C130" s="229" t="str">
        <f>VLOOKUP(B130,'26MY_ODYSSEY_DATA'!B:AR,4,FALSE)</f>
        <v>Gris sonique nacré (NH-877P)</v>
      </c>
      <c r="D130" s="79" t="str">
        <f t="shared" si="24"/>
        <v>TUCH-NH877P-A1</v>
      </c>
      <c r="E130" s="363"/>
      <c r="F130" s="363"/>
      <c r="G130" s="366"/>
      <c r="H130" s="369"/>
      <c r="I130" s="333">
        <f>VLOOKUP(B130,'26MY_ODYSSEY_DATA'!B:AR,12,FALSE)</f>
        <v>0</v>
      </c>
      <c r="J130" s="333" t="str">
        <f>VLOOKUP(B130,'26MY_ODYSSEY_DATA'!B:AR,13,FALSE)</f>
        <v>N/A</v>
      </c>
      <c r="K130" s="333" t="str">
        <f>VLOOKUP(B130,'26MY_ODYSSEY_DATA'!B:AR,14,FALSE)</f>
        <v>N/A</v>
      </c>
      <c r="L130" s="333" t="str">
        <f>VLOOKUP(B130,'26MY_ODYSSEY_DATA'!B:AR,15,FALSE)</f>
        <v>•</v>
      </c>
      <c r="M130" s="333" t="str">
        <f>VLOOKUP(B130,'26MY_ODYSSEY_DATA'!B:AR,16,FALSE)</f>
        <v>•</v>
      </c>
      <c r="N130" s="333">
        <f>VLOOKUP($B130,'26MY_ODYSSEY_DATA'!$B:$AR,17,FALSE)</f>
        <v>0</v>
      </c>
      <c r="O130" s="333">
        <f>VLOOKUP($B130,'26MY_ODYSSEY_DATA'!$B:$AR,18,FALSE)</f>
        <v>0</v>
      </c>
      <c r="P130" s="333">
        <f>VLOOKUP($B130,'26MY_ODYSSEY_DATA'!$B:$AR,19,FALSE)</f>
        <v>0</v>
      </c>
      <c r="Q130" s="372"/>
    </row>
    <row r="131" spans="2:17" s="132" customFormat="1" ht="15" customHeight="1">
      <c r="B131" s="175" t="s">
        <v>278</v>
      </c>
      <c r="C131" s="229" t="str">
        <f>VLOOKUP(B131,'26MY_ODYSSEY_DATA'!B:AR,4,FALSE)</f>
        <v>Radiant rouge métallisé II (R-580M)</v>
      </c>
      <c r="D131" s="79" t="str">
        <f t="shared" si="24"/>
        <v>TUCH-R580M-A1</v>
      </c>
      <c r="E131" s="363"/>
      <c r="F131" s="363"/>
      <c r="G131" s="366"/>
      <c r="H131" s="369"/>
      <c r="I131" s="333">
        <f>VLOOKUP(B131,'26MY_ODYSSEY_DATA'!B:AR,12,FALSE)</f>
        <v>0</v>
      </c>
      <c r="J131" s="333" t="str">
        <f>VLOOKUP(B131,'26MY_ODYSSEY_DATA'!B:AR,13,FALSE)</f>
        <v>N/A</v>
      </c>
      <c r="K131" s="333" t="str">
        <f>VLOOKUP(B131,'26MY_ODYSSEY_DATA'!B:AR,14,FALSE)</f>
        <v>N/A</v>
      </c>
      <c r="L131" s="333" t="str">
        <f>VLOOKUP(B131,'26MY_ODYSSEY_DATA'!B:AR,15,FALSE)</f>
        <v>N/A</v>
      </c>
      <c r="M131" s="333" t="str">
        <f>VLOOKUP(B131,'26MY_ODYSSEY_DATA'!B:AR,16,FALSE)</f>
        <v>•</v>
      </c>
      <c r="N131" s="333">
        <f>VLOOKUP($B131,'26MY_ODYSSEY_DATA'!$B:$AR,17,FALSE)</f>
        <v>0</v>
      </c>
      <c r="O131" s="333">
        <f>VLOOKUP($B131,'26MY_ODYSSEY_DATA'!$B:$AR,18,FALSE)</f>
        <v>0</v>
      </c>
      <c r="P131" s="333">
        <f>VLOOKUP($B131,'26MY_ODYSSEY_DATA'!$B:$AR,19,FALSE)</f>
        <v>0</v>
      </c>
      <c r="Q131" s="372"/>
    </row>
    <row r="132" spans="2:17" s="132" customFormat="1" ht="15" customHeight="1">
      <c r="B132" s="175" t="s">
        <v>487</v>
      </c>
      <c r="C132" s="229" t="str">
        <f>VLOOKUP(B132,'26MY_ODYSSEY_DATA'!B:AR,4,FALSE)</f>
        <v>Refl et solaire argent métallisé (NH-932M)</v>
      </c>
      <c r="D132" s="79" t="str">
        <f t="shared" si="24"/>
        <v>TUCH-NH932M-A1</v>
      </c>
      <c r="E132" s="364"/>
      <c r="F132" s="364"/>
      <c r="G132" s="367"/>
      <c r="H132" s="370"/>
      <c r="I132" s="333">
        <f>VLOOKUP(B132,'26MY_ODYSSEY_DATA'!B:AR,12,FALSE)</f>
        <v>0</v>
      </c>
      <c r="J132" s="333" t="str">
        <f>VLOOKUP(B132,'26MY_ODYSSEY_DATA'!B:AR,13,FALSE)</f>
        <v>•</v>
      </c>
      <c r="K132" s="333" t="str">
        <f>VLOOKUP(B132,'26MY_ODYSSEY_DATA'!B:AR,14,FALSE)</f>
        <v>•</v>
      </c>
      <c r="L132" s="333" t="str">
        <f>VLOOKUP(B132,'26MY_ODYSSEY_DATA'!B:AR,15,FALSE)</f>
        <v>•</v>
      </c>
      <c r="M132" s="333" t="str">
        <f>VLOOKUP(B132,'26MY_ODYSSEY_DATA'!B:AR,16,FALSE)</f>
        <v>N/A</v>
      </c>
      <c r="N132" s="333">
        <f>VLOOKUP($B132,'26MY_ODYSSEY_DATA'!$B:$AR,17,FALSE)</f>
        <v>0</v>
      </c>
      <c r="O132" s="333">
        <f>VLOOKUP($B132,'26MY_ODYSSEY_DATA'!$B:$AR,18,FALSE)</f>
        <v>0</v>
      </c>
      <c r="P132" s="333">
        <f>VLOOKUP($B132,'26MY_ODYSSEY_DATA'!$B:$AR,19,FALSE)</f>
        <v>0</v>
      </c>
      <c r="Q132" s="373"/>
    </row>
    <row r="133" spans="2:17" s="131" customFormat="1" ht="7.2" customHeight="1">
      <c r="B133" s="176"/>
      <c r="C133" s="199"/>
      <c r="D133" s="188"/>
      <c r="E133" s="188"/>
      <c r="F133" s="188"/>
      <c r="G133" s="188"/>
      <c r="H133" s="188"/>
      <c r="I133" s="188"/>
      <c r="J133" s="188"/>
      <c r="K133" s="188"/>
      <c r="L133" s="188"/>
      <c r="M133" s="188"/>
      <c r="N133" s="188"/>
      <c r="O133" s="188"/>
      <c r="P133" s="188"/>
      <c r="Q133" s="194"/>
    </row>
    <row r="134" spans="2:17" s="132" customFormat="1" ht="15" customHeight="1">
      <c r="B134" s="175" t="s">
        <v>62</v>
      </c>
      <c r="C134" s="229" t="str">
        <f>VLOOKUP(B134,'26MY_ODYSSEY_DATA'!B:AR,4,FALSE)</f>
        <v>Aiguilles abrasives fines</v>
      </c>
      <c r="D134" s="79" t="str">
        <f t="shared" ref="D134:D136" si="25">B134</f>
        <v>TUCH-NEEDLES</v>
      </c>
      <c r="E134" s="323">
        <f>VLOOKUP(B134,'26MY_ODYSSEY_DATA'!B:AR,9,FALSE)</f>
        <v>9.5</v>
      </c>
      <c r="F134" s="323">
        <f>VLOOKUP(B134,'26MY_ODYSSEY_DATA'!B:AR,10,FALSE)</f>
        <v>15.75</v>
      </c>
      <c r="G134" s="332">
        <f>VLOOKUP(B134,'26MY_ODYSSEY_DATA'!B:AR,7,FALSE)</f>
        <v>0</v>
      </c>
      <c r="H134" s="324">
        <f>VLOOKUP(B134,'26MY_ODYSSEY_DATA'!B:AR,11,FALSE)</f>
        <v>15.75</v>
      </c>
      <c r="I134" s="333">
        <f>VLOOKUP(B134,'26MY_ODYSSEY_DATA'!B:AR,12,FALSE)</f>
        <v>0</v>
      </c>
      <c r="J134" s="333" t="str">
        <f>VLOOKUP(B134,'26MY_ODYSSEY_DATA'!B:AR,13,FALSE)</f>
        <v>•</v>
      </c>
      <c r="K134" s="333" t="str">
        <f>VLOOKUP(B134,'26MY_ODYSSEY_DATA'!B:AR,14,FALSE)</f>
        <v>•</v>
      </c>
      <c r="L134" s="333" t="str">
        <f>VLOOKUP(B134,'26MY_ODYSSEY_DATA'!B:AR,15,FALSE)</f>
        <v>•</v>
      </c>
      <c r="M134" s="333" t="str">
        <f>VLOOKUP(B134,'26MY_ODYSSEY_DATA'!B:AR,16,FALSE)</f>
        <v>•</v>
      </c>
      <c r="N134" s="333">
        <f>VLOOKUP($B134,'26MY_ODYSSEY_DATA'!$B:$AR,17,FALSE)</f>
        <v>0</v>
      </c>
      <c r="O134" s="333">
        <f>VLOOKUP($B134,'26MY_ODYSSEY_DATA'!$B:$AR,18,FALSE)</f>
        <v>0</v>
      </c>
      <c r="P134" s="333">
        <f>VLOOKUP($B134,'26MY_ODYSSEY_DATA'!$B:$AR,19,FALSE)</f>
        <v>0</v>
      </c>
      <c r="Q134" s="338" t="str">
        <f>IF(VLOOKUP(B134,'26MY_ODYSSEY_DATA'!B:AR,21,FALSE)="","",VLOOKUP(B134,'26MY_ODYSSEY_DATA'!B:AR,21,FALSE))</f>
        <v>Quantité de 5</v>
      </c>
    </row>
    <row r="135" spans="2:17" s="132" customFormat="1" ht="15" customHeight="1">
      <c r="B135" s="175" t="s">
        <v>61</v>
      </c>
      <c r="C135" s="229" t="str">
        <f>VLOOKUP(B135,'26MY_ODYSSEY_DATA'!B:AR,4,FALSE)</f>
        <v>Bâtons abrasifs fins</v>
      </c>
      <c r="D135" s="79" t="str">
        <f t="shared" si="25"/>
        <v>TUCH-STICKS</v>
      </c>
      <c r="E135" s="323">
        <f>VLOOKUP(B135,'26MY_ODYSSEY_DATA'!B:AR,9,FALSE)</f>
        <v>2.4500000000000002</v>
      </c>
      <c r="F135" s="323">
        <f>VLOOKUP(B135,'26MY_ODYSSEY_DATA'!B:AR,10,FALSE)</f>
        <v>4</v>
      </c>
      <c r="G135" s="332">
        <f>VLOOKUP(B135,'26MY_ODYSSEY_DATA'!B:AR,7,FALSE)</f>
        <v>0</v>
      </c>
      <c r="H135" s="324">
        <f>VLOOKUP(B135,'26MY_ODYSSEY_DATA'!B:AR,11,FALSE)</f>
        <v>4</v>
      </c>
      <c r="I135" s="333">
        <f>VLOOKUP(B135,'26MY_ODYSSEY_DATA'!B:AR,12,FALSE)</f>
        <v>0</v>
      </c>
      <c r="J135" s="333" t="str">
        <f>VLOOKUP(B135,'26MY_ODYSSEY_DATA'!B:AR,13,FALSE)</f>
        <v>•</v>
      </c>
      <c r="K135" s="333" t="str">
        <f>VLOOKUP(B135,'26MY_ODYSSEY_DATA'!B:AR,14,FALSE)</f>
        <v>•</v>
      </c>
      <c r="L135" s="333" t="str">
        <f>VLOOKUP(B135,'26MY_ODYSSEY_DATA'!B:AR,15,FALSE)</f>
        <v>•</v>
      </c>
      <c r="M135" s="333" t="str">
        <f>VLOOKUP(B135,'26MY_ODYSSEY_DATA'!B:AR,16,FALSE)</f>
        <v>•</v>
      </c>
      <c r="N135" s="333">
        <f>VLOOKUP($B135,'26MY_ODYSSEY_DATA'!$B:$AR,17,FALSE)</f>
        <v>0</v>
      </c>
      <c r="O135" s="333">
        <f>VLOOKUP($B135,'26MY_ODYSSEY_DATA'!$B:$AR,18,FALSE)</f>
        <v>0</v>
      </c>
      <c r="P135" s="333">
        <f>VLOOKUP($B135,'26MY_ODYSSEY_DATA'!$B:$AR,19,FALSE)</f>
        <v>0</v>
      </c>
      <c r="Q135" s="338" t="str">
        <f>IF(VLOOKUP(B135,'26MY_ODYSSEY_DATA'!B:AR,21,FALSE)="","",VLOOKUP(B135,'26MY_ODYSSEY_DATA'!B:AR,21,FALSE))</f>
        <v>Quantité de 5</v>
      </c>
    </row>
    <row r="136" spans="2:17" s="132" customFormat="1" ht="15" customHeight="1">
      <c r="B136" s="175" t="s">
        <v>60</v>
      </c>
      <c r="C136" s="229" t="str">
        <f>VLOOKUP(B136,'26MY_ODYSSEY_DATA'!B:AR,4,FALSE)</f>
        <v>Pointes de remplacement pour stylos de peinture</v>
      </c>
      <c r="D136" s="79" t="str">
        <f t="shared" si="25"/>
        <v>TUCH-TIPS</v>
      </c>
      <c r="E136" s="323">
        <f>VLOOKUP(B136,'26MY_ODYSSEY_DATA'!B:AR,9,FALSE)</f>
        <v>6.25</v>
      </c>
      <c r="F136" s="323">
        <f>VLOOKUP(B136,'26MY_ODYSSEY_DATA'!B:AR,10,FALSE)</f>
        <v>13.75</v>
      </c>
      <c r="G136" s="332">
        <f>VLOOKUP(B136,'26MY_ODYSSEY_DATA'!B:AR,7,FALSE)</f>
        <v>0</v>
      </c>
      <c r="H136" s="324">
        <f>VLOOKUP(B136,'26MY_ODYSSEY_DATA'!B:AR,11,FALSE)</f>
        <v>13.75</v>
      </c>
      <c r="I136" s="333">
        <f>VLOOKUP(B136,'26MY_ODYSSEY_DATA'!B:AR,12,FALSE)</f>
        <v>0</v>
      </c>
      <c r="J136" s="333" t="str">
        <f>VLOOKUP(B136,'26MY_ODYSSEY_DATA'!B:AR,13,FALSE)</f>
        <v>•</v>
      </c>
      <c r="K136" s="333" t="str">
        <f>VLOOKUP(B136,'26MY_ODYSSEY_DATA'!B:AR,14,FALSE)</f>
        <v>•</v>
      </c>
      <c r="L136" s="333" t="str">
        <f>VLOOKUP(B136,'26MY_ODYSSEY_DATA'!B:AR,15,FALSE)</f>
        <v>•</v>
      </c>
      <c r="M136" s="333" t="str">
        <f>VLOOKUP(B136,'26MY_ODYSSEY_DATA'!B:AR,16,FALSE)</f>
        <v>•</v>
      </c>
      <c r="N136" s="333">
        <f>VLOOKUP($B136,'26MY_ODYSSEY_DATA'!$B:$AR,17,FALSE)</f>
        <v>0</v>
      </c>
      <c r="O136" s="333">
        <f>VLOOKUP($B136,'26MY_ODYSSEY_DATA'!$B:$AR,18,FALSE)</f>
        <v>0</v>
      </c>
      <c r="P136" s="333">
        <f>VLOOKUP($B136,'26MY_ODYSSEY_DATA'!$B:$AR,19,FALSE)</f>
        <v>0</v>
      </c>
      <c r="Q136" s="338" t="str">
        <f>IF(VLOOKUP(B136,'26MY_ODYSSEY_DATA'!B:AR,21,FALSE)="","",VLOOKUP(B136,'26MY_ODYSSEY_DATA'!B:AR,21,FALSE))</f>
        <v>Quantité de 25</v>
      </c>
    </row>
    <row r="137" spans="2:17" s="132" customFormat="1" ht="15" customHeight="1">
      <c r="B137" s="174"/>
      <c r="C137" s="20"/>
      <c r="D137" s="26"/>
      <c r="E137" s="18"/>
      <c r="F137" s="18"/>
      <c r="G137" s="16"/>
      <c r="H137" s="17"/>
      <c r="I137" s="16"/>
      <c r="J137" s="16"/>
      <c r="K137" s="16"/>
      <c r="L137" s="16"/>
      <c r="M137" s="16"/>
      <c r="N137" s="16"/>
      <c r="O137" s="16"/>
      <c r="P137" s="16"/>
      <c r="Q137" s="16"/>
    </row>
    <row r="138" spans="2:17" s="132" customFormat="1" ht="15" customHeight="1">
      <c r="B138" s="174"/>
      <c r="C138" s="44" t="s">
        <v>110</v>
      </c>
      <c r="D138" s="43" t="s">
        <v>94</v>
      </c>
      <c r="E138" s="126"/>
      <c r="F138" s="126"/>
      <c r="G138" s="126"/>
      <c r="H138" s="126"/>
      <c r="I138" s="126"/>
      <c r="J138" s="126"/>
      <c r="K138" s="126"/>
      <c r="L138" s="126"/>
      <c r="M138" s="126"/>
      <c r="N138" s="126"/>
      <c r="O138" s="126"/>
      <c r="P138" s="126"/>
      <c r="Q138" s="126"/>
    </row>
    <row r="139" spans="2:17" ht="14.25" customHeight="1">
      <c r="C139" s="134">
        <f>'26MY_ODYSSEY_DATA'!$C$3</f>
        <v>46113</v>
      </c>
      <c r="D139" s="43" t="s">
        <v>171</v>
      </c>
      <c r="E139" s="51"/>
      <c r="F139" s="51"/>
      <c r="G139" s="51"/>
      <c r="H139" s="51"/>
      <c r="I139" s="51"/>
      <c r="J139" s="51"/>
      <c r="K139" s="51"/>
      <c r="L139" s="51"/>
      <c r="M139" s="51"/>
      <c r="N139" s="51"/>
      <c r="O139" s="51"/>
      <c r="P139" s="51"/>
      <c r="Q139" s="51"/>
    </row>
    <row r="140" spans="2:17" ht="14.25" customHeight="1"/>
    <row r="141" spans="2:17" ht="14.25" customHeight="1"/>
    <row r="142" spans="2:17" ht="14.25" customHeight="1"/>
    <row r="143" spans="2:17" ht="14.25" customHeight="1"/>
    <row r="144" spans="2:17"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sheetData>
  <mergeCells count="126">
    <mergeCell ref="O14:O17"/>
    <mergeCell ref="O19:O22"/>
    <mergeCell ref="O24:O26"/>
    <mergeCell ref="O28:O32"/>
    <mergeCell ref="O34:O39"/>
    <mergeCell ref="N14:N17"/>
    <mergeCell ref="N19:N22"/>
    <mergeCell ref="N24:N26"/>
    <mergeCell ref="N28:N32"/>
    <mergeCell ref="N34:N39"/>
    <mergeCell ref="C5:M5"/>
    <mergeCell ref="C6:M6"/>
    <mergeCell ref="C7:M7"/>
    <mergeCell ref="C8:M8"/>
    <mergeCell ref="I125:P125"/>
    <mergeCell ref="Q125:Q126"/>
    <mergeCell ref="Q98:Q99"/>
    <mergeCell ref="C110:C111"/>
    <mergeCell ref="D110:D111"/>
    <mergeCell ref="E110:E111"/>
    <mergeCell ref="F110:F111"/>
    <mergeCell ref="G110:G111"/>
    <mergeCell ref="H110:H111"/>
    <mergeCell ref="I110:P110"/>
    <mergeCell ref="Q110:Q111"/>
    <mergeCell ref="C98:C99"/>
    <mergeCell ref="D98:D99"/>
    <mergeCell ref="E98:E99"/>
    <mergeCell ref="F98:F99"/>
    <mergeCell ref="G98:G99"/>
    <mergeCell ref="H98:H99"/>
    <mergeCell ref="I98:P98"/>
    <mergeCell ref="I42:P42"/>
    <mergeCell ref="C48:C49"/>
    <mergeCell ref="D48:D49"/>
    <mergeCell ref="E48:E49"/>
    <mergeCell ref="F48:F49"/>
    <mergeCell ref="G48:G49"/>
    <mergeCell ref="H48:H49"/>
    <mergeCell ref="I48:P48"/>
    <mergeCell ref="Q48:Q49"/>
    <mergeCell ref="C42:C43"/>
    <mergeCell ref="D42:D43"/>
    <mergeCell ref="E42:E43"/>
    <mergeCell ref="F42:F43"/>
    <mergeCell ref="G42:G43"/>
    <mergeCell ref="H42:H43"/>
    <mergeCell ref="Q42:Q43"/>
    <mergeCell ref="E127:E132"/>
    <mergeCell ref="F127:F132"/>
    <mergeCell ref="G127:G132"/>
    <mergeCell ref="H127:H132"/>
    <mergeCell ref="Q127:Q132"/>
    <mergeCell ref="C125:C126"/>
    <mergeCell ref="D125:D126"/>
    <mergeCell ref="E125:E126"/>
    <mergeCell ref="F125:F126"/>
    <mergeCell ref="G125:G126"/>
    <mergeCell ref="H125:H126"/>
    <mergeCell ref="K28:K32"/>
    <mergeCell ref="L28:L32"/>
    <mergeCell ref="K24:K26"/>
    <mergeCell ref="L24:L26"/>
    <mergeCell ref="Q89:Q94"/>
    <mergeCell ref="E34:E39"/>
    <mergeCell ref="F34:F39"/>
    <mergeCell ref="G34:G39"/>
    <mergeCell ref="H34:H39"/>
    <mergeCell ref="I34:I39"/>
    <mergeCell ref="K34:K39"/>
    <mergeCell ref="L34:L39"/>
    <mergeCell ref="M34:M39"/>
    <mergeCell ref="P34:P39"/>
    <mergeCell ref="Q34:Q39"/>
    <mergeCell ref="J34:J39"/>
    <mergeCell ref="Q66:Q73"/>
    <mergeCell ref="Q82:Q87"/>
    <mergeCell ref="Q75:Q80"/>
    <mergeCell ref="K19:K22"/>
    <mergeCell ref="E19:E22"/>
    <mergeCell ref="F19:F22"/>
    <mergeCell ref="G19:G22"/>
    <mergeCell ref="H19:H22"/>
    <mergeCell ref="I19:I22"/>
    <mergeCell ref="M28:M32"/>
    <mergeCell ref="P28:P32"/>
    <mergeCell ref="Q28:Q32"/>
    <mergeCell ref="J24:J26"/>
    <mergeCell ref="E24:E26"/>
    <mergeCell ref="F24:F26"/>
    <mergeCell ref="G24:G26"/>
    <mergeCell ref="H24:H26"/>
    <mergeCell ref="I24:I26"/>
    <mergeCell ref="M24:M26"/>
    <mergeCell ref="P24:P26"/>
    <mergeCell ref="Q24:Q26"/>
    <mergeCell ref="E28:E32"/>
    <mergeCell ref="F28:F32"/>
    <mergeCell ref="G28:G32"/>
    <mergeCell ref="H28:H32"/>
    <mergeCell ref="I28:I32"/>
    <mergeCell ref="J28:J32"/>
    <mergeCell ref="Q12:Q13"/>
    <mergeCell ref="C12:C13"/>
    <mergeCell ref="D12:D13"/>
    <mergeCell ref="E12:E13"/>
    <mergeCell ref="F12:F13"/>
    <mergeCell ref="G12:G13"/>
    <mergeCell ref="H12:H13"/>
    <mergeCell ref="I12:P12"/>
    <mergeCell ref="L19:L22"/>
    <mergeCell ref="M19:M22"/>
    <mergeCell ref="P19:P22"/>
    <mergeCell ref="E14:E17"/>
    <mergeCell ref="F14:F17"/>
    <mergeCell ref="G14:G17"/>
    <mergeCell ref="H14:H17"/>
    <mergeCell ref="I14:I17"/>
    <mergeCell ref="J14:J17"/>
    <mergeCell ref="J19:J22"/>
    <mergeCell ref="Q19:Q22"/>
    <mergeCell ref="K14:K17"/>
    <mergeCell ref="L14:L17"/>
    <mergeCell ref="M14:M17"/>
    <mergeCell ref="P14:P17"/>
    <mergeCell ref="Q14:Q17"/>
  </mergeCells>
  <conditionalFormatting sqref="E1:F13 E40:F43 E46:F49 E65:F65 E74:F74 E81:F81 E88:F88 E95:F99 E108:F111 E123:F126 E133:F133 E137:F1048576">
    <cfRule type="containsText" dxfId="11" priority="12" operator="containsText" text=".99">
      <formula>NOT(ISERROR(SEARCH(".99",E1)))</formula>
    </cfRule>
  </conditionalFormatting>
  <conditionalFormatting sqref="E14:F14 E23:F24 E18:F19 E27:F28 E33:F34">
    <cfRule type="containsText" dxfId="10" priority="11" operator="containsText" text=".99">
      <formula>NOT(ISERROR(SEARCH(".99",E14)))</formula>
    </cfRule>
  </conditionalFormatting>
  <conditionalFormatting sqref="E44:F45">
    <cfRule type="containsText" dxfId="9" priority="10" operator="containsText" text=".99">
      <formula>NOT(ISERROR(SEARCH(".99",E44)))</formula>
    </cfRule>
  </conditionalFormatting>
  <conditionalFormatting sqref="E50:F64">
    <cfRule type="containsText" dxfId="8" priority="9" operator="containsText" text=".99">
      <formula>NOT(ISERROR(SEARCH(".99",E50)))</formula>
    </cfRule>
  </conditionalFormatting>
  <conditionalFormatting sqref="E66:F73">
    <cfRule type="containsText" dxfId="7" priority="8" operator="containsText" text=".99">
      <formula>NOT(ISERROR(SEARCH(".99",E66)))</formula>
    </cfRule>
  </conditionalFormatting>
  <conditionalFormatting sqref="E75:F80">
    <cfRule type="containsText" dxfId="6" priority="7" operator="containsText" text=".99">
      <formula>NOT(ISERROR(SEARCH(".99",E75)))</formula>
    </cfRule>
  </conditionalFormatting>
  <conditionalFormatting sqref="E82:F87">
    <cfRule type="containsText" dxfId="5" priority="6" operator="containsText" text=".99">
      <formula>NOT(ISERROR(SEARCH(".99",E82)))</formula>
    </cfRule>
  </conditionalFormatting>
  <conditionalFormatting sqref="E89:F94">
    <cfRule type="containsText" dxfId="4" priority="5" operator="containsText" text=".99">
      <formula>NOT(ISERROR(SEARCH(".99",E89)))</formula>
    </cfRule>
  </conditionalFormatting>
  <conditionalFormatting sqref="E100:F107">
    <cfRule type="containsText" dxfId="3" priority="4" operator="containsText" text=".99">
      <formula>NOT(ISERROR(SEARCH(".99",E100)))</formula>
    </cfRule>
  </conditionalFormatting>
  <conditionalFormatting sqref="E112:F122">
    <cfRule type="containsText" dxfId="2" priority="3" operator="containsText" text=".99">
      <formula>NOT(ISERROR(SEARCH(".99",E112)))</formula>
    </cfRule>
  </conditionalFormatting>
  <conditionalFormatting sqref="E127:F127">
    <cfRule type="containsText" dxfId="1" priority="2" operator="containsText" text=".99">
      <formula>NOT(ISERROR(SEARCH(".99",E127)))</formula>
    </cfRule>
  </conditionalFormatting>
  <conditionalFormatting sqref="E134:F136">
    <cfRule type="containsText" dxfId="0" priority="1" operator="containsText" text=".99">
      <formula>NOT(ISERROR(SEARCH(".99",E134)))</formula>
    </cfRule>
  </conditionalFormatting>
  <printOptions horizontalCentered="1"/>
  <pageMargins left="0.23622047244094499" right="0.23622047244094499" top="0.39370078740157499" bottom="0.39370078740157499" header="0.31496062992126" footer="0.31496062992126"/>
  <pageSetup scale="47" fitToHeight="0" orientation="portrait" horizontalDpi="1200" verticalDpi="1200" r:id="rId1"/>
  <headerFooter>
    <oddFooter>&amp;CPage &amp;P of &amp;N</oddFooter>
  </headerFooter>
  <rowBreaks count="1" manualBreakCount="1">
    <brk id="87" min="2" max="14"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85" zoomScaleNormal="100" zoomScaleSheetLayoutView="85" workbookViewId="0">
      <selection activeCell="B32" sqref="B32"/>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8.1" customHeight="1">
      <c r="B2" s="50"/>
      <c r="C2" s="51"/>
      <c r="D2" s="51"/>
      <c r="E2" s="51"/>
      <c r="F2" s="51"/>
      <c r="G2" s="51"/>
      <c r="H2" s="51"/>
      <c r="I2" s="51"/>
      <c r="J2" s="51"/>
      <c r="K2" s="51"/>
      <c r="L2" s="51"/>
      <c r="M2" s="51"/>
      <c r="N2" s="51"/>
      <c r="O2" s="51"/>
      <c r="R2" s="47"/>
    </row>
    <row r="3" spans="2:22" ht="25.2" customHeight="1">
      <c r="B3" s="385" t="s">
        <v>563</v>
      </c>
      <c r="C3" s="385"/>
      <c r="D3" s="385"/>
      <c r="E3" s="385"/>
      <c r="F3" s="385"/>
      <c r="G3" s="385"/>
      <c r="H3" s="385"/>
      <c r="I3" s="385"/>
      <c r="J3" s="385"/>
      <c r="K3" s="385"/>
      <c r="L3" s="385"/>
      <c r="M3" s="385"/>
      <c r="N3" s="385"/>
      <c r="O3" s="385"/>
      <c r="P3" s="385"/>
      <c r="Q3" s="385"/>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86" t="s">
        <v>97</v>
      </c>
      <c r="C6" s="386"/>
      <c r="D6" s="386"/>
      <c r="E6" s="386"/>
      <c r="F6" s="386"/>
      <c r="G6" s="386"/>
      <c r="H6" s="386"/>
      <c r="I6" s="386"/>
      <c r="J6" s="386"/>
      <c r="K6" s="386"/>
      <c r="L6" s="386"/>
      <c r="M6" s="386"/>
      <c r="N6" s="386"/>
      <c r="O6" s="386"/>
      <c r="P6" s="386"/>
      <c r="Q6" s="386"/>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87"/>
      <c r="D8" s="387"/>
      <c r="E8" s="387"/>
      <c r="F8" s="387"/>
      <c r="G8" s="51"/>
      <c r="H8" s="387"/>
      <c r="I8" s="387"/>
      <c r="J8" s="387"/>
      <c r="K8" s="387"/>
      <c r="L8" s="51"/>
      <c r="M8" s="387"/>
      <c r="N8" s="387"/>
      <c r="O8" s="387"/>
      <c r="P8" s="387"/>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06" t="str">
        <f>'26MY_ODYSSEY_APP_FR'!$C$100</f>
        <v>Protège-tapis toutes saisons - logo blanc</v>
      </c>
      <c r="D10" s="407"/>
      <c r="E10" s="407"/>
      <c r="F10" s="408"/>
      <c r="G10" s="55"/>
      <c r="H10" s="406" t="str">
        <f>'26MY_ODYSSEY_APP_FR'!$C$101</f>
        <v>Plateau de compartiment à bagages - profond</v>
      </c>
      <c r="I10" s="407"/>
      <c r="J10" s="407"/>
      <c r="K10" s="408"/>
      <c r="L10" s="55"/>
      <c r="M10" s="382" t="str">
        <f>'26MY_ODYSSEY_APP_FR'!$C$102</f>
        <v>Plateaux de coffre pliants</v>
      </c>
      <c r="N10" s="383"/>
      <c r="O10" s="383"/>
      <c r="P10" s="384"/>
      <c r="Q10" s="51"/>
      <c r="R10" s="47"/>
    </row>
    <row r="11" spans="2:22" ht="15" customHeight="1">
      <c r="B11" s="53">
        <v>20</v>
      </c>
      <c r="C11" s="74">
        <f>'26MY_ODYSSEY_APP_FR'!$H$100</f>
        <v>353.1</v>
      </c>
      <c r="D11" s="72">
        <f>-PMT($D$29/52,5*52,C11)</f>
        <v>1.6101002762968759</v>
      </c>
      <c r="E11" s="58" t="s">
        <v>30</v>
      </c>
      <c r="F11" s="75" t="str">
        <f>$C$29</f>
        <v>(6.99%)</v>
      </c>
      <c r="G11" s="51"/>
      <c r="H11" s="74">
        <f>'26MY_ODYSSEY_APP_FR'!$H$101</f>
        <v>258.10000000000002</v>
      </c>
      <c r="I11" s="72">
        <f>-PMT($D$29/52,5*52,H11)</f>
        <v>1.1769098876018798</v>
      </c>
      <c r="J11" s="58" t="s">
        <v>30</v>
      </c>
      <c r="K11" s="75" t="str">
        <f>$C$29</f>
        <v>(6.99%)</v>
      </c>
      <c r="L11" s="51"/>
      <c r="M11" s="74">
        <f>'26MY_ODYSSEY_APP_FR'!$H$102</f>
        <v>293.10000000000002</v>
      </c>
      <c r="N11" s="72">
        <f>-PMT($D$29/52,5*52,M11)</f>
        <v>1.3365063465947731</v>
      </c>
      <c r="O11" s="58" t="s">
        <v>30</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t="s">
        <v>494</v>
      </c>
      <c r="C13" s="387"/>
      <c r="D13" s="387"/>
      <c r="E13" s="387"/>
      <c r="F13" s="387"/>
      <c r="G13" s="51"/>
      <c r="H13" s="387"/>
      <c r="I13" s="387"/>
      <c r="J13" s="387"/>
      <c r="K13" s="387"/>
      <c r="L13" s="51"/>
      <c r="M13" s="387"/>
      <c r="N13" s="387"/>
      <c r="O13" s="387"/>
      <c r="P13" s="387"/>
      <c r="Q13" s="51"/>
      <c r="R13" s="47"/>
    </row>
    <row r="14" spans="2:22" ht="9" customHeight="1">
      <c r="B14" s="52"/>
      <c r="C14" s="80"/>
      <c r="D14" s="80"/>
      <c r="E14" s="80"/>
      <c r="F14" s="80"/>
      <c r="G14" s="51"/>
      <c r="H14" s="80"/>
      <c r="I14" s="80"/>
      <c r="J14" s="80"/>
      <c r="K14" s="80"/>
      <c r="L14" s="51"/>
      <c r="M14" s="80"/>
      <c r="N14" s="80"/>
      <c r="O14" s="80"/>
      <c r="P14" s="80"/>
      <c r="Q14" s="51"/>
      <c r="R14" s="47"/>
    </row>
    <row r="15" spans="2:22" ht="22.2" customHeight="1">
      <c r="B15" s="52">
        <v>20</v>
      </c>
      <c r="C15" s="388" t="str">
        <f>TEXT('26MY_ODYSSEY_APP_FR'!$C$62,0)&amp;(TEXT($B$13,0)&amp;TEXT('26MY_ODYSSEY_APP_FR'!$C$64,0))</f>
        <v xml:space="preserve">Rails de toit - Noir et Barres transversales </v>
      </c>
      <c r="D15" s="389"/>
      <c r="E15" s="389"/>
      <c r="F15" s="390"/>
      <c r="G15" s="64"/>
      <c r="H15" s="409" t="str">
        <f>TEXT('26MY_ODYSSEY_APP_FR'!$C$75,0)&amp;(TEXT($B$13,0)&amp;TEXT('26MY_ODYSSEY_APP_FR'!$C$78,0))</f>
        <v>Attelage de remorque   et Harnais pour remorque</v>
      </c>
      <c r="I15" s="410"/>
      <c r="J15" s="410"/>
      <c r="K15" s="411"/>
      <c r="L15" s="64"/>
      <c r="M15" s="412" t="str">
        <f>'26MY_ODYSSEY_APP_FR'!$C$112</f>
        <v>Garniture lumineuses de bas de portière - Avant et arrière</v>
      </c>
      <c r="N15" s="413"/>
      <c r="O15" s="413"/>
      <c r="P15" s="414"/>
      <c r="Q15" s="51"/>
      <c r="R15" s="47"/>
    </row>
    <row r="16" spans="2:22" s="63" customFormat="1" ht="15.6">
      <c r="B16" s="56">
        <v>50</v>
      </c>
      <c r="C16" s="74">
        <f>'26MY_ODYSSEY_APP_FR'!$H$62+'26MY_ODYSSEY_APP_FR'!$H$64</f>
        <v>1374.2</v>
      </c>
      <c r="D16" s="72">
        <f>-PMT($D$29/52,5*52,C16)</f>
        <v>6.2662129699438323</v>
      </c>
      <c r="E16" s="58" t="s">
        <v>30</v>
      </c>
      <c r="F16" s="75" t="str">
        <f>$C$29</f>
        <v>(6.99%)</v>
      </c>
      <c r="G16" s="60"/>
      <c r="H16" s="74">
        <f>'26MY_ODYSSEY_APP_FR'!$H$75+'26MY_ODYSSEY_APP_FR'!$H$78</f>
        <v>1679.3</v>
      </c>
      <c r="I16" s="72">
        <f>-PMT($D$29/52,5*52,H16)</f>
        <v>7.6574381024790243</v>
      </c>
      <c r="J16" s="58" t="s">
        <v>30</v>
      </c>
      <c r="K16" s="75" t="str">
        <f>$C$29</f>
        <v>(6.99%)</v>
      </c>
      <c r="L16" s="60"/>
      <c r="M16" s="74">
        <f>'26MY_ODYSSEY_APP_FR'!$H$112</f>
        <v>1108.2</v>
      </c>
      <c r="N16" s="72">
        <f>-PMT($D$29/52,5*52,M16)</f>
        <v>5.0532798815978417</v>
      </c>
      <c r="O16" s="58" t="s">
        <v>30</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87"/>
      <c r="D18" s="387"/>
      <c r="E18" s="387"/>
      <c r="F18" s="387"/>
      <c r="G18" s="51"/>
      <c r="H18" s="387"/>
      <c r="I18" s="387"/>
      <c r="J18" s="387"/>
      <c r="K18" s="387"/>
      <c r="L18" s="51"/>
      <c r="M18" s="387"/>
      <c r="N18" s="387"/>
      <c r="O18" s="387"/>
      <c r="P18" s="387"/>
      <c r="Q18" s="51"/>
    </row>
    <row r="19" spans="1:20" ht="9.75" customHeight="1">
      <c r="B19" s="52"/>
      <c r="C19" s="80"/>
      <c r="D19" s="80"/>
      <c r="E19" s="80"/>
      <c r="F19" s="80"/>
      <c r="G19" s="51"/>
      <c r="H19" s="80"/>
      <c r="I19" s="80"/>
      <c r="J19" s="80"/>
      <c r="K19" s="80"/>
      <c r="L19" s="51"/>
      <c r="M19" s="80"/>
      <c r="N19" s="80"/>
      <c r="O19" s="80"/>
      <c r="P19" s="80"/>
      <c r="Q19" s="51"/>
    </row>
    <row r="20" spans="1:20" ht="22.2" customHeight="1">
      <c r="B20" s="52">
        <v>20</v>
      </c>
      <c r="C20" s="382" t="str">
        <f>'26MY_ODYSSEY_APP_FR'!$C$58</f>
        <v>Déflecteur d’air du capot</v>
      </c>
      <c r="D20" s="383"/>
      <c r="E20" s="383"/>
      <c r="F20" s="384"/>
      <c r="G20" s="64"/>
      <c r="H20" s="393" t="str">
        <f>'26MY_ODYSSEY_APP_FR'!$C$57</f>
        <v>Pare-soleil de portière</v>
      </c>
      <c r="I20" s="383"/>
      <c r="J20" s="383"/>
      <c r="K20" s="384"/>
      <c r="L20" s="64"/>
      <c r="M20" s="394" t="str">
        <f>'26MY_ODYSSEY_APP_FR'!$C$61</f>
        <v>Tente</v>
      </c>
      <c r="N20" s="395"/>
      <c r="O20" s="395"/>
      <c r="P20" s="396"/>
      <c r="Q20" s="51"/>
    </row>
    <row r="21" spans="1:20" ht="15.6">
      <c r="B21" s="52">
        <v>50</v>
      </c>
      <c r="C21" s="74">
        <f>'26MY_ODYSSEY_APP_FR'!$H$58</f>
        <v>440.5</v>
      </c>
      <c r="D21" s="72">
        <f>-PMT($D$29/52,5*52,C21)</f>
        <v>2.0086354338962726</v>
      </c>
      <c r="E21" s="58" t="s">
        <v>30</v>
      </c>
      <c r="F21" s="76" t="str">
        <f>$C$29</f>
        <v>(6.99%)</v>
      </c>
      <c r="G21" s="60"/>
      <c r="H21" s="74">
        <f>'26MY_ODYSSEY_APP_FR'!$H$57</f>
        <v>492.5</v>
      </c>
      <c r="I21" s="72">
        <f>-PMT($D$29/52,5*52,H21)</f>
        <v>2.2457501729714284</v>
      </c>
      <c r="J21" s="58" t="s">
        <v>30</v>
      </c>
      <c r="K21" s="76" t="str">
        <f>$C$29</f>
        <v>(6.99%)</v>
      </c>
      <c r="L21" s="60"/>
      <c r="M21" s="74">
        <f>'26MY_ODYSSEY_APP_FR'!$H$61</f>
        <v>700</v>
      </c>
      <c r="N21" s="72">
        <f>-PMT($D$29/52,5*52,M21)</f>
        <v>3.1919291798578682</v>
      </c>
      <c r="O21" s="58" t="s">
        <v>30</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49</v>
      </c>
      <c r="D23" s="51"/>
      <c r="E23" s="51"/>
      <c r="F23" s="51"/>
      <c r="G23" s="51"/>
      <c r="H23" s="51"/>
      <c r="I23" s="51"/>
      <c r="J23" s="51"/>
      <c r="K23" s="51"/>
      <c r="L23" s="51"/>
      <c r="M23" s="51"/>
      <c r="N23" s="51"/>
      <c r="O23" s="51"/>
      <c r="P23" s="51"/>
      <c r="Q23" s="51"/>
    </row>
    <row r="24" spans="1:20" ht="15" customHeight="1">
      <c r="B24" s="65"/>
      <c r="C24" s="66" t="s">
        <v>50</v>
      </c>
      <c r="D24" s="51"/>
      <c r="E24" s="51"/>
      <c r="F24" s="51"/>
      <c r="G24" s="67"/>
      <c r="H24" s="67"/>
      <c r="I24" s="67"/>
      <c r="J24" s="67"/>
      <c r="K24" s="67"/>
      <c r="L24" s="67"/>
      <c r="M24" s="67"/>
      <c r="N24" s="67"/>
      <c r="O24" s="67"/>
      <c r="P24" s="67"/>
      <c r="Q24" s="51"/>
    </row>
    <row r="25" spans="1:20" ht="15" customHeight="1">
      <c r="B25" s="65">
        <v>20</v>
      </c>
      <c r="C25" s="66" t="s">
        <v>96</v>
      </c>
      <c r="D25" s="51"/>
      <c r="E25" s="51"/>
      <c r="F25" s="51"/>
      <c r="G25" s="67"/>
      <c r="H25" s="67"/>
      <c r="I25" s="67"/>
      <c r="J25" s="67"/>
      <c r="K25" s="67"/>
      <c r="L25" s="67"/>
      <c r="M25" s="67"/>
      <c r="N25" s="67"/>
      <c r="O25" s="67"/>
      <c r="P25" s="67"/>
      <c r="Q25" s="51"/>
    </row>
    <row r="26" spans="1:20" ht="85.5" customHeight="1">
      <c r="B26" s="52">
        <v>60</v>
      </c>
      <c r="C26" s="391" t="s">
        <v>111</v>
      </c>
      <c r="D26" s="391"/>
      <c r="E26" s="391"/>
      <c r="F26" s="391"/>
      <c r="G26" s="391"/>
      <c r="H26" s="391"/>
      <c r="I26" s="391"/>
      <c r="J26" s="391"/>
      <c r="K26" s="391"/>
      <c r="L26" s="391"/>
      <c r="M26" s="391"/>
      <c r="N26" s="391"/>
      <c r="O26" s="391"/>
      <c r="P26" s="391"/>
      <c r="Q26" s="51"/>
    </row>
    <row r="27" spans="1:20" ht="20.25" customHeight="1" thickBot="1">
      <c r="B27" s="241"/>
      <c r="C27" s="242" t="s">
        <v>95</v>
      </c>
      <c r="D27" s="243"/>
      <c r="E27" s="244"/>
      <c r="F27" s="243"/>
      <c r="G27" s="245"/>
      <c r="H27" s="245"/>
      <c r="I27" s="245"/>
      <c r="J27" s="245"/>
      <c r="K27" s="246"/>
      <c r="L27" s="246"/>
      <c r="M27" s="246"/>
      <c r="N27" s="247"/>
      <c r="O27" s="392"/>
      <c r="P27" s="392"/>
      <c r="Q27" s="248"/>
    </row>
    <row r="28" spans="1:20" ht="20.25" customHeight="1">
      <c r="A28" s="68"/>
      <c r="B28" s="236">
        <v>20</v>
      </c>
      <c r="C28" s="238"/>
      <c r="D28" s="236"/>
      <c r="E28" s="235"/>
      <c r="F28" s="236"/>
      <c r="G28" s="237"/>
      <c r="H28" s="237"/>
      <c r="I28" s="237"/>
      <c r="J28" s="237"/>
      <c r="K28" s="238"/>
      <c r="L28" s="238"/>
      <c r="M28" s="238"/>
      <c r="N28" s="238"/>
      <c r="O28" s="238"/>
      <c r="P28" s="77"/>
      <c r="Q28" s="51"/>
    </row>
    <row r="29" spans="1:20" ht="18" customHeight="1">
      <c r="A29" s="68"/>
      <c r="B29" s="236">
        <v>18</v>
      </c>
      <c r="C29" s="234" t="s">
        <v>112</v>
      </c>
      <c r="D29" s="235">
        <v>6.9900000000000004E-2</v>
      </c>
      <c r="E29" s="235"/>
      <c r="F29" s="236"/>
      <c r="G29" s="237"/>
      <c r="H29" s="237"/>
      <c r="I29" s="237"/>
      <c r="J29" s="237"/>
      <c r="K29" s="238"/>
      <c r="L29" s="238"/>
      <c r="M29" s="238"/>
      <c r="N29" s="238"/>
      <c r="O29" s="238"/>
      <c r="P29" s="77"/>
      <c r="Q29" s="51"/>
    </row>
    <row r="30" spans="1:20" s="51" customFormat="1" ht="15" customHeight="1">
      <c r="A30" s="69"/>
      <c r="B30" s="239">
        <v>7.5</v>
      </c>
      <c r="C30" s="239">
        <v>12</v>
      </c>
      <c r="D30" s="239">
        <v>8</v>
      </c>
      <c r="E30" s="239">
        <v>8</v>
      </c>
      <c r="F30" s="239">
        <v>10</v>
      </c>
      <c r="G30" s="239">
        <v>8.5</v>
      </c>
      <c r="H30" s="239">
        <v>12</v>
      </c>
      <c r="I30" s="239">
        <v>8</v>
      </c>
      <c r="J30" s="239">
        <v>8</v>
      </c>
      <c r="K30" s="239">
        <v>10</v>
      </c>
      <c r="L30" s="239">
        <v>8.5</v>
      </c>
      <c r="M30" s="239">
        <v>12</v>
      </c>
      <c r="N30" s="239">
        <v>8</v>
      </c>
      <c r="O30" s="239">
        <v>8</v>
      </c>
      <c r="P30" s="52">
        <v>10</v>
      </c>
      <c r="Q30" s="52">
        <v>7.5</v>
      </c>
    </row>
    <row r="31" spans="1:20" s="51" customFormat="1" ht="22.2" customHeight="1">
      <c r="A31" s="69"/>
      <c r="B31" s="240" t="s">
        <v>110</v>
      </c>
      <c r="C31" s="233">
        <f>'26MY_ODYSSEY_DATA'!$C$3</f>
        <v>46113</v>
      </c>
      <c r="D31" s="67" t="s">
        <v>94</v>
      </c>
      <c r="E31" s="230"/>
      <c r="F31" s="230"/>
      <c r="G31" s="230"/>
      <c r="H31" s="230"/>
      <c r="I31" s="230"/>
      <c r="J31" s="230"/>
      <c r="K31" s="230"/>
      <c r="L31" s="230"/>
      <c r="M31" s="230"/>
      <c r="N31" s="230"/>
      <c r="O31" s="65"/>
      <c r="P31" s="232" t="s">
        <v>58</v>
      </c>
      <c r="Q31" s="231" t="str">
        <f>'26MY_ODYSSEY_DATA'!L5</f>
        <v>YT</v>
      </c>
    </row>
    <row r="32" spans="1:20" ht="15.6">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26MY_ODYSSEY_DATA</vt:lpstr>
      <vt:lpstr>SELECT PROVINCE</vt:lpstr>
      <vt:lpstr>26MY_ODYSSEY_APP_EN</vt:lpstr>
      <vt:lpstr>25MY_ODYSSEY_SELL-EN</vt:lpstr>
      <vt:lpstr>26MY_ODYSSEY_APP_FR</vt:lpstr>
      <vt:lpstr>25MY_ODYSSEY_SELL-FR</vt:lpstr>
      <vt:lpstr>'25MY_ODYSSEY_SELL-EN'!Print_Area</vt:lpstr>
      <vt:lpstr>'25MY_ODYSSEY_SELL-FR'!Print_Area</vt:lpstr>
      <vt:lpstr>'26MY_ODYSSEY_APP_EN'!Print_Area</vt:lpstr>
      <vt:lpstr>'26MY_ODYSSEY_APP_FR'!Print_Area</vt:lpstr>
      <vt:lpstr>'SELECT PROVINCE'!Print_Area</vt:lpstr>
      <vt:lpstr>'26MY_ODYSSEY_APP_EN'!Print_Titles</vt:lpstr>
      <vt:lpstr>'26MY_ODYSSEY_APP_FR'!Print_Titles</vt:lpstr>
      <vt:lpstr>'26MY_ODYSSEY_DATA'!Print_Titles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2026-03-17T20:30:30Z</cp:lastPrinted>
  <dcterms:created xsi:type="dcterms:W3CDTF">2013-01-30T20:30:05Z</dcterms:created>
  <dcterms:modified xsi:type="dcterms:W3CDTF">2026-03-25T19:16:25Z</dcterms:modified>
</cp:coreProperties>
</file>