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Passport\"/>
    </mc:Choice>
  </mc:AlternateContent>
  <xr:revisionPtr revIDLastSave="0" documentId="13_ncr:1_{8EB4DFA4-FDFA-435B-8944-B99842E08052}" xr6:coauthVersionLast="47" xr6:coauthVersionMax="47" xr10:uidLastSave="{00000000-0000-0000-0000-000000000000}"/>
  <workbookProtection workbookAlgorithmName="SHA-512" workbookHashValue="rF/4HBm4XyDEofjENdTxeQJ0HNMX3gJp8PPpy8OZOO6OBNhvd+P0CRxM4cCK/8OGIzU0gTifYq8AtofvRwxHaQ==" workbookSaltValue="oe+A2S+B9zLhet8+7y6S/g==" workbookSpinCount="100000" lockStructure="1"/>
  <bookViews>
    <workbookView xWindow="-108" yWindow="-108" windowWidth="30936" windowHeight="16776" tabRatio="843" firstSheet="3" activeTab="3" xr2:uid="{00000000-000D-0000-FFFF-FFFF00000000}"/>
  </bookViews>
  <sheets>
    <sheet name="Sell Sheet Formula" sheetId="128" state="hidden" r:id="rId1"/>
    <sheet name="Hierarchy" sheetId="201" state="hidden" r:id="rId2"/>
    <sheet name="26MY_PASSPORT_DATA" sheetId="174" state="hidden" r:id="rId3"/>
    <sheet name="SELECT PROVINCE" sheetId="1" r:id="rId4"/>
    <sheet name="26MY_Passport_APP_EN" sheetId="197" r:id="rId5"/>
    <sheet name="26MY_Passport_SELL_EN" sheetId="195" r:id="rId6"/>
    <sheet name="26MY_Passport_APP_FR" sheetId="202" r:id="rId7"/>
    <sheet name="26MY_Passport_SELL_FR" sheetId="204" r:id="rId8"/>
  </sheets>
  <externalReferences>
    <externalReference r:id="rId9"/>
    <externalReference r:id="rId10"/>
  </externalReferences>
  <definedNames>
    <definedName name="_xlnm._FilterDatabase" localSheetId="2" hidden="1">'26MY_PASSPORT_DATA'!$A$7:$BC$82</definedName>
    <definedName name="_xlnm._FilterDatabase" localSheetId="1" hidden="1">Hierarchy!$A$1:$M$60</definedName>
    <definedName name="BC" localSheetId="0">#REF!</definedName>
    <definedName name="_xlnm.Print_Area" localSheetId="4">'26MY_Passport_APP_EN'!$C$2:$Q$134</definedName>
    <definedName name="_xlnm.Print_Area" localSheetId="6">'26MY_Passport_APP_FR'!$C$2:$Q$130</definedName>
    <definedName name="_xlnm.Print_Area" localSheetId="5">'26MY_Passport_SELL_EN'!$B$2:$Q$31</definedName>
    <definedName name="_xlnm.Print_Area" localSheetId="7">'26MY_Passport_SELL_FR'!$B$2:$Q$31</definedName>
    <definedName name="_xlnm.Print_Area" localSheetId="3">'SELECT PROVINCE'!$A$1:$M$34</definedName>
    <definedName name="_xlnm.Print_Titles" localSheetId="4">'26MY_Passport_APP_EN'!$12:$13</definedName>
    <definedName name="_xlnm.Print_Titles" localSheetId="6">'26MY_Passport_APP_FR'!$12:$13</definedName>
    <definedName name="_xlnm.Print_Titles" localSheetId="2">'26MY_PASSPORT_DATA'!$2:$3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 l="1"/>
  <c r="H9" i="174"/>
  <c r="Q110" i="202" l="1"/>
  <c r="P110" i="202"/>
  <c r="O110" i="202"/>
  <c r="N110" i="202"/>
  <c r="M110" i="202"/>
  <c r="L110" i="202"/>
  <c r="K110" i="202"/>
  <c r="J110" i="202"/>
  <c r="I110" i="202"/>
  <c r="G110" i="202"/>
  <c r="D110" i="202"/>
  <c r="C110" i="202"/>
  <c r="Q110" i="197"/>
  <c r="P110" i="197"/>
  <c r="O110" i="197"/>
  <c r="N110" i="197"/>
  <c r="M110" i="197"/>
  <c r="L110" i="197"/>
  <c r="K110" i="197"/>
  <c r="J110" i="197"/>
  <c r="I110" i="197"/>
  <c r="G110" i="197"/>
  <c r="D110" i="197"/>
  <c r="C110" i="197"/>
  <c r="J69" i="174" l="1"/>
  <c r="C69" i="174"/>
  <c r="K69" i="174"/>
  <c r="Q80" i="202"/>
  <c r="Q80" i="197"/>
  <c r="G126" i="202"/>
  <c r="I126" i="202"/>
  <c r="J126" i="202"/>
  <c r="K126" i="202"/>
  <c r="L126" i="202"/>
  <c r="M126" i="202"/>
  <c r="N126" i="202"/>
  <c r="O126" i="202"/>
  <c r="P126" i="202"/>
  <c r="Q126" i="202"/>
  <c r="G127" i="202"/>
  <c r="I127" i="202"/>
  <c r="J127" i="202"/>
  <c r="K127" i="202"/>
  <c r="L127" i="202"/>
  <c r="M127" i="202"/>
  <c r="N127" i="202"/>
  <c r="O127" i="202"/>
  <c r="P127" i="202"/>
  <c r="Q127" i="202"/>
  <c r="Q125" i="202"/>
  <c r="P125" i="202"/>
  <c r="O125" i="202"/>
  <c r="N125" i="202"/>
  <c r="M125" i="202"/>
  <c r="L125" i="202"/>
  <c r="K125" i="202"/>
  <c r="J125" i="202"/>
  <c r="I125" i="202"/>
  <c r="G125" i="202"/>
  <c r="I119" i="202"/>
  <c r="J119" i="202"/>
  <c r="K119" i="202"/>
  <c r="L119" i="202"/>
  <c r="M119" i="202"/>
  <c r="N119" i="202"/>
  <c r="O119" i="202"/>
  <c r="P119" i="202"/>
  <c r="Q119" i="202"/>
  <c r="I120" i="202"/>
  <c r="J120" i="202"/>
  <c r="K120" i="202"/>
  <c r="L120" i="202"/>
  <c r="M120" i="202"/>
  <c r="N120" i="202"/>
  <c r="O120" i="202"/>
  <c r="P120" i="202"/>
  <c r="Q120" i="202"/>
  <c r="I121" i="202"/>
  <c r="J121" i="202"/>
  <c r="K121" i="202"/>
  <c r="L121" i="202"/>
  <c r="M121" i="202"/>
  <c r="N121" i="202"/>
  <c r="O121" i="202"/>
  <c r="P121" i="202"/>
  <c r="Q121" i="202"/>
  <c r="I122" i="202"/>
  <c r="J122" i="202"/>
  <c r="K122" i="202"/>
  <c r="L122" i="202"/>
  <c r="M122" i="202"/>
  <c r="N122" i="202"/>
  <c r="O122" i="202"/>
  <c r="P122" i="202"/>
  <c r="Q122" i="202"/>
  <c r="I123" i="202"/>
  <c r="J123" i="202"/>
  <c r="K123" i="202"/>
  <c r="L123" i="202"/>
  <c r="M123" i="202"/>
  <c r="N123" i="202"/>
  <c r="O123" i="202"/>
  <c r="P123" i="202"/>
  <c r="Q123" i="202"/>
  <c r="Q118" i="202"/>
  <c r="P118" i="202"/>
  <c r="O118" i="202"/>
  <c r="N118" i="202"/>
  <c r="M118" i="202"/>
  <c r="L118" i="202"/>
  <c r="K118" i="202"/>
  <c r="J118" i="202"/>
  <c r="I118" i="202"/>
  <c r="G118" i="202"/>
  <c r="E109" i="202"/>
  <c r="F109" i="202"/>
  <c r="G109" i="202"/>
  <c r="H109" i="202"/>
  <c r="I109" i="202"/>
  <c r="J109" i="202"/>
  <c r="K109" i="202"/>
  <c r="L109" i="202"/>
  <c r="M109" i="202"/>
  <c r="N109" i="202"/>
  <c r="O109" i="202"/>
  <c r="P109" i="202"/>
  <c r="Q109" i="202"/>
  <c r="G111" i="202"/>
  <c r="I111" i="202"/>
  <c r="J111" i="202"/>
  <c r="K111" i="202"/>
  <c r="L111" i="202"/>
  <c r="M111" i="202"/>
  <c r="N111" i="202"/>
  <c r="O111" i="202"/>
  <c r="P111" i="202"/>
  <c r="Q111" i="202"/>
  <c r="G112" i="202"/>
  <c r="I112" i="202"/>
  <c r="J112" i="202"/>
  <c r="K112" i="202"/>
  <c r="L112" i="202"/>
  <c r="M112" i="202"/>
  <c r="N112" i="202"/>
  <c r="O112" i="202"/>
  <c r="P112" i="202"/>
  <c r="Q112" i="202"/>
  <c r="G113" i="202"/>
  <c r="I113" i="202"/>
  <c r="J113" i="202"/>
  <c r="K113" i="202"/>
  <c r="L113" i="202"/>
  <c r="M113" i="202"/>
  <c r="N113" i="202"/>
  <c r="O113" i="202"/>
  <c r="P113" i="202"/>
  <c r="Q113" i="202"/>
  <c r="Q108" i="202"/>
  <c r="P108" i="202"/>
  <c r="O108" i="202"/>
  <c r="N108" i="202"/>
  <c r="M108" i="202"/>
  <c r="L108" i="202"/>
  <c r="K108" i="202"/>
  <c r="J108" i="202"/>
  <c r="I108" i="202"/>
  <c r="G108" i="202"/>
  <c r="G93" i="202"/>
  <c r="I93" i="202"/>
  <c r="J93" i="202"/>
  <c r="K93" i="202"/>
  <c r="L93" i="202"/>
  <c r="M93" i="202"/>
  <c r="N93" i="202"/>
  <c r="O93" i="202"/>
  <c r="P93" i="202"/>
  <c r="Q93" i="202"/>
  <c r="G94" i="202"/>
  <c r="I94" i="202"/>
  <c r="J94" i="202"/>
  <c r="K94" i="202"/>
  <c r="L94" i="202"/>
  <c r="M94" i="202"/>
  <c r="N94" i="202"/>
  <c r="O94" i="202"/>
  <c r="P94" i="202"/>
  <c r="Q94" i="202"/>
  <c r="G95" i="202"/>
  <c r="I95" i="202"/>
  <c r="J95" i="202"/>
  <c r="K95" i="202"/>
  <c r="L95" i="202"/>
  <c r="M95" i="202"/>
  <c r="N95" i="202"/>
  <c r="O95" i="202"/>
  <c r="P95" i="202"/>
  <c r="Q95" i="202"/>
  <c r="G96" i="202"/>
  <c r="I96" i="202"/>
  <c r="J96" i="202"/>
  <c r="K96" i="202"/>
  <c r="L96" i="202"/>
  <c r="M96" i="202"/>
  <c r="N96" i="202"/>
  <c r="O96" i="202"/>
  <c r="P96" i="202"/>
  <c r="Q96" i="202"/>
  <c r="G97" i="202"/>
  <c r="I97" i="202"/>
  <c r="J97" i="202"/>
  <c r="K97" i="202"/>
  <c r="L97" i="202"/>
  <c r="M97" i="202"/>
  <c r="N97" i="202"/>
  <c r="O97" i="202"/>
  <c r="P97" i="202"/>
  <c r="Q97" i="202"/>
  <c r="G98" i="202"/>
  <c r="I98" i="202"/>
  <c r="J98" i="202"/>
  <c r="K98" i="202"/>
  <c r="L98" i="202"/>
  <c r="M98" i="202"/>
  <c r="N98" i="202"/>
  <c r="O98" i="202"/>
  <c r="P98" i="202"/>
  <c r="Q98" i="202"/>
  <c r="G99" i="202"/>
  <c r="I99" i="202"/>
  <c r="J99" i="202"/>
  <c r="K99" i="202"/>
  <c r="L99" i="202"/>
  <c r="M99" i="202"/>
  <c r="N99" i="202"/>
  <c r="O99" i="202"/>
  <c r="P99" i="202"/>
  <c r="Q99" i="202"/>
  <c r="G100" i="202"/>
  <c r="I100" i="202"/>
  <c r="J100" i="202"/>
  <c r="K100" i="202"/>
  <c r="L100" i="202"/>
  <c r="M100" i="202"/>
  <c r="N100" i="202"/>
  <c r="O100" i="202"/>
  <c r="P100" i="202"/>
  <c r="Q100" i="202"/>
  <c r="G101" i="202"/>
  <c r="I101" i="202"/>
  <c r="J101" i="202"/>
  <c r="K101" i="202"/>
  <c r="L101" i="202"/>
  <c r="M101" i="202"/>
  <c r="N101" i="202"/>
  <c r="O101" i="202"/>
  <c r="P101" i="202"/>
  <c r="Q101" i="202"/>
  <c r="G102" i="202"/>
  <c r="I102" i="202"/>
  <c r="J102" i="202"/>
  <c r="K102" i="202"/>
  <c r="L102" i="202"/>
  <c r="M102" i="202"/>
  <c r="N102" i="202"/>
  <c r="O102" i="202"/>
  <c r="P102" i="202"/>
  <c r="Q102" i="202"/>
  <c r="G103" i="202"/>
  <c r="I103" i="202"/>
  <c r="J103" i="202"/>
  <c r="K103" i="202"/>
  <c r="L103" i="202"/>
  <c r="M103" i="202"/>
  <c r="N103" i="202"/>
  <c r="O103" i="202"/>
  <c r="P103" i="202"/>
  <c r="Q103" i="202"/>
  <c r="Q92" i="202"/>
  <c r="P92" i="202"/>
  <c r="O92" i="202"/>
  <c r="N92" i="202"/>
  <c r="M92" i="202"/>
  <c r="L92" i="202"/>
  <c r="K92" i="202"/>
  <c r="J92" i="202"/>
  <c r="I92" i="202"/>
  <c r="G92" i="202"/>
  <c r="G80" i="202"/>
  <c r="I80" i="202"/>
  <c r="J80" i="202"/>
  <c r="K80" i="202"/>
  <c r="L80" i="202"/>
  <c r="M80" i="202"/>
  <c r="N80" i="202"/>
  <c r="O80" i="202"/>
  <c r="P80" i="202"/>
  <c r="G81" i="202"/>
  <c r="I81" i="202"/>
  <c r="J81" i="202"/>
  <c r="K81" i="202"/>
  <c r="L81" i="202"/>
  <c r="M81" i="202"/>
  <c r="N81" i="202"/>
  <c r="O81" i="202"/>
  <c r="P81" i="202"/>
  <c r="G82" i="202"/>
  <c r="I82" i="202"/>
  <c r="J82" i="202"/>
  <c r="K82" i="202"/>
  <c r="L82" i="202"/>
  <c r="M82" i="202"/>
  <c r="N82" i="202"/>
  <c r="O82" i="202"/>
  <c r="P82" i="202"/>
  <c r="G83" i="202"/>
  <c r="I83" i="202"/>
  <c r="J83" i="202"/>
  <c r="K83" i="202"/>
  <c r="L83" i="202"/>
  <c r="M83" i="202"/>
  <c r="N83" i="202"/>
  <c r="O83" i="202"/>
  <c r="P83" i="202"/>
  <c r="G84" i="202"/>
  <c r="I84" i="202"/>
  <c r="J84" i="202"/>
  <c r="K84" i="202"/>
  <c r="L84" i="202"/>
  <c r="M84" i="202"/>
  <c r="N84" i="202"/>
  <c r="O84" i="202"/>
  <c r="P84" i="202"/>
  <c r="G85" i="202"/>
  <c r="I85" i="202"/>
  <c r="J85" i="202"/>
  <c r="K85" i="202"/>
  <c r="L85" i="202"/>
  <c r="M85" i="202"/>
  <c r="N85" i="202"/>
  <c r="O85" i="202"/>
  <c r="P85" i="202"/>
  <c r="G86" i="202"/>
  <c r="I86" i="202"/>
  <c r="J86" i="202"/>
  <c r="K86" i="202"/>
  <c r="L86" i="202"/>
  <c r="M86" i="202"/>
  <c r="N86" i="202"/>
  <c r="O86" i="202"/>
  <c r="P86" i="202"/>
  <c r="G87" i="202"/>
  <c r="I87" i="202"/>
  <c r="J87" i="202"/>
  <c r="K87" i="202"/>
  <c r="L87" i="202"/>
  <c r="M87" i="202"/>
  <c r="N87" i="202"/>
  <c r="O87" i="202"/>
  <c r="P87" i="202"/>
  <c r="Q79" i="202"/>
  <c r="P79" i="202"/>
  <c r="O79" i="202"/>
  <c r="N79" i="202"/>
  <c r="M79" i="202"/>
  <c r="L79" i="202"/>
  <c r="K79" i="202"/>
  <c r="J79" i="202"/>
  <c r="I79" i="202"/>
  <c r="G79" i="202"/>
  <c r="G71" i="202"/>
  <c r="I71" i="202"/>
  <c r="J71" i="202"/>
  <c r="K71" i="202"/>
  <c r="L71" i="202"/>
  <c r="M71" i="202"/>
  <c r="N71" i="202"/>
  <c r="O71" i="202"/>
  <c r="P71" i="202"/>
  <c r="Q71" i="202"/>
  <c r="G72" i="202"/>
  <c r="I72" i="202"/>
  <c r="J72" i="202"/>
  <c r="K72" i="202"/>
  <c r="L72" i="202"/>
  <c r="M72" i="202"/>
  <c r="N72" i="202"/>
  <c r="O72" i="202"/>
  <c r="P72" i="202"/>
  <c r="Q72" i="202"/>
  <c r="G73" i="202"/>
  <c r="I73" i="202"/>
  <c r="J73" i="202"/>
  <c r="K73" i="202"/>
  <c r="L73" i="202"/>
  <c r="M73" i="202"/>
  <c r="N73" i="202"/>
  <c r="O73" i="202"/>
  <c r="P73" i="202"/>
  <c r="Q73" i="202"/>
  <c r="G74" i="202"/>
  <c r="I74" i="202"/>
  <c r="J74" i="202"/>
  <c r="K74" i="202"/>
  <c r="L74" i="202"/>
  <c r="M74" i="202"/>
  <c r="N74" i="202"/>
  <c r="O74" i="202"/>
  <c r="P74" i="202"/>
  <c r="Q74" i="202"/>
  <c r="G75" i="202"/>
  <c r="I75" i="202"/>
  <c r="J75" i="202"/>
  <c r="K75" i="202"/>
  <c r="L75" i="202"/>
  <c r="M75" i="202"/>
  <c r="N75" i="202"/>
  <c r="O75" i="202"/>
  <c r="P75" i="202"/>
  <c r="Q75" i="202"/>
  <c r="G76" i="202"/>
  <c r="I76" i="202"/>
  <c r="J76" i="202"/>
  <c r="K76" i="202"/>
  <c r="L76" i="202"/>
  <c r="M76" i="202"/>
  <c r="N76" i="202"/>
  <c r="O76" i="202"/>
  <c r="P76" i="202"/>
  <c r="Q76" i="202"/>
  <c r="G77" i="202"/>
  <c r="I77" i="202"/>
  <c r="J77" i="202"/>
  <c r="K77" i="202"/>
  <c r="L77" i="202"/>
  <c r="M77" i="202"/>
  <c r="N77" i="202"/>
  <c r="O77" i="202"/>
  <c r="P77" i="202"/>
  <c r="Q77" i="202"/>
  <c r="Q70" i="202"/>
  <c r="P70" i="202"/>
  <c r="O70" i="202"/>
  <c r="N70" i="202"/>
  <c r="M70" i="202"/>
  <c r="L70" i="202"/>
  <c r="K70" i="202"/>
  <c r="J70" i="202"/>
  <c r="I70" i="202"/>
  <c r="G70" i="202"/>
  <c r="G62" i="202"/>
  <c r="I62" i="202"/>
  <c r="J62" i="202"/>
  <c r="K62" i="202"/>
  <c r="L62" i="202"/>
  <c r="M62" i="202"/>
  <c r="N62" i="202"/>
  <c r="O62" i="202"/>
  <c r="P62" i="202"/>
  <c r="Q62" i="202"/>
  <c r="G63" i="202"/>
  <c r="I63" i="202"/>
  <c r="J63" i="202"/>
  <c r="K63" i="202"/>
  <c r="L63" i="202"/>
  <c r="M63" i="202"/>
  <c r="N63" i="202"/>
  <c r="O63" i="202"/>
  <c r="P63" i="202"/>
  <c r="Q63" i="202"/>
  <c r="G64" i="202"/>
  <c r="I64" i="202"/>
  <c r="J64" i="202"/>
  <c r="K64" i="202"/>
  <c r="L64" i="202"/>
  <c r="M64" i="202"/>
  <c r="N64" i="202"/>
  <c r="O64" i="202"/>
  <c r="P64" i="202"/>
  <c r="Q64" i="202"/>
  <c r="G65" i="202"/>
  <c r="I65" i="202"/>
  <c r="J65" i="202"/>
  <c r="K65" i="202"/>
  <c r="L65" i="202"/>
  <c r="M65" i="202"/>
  <c r="N65" i="202"/>
  <c r="O65" i="202"/>
  <c r="P65" i="202"/>
  <c r="Q65" i="202"/>
  <c r="G66" i="202"/>
  <c r="I66" i="202"/>
  <c r="J66" i="202"/>
  <c r="K66" i="202"/>
  <c r="L66" i="202"/>
  <c r="M66" i="202"/>
  <c r="N66" i="202"/>
  <c r="O66" i="202"/>
  <c r="P66" i="202"/>
  <c r="Q66" i="202"/>
  <c r="G67" i="202"/>
  <c r="I67" i="202"/>
  <c r="J67" i="202"/>
  <c r="K67" i="202"/>
  <c r="L67" i="202"/>
  <c r="M67" i="202"/>
  <c r="N67" i="202"/>
  <c r="O67" i="202"/>
  <c r="P67" i="202"/>
  <c r="Q67" i="202"/>
  <c r="G68" i="202"/>
  <c r="I68" i="202"/>
  <c r="J68" i="202"/>
  <c r="K68" i="202"/>
  <c r="L68" i="202"/>
  <c r="M68" i="202"/>
  <c r="N68" i="202"/>
  <c r="O68" i="202"/>
  <c r="P68" i="202"/>
  <c r="Q68" i="202"/>
  <c r="Q61" i="202"/>
  <c r="P61" i="202"/>
  <c r="O61" i="202"/>
  <c r="N61" i="202"/>
  <c r="M61" i="202"/>
  <c r="L61" i="202"/>
  <c r="K61" i="202"/>
  <c r="J61" i="202"/>
  <c r="I61" i="202"/>
  <c r="G61" i="202"/>
  <c r="G53" i="202"/>
  <c r="I53" i="202"/>
  <c r="J53" i="202"/>
  <c r="K53" i="202"/>
  <c r="L53" i="202"/>
  <c r="M53" i="202"/>
  <c r="N53" i="202"/>
  <c r="O53" i="202"/>
  <c r="P53" i="202"/>
  <c r="Q53" i="202"/>
  <c r="G54" i="202"/>
  <c r="I54" i="202"/>
  <c r="J54" i="202"/>
  <c r="K54" i="202"/>
  <c r="L54" i="202"/>
  <c r="M54" i="202"/>
  <c r="N54" i="202"/>
  <c r="O54" i="202"/>
  <c r="P54" i="202"/>
  <c r="Q54" i="202"/>
  <c r="G55" i="202"/>
  <c r="I55" i="202"/>
  <c r="J55" i="202"/>
  <c r="K55" i="202"/>
  <c r="L55" i="202"/>
  <c r="M55" i="202"/>
  <c r="N55" i="202"/>
  <c r="O55" i="202"/>
  <c r="P55" i="202"/>
  <c r="Q55" i="202"/>
  <c r="Q52" i="202"/>
  <c r="P52" i="202"/>
  <c r="O52" i="202"/>
  <c r="N52" i="202"/>
  <c r="M52" i="202"/>
  <c r="L52" i="202"/>
  <c r="K52" i="202"/>
  <c r="J52" i="202"/>
  <c r="I52" i="202"/>
  <c r="G52" i="202"/>
  <c r="Q45" i="202"/>
  <c r="Q38" i="202"/>
  <c r="Q33" i="202"/>
  <c r="Q28" i="202"/>
  <c r="Q24" i="202"/>
  <c r="Q18" i="202"/>
  <c r="Q14" i="202"/>
  <c r="P45" i="202"/>
  <c r="O45" i="202"/>
  <c r="N45" i="202"/>
  <c r="M45" i="202"/>
  <c r="L45" i="202"/>
  <c r="K45" i="202"/>
  <c r="J45" i="202"/>
  <c r="I45" i="202"/>
  <c r="P38" i="202"/>
  <c r="O38" i="202"/>
  <c r="N38" i="202"/>
  <c r="M38" i="202"/>
  <c r="L38" i="202"/>
  <c r="K38" i="202"/>
  <c r="J38" i="202"/>
  <c r="I38" i="202"/>
  <c r="P33" i="202"/>
  <c r="O33" i="202"/>
  <c r="N33" i="202"/>
  <c r="M33" i="202"/>
  <c r="L33" i="202"/>
  <c r="K33" i="202"/>
  <c r="J33" i="202"/>
  <c r="I33" i="202"/>
  <c r="P28" i="202"/>
  <c r="O28" i="202"/>
  <c r="N28" i="202"/>
  <c r="M28" i="202"/>
  <c r="L28" i="202"/>
  <c r="K28" i="202"/>
  <c r="J28" i="202"/>
  <c r="I28" i="202"/>
  <c r="P24" i="202"/>
  <c r="O24" i="202"/>
  <c r="N24" i="202"/>
  <c r="M24" i="202"/>
  <c r="L24" i="202"/>
  <c r="K24" i="202"/>
  <c r="J24" i="202"/>
  <c r="I24" i="202"/>
  <c r="G24" i="202"/>
  <c r="P18" i="202"/>
  <c r="O18" i="202"/>
  <c r="N18" i="202"/>
  <c r="M18" i="202"/>
  <c r="L18" i="202"/>
  <c r="K18" i="202"/>
  <c r="J18" i="202"/>
  <c r="I18" i="202"/>
  <c r="P14" i="202"/>
  <c r="O14" i="202"/>
  <c r="N14" i="202"/>
  <c r="M14" i="202"/>
  <c r="L14" i="202"/>
  <c r="K14" i="202"/>
  <c r="J14" i="202"/>
  <c r="I14" i="202"/>
  <c r="Q33" i="197"/>
  <c r="P33" i="197"/>
  <c r="O33" i="197"/>
  <c r="N33" i="197"/>
  <c r="M33" i="197"/>
  <c r="L33" i="197"/>
  <c r="K33" i="197"/>
  <c r="J33" i="197"/>
  <c r="I33" i="197"/>
  <c r="I28" i="197"/>
  <c r="J28" i="197"/>
  <c r="K28" i="197"/>
  <c r="L28" i="197"/>
  <c r="M28" i="197"/>
  <c r="N28" i="197"/>
  <c r="O28" i="197"/>
  <c r="P28" i="197"/>
  <c r="Q28" i="197"/>
  <c r="Q45" i="197"/>
  <c r="P45" i="197"/>
  <c r="O45" i="197"/>
  <c r="N45" i="197"/>
  <c r="M45" i="197"/>
  <c r="L45" i="197"/>
  <c r="K45" i="197"/>
  <c r="J45" i="197"/>
  <c r="I45" i="197"/>
  <c r="Q24" i="197"/>
  <c r="P24" i="197"/>
  <c r="O24" i="197"/>
  <c r="N24" i="197"/>
  <c r="M24" i="197"/>
  <c r="L24" i="197"/>
  <c r="K24" i="197"/>
  <c r="J24" i="197"/>
  <c r="I24" i="197"/>
  <c r="G24" i="197"/>
  <c r="G126" i="197"/>
  <c r="I126" i="197"/>
  <c r="J126" i="197"/>
  <c r="K126" i="197"/>
  <c r="L126" i="197"/>
  <c r="M126" i="197"/>
  <c r="N126" i="197"/>
  <c r="O126" i="197"/>
  <c r="P126" i="197"/>
  <c r="Q126" i="197"/>
  <c r="G127" i="197"/>
  <c r="I127" i="197"/>
  <c r="J127" i="197"/>
  <c r="K127" i="197"/>
  <c r="L127" i="197"/>
  <c r="M127" i="197"/>
  <c r="N127" i="197"/>
  <c r="O127" i="197"/>
  <c r="P127" i="197"/>
  <c r="Q127" i="197"/>
  <c r="Q125" i="197"/>
  <c r="P125" i="197"/>
  <c r="O125" i="197"/>
  <c r="N125" i="197"/>
  <c r="M125" i="197"/>
  <c r="L125" i="197"/>
  <c r="K125" i="197"/>
  <c r="J125" i="197"/>
  <c r="I125" i="197"/>
  <c r="G125" i="197"/>
  <c r="I119" i="197"/>
  <c r="J119" i="197"/>
  <c r="K119" i="197"/>
  <c r="L119" i="197"/>
  <c r="M119" i="197"/>
  <c r="N119" i="197"/>
  <c r="O119" i="197"/>
  <c r="P119" i="197"/>
  <c r="Q119" i="197"/>
  <c r="I120" i="197"/>
  <c r="J120" i="197"/>
  <c r="K120" i="197"/>
  <c r="L120" i="197"/>
  <c r="M120" i="197"/>
  <c r="N120" i="197"/>
  <c r="O120" i="197"/>
  <c r="P120" i="197"/>
  <c r="Q120" i="197"/>
  <c r="I121" i="197"/>
  <c r="J121" i="197"/>
  <c r="K121" i="197"/>
  <c r="L121" i="197"/>
  <c r="M121" i="197"/>
  <c r="N121" i="197"/>
  <c r="O121" i="197"/>
  <c r="P121" i="197"/>
  <c r="Q121" i="197"/>
  <c r="I122" i="197"/>
  <c r="J122" i="197"/>
  <c r="K122" i="197"/>
  <c r="L122" i="197"/>
  <c r="M122" i="197"/>
  <c r="N122" i="197"/>
  <c r="O122" i="197"/>
  <c r="P122" i="197"/>
  <c r="Q122" i="197"/>
  <c r="I123" i="197"/>
  <c r="J123" i="197"/>
  <c r="K123" i="197"/>
  <c r="L123" i="197"/>
  <c r="M123" i="197"/>
  <c r="N123" i="197"/>
  <c r="O123" i="197"/>
  <c r="P123" i="197"/>
  <c r="Q123" i="197"/>
  <c r="Q118" i="197"/>
  <c r="P118" i="197"/>
  <c r="O118" i="197"/>
  <c r="N118" i="197"/>
  <c r="M118" i="197"/>
  <c r="L118" i="197"/>
  <c r="K118" i="197"/>
  <c r="J118" i="197"/>
  <c r="I118" i="197"/>
  <c r="G118" i="197"/>
  <c r="E109" i="197"/>
  <c r="F109" i="197"/>
  <c r="G109" i="197"/>
  <c r="H109" i="197"/>
  <c r="I109" i="197"/>
  <c r="J109" i="197"/>
  <c r="K109" i="197"/>
  <c r="L109" i="197"/>
  <c r="M109" i="197"/>
  <c r="N109" i="197"/>
  <c r="O109" i="197"/>
  <c r="P109" i="197"/>
  <c r="Q109" i="197"/>
  <c r="G111" i="197"/>
  <c r="I111" i="197"/>
  <c r="J111" i="197"/>
  <c r="K111" i="197"/>
  <c r="L111" i="197"/>
  <c r="M111" i="197"/>
  <c r="N111" i="197"/>
  <c r="O111" i="197"/>
  <c r="P111" i="197"/>
  <c r="Q111" i="197"/>
  <c r="G112" i="197"/>
  <c r="I112" i="197"/>
  <c r="J112" i="197"/>
  <c r="K112" i="197"/>
  <c r="L112" i="197"/>
  <c r="M112" i="197"/>
  <c r="N112" i="197"/>
  <c r="O112" i="197"/>
  <c r="P112" i="197"/>
  <c r="Q112" i="197"/>
  <c r="G113" i="197"/>
  <c r="I113" i="197"/>
  <c r="J113" i="197"/>
  <c r="K113" i="197"/>
  <c r="L113" i="197"/>
  <c r="M113" i="197"/>
  <c r="N113" i="197"/>
  <c r="O113" i="197"/>
  <c r="P113" i="197"/>
  <c r="Q113" i="197"/>
  <c r="Q108" i="197"/>
  <c r="P108" i="197"/>
  <c r="O108" i="197"/>
  <c r="N108" i="197"/>
  <c r="M108" i="197"/>
  <c r="L108" i="197"/>
  <c r="K108" i="197"/>
  <c r="J108" i="197"/>
  <c r="I108" i="197"/>
  <c r="G108" i="197"/>
  <c r="G93" i="197"/>
  <c r="I93" i="197"/>
  <c r="J93" i="197"/>
  <c r="K93" i="197"/>
  <c r="L93" i="197"/>
  <c r="M93" i="197"/>
  <c r="N93" i="197"/>
  <c r="O93" i="197"/>
  <c r="P93" i="197"/>
  <c r="Q93" i="197"/>
  <c r="G94" i="197"/>
  <c r="I94" i="197"/>
  <c r="J94" i="197"/>
  <c r="K94" i="197"/>
  <c r="L94" i="197"/>
  <c r="M94" i="197"/>
  <c r="N94" i="197"/>
  <c r="O94" i="197"/>
  <c r="P94" i="197"/>
  <c r="Q94" i="197"/>
  <c r="G95" i="197"/>
  <c r="I95" i="197"/>
  <c r="J95" i="197"/>
  <c r="K95" i="197"/>
  <c r="L95" i="197"/>
  <c r="M95" i="197"/>
  <c r="N95" i="197"/>
  <c r="O95" i="197"/>
  <c r="P95" i="197"/>
  <c r="Q95" i="197"/>
  <c r="G96" i="197"/>
  <c r="I96" i="197"/>
  <c r="J96" i="197"/>
  <c r="K96" i="197"/>
  <c r="L96" i="197"/>
  <c r="M96" i="197"/>
  <c r="N96" i="197"/>
  <c r="O96" i="197"/>
  <c r="P96" i="197"/>
  <c r="Q96" i="197"/>
  <c r="G97" i="197"/>
  <c r="I97" i="197"/>
  <c r="J97" i="197"/>
  <c r="K97" i="197"/>
  <c r="L97" i="197"/>
  <c r="M97" i="197"/>
  <c r="N97" i="197"/>
  <c r="O97" i="197"/>
  <c r="P97" i="197"/>
  <c r="Q97" i="197"/>
  <c r="G98" i="197"/>
  <c r="I98" i="197"/>
  <c r="J98" i="197"/>
  <c r="K98" i="197"/>
  <c r="L98" i="197"/>
  <c r="M98" i="197"/>
  <c r="N98" i="197"/>
  <c r="O98" i="197"/>
  <c r="P98" i="197"/>
  <c r="Q98" i="197"/>
  <c r="G99" i="197"/>
  <c r="I99" i="197"/>
  <c r="J99" i="197"/>
  <c r="K99" i="197"/>
  <c r="L99" i="197"/>
  <c r="M99" i="197"/>
  <c r="N99" i="197"/>
  <c r="O99" i="197"/>
  <c r="P99" i="197"/>
  <c r="Q99" i="197"/>
  <c r="G100" i="197"/>
  <c r="I100" i="197"/>
  <c r="J100" i="197"/>
  <c r="K100" i="197"/>
  <c r="L100" i="197"/>
  <c r="M100" i="197"/>
  <c r="N100" i="197"/>
  <c r="O100" i="197"/>
  <c r="P100" i="197"/>
  <c r="Q100" i="197"/>
  <c r="G101" i="197"/>
  <c r="I101" i="197"/>
  <c r="J101" i="197"/>
  <c r="K101" i="197"/>
  <c r="L101" i="197"/>
  <c r="M101" i="197"/>
  <c r="N101" i="197"/>
  <c r="O101" i="197"/>
  <c r="P101" i="197"/>
  <c r="Q101" i="197"/>
  <c r="G102" i="197"/>
  <c r="I102" i="197"/>
  <c r="J102" i="197"/>
  <c r="K102" i="197"/>
  <c r="L102" i="197"/>
  <c r="M102" i="197"/>
  <c r="N102" i="197"/>
  <c r="O102" i="197"/>
  <c r="P102" i="197"/>
  <c r="Q102" i="197"/>
  <c r="G103" i="197"/>
  <c r="I103" i="197"/>
  <c r="J103" i="197"/>
  <c r="K103" i="197"/>
  <c r="L103" i="197"/>
  <c r="M103" i="197"/>
  <c r="N103" i="197"/>
  <c r="O103" i="197"/>
  <c r="P103" i="197"/>
  <c r="Q103" i="197"/>
  <c r="Q92" i="197"/>
  <c r="P92" i="197"/>
  <c r="O92" i="197"/>
  <c r="N92" i="197"/>
  <c r="M92" i="197"/>
  <c r="L92" i="197"/>
  <c r="K92" i="197"/>
  <c r="J92" i="197"/>
  <c r="I92" i="197"/>
  <c r="G92" i="197"/>
  <c r="G80" i="197"/>
  <c r="I80" i="197"/>
  <c r="J80" i="197"/>
  <c r="K80" i="197"/>
  <c r="L80" i="197"/>
  <c r="M80" i="197"/>
  <c r="N80" i="197"/>
  <c r="O80" i="197"/>
  <c r="P80" i="197"/>
  <c r="G81" i="197"/>
  <c r="I81" i="197"/>
  <c r="J81" i="197"/>
  <c r="K81" i="197"/>
  <c r="L81" i="197"/>
  <c r="M81" i="197"/>
  <c r="N81" i="197"/>
  <c r="O81" i="197"/>
  <c r="P81" i="197"/>
  <c r="G82" i="197"/>
  <c r="I82" i="197"/>
  <c r="J82" i="197"/>
  <c r="K82" i="197"/>
  <c r="L82" i="197"/>
  <c r="M82" i="197"/>
  <c r="N82" i="197"/>
  <c r="O82" i="197"/>
  <c r="P82" i="197"/>
  <c r="G83" i="197"/>
  <c r="I83" i="197"/>
  <c r="J83" i="197"/>
  <c r="K83" i="197"/>
  <c r="L83" i="197"/>
  <c r="M83" i="197"/>
  <c r="N83" i="197"/>
  <c r="O83" i="197"/>
  <c r="P83" i="197"/>
  <c r="G84" i="197"/>
  <c r="I84" i="197"/>
  <c r="J84" i="197"/>
  <c r="K84" i="197"/>
  <c r="L84" i="197"/>
  <c r="M84" i="197"/>
  <c r="N84" i="197"/>
  <c r="O84" i="197"/>
  <c r="P84" i="197"/>
  <c r="G85" i="197"/>
  <c r="I85" i="197"/>
  <c r="J85" i="197"/>
  <c r="K85" i="197"/>
  <c r="L85" i="197"/>
  <c r="M85" i="197"/>
  <c r="N85" i="197"/>
  <c r="O85" i="197"/>
  <c r="P85" i="197"/>
  <c r="G86" i="197"/>
  <c r="I86" i="197"/>
  <c r="J86" i="197"/>
  <c r="K86" i="197"/>
  <c r="L86" i="197"/>
  <c r="M86" i="197"/>
  <c r="N86" i="197"/>
  <c r="O86" i="197"/>
  <c r="P86" i="197"/>
  <c r="G87" i="197"/>
  <c r="I87" i="197"/>
  <c r="J87" i="197"/>
  <c r="K87" i="197"/>
  <c r="L87" i="197"/>
  <c r="M87" i="197"/>
  <c r="N87" i="197"/>
  <c r="O87" i="197"/>
  <c r="P87" i="197"/>
  <c r="Q79" i="197"/>
  <c r="P79" i="197"/>
  <c r="O79" i="197"/>
  <c r="N79" i="197"/>
  <c r="M79" i="197"/>
  <c r="L79" i="197"/>
  <c r="K79" i="197"/>
  <c r="J79" i="197"/>
  <c r="I79" i="197"/>
  <c r="G79" i="197"/>
  <c r="G71" i="197"/>
  <c r="I71" i="197"/>
  <c r="J71" i="197"/>
  <c r="K71" i="197"/>
  <c r="L71" i="197"/>
  <c r="M71" i="197"/>
  <c r="N71" i="197"/>
  <c r="O71" i="197"/>
  <c r="P71" i="197"/>
  <c r="Q71" i="197"/>
  <c r="G72" i="197"/>
  <c r="I72" i="197"/>
  <c r="J72" i="197"/>
  <c r="K72" i="197"/>
  <c r="L72" i="197"/>
  <c r="M72" i="197"/>
  <c r="N72" i="197"/>
  <c r="O72" i="197"/>
  <c r="P72" i="197"/>
  <c r="Q72" i="197"/>
  <c r="G73" i="197"/>
  <c r="I73" i="197"/>
  <c r="J73" i="197"/>
  <c r="K73" i="197"/>
  <c r="L73" i="197"/>
  <c r="M73" i="197"/>
  <c r="N73" i="197"/>
  <c r="O73" i="197"/>
  <c r="P73" i="197"/>
  <c r="Q73" i="197"/>
  <c r="G74" i="197"/>
  <c r="I74" i="197"/>
  <c r="J74" i="197"/>
  <c r="K74" i="197"/>
  <c r="L74" i="197"/>
  <c r="M74" i="197"/>
  <c r="N74" i="197"/>
  <c r="O74" i="197"/>
  <c r="P74" i="197"/>
  <c r="Q74" i="197"/>
  <c r="G75" i="197"/>
  <c r="I75" i="197"/>
  <c r="J75" i="197"/>
  <c r="K75" i="197"/>
  <c r="L75" i="197"/>
  <c r="M75" i="197"/>
  <c r="N75" i="197"/>
  <c r="O75" i="197"/>
  <c r="P75" i="197"/>
  <c r="Q75" i="197"/>
  <c r="G76" i="197"/>
  <c r="I76" i="197"/>
  <c r="J76" i="197"/>
  <c r="K76" i="197"/>
  <c r="L76" i="197"/>
  <c r="M76" i="197"/>
  <c r="N76" i="197"/>
  <c r="O76" i="197"/>
  <c r="P76" i="197"/>
  <c r="Q76" i="197"/>
  <c r="G77" i="197"/>
  <c r="I77" i="197"/>
  <c r="J77" i="197"/>
  <c r="K77" i="197"/>
  <c r="L77" i="197"/>
  <c r="M77" i="197"/>
  <c r="N77" i="197"/>
  <c r="O77" i="197"/>
  <c r="P77" i="197"/>
  <c r="Q77" i="197"/>
  <c r="Q70" i="197"/>
  <c r="P70" i="197"/>
  <c r="O70" i="197"/>
  <c r="N70" i="197"/>
  <c r="M70" i="197"/>
  <c r="L70" i="197"/>
  <c r="K70" i="197"/>
  <c r="J70" i="197"/>
  <c r="I70" i="197"/>
  <c r="G70" i="197"/>
  <c r="G62" i="197"/>
  <c r="I62" i="197"/>
  <c r="J62" i="197"/>
  <c r="K62" i="197"/>
  <c r="L62" i="197"/>
  <c r="M62" i="197"/>
  <c r="N62" i="197"/>
  <c r="O62" i="197"/>
  <c r="P62" i="197"/>
  <c r="Q62" i="197"/>
  <c r="G63" i="197"/>
  <c r="I63" i="197"/>
  <c r="J63" i="197"/>
  <c r="K63" i="197"/>
  <c r="L63" i="197"/>
  <c r="M63" i="197"/>
  <c r="N63" i="197"/>
  <c r="O63" i="197"/>
  <c r="P63" i="197"/>
  <c r="Q63" i="197"/>
  <c r="G64" i="197"/>
  <c r="I64" i="197"/>
  <c r="J64" i="197"/>
  <c r="K64" i="197"/>
  <c r="L64" i="197"/>
  <c r="M64" i="197"/>
  <c r="N64" i="197"/>
  <c r="O64" i="197"/>
  <c r="P64" i="197"/>
  <c r="Q64" i="197"/>
  <c r="G65" i="197"/>
  <c r="I65" i="197"/>
  <c r="J65" i="197"/>
  <c r="K65" i="197"/>
  <c r="L65" i="197"/>
  <c r="M65" i="197"/>
  <c r="N65" i="197"/>
  <c r="O65" i="197"/>
  <c r="P65" i="197"/>
  <c r="Q65" i="197"/>
  <c r="G66" i="197"/>
  <c r="I66" i="197"/>
  <c r="J66" i="197"/>
  <c r="K66" i="197"/>
  <c r="L66" i="197"/>
  <c r="M66" i="197"/>
  <c r="N66" i="197"/>
  <c r="O66" i="197"/>
  <c r="P66" i="197"/>
  <c r="Q66" i="197"/>
  <c r="G67" i="197"/>
  <c r="I67" i="197"/>
  <c r="J67" i="197"/>
  <c r="K67" i="197"/>
  <c r="L67" i="197"/>
  <c r="M67" i="197"/>
  <c r="N67" i="197"/>
  <c r="O67" i="197"/>
  <c r="P67" i="197"/>
  <c r="Q67" i="197"/>
  <c r="G68" i="197"/>
  <c r="I68" i="197"/>
  <c r="J68" i="197"/>
  <c r="K68" i="197"/>
  <c r="L68" i="197"/>
  <c r="M68" i="197"/>
  <c r="N68" i="197"/>
  <c r="O68" i="197"/>
  <c r="P68" i="197"/>
  <c r="Q68" i="197"/>
  <c r="Q61" i="197"/>
  <c r="P61" i="197"/>
  <c r="O61" i="197"/>
  <c r="N61" i="197"/>
  <c r="M61" i="197"/>
  <c r="L61" i="197"/>
  <c r="K61" i="197"/>
  <c r="J61" i="197"/>
  <c r="I61" i="197"/>
  <c r="G61" i="197"/>
  <c r="G53" i="197"/>
  <c r="I53" i="197"/>
  <c r="J53" i="197"/>
  <c r="K53" i="197"/>
  <c r="L53" i="197"/>
  <c r="M53" i="197"/>
  <c r="N53" i="197"/>
  <c r="O53" i="197"/>
  <c r="P53" i="197"/>
  <c r="Q53" i="197"/>
  <c r="G54" i="197"/>
  <c r="I54" i="197"/>
  <c r="J54" i="197"/>
  <c r="K54" i="197"/>
  <c r="L54" i="197"/>
  <c r="M54" i="197"/>
  <c r="N54" i="197"/>
  <c r="O54" i="197"/>
  <c r="P54" i="197"/>
  <c r="Q54" i="197"/>
  <c r="G55" i="197"/>
  <c r="I55" i="197"/>
  <c r="J55" i="197"/>
  <c r="K55" i="197"/>
  <c r="L55" i="197"/>
  <c r="M55" i="197"/>
  <c r="N55" i="197"/>
  <c r="O55" i="197"/>
  <c r="P55" i="197"/>
  <c r="Q55" i="197"/>
  <c r="Q52" i="197"/>
  <c r="P52" i="197"/>
  <c r="O52" i="197"/>
  <c r="N52" i="197"/>
  <c r="M52" i="197"/>
  <c r="L52" i="197"/>
  <c r="K52" i="197"/>
  <c r="J52" i="197"/>
  <c r="I52" i="197"/>
  <c r="G52" i="197"/>
  <c r="Q38" i="197"/>
  <c r="P38" i="197"/>
  <c r="O38" i="197"/>
  <c r="N38" i="197"/>
  <c r="M38" i="197"/>
  <c r="L38" i="197"/>
  <c r="K38" i="197"/>
  <c r="J38" i="197"/>
  <c r="I38" i="197"/>
  <c r="Q18" i="197"/>
  <c r="P18" i="197"/>
  <c r="O18" i="197"/>
  <c r="N18" i="197"/>
  <c r="M18" i="197"/>
  <c r="L18" i="197"/>
  <c r="K18" i="197"/>
  <c r="J18" i="197"/>
  <c r="I18" i="197"/>
  <c r="Q14" i="197"/>
  <c r="P14" i="197"/>
  <c r="O14" i="197"/>
  <c r="N14" i="197"/>
  <c r="M14" i="197"/>
  <c r="L14" i="197"/>
  <c r="K14" i="197"/>
  <c r="J14" i="197"/>
  <c r="I14" i="197"/>
  <c r="N117" i="202"/>
  <c r="N107" i="202"/>
  <c r="N91" i="202"/>
  <c r="N60" i="202"/>
  <c r="N51" i="202"/>
  <c r="N13" i="202"/>
  <c r="J117" i="202"/>
  <c r="J107" i="202"/>
  <c r="J91" i="202"/>
  <c r="J60" i="202"/>
  <c r="J51" i="202"/>
  <c r="J13" i="202"/>
  <c r="J117" i="197"/>
  <c r="J107" i="197"/>
  <c r="J91" i="197"/>
  <c r="J60" i="197"/>
  <c r="J51" i="197"/>
  <c r="J13" i="197"/>
  <c r="M117" i="197"/>
  <c r="M107" i="197"/>
  <c r="M91" i="197"/>
  <c r="M60" i="197"/>
  <c r="M56" i="197"/>
  <c r="M51" i="197"/>
  <c r="M13" i="197"/>
  <c r="H10" i="174"/>
  <c r="K21" i="174"/>
  <c r="F52" i="197" s="1"/>
  <c r="J21" i="174"/>
  <c r="C71" i="174"/>
  <c r="J71" i="174"/>
  <c r="K71" i="174"/>
  <c r="L71" i="174" s="1"/>
  <c r="H112" i="202" s="1"/>
  <c r="D47" i="202"/>
  <c r="C47" i="202"/>
  <c r="D46" i="202"/>
  <c r="C46" i="202"/>
  <c r="D45" i="202"/>
  <c r="C45" i="202"/>
  <c r="D47" i="197"/>
  <c r="C47" i="197"/>
  <c r="D46" i="197"/>
  <c r="C46" i="197"/>
  <c r="D45" i="197"/>
  <c r="C45" i="197"/>
  <c r="H14" i="174"/>
  <c r="G45" i="202" s="1"/>
  <c r="L69" i="174" l="1"/>
  <c r="F110" i="197"/>
  <c r="F110" i="202"/>
  <c r="E110" i="202"/>
  <c r="E110" i="197"/>
  <c r="G45" i="197"/>
  <c r="H112" i="197"/>
  <c r="E112" i="202"/>
  <c r="E112" i="197"/>
  <c r="E52" i="202"/>
  <c r="E52" i="197"/>
  <c r="F52" i="202"/>
  <c r="F112" i="197"/>
  <c r="F112" i="202"/>
  <c r="C14" i="174"/>
  <c r="C14" i="197"/>
  <c r="C15" i="197"/>
  <c r="C16" i="197"/>
  <c r="C18" i="197"/>
  <c r="C19" i="197"/>
  <c r="C20" i="197"/>
  <c r="C21" i="197"/>
  <c r="C22" i="197"/>
  <c r="C24" i="197"/>
  <c r="C25" i="197"/>
  <c r="C26" i="197"/>
  <c r="C28" i="197"/>
  <c r="C29" i="197"/>
  <c r="C30" i="197"/>
  <c r="C31" i="197"/>
  <c r="C33" i="197"/>
  <c r="C34" i="197"/>
  <c r="C35" i="197"/>
  <c r="C36" i="197"/>
  <c r="C38" i="197"/>
  <c r="C39" i="197"/>
  <c r="C40" i="197"/>
  <c r="C41" i="197"/>
  <c r="C42" i="197"/>
  <c r="C43" i="197"/>
  <c r="C52" i="197"/>
  <c r="C53" i="197"/>
  <c r="C54" i="197"/>
  <c r="C55" i="197"/>
  <c r="C56" i="197"/>
  <c r="C61" i="197"/>
  <c r="C62" i="197"/>
  <c r="C63" i="197"/>
  <c r="C64" i="197"/>
  <c r="C65" i="197"/>
  <c r="C66" i="197"/>
  <c r="C67" i="197"/>
  <c r="C68" i="197"/>
  <c r="C69" i="197"/>
  <c r="C70" i="197"/>
  <c r="C71" i="197"/>
  <c r="C72" i="197"/>
  <c r="C73" i="197"/>
  <c r="C74" i="197"/>
  <c r="C75" i="197"/>
  <c r="C76" i="197"/>
  <c r="C77" i="197"/>
  <c r="C78" i="197"/>
  <c r="C79" i="197"/>
  <c r="C80" i="197"/>
  <c r="C81" i="197"/>
  <c r="C82" i="197"/>
  <c r="C83" i="197"/>
  <c r="C84" i="197"/>
  <c r="C85" i="197"/>
  <c r="C86" i="197"/>
  <c r="C87" i="197"/>
  <c r="C92" i="197"/>
  <c r="C93" i="197"/>
  <c r="C94" i="197"/>
  <c r="C95" i="197"/>
  <c r="C96" i="197"/>
  <c r="C97" i="197"/>
  <c r="C98" i="197"/>
  <c r="C99" i="197"/>
  <c r="C100" i="197"/>
  <c r="C101" i="197"/>
  <c r="C102" i="197"/>
  <c r="C103" i="197"/>
  <c r="C108" i="197"/>
  <c r="C109" i="197"/>
  <c r="C111" i="197"/>
  <c r="C112" i="197"/>
  <c r="C113" i="197"/>
  <c r="C118" i="197"/>
  <c r="C119" i="197"/>
  <c r="C120" i="197"/>
  <c r="C121" i="197"/>
  <c r="C122" i="197"/>
  <c r="C123" i="197"/>
  <c r="C125" i="197"/>
  <c r="C126" i="197"/>
  <c r="C127" i="197"/>
  <c r="C130" i="197"/>
  <c r="K13" i="197"/>
  <c r="L13" i="197"/>
  <c r="N13" i="197"/>
  <c r="O13" i="197"/>
  <c r="P13" i="197"/>
  <c r="K51" i="197"/>
  <c r="L51" i="197"/>
  <c r="N51" i="197"/>
  <c r="O51" i="197"/>
  <c r="P51" i="197"/>
  <c r="K56" i="197"/>
  <c r="L56" i="197"/>
  <c r="N56" i="197"/>
  <c r="O56" i="197"/>
  <c r="P56" i="197"/>
  <c r="Q56" i="197"/>
  <c r="K60" i="197"/>
  <c r="L60" i="197"/>
  <c r="N60" i="197"/>
  <c r="O60" i="197"/>
  <c r="P60" i="197"/>
  <c r="K91" i="197"/>
  <c r="L91" i="197"/>
  <c r="N91" i="197"/>
  <c r="O91" i="197"/>
  <c r="P91" i="197"/>
  <c r="K107" i="197"/>
  <c r="L107" i="197"/>
  <c r="N107" i="197"/>
  <c r="O107" i="197"/>
  <c r="P107" i="197"/>
  <c r="K117" i="197"/>
  <c r="L117" i="197"/>
  <c r="N117" i="197"/>
  <c r="O117" i="197"/>
  <c r="P117" i="197"/>
  <c r="G56" i="197"/>
  <c r="H110" i="197" l="1"/>
  <c r="H110" i="202"/>
  <c r="H11" i="174"/>
  <c r="H12" i="174"/>
  <c r="H13" i="174"/>
  <c r="G38" i="197" l="1"/>
  <c r="G38" i="202"/>
  <c r="G33" i="202"/>
  <c r="G33" i="197"/>
  <c r="G28" i="197"/>
  <c r="G28" i="202"/>
  <c r="D4" i="202"/>
  <c r="C36" i="174"/>
  <c r="C37" i="174"/>
  <c r="C39" i="174"/>
  <c r="C43" i="174"/>
  <c r="C55" i="174"/>
  <c r="C56" i="174"/>
  <c r="C57" i="174"/>
  <c r="C58" i="174"/>
  <c r="C59" i="174"/>
  <c r="C60" i="174"/>
  <c r="C61" i="174"/>
  <c r="C62" i="174"/>
  <c r="C63" i="174"/>
  <c r="C67" i="174"/>
  <c r="C66" i="174"/>
  <c r="C45" i="174"/>
  <c r="K21" i="204" l="1"/>
  <c r="C25" i="174"/>
  <c r="C26" i="174"/>
  <c r="C27" i="174"/>
  <c r="C28" i="174"/>
  <c r="C24" i="174"/>
  <c r="C21" i="174"/>
  <c r="C109" i="202"/>
  <c r="D109" i="202"/>
  <c r="C111" i="202"/>
  <c r="D111" i="202"/>
  <c r="C112" i="202"/>
  <c r="D112" i="202"/>
  <c r="C113" i="202"/>
  <c r="D113" i="202"/>
  <c r="C98" i="202"/>
  <c r="D98" i="202"/>
  <c r="C99" i="202"/>
  <c r="D99" i="202"/>
  <c r="C100" i="202"/>
  <c r="D100" i="202"/>
  <c r="C101" i="202"/>
  <c r="D101" i="202"/>
  <c r="C102" i="202"/>
  <c r="D102" i="202"/>
  <c r="D79" i="197"/>
  <c r="C15" i="195"/>
  <c r="C67" i="202"/>
  <c r="D67" i="202"/>
  <c r="C68" i="202"/>
  <c r="D68" i="202"/>
  <c r="C56" i="202"/>
  <c r="D56" i="202"/>
  <c r="G56" i="202"/>
  <c r="L56" i="202"/>
  <c r="M56" i="202"/>
  <c r="O56" i="202"/>
  <c r="P56" i="202"/>
  <c r="Q56" i="202"/>
  <c r="D36" i="202"/>
  <c r="C36" i="202"/>
  <c r="D35" i="202"/>
  <c r="C35" i="202"/>
  <c r="D34" i="202"/>
  <c r="C34" i="202"/>
  <c r="D33" i="202"/>
  <c r="C33" i="202"/>
  <c r="M15" i="204" l="1"/>
  <c r="H8" i="174"/>
  <c r="D112" i="197"/>
  <c r="D113" i="197"/>
  <c r="D109" i="197"/>
  <c r="D111" i="197"/>
  <c r="D98" i="197"/>
  <c r="D99" i="197"/>
  <c r="D100" i="197"/>
  <c r="D101" i="197"/>
  <c r="D102" i="197"/>
  <c r="D103" i="197"/>
  <c r="D77" i="197"/>
  <c r="D76" i="197"/>
  <c r="D85" i="197"/>
  <c r="D86" i="197"/>
  <c r="D87" i="197"/>
  <c r="M15" i="195"/>
  <c r="D68" i="197"/>
  <c r="D56" i="197"/>
  <c r="D36" i="197"/>
  <c r="D35" i="197"/>
  <c r="D34" i="197"/>
  <c r="D33" i="197"/>
  <c r="C12" i="174"/>
  <c r="C11" i="174"/>
  <c r="G14" i="202" l="1"/>
  <c r="G14" i="197"/>
  <c r="G18" i="197"/>
  <c r="G18" i="202"/>
  <c r="D31" i="197"/>
  <c r="D21" i="197"/>
  <c r="D22" i="197"/>
  <c r="C13" i="174"/>
  <c r="C10" i="174"/>
  <c r="J23" i="174" l="1"/>
  <c r="K23" i="174"/>
  <c r="F54" i="197" l="1"/>
  <c r="F54" i="202"/>
  <c r="E54" i="197"/>
  <c r="E54" i="202"/>
  <c r="L23" i="174"/>
  <c r="K19" i="174"/>
  <c r="F56" i="197" s="1"/>
  <c r="J19" i="174"/>
  <c r="E56" i="197" s="1"/>
  <c r="J41" i="174"/>
  <c r="K41" i="174"/>
  <c r="J42" i="174"/>
  <c r="K42" i="174"/>
  <c r="E74" i="202" l="1"/>
  <c r="E74" i="197"/>
  <c r="E75" i="202"/>
  <c r="E75" i="197"/>
  <c r="H54" i="202"/>
  <c r="H54" i="197"/>
  <c r="F75" i="197"/>
  <c r="F75" i="202"/>
  <c r="F74" i="202"/>
  <c r="F74" i="197"/>
  <c r="L41" i="174"/>
  <c r="L42" i="174"/>
  <c r="E56" i="202"/>
  <c r="L19" i="174"/>
  <c r="F56" i="202"/>
  <c r="J72" i="174"/>
  <c r="K72" i="174"/>
  <c r="J30" i="174"/>
  <c r="J29" i="174"/>
  <c r="J28" i="174"/>
  <c r="J64" i="174"/>
  <c r="K64" i="174"/>
  <c r="J65" i="174"/>
  <c r="K65" i="174"/>
  <c r="J66" i="174"/>
  <c r="K66" i="174"/>
  <c r="K62" i="174"/>
  <c r="J62" i="174"/>
  <c r="J67" i="174"/>
  <c r="K67" i="174"/>
  <c r="J70" i="174"/>
  <c r="K70" i="174"/>
  <c r="E111" i="202" l="1"/>
  <c r="E111" i="197"/>
  <c r="F102" i="202"/>
  <c r="F102" i="197"/>
  <c r="H75" i="202"/>
  <c r="H75" i="197"/>
  <c r="E102" i="202"/>
  <c r="E102" i="197"/>
  <c r="H74" i="197"/>
  <c r="H74" i="202"/>
  <c r="F101" i="202"/>
  <c r="F101" i="197"/>
  <c r="E101" i="202"/>
  <c r="E101" i="197"/>
  <c r="E65" i="202"/>
  <c r="E65" i="197"/>
  <c r="E66" i="202"/>
  <c r="E66" i="197"/>
  <c r="F111" i="202"/>
  <c r="F111" i="197"/>
  <c r="F108" i="197"/>
  <c r="F108" i="202"/>
  <c r="E67" i="202"/>
  <c r="E67" i="197"/>
  <c r="F113" i="202"/>
  <c r="F113" i="197"/>
  <c r="E99" i="197"/>
  <c r="E99" i="202"/>
  <c r="E113" i="197"/>
  <c r="E113" i="202"/>
  <c r="F99" i="197"/>
  <c r="F99" i="202"/>
  <c r="F103" i="202"/>
  <c r="F103" i="197"/>
  <c r="E108" i="202"/>
  <c r="E108" i="197"/>
  <c r="E103" i="202"/>
  <c r="E103" i="197"/>
  <c r="K14" i="174"/>
  <c r="J14" i="174"/>
  <c r="L67" i="174"/>
  <c r="K56" i="202"/>
  <c r="I56" i="202"/>
  <c r="I56" i="197"/>
  <c r="L62" i="174"/>
  <c r="L72" i="174"/>
  <c r="L66" i="174"/>
  <c r="H56" i="202"/>
  <c r="H56" i="197"/>
  <c r="L65" i="174"/>
  <c r="L70" i="174"/>
  <c r="L64" i="174"/>
  <c r="J39" i="174"/>
  <c r="K39" i="174"/>
  <c r="J40" i="174"/>
  <c r="K40" i="174"/>
  <c r="J43" i="174"/>
  <c r="K43" i="174"/>
  <c r="J37" i="174"/>
  <c r="K37" i="174"/>
  <c r="J36" i="174"/>
  <c r="K36" i="174"/>
  <c r="J38" i="174"/>
  <c r="K38" i="174"/>
  <c r="J32" i="174"/>
  <c r="K32" i="174"/>
  <c r="L32" i="174" s="1"/>
  <c r="J33" i="174"/>
  <c r="K33" i="174"/>
  <c r="L33" i="174" s="1"/>
  <c r="J34" i="174"/>
  <c r="K34" i="174"/>
  <c r="L34" i="174" s="1"/>
  <c r="K28" i="174"/>
  <c r="K30" i="174"/>
  <c r="J31" i="174"/>
  <c r="K31" i="174"/>
  <c r="J24" i="174"/>
  <c r="K24" i="174"/>
  <c r="J48" i="174"/>
  <c r="K48" i="174"/>
  <c r="J49" i="174"/>
  <c r="K49" i="174"/>
  <c r="J46" i="174"/>
  <c r="K46" i="174"/>
  <c r="J47" i="174"/>
  <c r="K47" i="174"/>
  <c r="J50" i="174"/>
  <c r="K50" i="174"/>
  <c r="J51" i="174"/>
  <c r="K51" i="174"/>
  <c r="J52" i="174"/>
  <c r="K52" i="174"/>
  <c r="J53" i="174"/>
  <c r="K53" i="174"/>
  <c r="J54" i="174"/>
  <c r="K54" i="174"/>
  <c r="J55" i="174"/>
  <c r="J8" i="174" s="1"/>
  <c r="K55" i="174"/>
  <c r="J56" i="174"/>
  <c r="K56" i="174"/>
  <c r="J58" i="174"/>
  <c r="K58" i="174"/>
  <c r="J61" i="174"/>
  <c r="K61" i="174"/>
  <c r="J68" i="174"/>
  <c r="K68" i="174"/>
  <c r="J59" i="174"/>
  <c r="K59" i="174"/>
  <c r="J57" i="174"/>
  <c r="K57" i="174"/>
  <c r="J60" i="174"/>
  <c r="K60" i="174"/>
  <c r="K45" i="174"/>
  <c r="J45" i="174"/>
  <c r="J22" i="174"/>
  <c r="K22" i="174"/>
  <c r="K29" i="174"/>
  <c r="J27" i="174"/>
  <c r="K27" i="174"/>
  <c r="J26" i="174"/>
  <c r="K26" i="174"/>
  <c r="J25" i="174"/>
  <c r="K25" i="174"/>
  <c r="J63" i="174"/>
  <c r="K63" i="174"/>
  <c r="K8" i="174" l="1"/>
  <c r="K9" i="174"/>
  <c r="J9" i="174"/>
  <c r="F94" i="202"/>
  <c r="F94" i="197"/>
  <c r="F81" i="202"/>
  <c r="F81" i="197"/>
  <c r="E81" i="202"/>
  <c r="E81" i="197"/>
  <c r="F77" i="202"/>
  <c r="F77" i="197"/>
  <c r="H113" i="202"/>
  <c r="H113" i="197"/>
  <c r="F71" i="202"/>
  <c r="F71" i="197"/>
  <c r="H103" i="202"/>
  <c r="H103" i="197"/>
  <c r="F76" i="197"/>
  <c r="F76" i="202"/>
  <c r="E76" i="197"/>
  <c r="E76" i="202"/>
  <c r="E77" i="197"/>
  <c r="E77" i="202"/>
  <c r="H99" i="202"/>
  <c r="H99" i="197"/>
  <c r="F73" i="202"/>
  <c r="F73" i="197"/>
  <c r="F67" i="202"/>
  <c r="F67" i="197"/>
  <c r="F65" i="197"/>
  <c r="F65" i="202"/>
  <c r="F80" i="202"/>
  <c r="F80" i="197"/>
  <c r="F64" i="202"/>
  <c r="F64" i="197"/>
  <c r="E96" i="202"/>
  <c r="E96" i="197"/>
  <c r="E80" i="202"/>
  <c r="E80" i="197"/>
  <c r="E64" i="202"/>
  <c r="E64" i="197"/>
  <c r="F87" i="202"/>
  <c r="F87" i="197"/>
  <c r="F83" i="202"/>
  <c r="F83" i="197"/>
  <c r="F66" i="202"/>
  <c r="F66" i="197"/>
  <c r="E87" i="202"/>
  <c r="E87" i="197"/>
  <c r="E83" i="202"/>
  <c r="E83" i="197"/>
  <c r="E73" i="202"/>
  <c r="E73" i="197"/>
  <c r="E92" i="202"/>
  <c r="E92" i="197"/>
  <c r="E63" i="202"/>
  <c r="E63" i="197"/>
  <c r="F86" i="202"/>
  <c r="F86" i="197"/>
  <c r="F82" i="202"/>
  <c r="F82" i="197"/>
  <c r="F72" i="202"/>
  <c r="F72" i="197"/>
  <c r="E72" i="202"/>
  <c r="E72" i="197"/>
  <c r="H108" i="202"/>
  <c r="H108" i="197"/>
  <c r="E79" i="202"/>
  <c r="E79" i="197"/>
  <c r="F95" i="202"/>
  <c r="F95" i="197"/>
  <c r="F85" i="202"/>
  <c r="F85" i="197"/>
  <c r="F61" i="202"/>
  <c r="F61" i="197"/>
  <c r="H101" i="202"/>
  <c r="H101" i="197"/>
  <c r="E45" i="197"/>
  <c r="E45" i="202"/>
  <c r="E62" i="202"/>
  <c r="E62" i="197"/>
  <c r="E71" i="197"/>
  <c r="E71" i="202"/>
  <c r="F53" i="197"/>
  <c r="F53" i="202"/>
  <c r="E98" i="202"/>
  <c r="E98" i="197"/>
  <c r="E82" i="202"/>
  <c r="E82" i="197"/>
  <c r="F100" i="202"/>
  <c r="F100" i="197"/>
  <c r="F79" i="202"/>
  <c r="F79" i="197"/>
  <c r="E95" i="202"/>
  <c r="E95" i="197"/>
  <c r="E85" i="202"/>
  <c r="E85" i="197"/>
  <c r="E61" i="202"/>
  <c r="E61" i="197"/>
  <c r="H111" i="202"/>
  <c r="H111" i="197"/>
  <c r="F45" i="197"/>
  <c r="F45" i="202"/>
  <c r="E94" i="202"/>
  <c r="E94" i="197"/>
  <c r="F96" i="202"/>
  <c r="F96" i="197"/>
  <c r="F98" i="197"/>
  <c r="F98" i="202"/>
  <c r="E100" i="197"/>
  <c r="E100" i="202"/>
  <c r="F97" i="202"/>
  <c r="F97" i="197"/>
  <c r="F93" i="202"/>
  <c r="F93" i="197"/>
  <c r="F84" i="202"/>
  <c r="F84" i="197"/>
  <c r="F68" i="197"/>
  <c r="F68" i="202"/>
  <c r="F70" i="197"/>
  <c r="F70" i="202"/>
  <c r="H102" i="202"/>
  <c r="H102" i="197"/>
  <c r="F92" i="202"/>
  <c r="F92" i="197"/>
  <c r="F63" i="202"/>
  <c r="F63" i="197"/>
  <c r="E53" i="197"/>
  <c r="E53" i="202"/>
  <c r="E86" i="202"/>
  <c r="E86" i="197"/>
  <c r="F62" i="202"/>
  <c r="F62" i="197"/>
  <c r="E97" i="202"/>
  <c r="E97" i="197"/>
  <c r="E93" i="202"/>
  <c r="E93" i="197"/>
  <c r="E84" i="202"/>
  <c r="E84" i="197"/>
  <c r="E68" i="202"/>
  <c r="E68" i="197"/>
  <c r="E70" i="202"/>
  <c r="E70" i="197"/>
  <c r="K13" i="174"/>
  <c r="J13" i="174"/>
  <c r="K10" i="174"/>
  <c r="J10" i="174"/>
  <c r="L14" i="174"/>
  <c r="L22" i="174"/>
  <c r="L48" i="174"/>
  <c r="L60" i="174"/>
  <c r="L56" i="174"/>
  <c r="L50" i="174"/>
  <c r="L24" i="174"/>
  <c r="L38" i="174"/>
  <c r="L25" i="174"/>
  <c r="L58" i="174"/>
  <c r="L57" i="174"/>
  <c r="L47" i="174"/>
  <c r="L37" i="174"/>
  <c r="L59" i="174"/>
  <c r="L46" i="174"/>
  <c r="L27" i="174"/>
  <c r="L49" i="174"/>
  <c r="L29" i="174"/>
  <c r="L26" i="174"/>
  <c r="L28" i="174"/>
  <c r="L40" i="174"/>
  <c r="L39" i="174"/>
  <c r="K12" i="174"/>
  <c r="K11" i="174"/>
  <c r="J12" i="174"/>
  <c r="J11" i="174"/>
  <c r="L36" i="174"/>
  <c r="L30" i="174"/>
  <c r="L68" i="174"/>
  <c r="L54" i="174"/>
  <c r="L43" i="174"/>
  <c r="L61" i="174"/>
  <c r="L53" i="174"/>
  <c r="L52" i="174"/>
  <c r="L63" i="174"/>
  <c r="L45" i="174"/>
  <c r="L51" i="174"/>
  <c r="L55" i="174"/>
  <c r="L31" i="174"/>
  <c r="J75" i="174"/>
  <c r="K75" i="174"/>
  <c r="J76" i="174"/>
  <c r="K76" i="174"/>
  <c r="J77" i="174"/>
  <c r="K77" i="174"/>
  <c r="J78" i="174"/>
  <c r="K78" i="174"/>
  <c r="J79" i="174"/>
  <c r="K79" i="174"/>
  <c r="K74" i="174"/>
  <c r="J74" i="174"/>
  <c r="F24" i="202" l="1"/>
  <c r="F24" i="197"/>
  <c r="H86" i="197"/>
  <c r="H86" i="202"/>
  <c r="H72" i="202"/>
  <c r="H72" i="197"/>
  <c r="H95" i="202"/>
  <c r="H95" i="197"/>
  <c r="E24" i="202"/>
  <c r="E24" i="197"/>
  <c r="H87" i="202"/>
  <c r="H87" i="197"/>
  <c r="E38" i="197"/>
  <c r="E38" i="202"/>
  <c r="H62" i="202"/>
  <c r="H62" i="197"/>
  <c r="H65" i="202"/>
  <c r="H65" i="197"/>
  <c r="H63" i="202"/>
  <c r="H63" i="197"/>
  <c r="H76" i="202"/>
  <c r="H76" i="197"/>
  <c r="H66" i="202"/>
  <c r="H66" i="197"/>
  <c r="H84" i="197"/>
  <c r="H84" i="202"/>
  <c r="H98" i="202"/>
  <c r="H98" i="197"/>
  <c r="H77" i="202"/>
  <c r="H77" i="197"/>
  <c r="E118" i="197"/>
  <c r="E118" i="202"/>
  <c r="E14" i="202"/>
  <c r="E14" i="197"/>
  <c r="H83" i="202"/>
  <c r="H83" i="197"/>
  <c r="H93" i="202"/>
  <c r="H93" i="197"/>
  <c r="F118" i="202"/>
  <c r="F118" i="197"/>
  <c r="H68" i="197"/>
  <c r="M16" i="195" s="1"/>
  <c r="H68" i="202"/>
  <c r="M16" i="204" s="1"/>
  <c r="H67" i="202"/>
  <c r="H67" i="197"/>
  <c r="H64" i="202"/>
  <c r="H64" i="197"/>
  <c r="H97" i="197"/>
  <c r="H97" i="202"/>
  <c r="F14" i="197"/>
  <c r="F14" i="202"/>
  <c r="H70" i="197"/>
  <c r="H70" i="202"/>
  <c r="H80" i="197"/>
  <c r="H80" i="202"/>
  <c r="H82" i="202"/>
  <c r="H82" i="197"/>
  <c r="H92" i="202"/>
  <c r="H92" i="197"/>
  <c r="E28" i="197"/>
  <c r="E28" i="202"/>
  <c r="H96" i="197"/>
  <c r="H96" i="202"/>
  <c r="H53" i="202"/>
  <c r="H53" i="197"/>
  <c r="H73" i="197"/>
  <c r="H73" i="202"/>
  <c r="F38" i="197"/>
  <c r="F38" i="202"/>
  <c r="H85" i="197"/>
  <c r="H85" i="202"/>
  <c r="E33" i="197"/>
  <c r="E33" i="202"/>
  <c r="H71" i="202"/>
  <c r="H71" i="197"/>
  <c r="E18" i="197"/>
  <c r="E18" i="202"/>
  <c r="H79" i="202"/>
  <c r="H79" i="197"/>
  <c r="C16" i="195" s="1"/>
  <c r="F28" i="202"/>
  <c r="F28" i="197"/>
  <c r="H81" i="202"/>
  <c r="H81" i="197"/>
  <c r="F18" i="197"/>
  <c r="F18" i="202"/>
  <c r="H61" i="197"/>
  <c r="H61" i="202"/>
  <c r="H100" i="202"/>
  <c r="H100" i="197"/>
  <c r="F33" i="197"/>
  <c r="F33" i="202"/>
  <c r="H94" i="197"/>
  <c r="H94" i="202"/>
  <c r="H45" i="202"/>
  <c r="H45" i="197"/>
  <c r="L9" i="174"/>
  <c r="L13" i="174"/>
  <c r="L10" i="174"/>
  <c r="L8" i="174"/>
  <c r="L11" i="174"/>
  <c r="L12" i="174"/>
  <c r="D72" i="202"/>
  <c r="D73" i="202"/>
  <c r="D74" i="202"/>
  <c r="D75" i="202"/>
  <c r="D76" i="202"/>
  <c r="D77" i="202"/>
  <c r="C63" i="202"/>
  <c r="D63" i="202"/>
  <c r="C64" i="202"/>
  <c r="D64" i="202"/>
  <c r="C65" i="202"/>
  <c r="D65" i="202"/>
  <c r="C66" i="202"/>
  <c r="D66" i="202"/>
  <c r="C53" i="202"/>
  <c r="D53" i="202"/>
  <c r="C54" i="202"/>
  <c r="D54" i="202"/>
  <c r="C55" i="202"/>
  <c r="D55" i="202"/>
  <c r="C40" i="202"/>
  <c r="D40" i="202"/>
  <c r="C41" i="202"/>
  <c r="D41" i="202"/>
  <c r="C42" i="202"/>
  <c r="D42" i="202"/>
  <c r="C43" i="202"/>
  <c r="D43" i="202"/>
  <c r="C30" i="202"/>
  <c r="D30" i="202"/>
  <c r="C25" i="202"/>
  <c r="D26" i="202"/>
  <c r="C26" i="202"/>
  <c r="C19" i="202"/>
  <c r="D19" i="202"/>
  <c r="C20" i="202"/>
  <c r="D20" i="202"/>
  <c r="D39" i="202"/>
  <c r="C39" i="202"/>
  <c r="D38" i="202"/>
  <c r="D18" i="202"/>
  <c r="D14" i="202"/>
  <c r="P117" i="202"/>
  <c r="O117" i="202"/>
  <c r="M117" i="202"/>
  <c r="L117" i="202"/>
  <c r="K117" i="202"/>
  <c r="I117" i="202"/>
  <c r="P107" i="202"/>
  <c r="O107" i="202"/>
  <c r="M107" i="202"/>
  <c r="L107" i="202"/>
  <c r="K107" i="202"/>
  <c r="I107" i="202"/>
  <c r="P91" i="202"/>
  <c r="O91" i="202"/>
  <c r="M91" i="202"/>
  <c r="L91" i="202"/>
  <c r="K91" i="202"/>
  <c r="I91" i="202"/>
  <c r="P60" i="202"/>
  <c r="O60" i="202"/>
  <c r="M60" i="202"/>
  <c r="L60" i="202"/>
  <c r="K60" i="202"/>
  <c r="I60" i="202"/>
  <c r="P51" i="202"/>
  <c r="O51" i="202"/>
  <c r="M51" i="202"/>
  <c r="L51" i="202"/>
  <c r="K51" i="202"/>
  <c r="I51" i="202"/>
  <c r="P13" i="202"/>
  <c r="O13" i="202"/>
  <c r="L13" i="202"/>
  <c r="K13" i="202"/>
  <c r="I13" i="202"/>
  <c r="H14" i="197" l="1"/>
  <c r="H14" i="202"/>
  <c r="H38" i="197"/>
  <c r="H38" i="202"/>
  <c r="H33" i="202"/>
  <c r="H33" i="197"/>
  <c r="H18" i="197"/>
  <c r="H18" i="202"/>
  <c r="H28" i="197"/>
  <c r="H28" i="202"/>
  <c r="H24" i="202"/>
  <c r="H24" i="197"/>
  <c r="H15" i="204"/>
  <c r="D30" i="197"/>
  <c r="D29" i="197"/>
  <c r="D28" i="197"/>
  <c r="D26" i="197"/>
  <c r="D25" i="197"/>
  <c r="D24" i="197"/>
  <c r="D64" i="197"/>
  <c r="D65" i="197"/>
  <c r="D66" i="197"/>
  <c r="D72" i="197"/>
  <c r="D73" i="197"/>
  <c r="D74" i="197"/>
  <c r="D53" i="197"/>
  <c r="D54" i="197"/>
  <c r="D55" i="197"/>
  <c r="D41" i="197"/>
  <c r="D40" i="197"/>
  <c r="D42" i="197"/>
  <c r="D43" i="197"/>
  <c r="D14" i="197"/>
  <c r="D18" i="197"/>
  <c r="D20" i="197"/>
  <c r="I117" i="197"/>
  <c r="I107" i="197"/>
  <c r="I91" i="197"/>
  <c r="I60" i="197"/>
  <c r="I51" i="197"/>
  <c r="I13" i="197"/>
  <c r="C38" i="202" l="1"/>
  <c r="L21" i="174" l="1"/>
  <c r="H16" i="204"/>
  <c r="J20" i="174"/>
  <c r="K20" i="174"/>
  <c r="F55" i="202" l="1"/>
  <c r="F55" i="197"/>
  <c r="E55" i="197"/>
  <c r="E55" i="202"/>
  <c r="H52" i="197"/>
  <c r="H52" i="202"/>
  <c r="H16" i="195"/>
  <c r="L20" i="174"/>
  <c r="H55" i="202" l="1"/>
  <c r="H55" i="197"/>
  <c r="M21" i="204"/>
  <c r="M11" i="204"/>
  <c r="C11" i="204"/>
  <c r="C9" i="174"/>
  <c r="C8" i="174"/>
  <c r="J56" i="197" l="1"/>
  <c r="J56" i="202"/>
  <c r="N56" i="202"/>
  <c r="C21" i="204"/>
  <c r="H11" i="204"/>
  <c r="C21" i="195"/>
  <c r="M11" i="195"/>
  <c r="M21" i="195"/>
  <c r="H11" i="195"/>
  <c r="C11" i="195"/>
  <c r="D87" i="202"/>
  <c r="C87" i="202"/>
  <c r="C77" i="202"/>
  <c r="C76" i="202"/>
  <c r="C75" i="202"/>
  <c r="C74" i="202"/>
  <c r="C73" i="202"/>
  <c r="C69" i="202"/>
  <c r="C29" i="202"/>
  <c r="D29" i="202"/>
  <c r="D24" i="202"/>
  <c r="D3" i="202"/>
  <c r="D4" i="197"/>
  <c r="D97" i="197" l="1"/>
  <c r="M20" i="195"/>
  <c r="D96" i="197"/>
  <c r="D83" i="197" l="1"/>
  <c r="D82" i="197"/>
  <c r="D81" i="197"/>
  <c r="D80" i="197"/>
  <c r="D84" i="197"/>
  <c r="D19" i="197" l="1"/>
  <c r="C16" i="204" l="1"/>
  <c r="D15" i="197" l="1"/>
  <c r="H21" i="204" l="1"/>
  <c r="I21" i="204" s="1"/>
  <c r="H21" i="195"/>
  <c r="L79" i="174" l="1"/>
  <c r="L78" i="174"/>
  <c r="L77" i="174"/>
  <c r="L76" i="174"/>
  <c r="C72" i="202"/>
  <c r="M13" i="202"/>
  <c r="D75" i="197"/>
  <c r="D3" i="197"/>
  <c r="C83" i="202" l="1"/>
  <c r="D83" i="202"/>
  <c r="C78" i="202"/>
  <c r="L6" i="174" l="1"/>
  <c r="H11" i="197"/>
  <c r="K82" i="174"/>
  <c r="J82" i="174"/>
  <c r="K81" i="174"/>
  <c r="J81" i="174"/>
  <c r="K80" i="174"/>
  <c r="J80" i="174"/>
  <c r="E125" i="202" l="1"/>
  <c r="E125" i="197"/>
  <c r="F125" i="197"/>
  <c r="F125" i="202"/>
  <c r="E126" i="197"/>
  <c r="E126" i="202"/>
  <c r="E127" i="197"/>
  <c r="E127" i="202"/>
  <c r="F126" i="197"/>
  <c r="F126" i="202"/>
  <c r="F127" i="202"/>
  <c r="F127" i="197"/>
  <c r="C31" i="204"/>
  <c r="P21" i="204"/>
  <c r="F21" i="204"/>
  <c r="P16" i="204"/>
  <c r="K16" i="204"/>
  <c r="F16" i="204"/>
  <c r="P11" i="204"/>
  <c r="K11" i="204"/>
  <c r="F11" i="204"/>
  <c r="D16" i="197" l="1"/>
  <c r="H73" i="174" l="1"/>
  <c r="L75" i="174"/>
  <c r="L74" i="174"/>
  <c r="L80" i="174"/>
  <c r="L81" i="174"/>
  <c r="J73" i="174"/>
  <c r="H126" i="202" l="1"/>
  <c r="H126" i="197"/>
  <c r="H125" i="202"/>
  <c r="H125" i="197"/>
  <c r="H118" i="202"/>
  <c r="H118" i="197"/>
  <c r="K73" i="174"/>
  <c r="C31" i="195"/>
  <c r="D31" i="195"/>
  <c r="C126" i="202" l="1"/>
  <c r="C127" i="202"/>
  <c r="C125" i="202"/>
  <c r="C119" i="202"/>
  <c r="C120" i="202"/>
  <c r="C121" i="202"/>
  <c r="C122" i="202"/>
  <c r="C123" i="202"/>
  <c r="C118" i="202"/>
  <c r="C108" i="202"/>
  <c r="C93" i="202"/>
  <c r="C94" i="202"/>
  <c r="C95" i="202"/>
  <c r="C96" i="202"/>
  <c r="C97" i="202"/>
  <c r="C103" i="202"/>
  <c r="C92" i="202"/>
  <c r="C85" i="202"/>
  <c r="C86" i="202"/>
  <c r="D84" i="202"/>
  <c r="C84" i="202"/>
  <c r="C62" i="202"/>
  <c r="C70" i="202"/>
  <c r="C71" i="202"/>
  <c r="C79" i="202"/>
  <c r="C80" i="202"/>
  <c r="C81" i="202"/>
  <c r="C82" i="202"/>
  <c r="C61" i="202"/>
  <c r="C52" i="202"/>
  <c r="D31" i="202"/>
  <c r="C31" i="202"/>
  <c r="D25" i="202"/>
  <c r="C28" i="202"/>
  <c r="C24" i="202"/>
  <c r="C18" i="202"/>
  <c r="C14" i="202"/>
  <c r="D22" i="202"/>
  <c r="C22" i="202"/>
  <c r="D21" i="202"/>
  <c r="C21" i="202"/>
  <c r="C15" i="202"/>
  <c r="C16" i="202"/>
  <c r="D15" i="202"/>
  <c r="C130" i="202"/>
  <c r="D127" i="202"/>
  <c r="D126" i="202"/>
  <c r="D125" i="202"/>
  <c r="D123" i="202"/>
  <c r="D122" i="202"/>
  <c r="D121" i="202"/>
  <c r="D120" i="202"/>
  <c r="D119" i="202"/>
  <c r="D118" i="202"/>
  <c r="D108" i="202"/>
  <c r="D103" i="202"/>
  <c r="D97" i="202"/>
  <c r="D96" i="202"/>
  <c r="D95" i="202"/>
  <c r="D94" i="202"/>
  <c r="D93" i="202"/>
  <c r="D92" i="202"/>
  <c r="D86" i="202"/>
  <c r="D85" i="202"/>
  <c r="D82" i="202"/>
  <c r="D81" i="202"/>
  <c r="D80" i="202"/>
  <c r="D79" i="202"/>
  <c r="D71" i="202"/>
  <c r="D70" i="202"/>
  <c r="D62" i="202"/>
  <c r="D61" i="202"/>
  <c r="D52" i="202"/>
  <c r="D28" i="202"/>
  <c r="D16" i="202"/>
  <c r="H11" i="202"/>
  <c r="D38" i="197"/>
  <c r="C15" i="204" l="1"/>
  <c r="M10" i="204"/>
  <c r="H10" i="204"/>
  <c r="H20" i="204"/>
  <c r="C10" i="204"/>
  <c r="M20" i="204"/>
  <c r="D39" i="197"/>
  <c r="D52" i="197"/>
  <c r="D126" i="197"/>
  <c r="D127" i="197"/>
  <c r="D125" i="197"/>
  <c r="D119" i="197"/>
  <c r="D120" i="197"/>
  <c r="D121" i="197"/>
  <c r="D122" i="197"/>
  <c r="D123" i="197"/>
  <c r="D118" i="197"/>
  <c r="D108" i="197"/>
  <c r="H20" i="195"/>
  <c r="H10" i="195"/>
  <c r="D93" i="197"/>
  <c r="M10" i="195"/>
  <c r="D94" i="197"/>
  <c r="D95" i="197"/>
  <c r="D92" i="197"/>
  <c r="C10" i="195"/>
  <c r="D70" i="197"/>
  <c r="D71" i="197"/>
  <c r="D62" i="197"/>
  <c r="H15" i="195"/>
  <c r="D63" i="197"/>
  <c r="D67" i="197"/>
  <c r="D61" i="197"/>
  <c r="Q31" i="204"/>
  <c r="Q31" i="195" l="1"/>
  <c r="L82" i="174"/>
  <c r="L73" i="174"/>
  <c r="H127" i="197" l="1"/>
  <c r="H127" i="202"/>
  <c r="D16" i="204"/>
  <c r="N16" i="204"/>
  <c r="D21" i="204"/>
  <c r="D11" i="204" l="1"/>
  <c r="I1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W7" authorId="0" shapeId="0" xr:uid="{93B9CE55-AA83-4829-BF41-DD9FF013E27D}">
      <text>
        <r>
          <rPr>
            <b/>
            <sz val="9"/>
            <color indexed="81"/>
            <rFont val="Tahoma"/>
            <family val="2"/>
          </rPr>
          <t xml:space="preserve">Display order 1-100 for packages
</t>
        </r>
      </text>
    </comment>
    <comment ref="AQ7" authorId="0" shapeId="0" xr:uid="{E170194C-DC25-48A9-AB35-68DB46774764}">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B44" authorId="0" shapeId="0" xr:uid="{FE5C1BD2-51C8-4B99-83F3-7E6F8A30B98F}">
      <text>
        <r>
          <rPr>
            <sz val="9"/>
            <color indexed="81"/>
            <rFont val="Tahoma"/>
            <family val="2"/>
          </rPr>
          <t>not a real PN, just for app chart reference</t>
        </r>
      </text>
    </comment>
    <comment ref="B73"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<sst xmlns="http://schemas.openxmlformats.org/spreadsheetml/2006/main" count="1360" uniqueCount="544">
  <si>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</si>
  <si>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</si>
  <si>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</si>
  <si>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</si>
  <si>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</si>
  <si>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</si>
  <si>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</si>
  <si>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</si>
  <si>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</si>
  <si>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</si>
  <si>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</si>
  <si>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</si>
  <si>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</si>
  <si>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</si>
  <si>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</si>
  <si>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</si>
  <si>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</si>
  <si>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</si>
  <si>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</si>
  <si>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</si>
  <si>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E</t>
  </si>
  <si>
    <t>Fine Sanding Sticks</t>
  </si>
  <si>
    <t>Paint Pen Replacement Tips</t>
  </si>
  <si>
    <t>Application</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</si>
  <si>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</si>
  <si>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</si>
  <si>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</si>
  <si>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</si>
  <si>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</si>
  <si>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</si>
  <si>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</si>
  <si>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</si>
  <si>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</si>
  <si>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</si>
  <si>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</si>
  <si>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</si>
  <si>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</si>
  <si>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</si>
  <si>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</si>
  <si>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</si>
  <si>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</si>
  <si>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</si>
  <si>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</si>
  <si>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</si>
  <si>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</si>
  <si>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</si>
  <si>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</si>
  <si>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</si>
  <si>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</si>
  <si>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</si>
  <si>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</si>
  <si>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</si>
  <si>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</si>
  <si>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</si>
  <si>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</si>
  <si>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</si>
  <si>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</si>
  <si>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</si>
  <si>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</si>
  <si>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</si>
  <si>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</si>
  <si>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</si>
  <si>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</si>
  <si>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</si>
  <si>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</si>
  <si>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</si>
  <si>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</si>
  <si>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</si>
  <si>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</si>
  <si>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</si>
  <si>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</si>
  <si>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</si>
  <si>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</si>
  <si>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</si>
  <si>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</si>
  <si>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</si>
  <si>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</si>
  <si>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</si>
  <si>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</si>
  <si>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</si>
  <si>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</si>
  <si>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</si>
  <si>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</si>
  <si>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</si>
  <si>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</si>
  <si>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</si>
  <si>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</si>
  <si>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</si>
  <si>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</si>
  <si>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</si>
  <si>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</si>
  <si>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</si>
  <si>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</si>
  <si>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Door Edge Film</t>
  </si>
  <si>
    <t>Optimate 12V Auto Battery Charger/Maintainer</t>
  </si>
  <si>
    <t>Wheel Locks - Black</t>
  </si>
  <si>
    <t>Wheel Locks - Chrome</t>
  </si>
  <si>
    <t>Pointes de remplacement pour stylos de peinture</t>
  </si>
  <si>
    <t>Blanc platine nacré (NH-883P)</t>
  </si>
  <si>
    <t>Ashtray</t>
  </si>
  <si>
    <t>T</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</si>
  <si>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</si>
  <si>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</si>
  <si>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</si>
  <si>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</si>
  <si>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</si>
  <si>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</si>
  <si>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</si>
  <si>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</si>
  <si>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</si>
  <si>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</si>
  <si>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</si>
  <si>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</si>
  <si>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</si>
  <si>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</si>
  <si>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</si>
  <si>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</si>
  <si>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</si>
  <si>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</si>
  <si>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</si>
  <si>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</si>
  <si>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</si>
  <si>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</si>
  <si>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</si>
  <si>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</si>
  <si>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</si>
  <si>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</si>
  <si>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</si>
  <si>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</si>
  <si>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</si>
  <si>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</si>
  <si>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</si>
  <si>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</si>
  <si>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</si>
  <si>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</si>
  <si>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</si>
  <si>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</si>
  <si>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</si>
  <si>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</si>
  <si>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Bread and Butter</t>
  </si>
  <si>
    <t xml:space="preserve">High Impact 
Exterior Aesthetic </t>
  </si>
  <si>
    <t>Engine Heaters 
- function</t>
  </si>
  <si>
    <t xml:space="preserve">Exterior Protection </t>
  </si>
  <si>
    <t>Interior Aesthetic &amp; 
Film Protection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</si>
  <si>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</si>
  <si>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</si>
  <si>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</si>
  <si>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</si>
  <si>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</si>
  <si>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</si>
  <si>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</si>
  <si>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</si>
  <si>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</si>
  <si>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</si>
  <si>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</si>
  <si>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</si>
  <si>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</si>
  <si>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</si>
  <si>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</si>
  <si>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</si>
  <si>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TUCH-NH883P-A1</t>
  </si>
  <si>
    <t>Wheels
Steel wheels first if applicable. 
Then the other wheels
Then Wheel locks</t>
  </si>
  <si>
    <t>Quantity of 25.</t>
  </si>
  <si>
    <t>Quantity of 5.</t>
  </si>
  <si>
    <t>Quantité de 25</t>
  </si>
  <si>
    <t>Quantité de 5</t>
  </si>
  <si>
    <t>Residual-ized $</t>
  </si>
  <si>
    <t>Cargo Tray</t>
  </si>
  <si>
    <t>Seat Back Protector</t>
  </si>
  <si>
    <t>08L20-E09-300B</t>
  </si>
  <si>
    <t>08L03-E09-300C</t>
  </si>
  <si>
    <t>Roof Basket</t>
  </si>
  <si>
    <t>Roof Kayak Attachment</t>
  </si>
  <si>
    <t>Roof Ski/Snowboard Attachment</t>
  </si>
  <si>
    <t>Body Side Moulding</t>
  </si>
  <si>
    <t>08LXX-E09-XXXX</t>
  </si>
  <si>
    <t>NEW</t>
  </si>
  <si>
    <t>Priced as a set of 4 wheels. Tires sold separately.</t>
  </si>
  <si>
    <t>N/A App Chart only</t>
  </si>
  <si>
    <t>Ensemble de protection</t>
  </si>
  <si>
    <t>Protection Package Advance</t>
  </si>
  <si>
    <t>Prix établi pour ensemble de 4 pneus. Pneus vendus séparément.</t>
  </si>
  <si>
    <t>Noir cristal nacré  (NH-731P)</t>
  </si>
  <si>
    <t>Find Sanding Needles</t>
  </si>
  <si>
    <t>Emblems</t>
  </si>
  <si>
    <t>Emblèmes</t>
  </si>
  <si>
    <t>Door Visor</t>
  </si>
  <si>
    <t>N/A App Chart reference</t>
  </si>
  <si>
    <t xml:space="preserve">Roof Attachments </t>
  </si>
  <si>
    <t>Accessoires de toit</t>
  </si>
  <si>
    <t>Cargo Cover</t>
  </si>
  <si>
    <t>Protection Package</t>
  </si>
  <si>
    <t>Ensemble de protection Avance</t>
  </si>
  <si>
    <t>Crossbars</t>
  </si>
  <si>
    <t>08L20-E09-300A</t>
  </si>
  <si>
    <t>08L07-E09-300A</t>
  </si>
  <si>
    <t>08L92-S9V-300G</t>
  </si>
  <si>
    <t>08L92-S9V-300H</t>
  </si>
  <si>
    <t>08L92-SJC-300A</t>
  </si>
  <si>
    <t>Trailer Hitch Locking Pin</t>
  </si>
  <si>
    <t>A great way to help ensure that your wheels stay on your truck where they belong.</t>
  </si>
  <si>
    <t>Wheel Lug Nuts, Black</t>
  </si>
  <si>
    <t>Create a different look with a set of black lug nuts. Each package has a quantity of 24 lugs</t>
  </si>
  <si>
    <t>Charging</t>
  </si>
  <si>
    <t>Accessories</t>
  </si>
  <si>
    <t>Wheels</t>
  </si>
  <si>
    <t>10% Discount applied</t>
  </si>
  <si>
    <t>Rabais de 10 % est appliqué</t>
  </si>
  <si>
    <t>Black Emblem Set</t>
  </si>
  <si>
    <t xml:space="preserve">Ensemble d’emblèmes noirs </t>
  </si>
  <si>
    <t>Platinum White Pearl (NH-883P)</t>
  </si>
  <si>
    <t>TrailSport</t>
  </si>
  <si>
    <t>TrailSport Touring</t>
  </si>
  <si>
    <t>TUCH-NH797M-A1</t>
  </si>
  <si>
    <t>Modern Steel Metallic (NH-797M)</t>
  </si>
  <si>
    <t>Acier moderne métallisé (NH-797M)</t>
  </si>
  <si>
    <t>TUCH-NH731P-A1</t>
  </si>
  <si>
    <t>Crystal Black Pearl (NH-731P)</t>
  </si>
  <si>
    <t>TUCH-R580M-A1</t>
  </si>
  <si>
    <t>Radiant Red Metallic II (R-580M)</t>
  </si>
  <si>
    <t>Radiant rouge métallisé II (R-580M)</t>
  </si>
  <si>
    <t>TUCH-YR585-A1</t>
  </si>
  <si>
    <t>Sunset Orange (YR-585)</t>
  </si>
  <si>
    <t>TUCH-G545M-A1</t>
  </si>
  <si>
    <t>Ash Green Metallic (G-545M)</t>
  </si>
  <si>
    <t>08L04-3BM-300</t>
  </si>
  <si>
    <t>08L08-3BM-100</t>
  </si>
  <si>
    <t>Roof Platform</t>
  </si>
  <si>
    <t>08L33-3BM-100</t>
  </si>
  <si>
    <t>08L33-3BM-100A</t>
  </si>
  <si>
    <t>Running Board</t>
  </si>
  <si>
    <t>08L92-3BM-100A</t>
  </si>
  <si>
    <t>08P00-3BM-100</t>
  </si>
  <si>
    <t>Splash Guards</t>
  </si>
  <si>
    <t>08F20-3BM-100B</t>
  </si>
  <si>
    <t>Black Emblem H Front &amp; rear</t>
  </si>
  <si>
    <t>08F20-3BM-100</t>
  </si>
  <si>
    <t>Black Emblem Passport</t>
  </si>
  <si>
    <t>08P04-3BM-100</t>
  </si>
  <si>
    <t>08P05-3BM-100</t>
  </si>
  <si>
    <t>08P17-3BM-120A</t>
  </si>
  <si>
    <t>08P42-3BM-100</t>
  </si>
  <si>
    <t>08P46-3BM-100</t>
  </si>
  <si>
    <t>Front Scuff Plate</t>
  </si>
  <si>
    <t>08U45-3BM-100</t>
  </si>
  <si>
    <t>08U97-3BM-110</t>
  </si>
  <si>
    <t>Heated Steering Wheel</t>
  </si>
  <si>
    <t>08W18-3BM-100</t>
  </si>
  <si>
    <t>08L96-3BM-300</t>
  </si>
  <si>
    <t>08U35-3BM-300A</t>
  </si>
  <si>
    <t>08U35-3BM-310</t>
  </si>
  <si>
    <t>08V30-3BM-300</t>
  </si>
  <si>
    <t>Cargo Light</t>
  </si>
  <si>
    <t>08Z03-3BM-300</t>
  </si>
  <si>
    <t>Separation Barrier</t>
  </si>
  <si>
    <t>Black Emblem AWD</t>
  </si>
  <si>
    <t>Door Handle Film</t>
  </si>
  <si>
    <t>Engine Block Heater</t>
  </si>
  <si>
    <t>31670-BMS-004H</t>
  </si>
  <si>
    <t>Chargeur/mainteneur de batterie automobile 12 V Optimate</t>
  </si>
  <si>
    <t>Extended battery life by charging/maintaining a Honda battery to ideal charge levels.</t>
  </si>
  <si>
    <t>Vie prolongée de la batterie Honda en maintenant la charge au niveau ideal.</t>
  </si>
  <si>
    <t>31670-BMS-LEAD</t>
  </si>
  <si>
    <t>Optimate Battery Lead</t>
  </si>
  <si>
    <t>Câble de batterie</t>
  </si>
  <si>
    <t>08Z05-3BM-100</t>
  </si>
  <si>
    <t>Cargo Shelf / Table</t>
  </si>
  <si>
    <t>Soft Cargo Organizer</t>
  </si>
  <si>
    <t>08P20-T90-100</t>
  </si>
  <si>
    <t>08P48-T90-100A</t>
  </si>
  <si>
    <t>08F20-T90-100A</t>
  </si>
  <si>
    <t>08U20-S9V-101</t>
  </si>
  <si>
    <t>08U25-S5D-106</t>
  </si>
  <si>
    <t>Passport</t>
  </si>
  <si>
    <t>Rocker Slider</t>
  </si>
  <si>
    <t>Trailer Hitch Ball - 1-7/8"</t>
  </si>
  <si>
    <t>Trailer hitch ball available in 1 7/8 inches or 2 inches.</t>
  </si>
  <si>
    <t>Trailer Hitch Ball - 2"</t>
  </si>
  <si>
    <t>08R04-T90-100</t>
  </si>
  <si>
    <t>This tinted Door Visor helps to protect you and your passengers from sun glare and minimizes outside noise when the windows are partially open.</t>
  </si>
  <si>
    <t>08U08-3BM-100</t>
  </si>
  <si>
    <t>Tool Organizer</t>
  </si>
  <si>
    <t>08V03-3BM-100</t>
  </si>
  <si>
    <t>HOMELINK MIRROR</t>
  </si>
  <si>
    <t>08U02-3BM-100</t>
  </si>
  <si>
    <t>FULL SIZE SPARE KIT ??</t>
  </si>
  <si>
    <t>26PAS-PROPK</t>
  </si>
  <si>
    <t>26PAS-PROPKA</t>
  </si>
  <si>
    <t>08W42-TG7-301A</t>
  </si>
  <si>
    <t>08W42-TK4-301</t>
  </si>
  <si>
    <t>Un excellent moyen de vous assurer que les roues demeurent sur votre camion, là où elles devraient se trouver.</t>
  </si>
  <si>
    <t>26PAS-BLK-EMB</t>
  </si>
  <si>
    <t>26PAS-RUGPK</t>
  </si>
  <si>
    <t>Rugged Package</t>
  </si>
  <si>
    <t>PASEMBLEM</t>
  </si>
  <si>
    <t>All Season Mats (TrailSport logo)</t>
  </si>
  <si>
    <t>26PAS-TOW-PK1</t>
  </si>
  <si>
    <t>26PAS-TOW-PK2</t>
  </si>
  <si>
    <t>Towing Package 1</t>
  </si>
  <si>
    <t>Towing Package 2</t>
  </si>
  <si>
    <t>26MY Honda Passport</t>
  </si>
  <si>
    <t>TBD don't make image -&gt;</t>
  </si>
  <si>
    <t xml:space="preserve">TBD </t>
  </si>
  <si>
    <t>18" Retro Alloy Wheel White</t>
  </si>
  <si>
    <t>Roof Bicycle Attachment - Frame mount</t>
  </si>
  <si>
    <t>Bicycle Attachment - Fork Mount</t>
  </si>
  <si>
    <t>Roof Box Short</t>
  </si>
  <si>
    <t>Boîte de toit courte</t>
  </si>
  <si>
    <t>Roof Box, Long</t>
  </si>
  <si>
    <t>Panier de toit</t>
  </si>
  <si>
    <t>Roof Surfboard Attachment</t>
  </si>
  <si>
    <t>Hatch Tent</t>
  </si>
  <si>
    <t>Trailer Hitch Ball Mount</t>
  </si>
  <si>
    <t>Ensemble de remorquage 1</t>
  </si>
  <si>
    <t>Ensemble de remorquage 2</t>
  </si>
  <si>
    <t>Marchepieds</t>
  </si>
  <si>
    <t>Pellicule pour rebord de portière</t>
  </si>
  <si>
    <t>Help protect the cabin floor of your vehicle with custom-fit front and rear mats for maximum carpet protection.</t>
  </si>
  <si>
    <t>Protect the cargo area carpeting of your Honda with the Cargo Tray.</t>
  </si>
  <si>
    <t>This cargo cover helps keep your valuables in the cargo area safely out of sight and out of the sun.</t>
  </si>
  <si>
    <t>The Seat Back Protector protects the back of the seat when it's folded down to load longer items. Made of high-quality molded plastic for maximum durability. Cleans easily with mild soap and water. Textured surface helps to prevent items from shifting and sliding.</t>
  </si>
  <si>
    <t>Barrière de séparation</t>
  </si>
  <si>
    <t>Keep your dog and the interior of your vehicle protected when you and your pooch hit the road together. Designed specifically to fit your vehicle</t>
  </si>
  <si>
    <t>Protégez votre chien et l’intérieur de votre véhicule lorsque vous prenez la route avec lui. Conçue spécifiquement pour s’adapter à votre vehicle.</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</si>
  <si>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</si>
  <si>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</si>
  <si>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Package includes trailer hitch ball mount, locking pin, trailer hitch ball - 2"</t>
  </si>
  <si>
    <t>Package includes trailer hitch ball mount, locking pin, trailer hitch ball - 1-7/8"</t>
  </si>
  <si>
    <t xml:space="preserve">Towing Package </t>
  </si>
  <si>
    <t>Ensemble de remorquage</t>
  </si>
  <si>
    <t>Transparent, urethane film in the well of the door handle helps safeguard the paint finish from unsightly scratches from nails, jewelry, and keys.</t>
  </si>
  <si>
    <t>La pellicule d’uréthane transparente placée dans l’espace de la poignée de portière protège la peinture des égratignures inesthétiques causées par les ongles, les bijoux et les clés.</t>
  </si>
  <si>
    <t>Body Side Molding accentuates the passport's styling, but there's more to it than just good looks. It's ideally positioned where the side panel extends out the most, in order to help protect against door dings and scratches. Available in Black or Gray.</t>
  </si>
  <si>
    <t>Pellicule pour poignée de portière</t>
  </si>
  <si>
    <t xml:space="preserve">Chauffe-moteur   </t>
  </si>
  <si>
    <t>Safely secure everything from groceries to sporting gear, while helping to keep your trunk area clean and organized with this Cargo Net.</t>
  </si>
  <si>
    <t>Cup-holder type ashtray designed for use in the front seat</t>
  </si>
  <si>
    <t>Cendrier de type porte-gobelet conçu pour être utilisé entre les sièges avant</t>
  </si>
  <si>
    <t>Enhance your Honda’s versatility with this innovative cargo shelf that effortlessly transforms into a convenient table, perfect for on-the-go adventures and tailgating.</t>
  </si>
  <si>
    <t>Protect your Honda’s door sills from scratches and scuffs with this durable, protection film, ensuring your vehicle stays looking new for longer.</t>
  </si>
  <si>
    <t>Keep your Honda’s trunk neat and tidy with this soft cargo organizer, featuring multiple compartments to securely store your belongings and prevent clutte</t>
  </si>
  <si>
    <t>Streamline your Honda’s storage with this versatile tool organizer, designed to securely hold your tools and conveniently accommodate a trailer hitch ball mount.</t>
  </si>
  <si>
    <t>Illuminate your Honda’s trunk with this bright and efficient cargo light, making it easy to find your belongings even in low-light conditions</t>
  </si>
  <si>
    <t>Upgrade your Honda with this versatile utility panel, designed to provide additional storage and organization options while giving your vehicle a rugged look, making it even more functional </t>
  </si>
  <si>
    <t>Give your Honda a sleek and stylish upgrade with this black AWD emblem, adding a touch of sophistication and a modern, bold look to your vehicle.</t>
  </si>
  <si>
    <t>Give your Honda a sleek and stylish upgrade with these black front and rear, H emblems, adding a touch of sophistication and a modern, bold look to your vehicle.</t>
  </si>
  <si>
    <t>Give your Honda a sleek and stylish upgrade with this black Passport emblem, adding a touch of sophistication and a modern, bold look to your vehicle.</t>
  </si>
  <si>
    <t>Secure your trailer hitch using this durable locking pin, designed to prevent theft and ensure a safe, reliable connection for your Honda.</t>
  </si>
  <si>
    <t xml:space="preserve">With the Crossbars, you can securely haul items on your Passport. You’ll help prevent damage to your vehicle’s interior, while providing more comfort to those seated inside.  Moonroof operation is unaffected. </t>
  </si>
  <si>
    <t>Protect your Honda from mud, dirt, and road debris with these durable splash guards, designed to keep your vehicle looking clean and well-maintained</t>
  </si>
  <si>
    <t>Add both style and functionality to your Honda with these durable running boards, providing a convenient step up into your vehicle</t>
  </si>
  <si>
    <t>Enhance your Honda’s exterior with this durable front scuff plate, designed to protect against scratches and wear while adding a rugged, functional touch</t>
  </si>
  <si>
    <t>Equip your Honda with these robust rock sliders, designed to protect your vehicle’s sides from rocks and obstacles while adding a rugged, off-road-ready look</t>
  </si>
  <si>
    <t>Upgrade your Honda with these 18-inch retro alloy white wheels, designed for both rugged durability and functional performance, giving your vehicle a classic, tough look.</t>
  </si>
  <si>
    <t>Expand your Honda’s cargo capacity with this durable roof platform, designed for rugged functionality and perfect for carrying extra gear on your outdoor adventures.</t>
  </si>
  <si>
    <t>L’ensemble comprend une monture de rotule d’attelage de remorque, une goupille de verrouillage, une rotule d’attelage de remorque de 1 7/8 po.</t>
  </si>
  <si>
    <t>L’ensemble comprend une monture de rotule d’attelage de remorque, une goupille de verrouillage, une rotule d’attelage de remorque de 2 po.</t>
  </si>
  <si>
    <t>Écrous de roue noirs</t>
  </si>
  <si>
    <t>Créez un style différent grâce à cet ensemble d’écrous de roue noirs. Chaque ensemble comprend 24 écrous de roue.</t>
  </si>
  <si>
    <t>Jantes rétro blanches de 18 pouces en alliage</t>
  </si>
  <si>
    <t>Rehaussez l’apparence de votre Honda grâce à ces jantes rétro blanches de 18 pouces en alliage, conçues pour une durabilité robuste et des performances fonctionnelles, conférant à votre véhicule un style à la fois classique et robuste.</t>
  </si>
  <si>
    <t>Écrous de roue antivol chromés</t>
  </si>
  <si>
    <t>Écrous de roue antivol noirs</t>
  </si>
  <si>
    <t>Plaque de protection avant</t>
  </si>
  <si>
    <t>Rehaussez l’extérieur de votre Honda grâce à cette plaque de protection avant durable, conçue pour protéger contre les rayures et l’usure tout en ajoutant une touche robuste et fonctionnelle.</t>
  </si>
  <si>
    <t>Barre de protection latérale</t>
  </si>
  <si>
    <t>Équipez votre Honda de ces barres de protection latérales massives, conçues pour protéger les flancs de votre véhicule contre les rochers et les obstacles, tout en lui conférant un aspect robuste et prêt pour la conduite hors route.</t>
  </si>
  <si>
    <t>Ajoutez style et fonctionnalité à votre Honda grâce à ces marchepieds durables et pratiques pour monter dans votre véhicule.</t>
  </si>
  <si>
    <t>Garde-boue</t>
  </si>
  <si>
    <t>Protégez votre Honda de la boue, de la saleté et des débris de la route grâce à ces garde-boue durables, conçus pour que votre véhicule reste propre et bien entretenu.</t>
  </si>
  <si>
    <t>Moulure latérale de carrosserie</t>
  </si>
  <si>
    <t>La moulure latérale de carrosserie accentue le style du Passport. En plus d'ajouter à son apparence, elle est positionnée idéalement à l’endroit où le panneau latéral est le plus en saillie, afin de protéger contre les marques et les égratignures causées par les portières. Offerte en noir ou gris.</t>
  </si>
  <si>
    <t>Visière de portière</t>
  </si>
  <si>
    <t>Cette visière de portière teintée aide à protéger le conducteur et les passagers contre les reflets du soleil, et à réduire le bruit provenant de l'extérieur quand les glaces sont partiellement ouvertes.</t>
  </si>
  <si>
    <t xml:space="preserve">ENSEMBLE DE ROUE DE SECOURS PLEINE GRANDEUR </t>
  </si>
  <si>
    <t>Emblème Passport noir</t>
  </si>
  <si>
    <t>Rehaussez l’apparence de votre Honda avec élégance et style grâce à cet emblème Passport noir, ajoutant une touche de sophistication et un style moderne et audacieux à votre véhicule.</t>
  </si>
  <si>
    <t>Emblèmes noirs – Logo « H » à l’avant et à l’arrière</t>
  </si>
  <si>
    <t>Rehaussez l’apparence de votre Honda avec élégance et style grâce à ces emblèmes  « H » noirs à l’avant et à l’arrière, ajoutant une touche de sophistication et un style moderne et audacieux à votre véhicule.</t>
  </si>
  <si>
    <t>Emblème noir – AWD</t>
  </si>
  <si>
    <t>Rehaussez l’apparence de votre Honda avec élégance et style grâce cet emblème AWD noir, ajoutant une touche de sophistication et un style moderne et audacieux à votre véhicule.</t>
  </si>
  <si>
    <t>Attelage de remorque – Monture de rotule</t>
  </si>
  <si>
    <t>Monture de rotule d’attelage de remorque</t>
  </si>
  <si>
    <t>Attelage de remorque – Goupille de verrouillage</t>
  </si>
  <si>
    <t>Fixez votre attelage de remorque à l’aide de cette goupille de verrouillage durable, conçue pour prévenir le vol et assurer une connexion sécuritaire et fiable pour votre Honda.</t>
  </si>
  <si>
    <t>Attelage de remorque – Rotule d'attelage de 1 7/8 po</t>
  </si>
  <si>
    <t>Rotule d'attelage de remorque de 1 7/8 pouces ou 
2 pouces.</t>
  </si>
  <si>
    <t>Attelage de remorque – Rotule d'attelage de 2 po</t>
  </si>
  <si>
    <t>Barres transversales</t>
  </si>
  <si>
    <t xml:space="preserve">Avec les barres transversales, vous pouvez transporter des objets en toute sécurité sur votre Passport. Vous éviterez ainsi des dommages à l’intérieur de votre véhicule, tout en offrant plus de confort aux passagers.  L’utilisation du toit ouvrant n’est pas affectée. </t>
  </si>
  <si>
    <t>Plateforme de toit</t>
  </si>
  <si>
    <t>Augmentez la capacité de chargement de votre Honda grâce à cette plateforme de toit durable, conçue pour un usage robuste et parfaite pour transporter du matériel supplémentaire lors de vos aventures de plein air.</t>
  </si>
  <si>
    <t>Porte-vélo de toit – Fixation au cadre</t>
  </si>
  <si>
    <t>Porte-vélo de toit – Fixation à la fourche</t>
  </si>
  <si>
    <t>Porte-ski/planche à neige de toit</t>
  </si>
  <si>
    <t>Porte-planche de surf de toit</t>
  </si>
  <si>
    <t>Porte-kayak de toit</t>
  </si>
  <si>
    <t>Boîte de toit longue</t>
  </si>
  <si>
    <t>Tente pour hayon</t>
  </si>
  <si>
    <t>Tapis toutes saisons (logo TrailSport)</t>
  </si>
  <si>
    <t>Aidez à protéger le plancher d’habitacle de votre véhicule avec les protège-tapis avant et arrière faits sur mesure pour le maximum de protection de la moquette.</t>
  </si>
  <si>
    <t>Plateau pour compartiment utilitaire</t>
  </si>
  <si>
    <t>Protégez la moquette du compartiment utilitaire de votre Honda à l’aide d’un plateau pour compartiment utilitaire.</t>
  </si>
  <si>
    <t>Couvre-bagages</t>
  </si>
  <si>
    <t>Ce couvre-bagages aide à garder vos objets précieux à l'abri des regards indiscrets et du soleil dans le compartiment utilitaire.</t>
  </si>
  <si>
    <t>Protecteur de dossier de siège</t>
  </si>
  <si>
    <t>Le protecteur de dossier de siège protège le dossier du siège lorsqu'il est rabattu pour charger des articles plus longs. Fait de plastique moulé de haute qualité offrant une durabilité maximale. Se nettoie facilement avec un savon doux et de l'eau. La surface texturée aide à empêcher les articles de bouger et de glisser.</t>
  </si>
  <si>
    <t>Panneau utilitaire</t>
  </si>
  <si>
    <t>Améliorez votre Honda avec ce panneau utilitaire polyvalent, conçu pour offrir des options de rangement et d’organisation supplémentaires tout en donnant à votre véhicule un aspect robuste, le rendant encore plus fonctionnel. </t>
  </si>
  <si>
    <t>Filet pour compartiment utilitaire</t>
  </si>
  <si>
    <t>Transportez tout en toute sécurité des sacs d’épicerie à l’équipement de sport, tout en gardant le compartiment utilitaire propre et organisé grâce à ce filet pour compartiment utilitaire.</t>
  </si>
  <si>
    <t>Tablette/table pour compartiment utilitaire</t>
  </si>
  <si>
    <t>Améliorez la polyvalence de votre Honda grâce à cette tablette pour compartiment utilitaire novatrice qui se transforme, sans effort, en une table pratique, parfaite pour les aventures imprévues et les fêtes d’avant-match.</t>
  </si>
  <si>
    <t>Pellicule protectrice de seuil de portière</t>
  </si>
  <si>
    <t>Protégez les seuils de portières de votre Honda contre les égratignures et les éraflures grâce à cette pellicule protectrice durable, afin que votre véhicule conserve son aspect neuf plus longtemps.</t>
  </si>
  <si>
    <t>Organisateur souple pour compartiment utilitaire</t>
  </si>
  <si>
    <t>Gardez le compartiment utilitaire de votre Honda propre et bien rangé avec cet organisateur de compartiment utilitaire souple, doté de plusieurs compartiments pour ranger vos effets personnels en toute sécurité et éviter l’encombrement.</t>
  </si>
  <si>
    <t>Cendrier</t>
  </si>
  <si>
    <t>Organisateur d’outils</t>
  </si>
  <si>
    <t>Simplifiez le rangement dans votre Honda grâce à cet organisateur d’outils polyvalent, conçu pour ranger vos outils en toute sécurité et pour accueillir une rotule d’attelage de remorque.</t>
  </si>
  <si>
    <t>Lampe pour compartiment utilitaire</t>
  </si>
  <si>
    <t>Éclairez le compartiment utilitaire de votre Honda grâce à cette lampe pour compartiment utilitaire brillante et efficace. Elle vous permet de trouver facilement vos effets personnels, même dans des conditions de faible luminosité.</t>
  </si>
  <si>
    <t>The hatch tent attaches to the back of your Passport, extending the interior space for extra sleeping or storage. It’s easy to set up, weather-resistant, and well-ventilated, making it ideal for car camping adventures.</t>
  </si>
  <si>
    <t>La tente pour hayon se fixe à l’arrière de votre Passport, agrandissant l’espace intérieur afin d’accueillir plus de personnes ou pour du rangement supplémentaire. Facile à installer, résistante aux intempéries et bien ventilée, elle est parfaite pour les aventures de camping à bord de votre véhicule.</t>
  </si>
  <si>
    <t>Coucher de soleil orangé (YR-585)</t>
  </si>
  <si>
    <t>Vert cendré métallisé (G-545M)</t>
  </si>
  <si>
    <t>08T44-SNA-302</t>
  </si>
  <si>
    <t>08L20-E09-101C</t>
  </si>
  <si>
    <t>08L05-E09-100</t>
  </si>
  <si>
    <t>08L09-E09-101</t>
  </si>
  <si>
    <t>08L07-E09-101</t>
  </si>
  <si>
    <t>08Z04-SCV-110B</t>
  </si>
  <si>
    <t>08W42-PL4-100A</t>
  </si>
  <si>
    <t>You can always use more storage space on a road trip, and the Short Roof Box provides just that. 13 cu. ft. of lockable storage space - length 65in, width 34.5 in, height 16in. 110lbs max load capacity. Dual-side opening for easy access. Requires Roof Rack Crossbars.</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</si>
  <si>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Rack Crossbars.</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</si>
  <si>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Roof Rack Crossbars.</t>
  </si>
  <si>
    <t>Handle kayaks up to 36 in wide and weighing up to 75 lbs. Easy loading with the pivoting, felt-lined rear saddles that help glide and center your kayak. Two independent pivoting saddles conform to a limitless range of hull shapes. Requires Roof Rack Crossbars.</t>
  </si>
  <si>
    <t>The telescoping design allows a custom fit for boards up to 34 in wide. Handles two boards with maximum stability. Soft, weather-resistant padding and strong, durable load straps with adjustable padding protect boards from strap abrasion. Requires Roof Rack Crossbars.</t>
  </si>
  <si>
    <t>The handy Ski Attachment keeps your skis and snowboards outside so your interior stays clean and dry. Requires Roof Rack Crossbars.</t>
  </si>
  <si>
    <t>This Bike Attachment - Fork lets you securely transport your bicycle and keep it safely out of the way. Requires Roof Rack Crossbars.</t>
  </si>
  <si>
    <t>This Roof Bike Attachment lets you securely transport your bicycle and keep it safely out of the way. Requires Roof Rack Crossbars.</t>
  </si>
  <si>
    <t>Ce porte-vélo de toit vous permet de transporter votre vélo de manière sécuritaire et de le garder hors de nuisance.  Les traverses de toit sont requises.</t>
  </si>
  <si>
    <t>Ce porte-vélo avec fixation à la fourche vous permet de transporter votre vélo de manière sécuritaire et de le garder hors de nuisance.  Les traverses de toit sont requises.</t>
  </si>
  <si>
    <t>Ce porte-ski pratique garde vos skis et vos planches à neige à l’extérieur pour que l’intérieur demeure propre et sec.  Les traverses de toit sont requises.</t>
  </si>
  <si>
    <t>La conception télescopique permet un ajustement personnalisé pour des planches jusqu’à 34 po de largeur. Permet de transporter deux planches avec un maximum de stabilité. Rembourrage doux, résistant aux intempéries et robuste, et sangles de charge durables avec rembourrage réglable pour protéger les planches contre l’abrasion causée par les sangles.  Les traverses de toit sont requises.</t>
  </si>
  <si>
    <t>Convient aux kayaks jusqu’à 36 po de largeur et pesant jusqu’à 75 lb. Chargement facile avec les sabots arrière pivotants doublés de feutre qui aident à faire glisser et à centrer votre kayak. Les deux sabots pivotants indépendants s’adaptent à une plage illimitée de formes de coque. Les traverses de toit sont requises.</t>
  </si>
  <si>
    <t>Vous pouvez toujours utiliser plus d’espace de rangement en voyage, et c’est exactement ce que vous offre la boîte de toit courte. Espace de rangement verrouillable de 13 pi³. Dimension : 65 po de longueur, 34,5 po de largeur et 16 po de hauteur. Capacité de charge maximale de 110 lb. Ouverture des deux côtés pour un accès facile.  Les traverses de toit sont requises.</t>
  </si>
  <si>
    <t>Gardez vos bâtons de golf, planches à neige, skis et autre équipement protégés et à l’abri des éléments dans la boîte de toit de taille moyenne résistante aux chocs et aux rayons UV. Espace de rangement verrouillable de 16 pi³ . Dimension : 74 po de longueur, 36 po de largeur, 16,5 po de hauteur. Capacité de charge maximale de 110 lb. Ouverture des deux côtés pour un accès facile.  Les traverses de toit sont requises.</t>
  </si>
  <si>
    <t>Honda vous offre la commodité d’une galerie de toit à profil bas pouvant supporter jusqu’à 150 lb. Ses parois latérales en angle facilitent le chargement et le carénage dirige le débit d’air par-dessus votre charge. La galerie de toit peut supporter jusqu’à 150 lb. Cependant, le poids combiné du panier de toit et de la charge ne peut pas excéder 154 lb.  Les traverses de toit sont requises.</t>
  </si>
  <si>
    <t>08L07-E09-300A-26PAS</t>
  </si>
  <si>
    <t>08L07-E09-101-26PAS</t>
  </si>
  <si>
    <t>08L03-E09-300C-26PAS</t>
  </si>
  <si>
    <t>08L05-E09-100-26PAS</t>
  </si>
  <si>
    <t>08L09-E09-101-26PAS</t>
  </si>
  <si>
    <t>08L20-E09-300B-26PAS</t>
  </si>
  <si>
    <t>08L20-E09-300A-26PAS</t>
  </si>
  <si>
    <t>08L20-E09-101C-26PAS</t>
  </si>
  <si>
    <t>08Z04-SCV-110B-26PAS</t>
  </si>
  <si>
    <t>08U20-S9V-101-26PAS</t>
  </si>
  <si>
    <t>N/A App Chart Only</t>
  </si>
  <si>
    <t>08T44-SNA-302-26PAS</t>
  </si>
  <si>
    <t>08L92-SJC-300A-26PAS</t>
  </si>
  <si>
    <t>08L92-S9V-300G-26PAS</t>
  </si>
  <si>
    <t>08L92-S9V-300H-26PAS</t>
  </si>
  <si>
    <t>08F20-T90-100A-26PAS</t>
  </si>
  <si>
    <t>08P48-T90-100A-26PAS</t>
  </si>
  <si>
    <t>08P20-T90-100-26PAS</t>
  </si>
  <si>
    <t>08R04-T90-100-26PAS</t>
  </si>
  <si>
    <t>08W42-TK4-301-26PAS</t>
  </si>
  <si>
    <t>08W42-TG7-301A-26PAS</t>
  </si>
  <si>
    <t>08W42-PL4-100A-26PAS</t>
  </si>
  <si>
    <t>Ensemble robuste</t>
  </si>
  <si>
    <t>5% Discount applied</t>
  </si>
  <si>
    <t>Rabais de 5 % est appliqué</t>
  </si>
  <si>
    <t>TrailSport Blackout</t>
  </si>
  <si>
    <t>Trailsport Touring Blackout</t>
  </si>
  <si>
    <t>Cannot be installed with Running Boards</t>
  </si>
  <si>
    <t>Cannot be installed with Rocker Slider</t>
  </si>
  <si>
    <t>Requires Roof Rails &amp; Crossbars.</t>
  </si>
  <si>
    <t>Nécessite des barres de toit et des barres transversales.</t>
  </si>
  <si>
    <t>Cannot be used in conjunction with Cargo Cover.</t>
  </si>
  <si>
    <t>Cannot be used in conjunction with Cargo Shelf / Table</t>
  </si>
  <si>
    <t xml:space="preserve">Utility Panel </t>
  </si>
  <si>
    <t>Ne peut pas être utilisé en conjonction avec tablette/table pour compartiment utilitaire.</t>
  </si>
  <si>
    <t>Ne peut pas être utilisé en conjonction avec couvre-bagages</t>
  </si>
  <si>
    <t>Trailer Hitch</t>
  </si>
  <si>
    <t>Roof Attachments</t>
  </si>
  <si>
    <t>Interior Function</t>
  </si>
  <si>
    <t>08U35-3BM-310 - Cargo Cover</t>
  </si>
  <si>
    <t>26PAS-TOW-PK2 - Towing Package 2
08L92-3BM-100A - Trailer Hitch Ball Mount
08L92-SJC-300A-26PAS - Trailet Hitch locking pin 
08L92-S9V-300G-26PAS - Trailer Hitch Ball 1-7/8"
08L92-S9V-300H-26PAS - Trailer Hitch Ball 2"</t>
  </si>
  <si>
    <t>26PAS-TOW-PK1 - Towing Package 1
08L92-3BM-100A - Trailer Hitch Ball Mount
08L92-SJC-300A-26PAS - Trailet Hitch locking pin 
08L92-S9V-300G-26PAS - Trailer Hitch Ball 1-7/8"
08L92-S9V-300H-26PAS - Trailer Hitch Ball 2"</t>
  </si>
  <si>
    <t>26PAS-PROPKA - Protection Package Advance
26PAS-RUGPK - Rugged Package
08P17-3BM-120A - All season mats
08U45-3BM-100 - Cargo Tray</t>
  </si>
  <si>
    <t>08W42-TG7-301A-26PAS - wheel locks black</t>
  </si>
  <si>
    <t>08W42-TK4-301-26PAS - wheel locks chrome</t>
  </si>
  <si>
    <t>26PAS-PROPK - Protection Package
08P17-3BM-120A - All season mats
08U45-3BM-100 - Cargo Tray
08U35-3BM-310 - Cargo Cover
08P00-3BM-100 - Splash Guards</t>
  </si>
  <si>
    <t>08L04-3BM-300 - Crossbars</t>
  </si>
  <si>
    <t>08L92-3BM-100A - Trailer Hitch Ball Mount</t>
  </si>
  <si>
    <t>26PAS-COLD</t>
  </si>
  <si>
    <t>Cold Weather Package</t>
  </si>
  <si>
    <t>Ensemble de temps froid</t>
  </si>
  <si>
    <t>Includes Engine Block Heater &amp; Auto Battery Charger/Maintainer.</t>
  </si>
  <si>
    <t>Comprend: Chauffe-moteur et Chargeur/mainteneur de charge de batterie automobile 12 V</t>
  </si>
  <si>
    <t>08T44-SNA-302-26PAS - Engine Block Heater
Optimate 12V Auto Battery Charger/Maintainer - 31670-BMS-004H</t>
  </si>
  <si>
    <t>Rock Slider</t>
  </si>
  <si>
    <t>Running Boards</t>
  </si>
  <si>
    <t>Images</t>
  </si>
  <si>
    <t>SiteCore</t>
  </si>
  <si>
    <t>All Accessories</t>
  </si>
  <si>
    <t xml:space="preserve">Promotional 20% discount available for a limited time. </t>
  </si>
  <si>
    <t>Limited Time Offer: Enjoy a 20% Promotional Discount! Contact your local Honda dealer for more details. Package Includes All season mats, Cargo tray, splash guards, front scuff plate and rock slider</t>
  </si>
  <si>
    <t>Remise promotionnelle de 20 % disponible pour une durée limitée.</t>
  </si>
  <si>
    <t>REMOVED* Feb 19 updated Spec sheet</t>
  </si>
  <si>
    <t>08F20-3BM-100 - Black Emblem Passport
08F20-3BM-100B - Black Emblem H Front &amp; rear</t>
  </si>
  <si>
    <t>Package Includes Passport, Front and Rear - "H" Black Emblems</t>
  </si>
  <si>
    <t>L’ensemble comprend les emblèmes noirs Passport et le logo « H » à l’avant et à l’arrière.</t>
  </si>
  <si>
    <t>Offre d’une durée limitée : Profitez d’un rabais promotionnel de 20 %! Communiquez avec votre concessionnaire Honda pour plus d’information.  L’ensemble comprend des tapis toutes saisons, un plateau pour compartiment utilitaire et des garde-boue, une plaque de protection avant et des barres de protection latérales.</t>
  </si>
  <si>
    <t>26PAS-RUGPK	Rugged Package</t>
  </si>
  <si>
    <t>26PAS-RUGPK	Rugged Package
26PAS-PROPK	Protection Package
26PAS-PROPKA	Protection Package Advance</t>
  </si>
  <si>
    <t>08Z05-3BM-100 - Cargo Shelf/Table
26PAS-PROPK	Protection Package
26PAS-PROPKA	Protection Package Advance</t>
  </si>
  <si>
    <t>26PAS-PROPK	Protection Package
26PAS-PROPKA	Protection Package Advance</t>
  </si>
  <si>
    <t>26PAS-COLD	Cold Weather Package</t>
  </si>
  <si>
    <t>26PAS-BLK-EMB	Black Emblem Set</t>
  </si>
  <si>
    <t>26PAS-TOW-PK1	Towing Package 1
26PAS-TOW-PK2	Towing Package 2</t>
  </si>
  <si>
    <t>Overlay 1</t>
  </si>
  <si>
    <t>Overlay 2</t>
  </si>
  <si>
    <t>Overlay 3</t>
  </si>
  <si>
    <t>Overlay 4</t>
  </si>
  <si>
    <t>Overlay 5</t>
  </si>
  <si>
    <t>Overlay 6</t>
  </si>
  <si>
    <t>Overlay 7</t>
  </si>
  <si>
    <t>Overlay 8</t>
  </si>
  <si>
    <t>76400-T90-A01</t>
  </si>
  <si>
    <t>Homelink Rearview Mirror</t>
  </si>
  <si>
    <t>The HomeLink rearview mirror enhances your Passport by enabling seamless connectivity with garage door openers, providing a convenient and integrated solution for home access.</t>
  </si>
  <si>
    <t>Rétroviseur intérieur Homelink</t>
  </si>
  <si>
    <t>Le rétroviseur intérieur HomeLink améliore votre Passport en permettant une connectivité transparente avec les ouvre-portes de garage, offrant ainsi une solution pratique et intégrée pour l'accès au domicile.</t>
  </si>
  <si>
    <t>26PAS-PROPK - Protection Package
26PAS-PROPKA - Protection Package Advance
08P17-3BM-120A - All season mats
08U45-3BM-100 - Cargo Tray
08P00-3BM-100 - Splash Guards
08P46-3BM-100 - Front Scuff Plate
08L33-3BM-100A - Rocker Slider
08L33-3BM-100	 Running Boards</t>
  </si>
  <si>
    <t>08L33-3BM-100	 Running Boards
26PAS-RUGPK	Rugged Package</t>
  </si>
  <si>
    <t>08L33-3BM-100A Rock Slider
26PAS-RUGPK	Rugged Package</t>
  </si>
  <si>
    <t>L’ensemble comprend des tapis toutes saisons et un plateau pour compartiment utilitaire</t>
  </si>
  <si>
    <t>L’ensemble comprend des tapis toutes saisons, un plateau pour compartiment utilitaire, des garde-boue, et un couvre-bagages</t>
  </si>
  <si>
    <t>Package Includes All season mats, Cargo tray, splash guards and cargo cover</t>
  </si>
  <si>
    <t>Package Includes All season mats and Cargo tray</t>
  </si>
  <si>
    <t xml:space="preserve">Publication Date / Date de publication: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</si>
</sst>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sz val="10.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color theme="1"/>
      <name val="Calibri"/>
      <family val="2"/>
      <scheme val="minor"/>
    </font>
    <font>
      <sz val="8"/>
      <color theme="1"/>
      <name val="Calibri"/>
      <family val="2"/>
      <scheme val="minor"/>
    </font>
    <font>
      <b/>
      <sz val="14"/>
      <name val="Calibri"/>
      <family val="2"/>
      <scheme val="minor"/>
    </font>
    <font>
      <sz val="11"/>
      <color rgb="FFFF0000"/>
      <name val="Calibri"/>
      <family val="2"/>
      <scheme val="minor"/>
    </font>
    <font>
      <i/>
      <sz val="10"/>
      <color theme="0" tint="-4.9989318521683403E-2"/>
      <name val="Arial Narrow"/>
      <family val="2"/>
    </font>
    <font>
      <i/>
      <sz val="11"/>
      <color theme="0" tint="-4.9989318521683403E-2"/>
      <name val="Arial Narrow"/>
      <family val="2"/>
    </font>
    <font>
      <i/>
      <sz val="14"/>
      <color theme="0" tint="-4.9989318521683403E-2"/>
      <name val="Arial Narrow"/>
      <family val="2"/>
    </font>
    <font>
      <sz val="11"/>
      <color theme="0" tint="-4.9989318521683403E-2"/>
      <name val="Arial Narrow"/>
      <family val="2"/>
    </font>
    <font>
      <sz val="10"/>
      <color theme="0" tint="-4.9989318521683403E-2"/>
      <name val="Arial Narrow"/>
      <family val="2"/>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s>
  <borders count="5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right style="thin">
        <color theme="1" tint="0.499984740745262"/>
      </right>
      <top style="thin">
        <color theme="1"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704">
    <xf numFmtId="0" fontId="0" fillId="0" borderId="0"/>
    <xf numFmtId="0" fontId="49" fillId="2" borderId="0" applyNumberFormat="0" applyBorder="0" applyAlignment="0" applyProtection="0">
      <alignment vertical="center"/>
    </xf>
    <xf numFmtId="0" fontId="49" fillId="3" borderId="0" applyNumberFormat="0" applyBorder="0" applyAlignment="0" applyProtection="0">
      <alignment vertical="center"/>
    </xf>
    <xf numFmtId="0" fontId="49" fillId="4" borderId="0" applyNumberFormat="0" applyBorder="0" applyAlignment="0" applyProtection="0">
      <alignment vertical="center"/>
    </xf>
    <xf numFmtId="0" fontId="49" fillId="5" borderId="0" applyNumberFormat="0" applyBorder="0" applyAlignment="0" applyProtection="0">
      <alignment vertical="center"/>
    </xf>
    <xf numFmtId="0" fontId="49" fillId="6" borderId="0" applyNumberFormat="0" applyBorder="0" applyAlignment="0" applyProtection="0">
      <alignment vertical="center"/>
    </xf>
    <xf numFmtId="0" fontId="49" fillId="7" borderId="0" applyNumberFormat="0" applyBorder="0" applyAlignment="0" applyProtection="0">
      <alignment vertical="center"/>
    </xf>
    <xf numFmtId="0" fontId="49" fillId="8"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5" borderId="0" applyNumberFormat="0" applyBorder="0" applyAlignment="0" applyProtection="0">
      <alignment vertical="center"/>
    </xf>
    <xf numFmtId="0" fontId="49" fillId="8"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 fontId="42" fillId="0" borderId="0" applyFont="0" applyFill="0" applyBorder="0" applyAlignment="0" applyProtection="0"/>
    <xf numFmtId="40" fontId="41" fillId="0" borderId="0" applyFont="0" applyFill="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8" fontId="41" fillId="0" borderId="0" applyFont="0" applyFill="0" applyBorder="0" applyAlignment="0" applyProtection="0">
      <alignment vertical="center"/>
    </xf>
    <xf numFmtId="44" fontId="38" fillId="0" borderId="0" applyFont="0" applyFill="0" applyBorder="0" applyAlignment="0" applyProtection="0"/>
    <xf numFmtId="44" fontId="38" fillId="0" borderId="0" applyFont="0" applyFill="0" applyBorder="0" applyAlignment="0" applyProtection="0"/>
    <xf numFmtId="44" fontId="47"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73" fillId="0" borderId="0" applyFont="0" applyFill="0" applyBorder="0" applyAlignment="0" applyProtection="0"/>
    <xf numFmtId="44" fontId="73"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0" fontId="51" fillId="0" borderId="0" applyNumberFormat="0" applyFill="0" applyBorder="0" applyAlignment="0" applyProtection="0">
      <alignment vertical="center"/>
      <protection locked="0"/>
    </xf>
    <xf numFmtId="38" fontId="48" fillId="22" borderId="0" applyNumberFormat="0" applyBorder="0" applyAlignment="0" applyProtection="0"/>
    <xf numFmtId="0" fontId="39" fillId="0" borderId="3" applyNumberFormat="0" applyAlignment="0" applyProtection="0">
      <alignment horizontal="left" vertical="center"/>
    </xf>
    <xf numFmtId="0" fontId="39" fillId="0" borderId="4">
      <alignment horizontal="left" vertical="center"/>
    </xf>
    <xf numFmtId="10" fontId="48" fillId="23" borderId="8" applyNumberFormat="0" applyBorder="0" applyAlignment="0" applyProtection="0"/>
    <xf numFmtId="170" fontId="38" fillId="0" borderId="0" applyFont="0" applyFill="0" applyBorder="0" applyAlignment="0" applyProtection="0"/>
    <xf numFmtId="169" fontId="38" fillId="0" borderId="0" applyFont="0" applyFill="0" applyBorder="0" applyAlignment="0" applyProtection="0"/>
    <xf numFmtId="38" fontId="52" fillId="0" borderId="0" applyFont="0" applyFill="0" applyBorder="0" applyAlignment="0" applyProtection="0"/>
    <xf numFmtId="40" fontId="52" fillId="0" borderId="0" applyFont="0" applyFill="0" applyBorder="0" applyAlignment="0" applyProtection="0"/>
    <xf numFmtId="42" fontId="38" fillId="0" borderId="0" applyFont="0" applyFill="0" applyBorder="0" applyAlignment="0" applyProtection="0"/>
    <xf numFmtId="44" fontId="38" fillId="0" borderId="0" applyFont="0" applyFill="0" applyBorder="0" applyAlignment="0" applyProtection="0"/>
    <xf numFmtId="6" fontId="52" fillId="0" borderId="0" applyFont="0" applyFill="0" applyBorder="0" applyAlignment="0" applyProtection="0"/>
    <xf numFmtId="8" fontId="52" fillId="0" borderId="0" applyFont="0" applyFill="0" applyBorder="0" applyAlignment="0" applyProtection="0"/>
    <xf numFmtId="0" fontId="40" fillId="0" borderId="0">
      <alignment horizontal="left" indent="1"/>
    </xf>
    <xf numFmtId="37" fontId="53" fillId="0" borderId="0"/>
    <xf numFmtId="172" fontId="5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71" fillId="0" borderId="0"/>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73" fillId="0" borderId="0"/>
    <xf numFmtId="0" fontId="73" fillId="0" borderId="0"/>
    <xf numFmtId="0" fontId="41" fillId="0" borderId="0">
      <alignment vertical="center"/>
    </xf>
    <xf numFmtId="0" fontId="73" fillId="0" borderId="0"/>
    <xf numFmtId="0" fontId="41" fillId="0" borderId="0">
      <alignment vertical="center"/>
    </xf>
    <xf numFmtId="0" fontId="4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73" fillId="0" borderId="0"/>
    <xf numFmtId="0" fontId="73" fillId="0" borderId="0"/>
    <xf numFmtId="0" fontId="72"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73" fillId="0" borderId="0"/>
    <xf numFmtId="0" fontId="73" fillId="0" borderId="0"/>
    <xf numFmtId="0" fontId="73"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74"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43" fillId="0" borderId="0"/>
    <xf numFmtId="0" fontId="43" fillId="0" borderId="0"/>
    <xf numFmtId="0" fontId="74" fillId="0" borderId="0"/>
    <xf numFmtId="0" fontId="73" fillId="0" borderId="0"/>
    <xf numFmtId="0" fontId="41" fillId="0" borderId="0">
      <alignment vertical="center"/>
    </xf>
    <xf numFmtId="0" fontId="43" fillId="0" borderId="0"/>
    <xf numFmtId="0" fontId="41" fillId="0" borderId="0">
      <alignment vertical="center"/>
    </xf>
    <xf numFmtId="0" fontId="38" fillId="0" borderId="0"/>
    <xf numFmtId="0" fontId="41" fillId="0" borderId="0">
      <alignment vertical="center"/>
    </xf>
    <xf numFmtId="0" fontId="38" fillId="0" borderId="0"/>
    <xf numFmtId="0" fontId="41" fillId="0" borderId="0">
      <alignment vertical="center"/>
    </xf>
    <xf numFmtId="0" fontId="73" fillId="0" borderId="0"/>
    <xf numFmtId="0" fontId="41" fillId="0" borderId="0">
      <alignment vertical="center"/>
    </xf>
    <xf numFmtId="0" fontId="41" fillId="0" borderId="0">
      <alignment vertical="center"/>
    </xf>
    <xf numFmtId="0" fontId="41" fillId="0" borderId="0">
      <alignment vertical="center"/>
    </xf>
    <xf numFmtId="0" fontId="38" fillId="0" borderId="0"/>
    <xf numFmtId="0" fontId="41" fillId="0" borderId="0">
      <alignment vertical="center"/>
    </xf>
    <xf numFmtId="0" fontId="41" fillId="0" borderId="0">
      <alignment vertical="center"/>
    </xf>
    <xf numFmtId="0" fontId="38" fillId="0" borderId="0"/>
    <xf numFmtId="0" fontId="41" fillId="0" borderId="0">
      <alignment vertical="center"/>
    </xf>
    <xf numFmtId="0" fontId="38" fillId="0" borderId="0"/>
    <xf numFmtId="0" fontId="38" fillId="0" borderId="0"/>
    <xf numFmtId="0" fontId="43" fillId="0" borderId="0"/>
    <xf numFmtId="0" fontId="4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41" fillId="0" borderId="0">
      <alignment vertic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73" fillId="0" borderId="0"/>
    <xf numFmtId="0" fontId="38"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alignment vertical="center"/>
    </xf>
    <xf numFmtId="0" fontId="38" fillId="0" borderId="0"/>
    <xf numFmtId="0" fontId="38" fillId="0" borderId="0"/>
    <xf numFmtId="0" fontId="38" fillId="0" borderId="0"/>
    <xf numFmtId="0" fontId="74" fillId="0" borderId="0"/>
    <xf numFmtId="0" fontId="74" fillId="0" borderId="0"/>
    <xf numFmtId="0" fontId="74" fillId="0" borderId="0"/>
    <xf numFmtId="0" fontId="74" fillId="0" borderId="0"/>
    <xf numFmtId="0" fontId="74" fillId="0" borderId="0"/>
    <xf numFmtId="0" fontId="74" fillId="0" borderId="0"/>
    <xf numFmtId="0" fontId="47" fillId="0" borderId="0">
      <alignment vertical="center"/>
    </xf>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47" fillId="0" borderId="0">
      <alignment vertical="center"/>
    </xf>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38" fillId="0" borderId="0"/>
    <xf numFmtId="0" fontId="43" fillId="0" borderId="0"/>
    <xf numFmtId="0" fontId="43" fillId="0" borderId="0"/>
    <xf numFmtId="0" fontId="43" fillId="0" borderId="0"/>
    <xf numFmtId="0" fontId="38" fillId="0" borderId="0"/>
    <xf numFmtId="0" fontId="43" fillId="0" borderId="0"/>
    <xf numFmtId="0" fontId="41"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4" fillId="0" borderId="0"/>
    <xf numFmtId="0" fontId="7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0" fontId="38"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6"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2" fillId="0" borderId="0" applyFont="0" applyFill="0" applyBorder="0" applyAlignment="0" applyProtection="0"/>
    <xf numFmtId="9" fontId="38"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41" fillId="0" borderId="0" applyFont="0" applyFill="0" applyBorder="0" applyAlignment="0" applyProtection="0">
      <alignment vertical="center"/>
    </xf>
    <xf numFmtId="0" fontId="76" fillId="26" borderId="13">
      <alignment horizontal="left" vertical="center" indent="1"/>
    </xf>
    <xf numFmtId="0" fontId="77" fillId="27" borderId="14" applyBorder="0">
      <alignment horizontal="center" vertical="center"/>
    </xf>
    <xf numFmtId="0" fontId="77" fillId="27" borderId="14" applyBorder="0">
      <alignment horizontal="center" vertical="center"/>
    </xf>
    <xf numFmtId="0" fontId="78" fillId="28" borderId="15" applyNumberFormat="0">
      <alignment horizontal="center" vertical="center"/>
    </xf>
    <xf numFmtId="0" fontId="76" fillId="29" borderId="16">
      <alignment horizontal="center"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9" borderId="0" applyNumberFormat="0" applyBorder="0" applyAlignment="0" applyProtection="0">
      <alignment vertical="center"/>
    </xf>
    <xf numFmtId="0" fontId="56" fillId="0" borderId="0" applyNumberFormat="0" applyFill="0" applyBorder="0" applyAlignment="0" applyProtection="0">
      <alignment vertical="center"/>
    </xf>
    <xf numFmtId="0" fontId="57" fillId="21" borderId="2" applyNumberFormat="0" applyAlignment="0" applyProtection="0">
      <alignment vertical="center"/>
    </xf>
    <xf numFmtId="0" fontId="58" fillId="24" borderId="0" applyNumberFormat="0" applyBorder="0" applyAlignment="0" applyProtection="0">
      <alignment vertical="center"/>
    </xf>
    <xf numFmtId="0" fontId="51" fillId="25" borderId="10" applyNumberFormat="0" applyFont="0" applyAlignment="0" applyProtection="0">
      <alignment vertical="center"/>
    </xf>
    <xf numFmtId="0" fontId="59" fillId="0" borderId="9" applyNumberFormat="0" applyFill="0" applyAlignment="0" applyProtection="0">
      <alignment vertical="center"/>
    </xf>
    <xf numFmtId="42" fontId="55" fillId="0" borderId="0" applyFont="0" applyFill="0" applyBorder="0" applyAlignment="0" applyProtection="0"/>
    <xf numFmtId="44" fontId="55" fillId="0" borderId="0" applyFont="0" applyFill="0" applyBorder="0" applyAlignment="0" applyProtection="0"/>
    <xf numFmtId="0" fontId="55" fillId="0" borderId="0"/>
    <xf numFmtId="0" fontId="60" fillId="7" borderId="1" applyNumberFormat="0" applyAlignment="0" applyProtection="0">
      <alignment vertical="center"/>
    </xf>
    <xf numFmtId="0" fontId="61" fillId="20" borderId="11" applyNumberFormat="0" applyAlignment="0" applyProtection="0">
      <alignment vertical="center"/>
    </xf>
    <xf numFmtId="0" fontId="62" fillId="3" borderId="0" applyNumberFormat="0" applyBorder="0" applyAlignment="0" applyProtection="0">
      <alignment vertical="center"/>
    </xf>
    <xf numFmtId="169" fontId="38" fillId="0" borderId="0" applyFont="0" applyFill="0" applyBorder="0" applyAlignment="0" applyProtection="0"/>
    <xf numFmtId="170" fontId="38" fillId="0" borderId="0" applyFont="0" applyFill="0" applyBorder="0" applyAlignment="0" applyProtection="0"/>
    <xf numFmtId="0" fontId="38" fillId="0" borderId="0"/>
    <xf numFmtId="0" fontId="63" fillId="4" borderId="0" applyNumberFormat="0" applyBorder="0" applyAlignment="0" applyProtection="0">
      <alignment vertical="center"/>
    </xf>
    <xf numFmtId="0" fontId="64" fillId="0" borderId="5" applyNumberFormat="0" applyFill="0" applyAlignment="0" applyProtection="0">
      <alignment vertical="center"/>
    </xf>
    <xf numFmtId="0" fontId="65" fillId="0" borderId="6" applyNumberFormat="0" applyFill="0" applyAlignment="0" applyProtection="0">
      <alignment vertical="center"/>
    </xf>
    <xf numFmtId="0" fontId="66" fillId="0" borderId="7" applyNumberFormat="0" applyFill="0" applyAlignment="0" applyProtection="0">
      <alignment vertical="center"/>
    </xf>
    <xf numFmtId="0" fontId="66" fillId="0" borderId="0" applyNumberFormat="0" applyFill="0" applyBorder="0" applyAlignment="0" applyProtection="0">
      <alignment vertical="center"/>
    </xf>
    <xf numFmtId="0" fontId="67" fillId="20" borderId="1" applyNumberFormat="0" applyAlignment="0" applyProtection="0">
      <alignment vertical="center"/>
    </xf>
    <xf numFmtId="0" fontId="68" fillId="0" borderId="0" applyNumberFormat="0" applyFill="0" applyBorder="0" applyAlignment="0" applyProtection="0">
      <alignment vertical="center"/>
    </xf>
    <xf numFmtId="0" fontId="69" fillId="0" borderId="0" applyNumberFormat="0" applyFill="0" applyBorder="0" applyAlignment="0" applyProtection="0">
      <alignment vertical="center"/>
    </xf>
    <xf numFmtId="44" fontId="38" fillId="0" borderId="0" applyFont="0" applyFill="0" applyBorder="0" applyAlignment="0" applyProtection="0"/>
    <xf numFmtId="42" fontId="38" fillId="0" borderId="0" applyFont="0" applyFill="0" applyBorder="0" applyAlignment="0" applyProtection="0"/>
    <xf numFmtId="0" fontId="70" fillId="0" borderId="12" applyNumberFormat="0" applyFill="0" applyAlignment="0" applyProtection="0">
      <alignment vertical="center"/>
    </xf>
    <xf numFmtId="0" fontId="37" fillId="0" borderId="0"/>
    <xf numFmtId="0" fontId="36" fillId="0" borderId="0"/>
    <xf numFmtId="0" fontId="36" fillId="0" borderId="0"/>
    <xf numFmtId="0" fontId="35" fillId="0" borderId="0"/>
    <xf numFmtId="0" fontId="35"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94" fillId="0" borderId="0" applyNumberFormat="0" applyFill="0" applyBorder="0" applyAlignment="0" applyProtection="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92" fillId="35" borderId="0" applyNumberFormat="0" applyBorder="0" applyAlignment="0" applyProtection="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4" fillId="0" borderId="0"/>
    <xf numFmtId="0" fontId="4" fillId="0" borderId="0"/>
    <xf numFmtId="0" fontId="4" fillId="0" borderId="0"/>
    <xf numFmtId="165" fontId="38" fillId="0" borderId="0" applyFont="0" applyFill="0" applyBorder="0" applyAlignment="0" applyProtection="0"/>
  </cellStyleXfs>
  <cellXfs count="413">
    <xf numFmtId="0" fontId="0" fillId="0" borderId="0" xfId="0"/>
    <xf numFmtId="0" fontId="45" fillId="33" borderId="0" xfId="74" applyFont="1" applyFill="1"/>
    <xf numFmtId="0" fontId="82" fillId="33" borderId="15" xfId="594" applyNumberFormat="1" applyFont="1" applyFill="1" applyAlignment="1">
      <alignment vertical="center"/>
    </xf>
    <xf numFmtId="0" fontId="38" fillId="0" borderId="0" xfId="74"/>
    <xf numFmtId="0" fontId="38" fillId="33" borderId="0" xfId="74" applyFill="1"/>
    <xf numFmtId="44" fontId="45" fillId="33" borderId="8" xfId="36" applyFont="1" applyFill="1" applyBorder="1"/>
    <xf numFmtId="49" fontId="45" fillId="33" borderId="8" xfId="74" applyNumberFormat="1" applyFont="1" applyFill="1" applyBorder="1"/>
    <xf numFmtId="8" fontId="38" fillId="33" borderId="0" xfId="74" applyNumberFormat="1" applyFill="1"/>
    <xf numFmtId="0" fontId="94" fillId="0" borderId="0" xfId="652"/>
    <xf numFmtId="0" fontId="95" fillId="0" borderId="0" xfId="74" applyFont="1"/>
    <xf numFmtId="10" fontId="45" fillId="34" borderId="8" xfId="74" applyNumberFormat="1" applyFont="1" applyFill="1" applyBorder="1"/>
    <xf numFmtId="1" fontId="45" fillId="34" borderId="8" xfId="74" applyNumberFormat="1" applyFont="1" applyFill="1" applyBorder="1"/>
    <xf numFmtId="0" fontId="45" fillId="34" borderId="8" xfId="74" applyFont="1" applyFill="1" applyBorder="1"/>
    <xf numFmtId="0" fontId="96" fillId="33" borderId="0" xfId="74" applyFont="1" applyFill="1"/>
    <xf numFmtId="0" fontId="48" fillId="33" borderId="0" xfId="74" applyFont="1" applyFill="1"/>
    <xf numFmtId="0" fontId="84" fillId="33" borderId="15" xfId="592" applyFont="1" applyFill="1" applyBorder="1" applyAlignment="1">
      <alignment vertical="center"/>
    </xf>
    <xf numFmtId="0" fontId="89" fillId="33" borderId="18" xfId="594" applyNumberFormat="1" applyFont="1" applyFill="1" applyBorder="1">
      <alignment horizontal="center" vertical="center"/>
    </xf>
    <xf numFmtId="166" fontId="86" fillId="33" borderId="18" xfId="595" applyNumberFormat="1" applyFont="1" applyFill="1" applyBorder="1">
      <alignment horizontal="center" vertical="center"/>
    </xf>
    <xf numFmtId="166" fontId="89" fillId="33" borderId="18" xfId="594" applyNumberFormat="1" applyFont="1" applyFill="1" applyBorder="1">
      <alignment horizontal="center" vertical="center"/>
    </xf>
    <xf numFmtId="0" fontId="86" fillId="0" borderId="18" xfId="591" applyFont="1" applyFill="1" applyBorder="1" applyAlignment="1">
      <alignment horizontal="left" vertical="center"/>
    </xf>
    <xf numFmtId="0" fontId="86" fillId="33" borderId="18" xfId="591" applyFont="1" applyFill="1" applyBorder="1" applyAlignment="1">
      <alignment horizontal="left" vertical="center"/>
    </xf>
    <xf numFmtId="166" fontId="86" fillId="0" borderId="18" xfId="594" applyNumberFormat="1" applyFont="1" applyFill="1" applyBorder="1">
      <alignment horizontal="center" vertical="center"/>
    </xf>
    <xf numFmtId="0" fontId="86" fillId="0" borderId="18" xfId="594" applyNumberFormat="1" applyFont="1" applyFill="1" applyBorder="1">
      <alignment horizontal="center" vertical="center"/>
    </xf>
    <xf numFmtId="166" fontId="86" fillId="0" borderId="18" xfId="595" applyNumberFormat="1" applyFont="1" applyFill="1" applyBorder="1">
      <alignment horizontal="center" vertical="center"/>
    </xf>
    <xf numFmtId="0" fontId="89" fillId="0" borderId="18" xfId="594" applyNumberFormat="1" applyFont="1" applyFill="1" applyBorder="1">
      <alignment horizontal="center" vertical="center"/>
    </xf>
    <xf numFmtId="0" fontId="86" fillId="0" borderId="18" xfId="595" applyFont="1" applyFill="1" applyBorder="1" applyAlignment="1">
      <alignment horizontal="left" vertical="center" wrapText="1"/>
    </xf>
    <xf numFmtId="1" fontId="89" fillId="33" borderId="18" xfId="594" applyNumberFormat="1" applyFont="1" applyFill="1" applyBorder="1" applyAlignment="1">
      <alignment horizontal="left" vertical="center"/>
    </xf>
    <xf numFmtId="171" fontId="89" fillId="0" borderId="18" xfId="594" applyNumberFormat="1" applyFont="1" applyFill="1" applyBorder="1" applyAlignment="1">
      <alignment horizontal="left" vertical="center"/>
    </xf>
    <xf numFmtId="0" fontId="38" fillId="0" borderId="15" xfId="80" applyBorder="1" applyAlignment="1">
      <alignment vertical="center"/>
    </xf>
    <xf numFmtId="0" fontId="38" fillId="0" borderId="16" xfId="80" applyBorder="1" applyAlignment="1">
      <alignment vertical="center"/>
    </xf>
    <xf numFmtId="0" fontId="38" fillId="0" borderId="13" xfId="80" applyBorder="1" applyAlignment="1">
      <alignment vertical="center"/>
    </xf>
    <xf numFmtId="0" fontId="38" fillId="0" borderId="20" xfId="80" applyBorder="1" applyAlignment="1">
      <alignment vertical="center"/>
    </xf>
    <xf numFmtId="0" fontId="93" fillId="0" borderId="15" xfId="80" applyFont="1" applyBorder="1" applyAlignment="1">
      <alignment vertical="center"/>
    </xf>
    <xf numFmtId="0" fontId="38" fillId="0" borderId="33" xfId="80" applyBorder="1" applyAlignment="1">
      <alignment vertical="center"/>
    </xf>
    <xf numFmtId="0" fontId="38" fillId="0" borderId="0" xfId="80" applyAlignment="1">
      <alignment vertical="center"/>
    </xf>
    <xf numFmtId="0" fontId="38" fillId="0" borderId="18" xfId="80" applyBorder="1" applyAlignment="1">
      <alignment vertical="center"/>
    </xf>
    <xf numFmtId="0" fontId="83" fillId="32" borderId="22" xfId="80" applyFont="1" applyFill="1" applyBorder="1" applyAlignment="1">
      <alignment horizontal="center"/>
    </xf>
    <xf numFmtId="0" fontId="83" fillId="32" borderId="24" xfId="80" applyFont="1" applyFill="1" applyBorder="1" applyAlignment="1">
      <alignment horizontal="center"/>
    </xf>
    <xf numFmtId="0" fontId="92" fillId="35" borderId="27" xfId="80" applyFont="1" applyFill="1" applyBorder="1" applyAlignment="1">
      <alignment horizontal="centerContinuous"/>
    </xf>
    <xf numFmtId="0" fontId="38" fillId="0" borderId="26" xfId="80" applyBorder="1" applyAlignment="1">
      <alignment vertical="center"/>
    </xf>
    <xf numFmtId="0" fontId="92" fillId="35" borderId="28" xfId="80" applyFont="1" applyFill="1" applyBorder="1" applyAlignment="1">
      <alignment horizontal="centerContinuous"/>
    </xf>
    <xf numFmtId="173" fontId="83" fillId="31" borderId="23" xfId="80" applyNumberFormat="1" applyFont="1" applyFill="1" applyBorder="1"/>
    <xf numFmtId="173" fontId="83" fillId="31" borderId="25" xfId="80" applyNumberFormat="1" applyFont="1" applyFill="1" applyBorder="1"/>
    <xf numFmtId="0" fontId="85" fillId="33" borderId="15" xfId="689" applyFont="1" applyFill="1" applyBorder="1" applyAlignment="1">
      <alignment vertical="center"/>
    </xf>
    <xf numFmtId="0" fontId="79" fillId="33" borderId="15" xfId="690" applyFont="1" applyFill="1" applyBorder="1" applyAlignment="1">
      <alignment horizontal="left" vertical="center"/>
    </xf>
    <xf numFmtId="0" fontId="38" fillId="34" borderId="32" xfId="80" applyFill="1" applyBorder="1" applyAlignment="1">
      <alignment horizontal="center" vertical="center"/>
    </xf>
    <xf numFmtId="0" fontId="83" fillId="0" borderId="0" xfId="74" applyFont="1" applyAlignment="1">
      <alignment vertical="center"/>
    </xf>
    <xf numFmtId="0" fontId="83" fillId="30" borderId="0" xfId="74" applyFont="1" applyFill="1" applyAlignment="1">
      <alignment vertical="center"/>
    </xf>
    <xf numFmtId="0" fontId="88" fillId="33" borderId="26" xfId="691" applyFont="1" applyFill="1" applyBorder="1" applyAlignment="1">
      <alignment horizontal="left" vertical="center"/>
    </xf>
    <xf numFmtId="0" fontId="88" fillId="33" borderId="16" xfId="691" applyFont="1" applyFill="1" applyBorder="1" applyAlignment="1">
      <alignment horizontal="left" vertical="center"/>
    </xf>
    <xf numFmtId="0" fontId="102" fillId="33" borderId="0" xfId="74" applyFont="1" applyFill="1" applyAlignment="1">
      <alignment vertical="center"/>
    </xf>
    <xf numFmtId="0" fontId="83" fillId="33" borderId="0" xfId="74" applyFont="1" applyFill="1" applyAlignment="1">
      <alignment vertical="center"/>
    </xf>
    <xf numFmtId="0" fontId="106" fillId="33" borderId="0" xfId="74" applyFont="1" applyFill="1" applyAlignment="1">
      <alignment horizontal="center" vertical="center"/>
    </xf>
    <xf numFmtId="0" fontId="103" fillId="33" borderId="0" xfId="74" applyFont="1" applyFill="1" applyAlignment="1">
      <alignment horizontal="center" vertical="center"/>
    </xf>
    <xf numFmtId="164" fontId="83" fillId="0" borderId="0" xfId="74" applyNumberFormat="1" applyFont="1" applyAlignment="1">
      <alignment vertical="center"/>
    </xf>
    <xf numFmtId="0" fontId="80" fillId="33" borderId="0" xfId="74" applyFont="1" applyFill="1" applyAlignment="1">
      <alignment vertical="center"/>
    </xf>
    <xf numFmtId="0" fontId="106" fillId="33" borderId="0" xfId="74" applyFont="1" applyFill="1" applyAlignment="1">
      <alignment horizontal="center" vertical="top"/>
    </xf>
    <xf numFmtId="8" fontId="81" fillId="33" borderId="0" xfId="74" applyNumberFormat="1" applyFont="1" applyFill="1" applyAlignment="1">
      <alignment horizontal="right" vertical="top"/>
    </xf>
    <xf numFmtId="44" fontId="81" fillId="33" borderId="0" xfId="74" applyNumberFormat="1" applyFont="1" applyFill="1" applyAlignment="1">
      <alignment horizontal="left" vertical="top"/>
    </xf>
    <xf numFmtId="49" fontId="110" fillId="0" borderId="0" xfId="74" applyNumberFormat="1" applyFont="1" applyAlignment="1">
      <alignment vertical="top"/>
    </xf>
    <xf numFmtId="0" fontId="80" fillId="33" borderId="0" xfId="74" applyFont="1" applyFill="1" applyAlignment="1">
      <alignment vertical="top"/>
    </xf>
    <xf numFmtId="0" fontId="83" fillId="33" borderId="0" xfId="74" applyFont="1" applyFill="1" applyAlignment="1">
      <alignment vertical="top"/>
    </xf>
    <xf numFmtId="0" fontId="83" fillId="30" borderId="0" xfId="74" applyFont="1" applyFill="1" applyAlignment="1">
      <alignment vertical="top"/>
    </xf>
    <xf numFmtId="0" fontId="83" fillId="0" borderId="0" xfId="74" applyFont="1" applyAlignment="1">
      <alignment vertical="top"/>
    </xf>
    <xf numFmtId="0" fontId="81" fillId="33" borderId="0" xfId="74" applyFont="1" applyFill="1" applyAlignment="1">
      <alignment vertical="center"/>
    </xf>
    <xf numFmtId="0" fontId="103" fillId="33" borderId="0" xfId="74" applyFont="1" applyFill="1" applyAlignment="1">
      <alignment vertical="center"/>
    </xf>
    <xf numFmtId="0" fontId="109" fillId="33" borderId="0" xfId="74" applyFont="1" applyFill="1" applyAlignment="1">
      <alignment horizontal="left" vertical="center"/>
    </xf>
    <xf numFmtId="0" fontId="108" fillId="33" borderId="0" xfId="74" applyFont="1" applyFill="1" applyAlignment="1">
      <alignment vertical="center"/>
    </xf>
    <xf numFmtId="0" fontId="105" fillId="0" borderId="0" xfId="74" applyFont="1" applyAlignment="1">
      <alignment vertical="center"/>
    </xf>
    <xf numFmtId="0" fontId="105" fillId="33" borderId="0" xfId="74" applyFont="1" applyFill="1" applyAlignment="1">
      <alignment vertical="center"/>
    </xf>
    <xf numFmtId="0" fontId="102" fillId="0" borderId="0" xfId="74" applyFont="1" applyAlignment="1">
      <alignment vertical="center"/>
    </xf>
    <xf numFmtId="10" fontId="5" fillId="0" borderId="0" xfId="522" applyNumberFormat="1" applyFont="1" applyBorder="1" applyAlignment="1">
      <alignment vertical="center"/>
    </xf>
    <xf numFmtId="174" fontId="81" fillId="33" borderId="0" xfId="74" applyNumberFormat="1" applyFont="1" applyFill="1" applyAlignment="1">
      <alignment horizontal="right" vertical="top"/>
    </xf>
    <xf numFmtId="175" fontId="80" fillId="33" borderId="0" xfId="74" applyNumberFormat="1" applyFont="1" applyFill="1" applyAlignment="1">
      <alignment vertical="top"/>
    </xf>
    <xf numFmtId="176" fontId="80" fillId="33" borderId="0" xfId="74" applyNumberFormat="1" applyFont="1" applyFill="1" applyAlignment="1">
      <alignment vertical="top"/>
    </xf>
    <xf numFmtId="9" fontId="110" fillId="33" borderId="0" xfId="74" applyNumberFormat="1" applyFont="1" applyFill="1" applyAlignment="1">
      <alignment vertical="center"/>
    </xf>
    <xf numFmtId="9" fontId="110" fillId="33" borderId="0" xfId="74" applyNumberFormat="1" applyFont="1" applyFill="1" applyAlignment="1">
      <alignment vertical="top"/>
    </xf>
    <xf numFmtId="0" fontId="107" fillId="33" borderId="0" xfId="74" applyFont="1" applyFill="1" applyAlignment="1">
      <alignment vertical="center"/>
    </xf>
    <xf numFmtId="171" fontId="89" fillId="31" borderId="15" xfId="594" applyNumberFormat="1" applyFont="1" applyFill="1" applyAlignment="1">
      <alignment horizontal="left" vertical="center"/>
    </xf>
    <xf numFmtId="171" fontId="89" fillId="31" borderId="18" xfId="594" applyNumberFormat="1" applyFont="1" applyFill="1" applyBorder="1" applyAlignment="1">
      <alignment horizontal="left" vertical="center"/>
    </xf>
    <xf numFmtId="0" fontId="83" fillId="33" borderId="0" xfId="74" applyFont="1" applyFill="1" applyAlignment="1">
      <alignment horizontal="center" vertical="center"/>
    </xf>
    <xf numFmtId="0" fontId="108" fillId="0" borderId="0" xfId="74" applyFont="1" applyAlignment="1">
      <alignment vertical="center"/>
    </xf>
    <xf numFmtId="0" fontId="80" fillId="0" borderId="0" xfId="591" applyFont="1" applyFill="1" applyBorder="1" applyAlignment="1">
      <alignment horizontal="center" vertical="center" wrapText="1"/>
    </xf>
    <xf numFmtId="0" fontId="98" fillId="0" borderId="0" xfId="594" applyNumberFormat="1" applyFont="1" applyFill="1" applyBorder="1">
      <alignment horizontal="center" vertical="center"/>
    </xf>
    <xf numFmtId="0" fontId="116" fillId="33" borderId="0" xfId="74" applyFont="1" applyFill="1"/>
    <xf numFmtId="0" fontId="38" fillId="34" borderId="0" xfId="74" applyFill="1"/>
    <xf numFmtId="178" fontId="115" fillId="33" borderId="0" xfId="74" applyNumberFormat="1" applyFont="1" applyFill="1" applyAlignment="1">
      <alignment horizontal="left" vertical="center"/>
    </xf>
    <xf numFmtId="0" fontId="99" fillId="32" borderId="30" xfId="80" applyFont="1" applyFill="1" applyBorder="1" applyAlignment="1" applyProtection="1">
      <alignment horizontal="center" vertical="center"/>
      <protection locked="0"/>
    </xf>
    <xf numFmtId="0" fontId="90" fillId="30" borderId="29" xfId="80" applyFont="1" applyFill="1" applyBorder="1" applyAlignment="1">
      <alignment horizontal="center" wrapText="1"/>
    </xf>
    <xf numFmtId="0" fontId="82" fillId="33" borderId="0" xfId="594" applyNumberFormat="1" applyFont="1" applyFill="1" applyBorder="1">
      <alignment horizontal="center" vertical="center"/>
    </xf>
    <xf numFmtId="0" fontId="82" fillId="33" borderId="0" xfId="594" applyNumberFormat="1" applyFont="1" applyFill="1" applyBorder="1" applyAlignment="1">
      <alignment vertical="center"/>
    </xf>
    <xf numFmtId="0" fontId="89" fillId="33" borderId="0" xfId="594" applyNumberFormat="1" applyFont="1" applyFill="1" applyBorder="1">
      <alignment horizontal="center" vertical="center"/>
    </xf>
    <xf numFmtId="0" fontId="86" fillId="33" borderId="0" xfId="591" applyFont="1" applyFill="1" applyBorder="1" applyAlignment="1">
      <alignment horizontal="left" vertical="center" wrapText="1"/>
    </xf>
    <xf numFmtId="0" fontId="3" fillId="33" borderId="0" xfId="689" applyFont="1" applyFill="1" applyAlignment="1">
      <alignment horizontal="center" vertical="center"/>
    </xf>
    <xf numFmtId="0" fontId="3"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6" fillId="33" borderId="0" xfId="74" applyFont="1" applyFill="1" applyAlignment="1">
      <alignment vertical="center"/>
    </xf>
    <xf numFmtId="0" fontId="92" fillId="36" borderId="8" xfId="595" applyFont="1" applyFill="1" applyBorder="1" applyAlignment="1">
      <alignment horizontal="center" vertical="center" wrapText="1"/>
    </xf>
    <xf numFmtId="0" fontId="86" fillId="33" borderId="0" xfId="74" applyFont="1" applyFill="1" applyAlignment="1">
      <alignment horizontal="center" vertical="center"/>
    </xf>
    <xf numFmtId="0" fontId="86" fillId="33" borderId="0" xfId="74" applyFont="1" applyFill="1" applyAlignment="1">
      <alignment vertical="center" wrapText="1"/>
    </xf>
    <xf numFmtId="0" fontId="92" fillId="36" borderId="35" xfId="595" applyFont="1" applyFill="1" applyBorder="1" applyAlignment="1">
      <alignment horizontal="center" vertical="center" wrapText="1"/>
    </xf>
    <xf numFmtId="0" fontId="92" fillId="37" borderId="35" xfId="595" applyFont="1" applyFill="1" applyBorder="1" applyAlignment="1">
      <alignment vertical="center" wrapText="1"/>
    </xf>
    <xf numFmtId="0" fontId="83" fillId="33" borderId="37" xfId="74" applyFont="1" applyFill="1" applyBorder="1" applyAlignment="1">
      <alignment vertical="center"/>
    </xf>
    <xf numFmtId="0" fontId="92" fillId="36" borderId="37" xfId="591" applyFont="1" applyFill="1" applyBorder="1" applyAlignment="1">
      <alignment horizontal="left" vertical="center"/>
    </xf>
    <xf numFmtId="0" fontId="83" fillId="33" borderId="37" xfId="74" applyFont="1" applyFill="1" applyBorder="1" applyAlignment="1">
      <alignment horizontal="center" vertical="center"/>
    </xf>
    <xf numFmtId="0" fontId="82"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3" fillId="33" borderId="37" xfId="74" applyFont="1" applyFill="1" applyBorder="1" applyAlignment="1">
      <alignment vertical="center" wrapText="1"/>
    </xf>
    <xf numFmtId="0" fontId="83" fillId="33" borderId="0" xfId="74" applyFont="1" applyFill="1" applyAlignment="1">
      <alignment vertical="center" wrapText="1"/>
    </xf>
    <xf numFmtId="0" fontId="118" fillId="33" borderId="0" xfId="74" applyFont="1" applyFill="1" applyAlignment="1">
      <alignment horizontal="left" vertical="center" wrapText="1"/>
    </xf>
    <xf numFmtId="0" fontId="112" fillId="33" borderId="0" xfId="594" applyNumberFormat="1" applyFont="1" applyFill="1" applyBorder="1" applyAlignment="1">
      <alignment horizontal="center" vertical="center" wrapText="1"/>
    </xf>
    <xf numFmtId="0" fontId="121" fillId="33" borderId="0" xfId="672" applyFont="1" applyFill="1" applyBorder="1" applyAlignment="1">
      <alignment vertical="center" wrapText="1"/>
    </xf>
    <xf numFmtId="0" fontId="122" fillId="33" borderId="0" xfId="74" applyFont="1" applyFill="1" applyAlignment="1">
      <alignment vertical="center" wrapText="1"/>
    </xf>
    <xf numFmtId="0" fontId="121" fillId="37" borderId="35" xfId="595" applyFont="1" applyFill="1" applyBorder="1" applyAlignment="1">
      <alignment horizontal="center" vertical="center" wrapText="1"/>
    </xf>
    <xf numFmtId="0" fontId="122"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6" fillId="33" borderId="0" xfId="672" applyFont="1" applyFill="1" applyBorder="1" applyAlignment="1">
      <alignment vertical="center"/>
    </xf>
    <xf numFmtId="0" fontId="87" fillId="33" borderId="15" xfId="591" applyFont="1" applyFill="1" applyBorder="1" applyAlignment="1">
      <alignment horizontal="left" vertical="center"/>
    </xf>
    <xf numFmtId="0" fontId="124" fillId="0" borderId="15" xfId="80" applyFont="1" applyBorder="1" applyAlignment="1">
      <alignment vertical="center"/>
    </xf>
    <xf numFmtId="0" fontId="125" fillId="33" borderId="0" xfId="594" applyNumberFormat="1" applyFont="1" applyFill="1" applyBorder="1" applyAlignment="1">
      <alignment horizontal="center" vertical="center" wrapText="1"/>
    </xf>
    <xf numFmtId="0" fontId="127" fillId="33" borderId="0" xfId="689" applyFont="1" applyFill="1" applyAlignment="1">
      <alignment horizontal="center" vertical="center"/>
    </xf>
    <xf numFmtId="0" fontId="128" fillId="33" borderId="0" xfId="594" applyNumberFormat="1" applyFont="1" applyFill="1" applyBorder="1">
      <alignment horizontal="center" vertical="center"/>
    </xf>
    <xf numFmtId="0" fontId="122" fillId="33" borderId="0" xfId="74" applyFont="1" applyFill="1" applyAlignment="1">
      <alignment horizontal="center" vertical="center" wrapText="1"/>
    </xf>
    <xf numFmtId="0" fontId="126" fillId="33" borderId="0" xfId="672" applyFont="1" applyFill="1" applyBorder="1" applyAlignment="1">
      <alignment horizontal="center" vertical="center" wrapText="1"/>
    </xf>
    <xf numFmtId="0" fontId="122" fillId="33" borderId="37" xfId="74" applyFont="1" applyFill="1" applyBorder="1" applyAlignment="1">
      <alignment horizontal="center" vertical="center" wrapText="1"/>
    </xf>
    <xf numFmtId="0" fontId="83" fillId="38" borderId="37" xfId="74" applyFont="1" applyFill="1" applyBorder="1" applyAlignment="1">
      <alignment horizontal="center" vertical="center"/>
    </xf>
    <xf numFmtId="0" fontId="83" fillId="38" borderId="37" xfId="74" applyFont="1" applyFill="1" applyBorder="1" applyAlignment="1">
      <alignment vertical="center"/>
    </xf>
    <xf numFmtId="0" fontId="2" fillId="33" borderId="15" xfId="689" applyFont="1" applyFill="1" applyBorder="1" applyAlignment="1">
      <alignment horizontal="center" vertical="center"/>
    </xf>
    <xf numFmtId="0" fontId="2" fillId="33" borderId="15" xfId="689" applyFont="1" applyFill="1" applyBorder="1" applyAlignment="1">
      <alignment vertical="center"/>
    </xf>
    <xf numFmtId="0" fontId="2" fillId="33" borderId="16" xfId="689" applyFont="1" applyFill="1" applyBorder="1" applyAlignment="1">
      <alignment vertical="center"/>
    </xf>
    <xf numFmtId="0" fontId="2" fillId="33" borderId="0" xfId="689" applyFont="1" applyFill="1" applyAlignment="1">
      <alignment horizontal="center" vertical="center"/>
    </xf>
    <xf numFmtId="0" fontId="2" fillId="33" borderId="0" xfId="689" applyFont="1" applyFill="1" applyAlignment="1">
      <alignment vertical="center"/>
    </xf>
    <xf numFmtId="0" fontId="118" fillId="0" borderId="0" xfId="74" applyFont="1" applyAlignment="1">
      <alignment horizontal="left" vertical="center"/>
    </xf>
    <xf numFmtId="0" fontId="86" fillId="30" borderId="0" xfId="74" applyFont="1" applyFill="1" applyAlignment="1">
      <alignment vertical="center"/>
    </xf>
    <xf numFmtId="0" fontId="86" fillId="0" borderId="0" xfId="74" applyFont="1" applyAlignment="1">
      <alignment vertical="center"/>
    </xf>
    <xf numFmtId="0" fontId="2" fillId="33" borderId="18" xfId="689" applyFont="1" applyFill="1" applyBorder="1" applyAlignment="1">
      <alignment vertical="center"/>
    </xf>
    <xf numFmtId="178" fontId="100" fillId="33" borderId="0" xfId="74" applyNumberFormat="1" applyFont="1" applyFill="1" applyAlignment="1">
      <alignment horizontal="left" vertical="center"/>
    </xf>
    <xf numFmtId="0" fontId="87" fillId="33" borderId="15" xfId="591" applyFont="1" applyFill="1" applyBorder="1" applyAlignment="1">
      <alignment vertical="center"/>
    </xf>
    <xf numFmtId="0" fontId="87" fillId="33" borderId="16" xfId="591" applyFont="1" applyFill="1" applyBorder="1" applyAlignment="1">
      <alignment vertical="center"/>
    </xf>
    <xf numFmtId="0" fontId="2" fillId="33" borderId="17" xfId="689" applyFont="1" applyFill="1" applyBorder="1" applyAlignment="1">
      <alignment vertical="center"/>
    </xf>
    <xf numFmtId="0" fontId="87" fillId="33" borderId="0" xfId="591" applyFont="1" applyFill="1" applyBorder="1" applyAlignment="1">
      <alignment vertical="center"/>
    </xf>
    <xf numFmtId="0" fontId="87" fillId="33" borderId="0" xfId="591" applyFont="1" applyFill="1" applyBorder="1" applyAlignment="1">
      <alignment horizontal="left" vertical="center"/>
    </xf>
    <xf numFmtId="0" fontId="88" fillId="33" borderId="0" xfId="691" applyFont="1" applyFill="1" applyAlignment="1">
      <alignment horizontal="left" vertical="center"/>
    </xf>
    <xf numFmtId="0" fontId="86" fillId="33" borderId="15" xfId="689" applyFont="1" applyFill="1" applyBorder="1" applyAlignment="1">
      <alignment vertical="center"/>
    </xf>
    <xf numFmtId="0" fontId="86" fillId="33" borderId="16" xfId="689" applyFont="1" applyFill="1" applyBorder="1" applyAlignment="1">
      <alignment vertical="center"/>
    </xf>
    <xf numFmtId="0" fontId="86" fillId="33" borderId="13" xfId="689" applyFont="1" applyFill="1" applyBorder="1" applyAlignment="1">
      <alignment vertical="center"/>
    </xf>
    <xf numFmtId="0" fontId="86" fillId="33" borderId="20" xfId="689" applyFont="1" applyFill="1" applyBorder="1" applyAlignment="1">
      <alignment vertical="center"/>
    </xf>
    <xf numFmtId="0" fontId="86" fillId="33" borderId="18" xfId="689" applyFont="1" applyFill="1" applyBorder="1" applyAlignment="1">
      <alignment vertical="center"/>
    </xf>
    <xf numFmtId="0" fontId="87" fillId="33" borderId="15" xfId="689" applyFont="1" applyFill="1" applyBorder="1" applyAlignment="1">
      <alignment vertical="center"/>
    </xf>
    <xf numFmtId="0" fontId="86" fillId="33" borderId="26" xfId="689" applyFont="1" applyFill="1" applyBorder="1" applyAlignment="1">
      <alignment vertical="center"/>
    </xf>
    <xf numFmtId="0" fontId="83" fillId="33" borderId="0" xfId="591" applyFont="1" applyFill="1" applyBorder="1" applyAlignment="1">
      <alignment horizontal="center" wrapText="1"/>
    </xf>
    <xf numFmtId="0" fontId="119" fillId="39" borderId="0" xfId="672" applyFont="1" applyFill="1" applyBorder="1" applyAlignment="1"/>
    <xf numFmtId="0" fontId="130" fillId="39" borderId="0" xfId="689" applyFont="1" applyFill="1" applyAlignment="1">
      <alignment vertical="center"/>
    </xf>
    <xf numFmtId="0" fontId="84" fillId="33" borderId="20" xfId="592" applyFont="1" applyFill="1" applyBorder="1" applyAlignment="1">
      <alignment vertical="center"/>
    </xf>
    <xf numFmtId="0" fontId="82" fillId="33" borderId="20" xfId="594" applyNumberFormat="1" applyFont="1" applyFill="1" applyBorder="1" applyAlignment="1">
      <alignment vertical="center"/>
    </xf>
    <xf numFmtId="0" fontId="87" fillId="33" borderId="18" xfId="591" applyFont="1" applyFill="1" applyBorder="1" applyAlignment="1">
      <alignment horizontal="left" vertical="center"/>
    </xf>
    <xf numFmtId="0" fontId="84" fillId="39" borderId="0" xfId="672" applyFont="1" applyFill="1" applyBorder="1" applyAlignment="1">
      <alignment vertical="center"/>
    </xf>
    <xf numFmtId="0" fontId="86" fillId="30" borderId="15" xfId="591" applyFont="1" applyFill="1" applyBorder="1" applyAlignment="1">
      <alignment horizontal="left" vertical="center"/>
    </xf>
    <xf numFmtId="0" fontId="87" fillId="33" borderId="26" xfId="689" applyFont="1" applyFill="1" applyBorder="1" applyAlignment="1">
      <alignment vertical="center"/>
    </xf>
    <xf numFmtId="2" fontId="3" fillId="33" borderId="37" xfId="689" applyNumberFormat="1" applyFont="1" applyFill="1" applyBorder="1" applyAlignment="1">
      <alignment vertical="center"/>
    </xf>
    <xf numFmtId="0" fontId="120" fillId="40" borderId="35" xfId="595" applyFont="1" applyFill="1" applyBorder="1" applyAlignment="1">
      <alignment horizontal="center" vertical="center" wrapText="1"/>
    </xf>
    <xf numFmtId="0" fontId="120" fillId="36" borderId="38" xfId="595" applyFont="1" applyFill="1" applyBorder="1" applyAlignment="1">
      <alignment horizontal="center" vertical="center" wrapText="1"/>
    </xf>
    <xf numFmtId="2" fontId="83" fillId="33" borderId="37" xfId="74" applyNumberFormat="1" applyFont="1" applyFill="1" applyBorder="1" applyAlignment="1">
      <alignment vertical="center"/>
    </xf>
    <xf numFmtId="167" fontId="83" fillId="33" borderId="37" xfId="74" applyNumberFormat="1" applyFont="1" applyFill="1" applyBorder="1" applyAlignment="1">
      <alignment horizontal="center" vertical="center"/>
    </xf>
    <xf numFmtId="2" fontId="83" fillId="41" borderId="37" xfId="74" applyNumberFormat="1" applyFont="1" applyFill="1" applyBorder="1" applyAlignment="1">
      <alignment vertical="center"/>
    </xf>
    <xf numFmtId="2" fontId="3" fillId="41" borderId="37" xfId="689" applyNumberFormat="1" applyFont="1" applyFill="1" applyBorder="1" applyAlignment="1">
      <alignment vertical="center"/>
    </xf>
    <xf numFmtId="167" fontId="83" fillId="41" borderId="37" xfId="74" applyNumberFormat="1" applyFont="1" applyFill="1" applyBorder="1" applyAlignment="1">
      <alignment horizontal="center" vertical="center"/>
    </xf>
    <xf numFmtId="0" fontId="92" fillId="37" borderId="37" xfId="595" applyFont="1" applyFill="1" applyBorder="1" applyAlignment="1">
      <alignment horizontal="center" vertical="center" wrapText="1"/>
    </xf>
    <xf numFmtId="0" fontId="129" fillId="37" borderId="37" xfId="595" applyFont="1" applyFill="1" applyBorder="1" applyAlignment="1">
      <alignment horizontal="center" vertical="center" wrapText="1"/>
    </xf>
    <xf numFmtId="0" fontId="120" fillId="36" borderId="37" xfId="595" applyFont="1" applyFill="1" applyBorder="1" applyAlignment="1">
      <alignment horizontal="center" vertical="center" wrapText="1"/>
    </xf>
    <xf numFmtId="0" fontId="117" fillId="30" borderId="37" xfId="595" applyFont="1" applyFill="1" applyBorder="1">
      <alignment horizontal="center" vertical="center"/>
    </xf>
    <xf numFmtId="0" fontId="92" fillId="37" borderId="37" xfId="595" applyFont="1" applyFill="1" applyBorder="1" applyAlignment="1">
      <alignment vertical="center" wrapText="1"/>
    </xf>
    <xf numFmtId="0" fontId="83" fillId="28" borderId="37" xfId="74" applyFont="1" applyFill="1" applyBorder="1" applyAlignment="1">
      <alignment horizontal="center" vertical="center"/>
    </xf>
    <xf numFmtId="0" fontId="89" fillId="30" borderId="15" xfId="595" applyFont="1" applyFill="1" applyBorder="1" applyAlignment="1">
      <alignment horizontal="center" vertical="center" wrapText="1"/>
    </xf>
    <xf numFmtId="0" fontId="86" fillId="32" borderId="18" xfId="591" applyFont="1" applyFill="1" applyBorder="1" applyAlignment="1">
      <alignment horizontal="left" vertical="center"/>
    </xf>
    <xf numFmtId="44" fontId="86" fillId="31" borderId="18" xfId="36" applyFont="1" applyFill="1" applyBorder="1" applyAlignment="1">
      <alignment horizontal="center" vertical="center"/>
    </xf>
    <xf numFmtId="0" fontId="86" fillId="31" borderId="18" xfId="594" applyNumberFormat="1" applyFont="1" applyFill="1" applyBorder="1">
      <alignment horizontal="center" vertical="center"/>
    </xf>
    <xf numFmtId="44" fontId="89" fillId="32" borderId="18" xfId="36" applyFont="1" applyFill="1" applyBorder="1" applyAlignment="1">
      <alignment horizontal="center" vertical="center"/>
    </xf>
    <xf numFmtId="0" fontId="83" fillId="31" borderId="18" xfId="594" applyNumberFormat="1" applyFont="1" applyFill="1" applyBorder="1">
      <alignment horizontal="center" vertical="center"/>
    </xf>
    <xf numFmtId="0" fontId="86" fillId="32" borderId="18" xfId="595" applyFont="1" applyFill="1" applyBorder="1" applyAlignment="1">
      <alignment horizontal="left" vertical="center" wrapText="1"/>
    </xf>
    <xf numFmtId="0" fontId="83" fillId="33" borderId="34" xfId="74" applyFont="1" applyFill="1" applyBorder="1" applyAlignment="1">
      <alignment vertical="center"/>
    </xf>
    <xf numFmtId="0" fontId="89" fillId="33" borderId="34" xfId="594" applyNumberFormat="1" applyFont="1" applyFill="1" applyBorder="1">
      <alignment horizontal="center" vertical="center"/>
    </xf>
    <xf numFmtId="171" fontId="89" fillId="33" borderId="33" xfId="594" applyNumberFormat="1" applyFont="1" applyFill="1" applyBorder="1" applyAlignment="1">
      <alignment horizontal="left" vertical="center"/>
    </xf>
    <xf numFmtId="166" fontId="86" fillId="33" borderId="0" xfId="594" applyNumberFormat="1" applyFont="1" applyFill="1" applyBorder="1">
      <alignment horizontal="center" vertical="center"/>
    </xf>
    <xf numFmtId="0" fontId="86" fillId="33" borderId="0" xfId="594" applyNumberFormat="1" applyFont="1" applyFill="1" applyBorder="1">
      <alignment horizontal="center" vertical="center"/>
    </xf>
    <xf numFmtId="166" fontId="86" fillId="33" borderId="0" xfId="595" applyNumberFormat="1" applyFont="1" applyFill="1" applyBorder="1">
      <alignment horizontal="center" vertical="center"/>
    </xf>
    <xf numFmtId="0" fontId="86" fillId="33" borderId="0" xfId="595" applyFont="1" applyFill="1" applyBorder="1" applyAlignment="1">
      <alignment horizontal="left" vertical="center" wrapText="1"/>
    </xf>
    <xf numFmtId="0" fontId="80" fillId="28" borderId="37" xfId="74" applyFont="1" applyFill="1" applyBorder="1" applyAlignment="1">
      <alignment horizontal="center" vertical="center"/>
    </xf>
    <xf numFmtId="0" fontId="89" fillId="32" borderId="19" xfId="591" applyFont="1" applyFill="1" applyBorder="1" applyAlignment="1">
      <alignment vertical="center"/>
    </xf>
    <xf numFmtId="0" fontId="83" fillId="41" borderId="37" xfId="74" applyFont="1" applyFill="1" applyBorder="1" applyAlignment="1">
      <alignment horizontal="left" vertical="center"/>
    </xf>
    <xf numFmtId="0" fontId="83" fillId="33" borderId="37" xfId="74" applyFont="1" applyFill="1" applyBorder="1" applyAlignment="1">
      <alignment horizontal="left" vertical="center"/>
    </xf>
    <xf numFmtId="0" fontId="86" fillId="32" borderId="15" xfId="591" applyFont="1" applyFill="1" applyBorder="1">
      <alignment horizontal="left" vertical="center" indent="1"/>
    </xf>
    <xf numFmtId="0" fontId="91" fillId="33" borderId="17" xfId="689" applyFont="1" applyFill="1" applyBorder="1" applyAlignment="1">
      <alignment horizontal="center" vertical="center"/>
    </xf>
    <xf numFmtId="0" fontId="88" fillId="33" borderId="15" xfId="691" applyFont="1" applyFill="1" applyBorder="1" applyAlignment="1">
      <alignment horizontal="left" vertical="center"/>
    </xf>
    <xf numFmtId="0" fontId="86" fillId="32" borderId="20" xfId="595" applyFont="1" applyFill="1" applyBorder="1" applyAlignment="1">
      <alignment horizontal="left" vertical="center" wrapText="1"/>
    </xf>
    <xf numFmtId="0" fontId="89" fillId="32" borderId="15" xfId="591" applyFont="1" applyFill="1" applyBorder="1" applyAlignment="1">
      <alignment horizontal="left" vertical="center"/>
    </xf>
    <xf numFmtId="0" fontId="122" fillId="33" borderId="0" xfId="74" applyFont="1" applyFill="1" applyAlignment="1">
      <alignment vertical="center"/>
    </xf>
    <xf numFmtId="0" fontId="86" fillId="32" borderId="18" xfId="591" applyFont="1" applyFill="1" applyBorder="1">
      <alignment horizontal="left" vertical="center" indent="1"/>
    </xf>
    <xf numFmtId="0" fontId="89" fillId="32" borderId="18" xfId="591" applyFont="1" applyFill="1" applyBorder="1" applyAlignment="1">
      <alignment horizontal="left" vertical="center"/>
    </xf>
    <xf numFmtId="0" fontId="2" fillId="33" borderId="33" xfId="689" applyFont="1" applyFill="1" applyBorder="1" applyAlignment="1">
      <alignment vertical="center"/>
    </xf>
    <xf numFmtId="0" fontId="91" fillId="33" borderId="0" xfId="689" applyFont="1" applyFill="1" applyAlignment="1">
      <alignment horizontal="center" vertical="center"/>
    </xf>
    <xf numFmtId="1" fontId="86" fillId="31" borderId="15" xfId="594" applyNumberFormat="1" applyFont="1" applyFill="1" applyAlignment="1">
      <alignment horizontal="left" vertical="center" indent="1"/>
    </xf>
    <xf numFmtId="0" fontId="86" fillId="30" borderId="13" xfId="74" applyFont="1" applyFill="1" applyBorder="1" applyAlignment="1">
      <alignment vertical="center"/>
    </xf>
    <xf numFmtId="0" fontId="86" fillId="30" borderId="19" xfId="74" applyFont="1" applyFill="1" applyBorder="1" applyAlignment="1">
      <alignment vertical="center"/>
    </xf>
    <xf numFmtId="0" fontId="83" fillId="42" borderId="0" xfId="74" applyFont="1" applyFill="1" applyAlignment="1">
      <alignment vertical="center"/>
    </xf>
    <xf numFmtId="0" fontId="83" fillId="42" borderId="37" xfId="74" applyFont="1" applyFill="1" applyBorder="1" applyAlignment="1">
      <alignment vertical="center"/>
    </xf>
    <xf numFmtId="0" fontId="83" fillId="42" borderId="37" xfId="74" applyFont="1" applyFill="1" applyBorder="1" applyAlignment="1">
      <alignment vertical="center" wrapText="1"/>
    </xf>
    <xf numFmtId="0" fontId="122" fillId="42" borderId="37" xfId="74" applyFont="1" applyFill="1" applyBorder="1" applyAlignment="1">
      <alignment vertical="center" wrapText="1"/>
    </xf>
    <xf numFmtId="0" fontId="83" fillId="42" borderId="37" xfId="74" applyFont="1" applyFill="1" applyBorder="1" applyAlignment="1">
      <alignment horizontal="center" vertical="center"/>
    </xf>
    <xf numFmtId="0" fontId="3" fillId="42" borderId="37" xfId="689" applyFont="1" applyFill="1" applyBorder="1" applyAlignment="1">
      <alignment vertical="center"/>
    </xf>
    <xf numFmtId="2" fontId="83" fillId="42" borderId="37" xfId="74" applyNumberFormat="1" applyFont="1" applyFill="1" applyBorder="1" applyAlignment="1">
      <alignment vertical="center"/>
    </xf>
    <xf numFmtId="0" fontId="89" fillId="33" borderId="37" xfId="591" applyFont="1" applyFill="1" applyBorder="1" applyAlignment="1">
      <alignment horizontal="left" vertical="center"/>
    </xf>
    <xf numFmtId="0" fontId="124" fillId="43" borderId="35" xfId="74" applyFont="1" applyFill="1" applyBorder="1"/>
    <xf numFmtId="0" fontId="124" fillId="43" borderId="8" xfId="74" applyFont="1" applyFill="1" applyBorder="1"/>
    <xf numFmtId="0" fontId="120" fillId="36" borderId="38" xfId="595" applyFont="1" applyFill="1" applyBorder="1" applyAlignment="1">
      <alignment horizontal="center" vertical="center" textRotation="90" wrapText="1"/>
    </xf>
    <xf numFmtId="0" fontId="124" fillId="43" borderId="4" xfId="74" applyFont="1" applyFill="1" applyBorder="1"/>
    <xf numFmtId="0" fontId="124" fillId="43" borderId="39" xfId="74" applyFont="1" applyFill="1" applyBorder="1"/>
    <xf numFmtId="0" fontId="124" fillId="43" borderId="35" xfId="74" applyFont="1" applyFill="1" applyBorder="1" applyAlignment="1">
      <alignment wrapText="1"/>
    </xf>
    <xf numFmtId="178" fontId="89" fillId="33" borderId="37" xfId="591" applyNumberFormat="1" applyFont="1" applyFill="1" applyBorder="1" applyAlignment="1">
      <alignment horizontal="left" vertical="center"/>
    </xf>
    <xf numFmtId="1" fontId="86" fillId="31" borderId="15" xfId="594" applyNumberFormat="1" applyFont="1" applyFill="1" applyAlignment="1">
      <alignment horizontal="left" vertical="center" wrapText="1" indent="1"/>
    </xf>
    <xf numFmtId="0" fontId="122" fillId="33" borderId="0" xfId="74" applyFont="1" applyFill="1" applyAlignment="1">
      <alignment vertical="top"/>
    </xf>
    <xf numFmtId="177" fontId="86" fillId="31" borderId="18" xfId="36" applyNumberFormat="1" applyFont="1" applyFill="1" applyBorder="1" applyAlignment="1">
      <alignment horizontal="center" vertical="center"/>
    </xf>
    <xf numFmtId="177" fontId="89" fillId="32" borderId="18" xfId="36" applyNumberFormat="1" applyFont="1" applyFill="1" applyBorder="1" applyAlignment="1">
      <alignment horizontal="center" vertical="center"/>
    </xf>
    <xf numFmtId="0" fontId="86" fillId="32" borderId="15" xfId="591" applyFont="1" applyFill="1" applyBorder="1" applyAlignment="1">
      <alignment horizontal="left" vertical="center"/>
    </xf>
    <xf numFmtId="0" fontId="104" fillId="33" borderId="0" xfId="74" applyFont="1" applyFill="1" applyAlignment="1">
      <alignment vertical="center"/>
    </xf>
    <xf numFmtId="0" fontId="133" fillId="33" borderId="0" xfId="74" applyFont="1" applyFill="1" applyAlignment="1">
      <alignment horizontal="center" vertical="center"/>
    </xf>
    <xf numFmtId="0" fontId="83" fillId="33" borderId="0" xfId="74" applyFont="1" applyFill="1" applyAlignment="1">
      <alignment horizontal="right" vertical="center"/>
    </xf>
    <xf numFmtId="178" fontId="83" fillId="33" borderId="0" xfId="522" applyNumberFormat="1" applyFont="1" applyFill="1" applyBorder="1" applyAlignment="1">
      <alignment horizontal="left" vertical="center"/>
    </xf>
    <xf numFmtId="49" fontId="132" fillId="39" borderId="0" xfId="522" applyNumberFormat="1" applyFont="1" applyFill="1" applyBorder="1" applyAlignment="1">
      <alignment vertical="center"/>
    </xf>
    <xf numFmtId="0" fontId="132" fillId="39" borderId="0" xfId="74" applyFont="1" applyFill="1" applyAlignment="1">
      <alignment horizontal="left" vertical="center"/>
    </xf>
    <xf numFmtId="0" fontId="132" fillId="39" borderId="0" xfId="74" applyFont="1" applyFill="1" applyAlignment="1">
      <alignment vertical="center"/>
    </xf>
    <xf numFmtId="0" fontId="134" fillId="39" borderId="0" xfId="74" applyFont="1" applyFill="1" applyAlignment="1">
      <alignment horizontal="left" vertical="center"/>
    </xf>
    <xf numFmtId="0" fontId="134" fillId="39" borderId="0" xfId="74" applyFont="1" applyFill="1" applyAlignment="1">
      <alignment vertical="center"/>
    </xf>
    <xf numFmtId="0" fontId="134" fillId="39" borderId="0" xfId="74" applyFont="1" applyFill="1" applyAlignment="1">
      <alignment horizontal="center" vertical="center"/>
    </xf>
    <xf numFmtId="0" fontId="115" fillId="33" borderId="0" xfId="74" applyFont="1" applyFill="1" applyAlignment="1">
      <alignment horizontal="right" vertical="center" wrapText="1"/>
    </xf>
    <xf numFmtId="0" fontId="103" fillId="33" borderId="43" xfId="74" applyFont="1" applyFill="1" applyBorder="1" applyAlignment="1">
      <alignment horizontal="center" vertical="center"/>
    </xf>
    <xf numFmtId="0" fontId="108" fillId="33" borderId="43" xfId="74" applyFont="1" applyFill="1" applyBorder="1" applyAlignment="1">
      <alignment horizontal="left" vertical="center"/>
    </xf>
    <xf numFmtId="0" fontId="83" fillId="33" borderId="43" xfId="74" applyFont="1" applyFill="1" applyBorder="1" applyAlignment="1">
      <alignment vertical="center"/>
    </xf>
    <xf numFmtId="0" fontId="83" fillId="33" borderId="43" xfId="74" applyFont="1" applyFill="1" applyBorder="1" applyAlignment="1">
      <alignment horizontal="left" vertical="center"/>
    </xf>
    <xf numFmtId="0" fontId="107" fillId="33" borderId="43" xfId="74" applyFont="1" applyFill="1" applyBorder="1" applyAlignment="1">
      <alignment horizontal="left" vertical="center"/>
    </xf>
    <xf numFmtId="0" fontId="107" fillId="33" borderId="43" xfId="74" applyFont="1" applyFill="1" applyBorder="1" applyAlignment="1">
      <alignment vertical="center"/>
    </xf>
    <xf numFmtId="0" fontId="83" fillId="0" borderId="43" xfId="74" applyFont="1" applyBorder="1" applyAlignment="1">
      <alignment vertical="center"/>
    </xf>
    <xf numFmtId="14" fontId="107" fillId="33" borderId="43" xfId="74" applyNumberFormat="1" applyFont="1" applyFill="1" applyBorder="1" applyAlignment="1">
      <alignment horizontal="left" vertical="center"/>
    </xf>
    <xf numFmtId="0" fontId="86" fillId="33" borderId="0" xfId="672" applyFont="1" applyFill="1" applyBorder="1" applyAlignment="1">
      <alignment horizontal="center" vertical="center"/>
    </xf>
    <xf numFmtId="0" fontId="92" fillId="37" borderId="44" xfId="595" applyFont="1" applyFill="1" applyBorder="1" applyAlignment="1">
      <alignment horizontal="center" vertical="center" wrapText="1"/>
    </xf>
    <xf numFmtId="0" fontId="83" fillId="33" borderId="40" xfId="74" applyFont="1" applyFill="1" applyBorder="1" applyAlignment="1">
      <alignment horizontal="center" vertical="center"/>
    </xf>
    <xf numFmtId="0" fontId="83" fillId="42" borderId="40" xfId="74" applyFont="1" applyFill="1" applyBorder="1" applyAlignment="1">
      <alignment horizontal="center" vertical="center"/>
    </xf>
    <xf numFmtId="0" fontId="120" fillId="40" borderId="45" xfId="595" applyFont="1" applyFill="1" applyBorder="1" applyAlignment="1">
      <alignment horizontal="center" vertical="center" wrapText="1"/>
    </xf>
    <xf numFmtId="0" fontId="83" fillId="33" borderId="46" xfId="74" applyFont="1" applyFill="1" applyBorder="1" applyAlignment="1">
      <alignment vertical="center"/>
    </xf>
    <xf numFmtId="0" fontId="83" fillId="33" borderId="46" xfId="74" applyFont="1" applyFill="1" applyBorder="1" applyAlignment="1">
      <alignment vertical="center" wrapText="1"/>
    </xf>
    <xf numFmtId="0" fontId="122" fillId="33" borderId="46" xfId="74" applyFont="1" applyFill="1" applyBorder="1" applyAlignment="1">
      <alignment horizontal="center" vertical="center" wrapText="1"/>
    </xf>
    <xf numFmtId="0" fontId="83" fillId="33" borderId="47" xfId="74" applyFont="1" applyFill="1" applyBorder="1" applyAlignment="1">
      <alignment horizontal="center" vertical="center"/>
    </xf>
    <xf numFmtId="0" fontId="80" fillId="28" borderId="46" xfId="74" applyFont="1" applyFill="1" applyBorder="1" applyAlignment="1">
      <alignment horizontal="center" vertical="center"/>
    </xf>
    <xf numFmtId="167" fontId="83" fillId="33" borderId="46" xfId="74" applyNumberFormat="1" applyFont="1" applyFill="1" applyBorder="1" applyAlignment="1">
      <alignment horizontal="center" vertical="center"/>
    </xf>
    <xf numFmtId="2" fontId="3" fillId="33" borderId="46" xfId="689" applyNumberFormat="1" applyFont="1" applyFill="1" applyBorder="1" applyAlignment="1">
      <alignment vertical="center"/>
    </xf>
    <xf numFmtId="2" fontId="83" fillId="33" borderId="46" xfId="74" applyNumberFormat="1" applyFont="1" applyFill="1" applyBorder="1" applyAlignment="1">
      <alignment vertical="center"/>
    </xf>
    <xf numFmtId="0" fontId="122" fillId="33" borderId="46" xfId="74" applyFont="1" applyFill="1" applyBorder="1" applyAlignment="1">
      <alignment vertical="center" wrapText="1"/>
    </xf>
    <xf numFmtId="0" fontId="83" fillId="33" borderId="8" xfId="74" applyFont="1" applyFill="1" applyBorder="1" applyAlignment="1">
      <alignment vertical="center"/>
    </xf>
    <xf numFmtId="0" fontId="83" fillId="33" borderId="8" xfId="74" applyFont="1" applyFill="1" applyBorder="1" applyAlignment="1">
      <alignment vertical="center" wrapText="1"/>
    </xf>
    <xf numFmtId="0" fontId="122" fillId="33" borderId="8" xfId="74" applyFont="1" applyFill="1" applyBorder="1" applyAlignment="1">
      <alignment horizontal="center" vertical="center" wrapText="1"/>
    </xf>
    <xf numFmtId="0" fontId="83" fillId="33" borderId="8" xfId="74" applyFont="1" applyFill="1" applyBorder="1" applyAlignment="1">
      <alignment horizontal="center" vertical="center"/>
    </xf>
    <xf numFmtId="0" fontId="80" fillId="28" borderId="8" xfId="74" applyFont="1" applyFill="1" applyBorder="1" applyAlignment="1">
      <alignment horizontal="center" vertical="center"/>
    </xf>
    <xf numFmtId="167" fontId="83" fillId="33" borderId="8" xfId="74" applyNumberFormat="1" applyFont="1" applyFill="1" applyBorder="1" applyAlignment="1">
      <alignment horizontal="center" vertical="center"/>
    </xf>
    <xf numFmtId="2" fontId="3" fillId="33" borderId="8" xfId="689" applyNumberFormat="1" applyFont="1" applyFill="1" applyBorder="1" applyAlignment="1">
      <alignment vertical="center"/>
    </xf>
    <xf numFmtId="2" fontId="83" fillId="33" borderId="8" xfId="74" applyNumberFormat="1" applyFont="1" applyFill="1" applyBorder="1" applyAlignment="1">
      <alignment vertical="center"/>
    </xf>
    <xf numFmtId="0" fontId="122" fillId="33" borderId="8" xfId="74" applyFont="1" applyFill="1" applyBorder="1" applyAlignment="1">
      <alignment vertical="center" wrapText="1"/>
    </xf>
    <xf numFmtId="0" fontId="82" fillId="32" borderId="15" xfId="594" applyNumberFormat="1" applyFont="1" applyFill="1" applyAlignment="1">
      <alignment horizontal="left" vertical="center" wrapText="1"/>
    </xf>
    <xf numFmtId="0" fontId="86" fillId="32" borderId="15" xfId="591" applyFont="1" applyFill="1" applyBorder="1" applyAlignment="1">
      <alignment horizontal="left" vertical="center" wrapText="1"/>
    </xf>
    <xf numFmtId="0" fontId="83" fillId="44" borderId="37" xfId="74" applyFont="1" applyFill="1" applyBorder="1" applyAlignment="1">
      <alignment vertical="center"/>
    </xf>
    <xf numFmtId="0" fontId="82" fillId="32" borderId="15" xfId="594" applyNumberFormat="1" applyFont="1" applyFill="1" applyAlignment="1">
      <alignment horizontal="left" vertical="center"/>
    </xf>
    <xf numFmtId="0" fontId="83" fillId="44" borderId="37" xfId="74" applyFont="1" applyFill="1" applyBorder="1" applyAlignment="1">
      <alignment vertical="center" wrapText="1"/>
    </xf>
    <xf numFmtId="0" fontId="122" fillId="44" borderId="37" xfId="74" applyFont="1" applyFill="1" applyBorder="1" applyAlignment="1">
      <alignment vertical="center" wrapText="1"/>
    </xf>
    <xf numFmtId="0" fontId="122" fillId="44" borderId="37" xfId="74" applyFont="1" applyFill="1" applyBorder="1" applyAlignment="1">
      <alignment horizontal="center" vertical="center" wrapText="1"/>
    </xf>
    <xf numFmtId="0" fontId="83" fillId="44" borderId="40" xfId="74" applyFont="1" applyFill="1" applyBorder="1" applyAlignment="1">
      <alignment horizontal="center" vertical="center"/>
    </xf>
    <xf numFmtId="0" fontId="80" fillId="44" borderId="37" xfId="74" applyFont="1" applyFill="1" applyBorder="1" applyAlignment="1">
      <alignment horizontal="center" vertical="center"/>
    </xf>
    <xf numFmtId="0" fontId="83" fillId="44" borderId="37" xfId="74" applyFont="1" applyFill="1" applyBorder="1" applyAlignment="1">
      <alignment horizontal="center" vertical="center"/>
    </xf>
    <xf numFmtId="2" fontId="3" fillId="44" borderId="37" xfId="689" applyNumberFormat="1" applyFont="1" applyFill="1" applyBorder="1" applyAlignment="1">
      <alignment vertical="center"/>
    </xf>
    <xf numFmtId="2" fontId="83" fillId="44" borderId="37" xfId="74" applyNumberFormat="1" applyFont="1" applyFill="1" applyBorder="1" applyAlignment="1">
      <alignment vertical="center"/>
    </xf>
    <xf numFmtId="167" fontId="83" fillId="44" borderId="37" xfId="74" applyNumberFormat="1" applyFont="1" applyFill="1" applyBorder="1" applyAlignment="1">
      <alignment horizontal="center" vertical="center"/>
    </xf>
    <xf numFmtId="2" fontId="1" fillId="44" borderId="37" xfId="689" applyNumberFormat="1" applyFont="1" applyFill="1" applyBorder="1" applyAlignment="1">
      <alignment vertical="center"/>
    </xf>
    <xf numFmtId="0" fontId="135" fillId="33" borderId="37" xfId="689" applyFont="1" applyFill="1" applyBorder="1" applyAlignment="1">
      <alignment vertical="center"/>
    </xf>
    <xf numFmtId="0" fontId="136" fillId="33" borderId="37" xfId="689" applyFont="1" applyFill="1" applyBorder="1" applyAlignment="1">
      <alignment vertical="center" wrapText="1"/>
    </xf>
    <xf numFmtId="0" fontId="83" fillId="33" borderId="37" xfId="74" applyFont="1" applyFill="1" applyBorder="1" applyAlignment="1">
      <alignment horizontal="left" vertical="center" wrapText="1"/>
    </xf>
    <xf numFmtId="171" fontId="89" fillId="31" borderId="15" xfId="594" applyNumberFormat="1" applyFont="1" applyFill="1" applyAlignment="1">
      <alignment horizontal="left" vertical="center" wrapText="1"/>
    </xf>
    <xf numFmtId="0" fontId="86" fillId="32" borderId="18" xfId="591" applyFont="1" applyFill="1" applyBorder="1" applyAlignment="1">
      <alignment horizontal="left" vertical="center" indent="2"/>
    </xf>
    <xf numFmtId="0" fontId="137" fillId="33" borderId="0" xfId="672" applyFont="1" applyFill="1" applyBorder="1" applyAlignment="1">
      <alignment horizontal="center" vertical="center"/>
    </xf>
    <xf numFmtId="0" fontId="87" fillId="33" borderId="0" xfId="672" applyFont="1" applyFill="1" applyBorder="1" applyAlignment="1">
      <alignment vertical="center"/>
    </xf>
    <xf numFmtId="0" fontId="92" fillId="45" borderId="8" xfId="74" applyFont="1" applyFill="1" applyBorder="1" applyAlignment="1">
      <alignment vertical="center"/>
    </xf>
    <xf numFmtId="0" fontId="80" fillId="28" borderId="49" xfId="74" applyFont="1" applyFill="1" applyBorder="1" applyAlignment="1">
      <alignment horizontal="center" vertical="center"/>
    </xf>
    <xf numFmtId="0" fontId="120" fillId="45" borderId="8" xfId="595" applyFont="1" applyFill="1" applyBorder="1" applyAlignment="1">
      <alignment horizontal="center" vertical="center" wrapText="1"/>
    </xf>
    <xf numFmtId="49" fontId="89" fillId="31" borderId="18" xfId="594" applyNumberFormat="1" applyFont="1" applyFill="1" applyBorder="1" applyAlignment="1">
      <alignment horizontal="left" vertical="center"/>
    </xf>
    <xf numFmtId="0" fontId="86" fillId="32" borderId="18" xfId="591" applyFont="1" applyFill="1" applyBorder="1" applyAlignment="1">
      <alignment horizontal="left" vertical="center" wrapText="1" indent="2"/>
    </xf>
    <xf numFmtId="0" fontId="86" fillId="32" borderId="15" xfId="591" applyFont="1" applyFill="1" applyBorder="1" applyAlignment="1">
      <alignment horizontal="left" vertical="center" wrapText="1" indent="1"/>
    </xf>
    <xf numFmtId="174" fontId="89" fillId="33" borderId="0" xfId="74" applyNumberFormat="1" applyFont="1" applyFill="1" applyAlignment="1">
      <alignment horizontal="right" vertical="top"/>
    </xf>
    <xf numFmtId="0" fontId="83" fillId="34" borderId="37" xfId="74" applyFont="1" applyFill="1" applyBorder="1" applyAlignment="1">
      <alignment horizontal="left" vertical="center"/>
    </xf>
    <xf numFmtId="0" fontId="139" fillId="0" borderId="0" xfId="74" applyFont="1" applyAlignment="1">
      <alignment vertical="center"/>
    </xf>
    <xf numFmtId="0" fontId="139" fillId="0" borderId="0" xfId="74" applyFont="1" applyAlignment="1">
      <alignment horizontal="left" vertical="center"/>
    </xf>
    <xf numFmtId="0" fontId="140" fillId="0" borderId="0" xfId="74" applyFont="1" applyAlignment="1">
      <alignment vertical="center"/>
    </xf>
    <xf numFmtId="0" fontId="140" fillId="30" borderId="0" xfId="74" applyFont="1" applyFill="1" applyAlignment="1">
      <alignment vertical="center"/>
    </xf>
    <xf numFmtId="0" fontId="141" fillId="0" borderId="0" xfId="74" applyFont="1" applyAlignment="1">
      <alignment horizontal="left" vertical="center"/>
    </xf>
    <xf numFmtId="0" fontId="142" fillId="0" borderId="0" xfId="74" applyFont="1" applyAlignment="1">
      <alignment vertical="center"/>
    </xf>
    <xf numFmtId="0" fontId="143" fillId="0" borderId="0" xfId="74" applyFont="1" applyAlignment="1">
      <alignment vertical="center"/>
    </xf>
    <xf numFmtId="0" fontId="138" fillId="34" borderId="0" xfId="74" applyFont="1" applyFill="1" applyAlignment="1">
      <alignment vertical="center"/>
    </xf>
    <xf numFmtId="0" fontId="83" fillId="34" borderId="37" xfId="74" applyFont="1" applyFill="1" applyBorder="1" applyAlignment="1">
      <alignment vertical="center" wrapText="1"/>
    </xf>
    <xf numFmtId="0" fontId="83" fillId="34" borderId="37" xfId="74" applyFont="1" applyFill="1" applyBorder="1" applyAlignment="1">
      <alignment vertical="center"/>
    </xf>
    <xf numFmtId="0" fontId="122" fillId="0" borderId="8" xfId="0" applyFont="1" applyBorder="1" applyAlignment="1">
      <alignment vertical="center" wrapText="1"/>
    </xf>
    <xf numFmtId="0" fontId="122" fillId="0" borderId="41" xfId="74" applyFont="1" applyBorder="1" applyAlignment="1">
      <alignment vertical="center" wrapText="1"/>
    </xf>
    <xf numFmtId="0" fontId="122" fillId="0" borderId="51" xfId="74" applyFont="1" applyBorder="1" applyAlignment="1">
      <alignment vertical="center" wrapText="1"/>
    </xf>
    <xf numFmtId="0" fontId="122" fillId="0" borderId="37" xfId="74" applyFont="1" applyBorder="1" applyAlignment="1">
      <alignment vertical="center" wrapText="1"/>
    </xf>
    <xf numFmtId="0" fontId="83" fillId="0" borderId="37" xfId="74" applyFont="1" applyBorder="1" applyAlignment="1">
      <alignment vertical="center" wrapText="1"/>
    </xf>
    <xf numFmtId="0" fontId="136" fillId="0" borderId="37" xfId="689" applyFont="1" applyBorder="1" applyAlignment="1">
      <alignment vertical="center" wrapText="1"/>
    </xf>
    <xf numFmtId="0" fontId="83" fillId="0" borderId="37" xfId="74" applyFont="1" applyBorder="1" applyAlignment="1">
      <alignment vertical="center"/>
    </xf>
    <xf numFmtId="0" fontId="83" fillId="0" borderId="8" xfId="74" applyFont="1" applyBorder="1" applyAlignment="1">
      <alignment vertical="center" wrapText="1"/>
    </xf>
    <xf numFmtId="0" fontId="122" fillId="0" borderId="42" xfId="74" applyFont="1" applyBorder="1" applyAlignment="1">
      <alignment vertical="center" wrapText="1"/>
    </xf>
    <xf numFmtId="0" fontId="122" fillId="0" borderId="46" xfId="74" applyFont="1" applyBorder="1" applyAlignment="1">
      <alignment vertical="center" wrapText="1"/>
    </xf>
    <xf numFmtId="0" fontId="83" fillId="0" borderId="0" xfId="74" applyFont="1" applyAlignment="1">
      <alignment vertical="center" wrapText="1"/>
    </xf>
    <xf numFmtId="0" fontId="83" fillId="34" borderId="0" xfId="74" applyFont="1" applyFill="1" applyAlignment="1">
      <alignment vertical="center"/>
    </xf>
    <xf numFmtId="0" fontId="83" fillId="41" borderId="37" xfId="74" applyFont="1" applyFill="1" applyBorder="1" applyAlignment="1">
      <alignment vertical="center"/>
    </xf>
    <xf numFmtId="0" fontId="83" fillId="41" borderId="37" xfId="74" applyFont="1" applyFill="1" applyBorder="1" applyAlignment="1">
      <alignment vertical="center" wrapText="1"/>
    </xf>
    <xf numFmtId="0" fontId="122" fillId="41" borderId="37" xfId="74" applyFont="1" applyFill="1" applyBorder="1" applyAlignment="1">
      <alignment vertical="center" wrapText="1"/>
    </xf>
    <xf numFmtId="0" fontId="122" fillId="41" borderId="37" xfId="74" applyFont="1" applyFill="1" applyBorder="1" applyAlignment="1">
      <alignment horizontal="center" vertical="center" wrapText="1"/>
    </xf>
    <xf numFmtId="0" fontId="122" fillId="28" borderId="37" xfId="74" applyFont="1" applyFill="1" applyBorder="1" applyAlignment="1">
      <alignment horizontal="left" vertical="center" wrapText="1"/>
    </xf>
    <xf numFmtId="0" fontId="122" fillId="28" borderId="37" xfId="74" applyFont="1" applyFill="1" applyBorder="1" applyAlignment="1">
      <alignment horizontal="left" vertical="center"/>
    </xf>
    <xf numFmtId="0" fontId="122" fillId="42" borderId="37" xfId="74" applyFont="1" applyFill="1" applyBorder="1" applyAlignment="1">
      <alignment horizontal="left" vertical="center"/>
    </xf>
    <xf numFmtId="0" fontId="122" fillId="44" borderId="37" xfId="74" applyFont="1" applyFill="1" applyBorder="1" applyAlignment="1">
      <alignment horizontal="left" vertical="center"/>
    </xf>
    <xf numFmtId="0" fontId="122" fillId="44" borderId="46" xfId="74" applyFont="1" applyFill="1" applyBorder="1" applyAlignment="1">
      <alignment horizontal="left" vertical="center"/>
    </xf>
    <xf numFmtId="0" fontId="122" fillId="38" borderId="37" xfId="74" applyFont="1" applyFill="1" applyBorder="1" applyAlignment="1">
      <alignment horizontal="left" vertical="center"/>
    </xf>
    <xf numFmtId="0" fontId="122" fillId="28" borderId="46" xfId="74" applyFont="1" applyFill="1" applyBorder="1" applyAlignment="1">
      <alignment horizontal="left" vertical="center"/>
    </xf>
    <xf numFmtId="0" fontId="122" fillId="28" borderId="8" xfId="74" applyFont="1" applyFill="1" applyBorder="1" applyAlignment="1">
      <alignment horizontal="left" vertical="center"/>
    </xf>
    <xf numFmtId="0" fontId="144" fillId="0" borderId="0" xfId="74" applyFont="1" applyAlignment="1">
      <alignment vertical="center"/>
    </xf>
    <xf numFmtId="0" fontId="144" fillId="0" borderId="0" xfId="74" applyFont="1" applyAlignment="1">
      <alignment horizontal="left" vertical="center"/>
    </xf>
    <xf numFmtId="0" fontId="145" fillId="0" borderId="0" xfId="74" applyFont="1" applyAlignment="1">
      <alignment vertical="center"/>
    </xf>
    <xf numFmtId="0" fontId="146" fillId="0" borderId="0" xfId="74" applyFont="1" applyAlignment="1">
      <alignment horizontal="left" vertical="center"/>
    </xf>
    <xf numFmtId="0" fontId="147" fillId="0" borderId="0" xfId="74" applyFont="1" applyAlignment="1">
      <alignment vertical="center"/>
    </xf>
    <xf numFmtId="0" fontId="148" fillId="0" borderId="0" xfId="74" applyFont="1" applyAlignment="1">
      <alignment vertical="center"/>
    </xf>
    <xf numFmtId="0" fontId="80" fillId="28" borderId="50" xfId="74" applyFont="1" applyFill="1" applyBorder="1" applyAlignment="1">
      <alignment horizontal="center" vertical="center"/>
    </xf>
    <xf numFmtId="0" fontId="83" fillId="28" borderId="50" xfId="74" applyFont="1" applyFill="1" applyBorder="1" applyAlignment="1">
      <alignment horizontal="center" vertical="center"/>
    </xf>
    <xf numFmtId="0" fontId="80" fillId="28" borderId="40" xfId="74" applyFont="1" applyFill="1" applyBorder="1" applyAlignment="1">
      <alignment horizontal="center" vertical="center"/>
    </xf>
    <xf numFmtId="0" fontId="83" fillId="28" borderId="40" xfId="74" applyFont="1" applyFill="1" applyBorder="1" applyAlignment="1">
      <alignment horizontal="center" vertical="center"/>
    </xf>
    <xf numFmtId="0" fontId="121" fillId="46" borderId="35" xfId="595" applyFont="1" applyFill="1" applyBorder="1" applyAlignment="1">
      <alignment horizontal="center" vertical="center" wrapText="1"/>
    </xf>
    <xf numFmtId="0" fontId="121" fillId="46" borderId="36" xfId="74" applyFont="1" applyFill="1" applyBorder="1" applyAlignment="1">
      <alignment horizontal="center" vertical="center" wrapText="1"/>
    </xf>
    <xf numFmtId="0" fontId="122" fillId="0" borderId="37" xfId="74" applyFont="1" applyBorder="1" applyAlignment="1">
      <alignment horizontal="center" vertical="center" wrapText="1"/>
    </xf>
    <xf numFmtId="44" fontId="86" fillId="31" borderId="15" xfId="36" applyFont="1" applyFill="1" applyBorder="1" applyAlignment="1">
      <alignment vertical="center"/>
    </xf>
    <xf numFmtId="167" fontId="86" fillId="31" borderId="15" xfId="594" applyNumberFormat="1" applyFont="1" applyFill="1" applyAlignment="1">
      <alignment vertical="center"/>
    </xf>
    <xf numFmtId="44" fontId="89" fillId="32" borderId="15" xfId="36" applyFont="1" applyFill="1" applyBorder="1" applyAlignment="1">
      <alignment vertical="center"/>
    </xf>
    <xf numFmtId="0" fontId="86" fillId="32" borderId="15" xfId="595" applyFont="1" applyFill="1" applyBorder="1" applyAlignment="1">
      <alignment vertical="center" wrapText="1"/>
    </xf>
    <xf numFmtId="0" fontId="83" fillId="31" borderId="15" xfId="594" applyNumberFormat="1" applyFont="1" applyFill="1">
      <alignment horizontal="center" vertical="center"/>
    </xf>
    <xf numFmtId="0" fontId="86" fillId="32" borderId="16" xfId="595" applyFont="1" applyFill="1" applyAlignment="1">
      <alignment horizontal="left" vertical="center" wrapText="1"/>
    </xf>
    <xf numFmtId="0" fontId="86" fillId="30" borderId="20" xfId="74" applyFont="1" applyFill="1" applyBorder="1" applyAlignment="1">
      <alignment horizontal="left" vertical="center"/>
    </xf>
    <xf numFmtId="0" fontId="86" fillId="32" borderId="15" xfId="595" applyFont="1" applyFill="1" applyBorder="1" applyAlignment="1">
      <alignment horizontal="left" vertical="center" wrapText="1"/>
    </xf>
    <xf numFmtId="0" fontId="89" fillId="32" borderId="19" xfId="591" applyFont="1" applyFill="1" applyBorder="1" applyAlignment="1">
      <alignment horizontal="left" vertical="center"/>
    </xf>
    <xf numFmtId="0" fontId="38" fillId="0" borderId="15" xfId="80" applyBorder="1" applyAlignment="1">
      <alignment horizontal="right" vertical="center"/>
    </xf>
    <xf numFmtId="0" fontId="95" fillId="0" borderId="0" xfId="74" applyFont="1" applyAlignment="1">
      <alignment horizontal="left" vertical="center" wrapText="1"/>
    </xf>
    <xf numFmtId="0" fontId="95" fillId="0" borderId="0" xfId="74" applyFont="1" applyAlignment="1">
      <alignment horizontal="left" vertical="top" wrapText="1"/>
    </xf>
    <xf numFmtId="0" fontId="124" fillId="43" borderId="16" xfId="74" applyFont="1" applyFill="1" applyBorder="1" applyAlignment="1">
      <alignment horizontal="center" vertical="center" wrapText="1"/>
    </xf>
    <xf numFmtId="0" fontId="124" fillId="43" borderId="17" xfId="74" applyFont="1" applyFill="1" applyBorder="1" applyAlignment="1">
      <alignment horizontal="center" vertical="center" wrapText="1"/>
    </xf>
    <xf numFmtId="0" fontId="124" fillId="43" borderId="15" xfId="74" applyFont="1" applyFill="1" applyBorder="1" applyAlignment="1">
      <alignment horizontal="center" vertical="center"/>
    </xf>
    <xf numFmtId="0" fontId="124" fillId="43" borderId="15" xfId="74" applyFont="1" applyFill="1" applyBorder="1" applyAlignment="1">
      <alignment horizontal="center" vertical="center" wrapText="1"/>
    </xf>
    <xf numFmtId="0" fontId="124" fillId="43" borderId="16" xfId="74" applyFont="1" applyFill="1" applyBorder="1" applyAlignment="1">
      <alignment horizontal="center" vertical="center"/>
    </xf>
    <xf numFmtId="0" fontId="124" fillId="43" borderId="17" xfId="74" applyFont="1" applyFill="1" applyBorder="1" applyAlignment="1">
      <alignment horizontal="center" vertical="center"/>
    </xf>
    <xf numFmtId="0" fontId="129" fillId="36" borderId="35" xfId="595" applyFont="1" applyFill="1" applyBorder="1" applyAlignment="1">
      <alignment horizontal="center" vertical="center" wrapText="1"/>
    </xf>
    <xf numFmtId="0" fontId="129" fillId="36" borderId="54" xfId="595" applyFont="1" applyFill="1" applyBorder="1" applyAlignment="1">
      <alignment horizontal="center" vertical="center" wrapText="1"/>
    </xf>
    <xf numFmtId="0" fontId="92" fillId="36" borderId="52" xfId="74" applyFont="1" applyFill="1" applyBorder="1" applyAlignment="1">
      <alignment horizontal="center" vertical="center"/>
    </xf>
    <xf numFmtId="0" fontId="92" fillId="36" borderId="4" xfId="74" applyFont="1" applyFill="1" applyBorder="1" applyAlignment="1">
      <alignment horizontal="center" vertical="center"/>
    </xf>
    <xf numFmtId="0" fontId="92" fillId="36" borderId="53" xfId="74" applyFont="1" applyFill="1" applyBorder="1" applyAlignment="1">
      <alignment horizontal="center" vertical="center"/>
    </xf>
    <xf numFmtId="0" fontId="121" fillId="46" borderId="36" xfId="74" applyFont="1" applyFill="1" applyBorder="1" applyAlignment="1">
      <alignment horizontal="center" vertical="center" wrapText="1"/>
    </xf>
    <xf numFmtId="0" fontId="87" fillId="33" borderId="48" xfId="672" applyFont="1" applyFill="1" applyBorder="1" applyAlignment="1">
      <alignment horizontal="center" vertical="center"/>
    </xf>
    <xf numFmtId="0" fontId="92" fillId="36" borderId="37" xfId="595" applyFont="1" applyFill="1" applyBorder="1">
      <alignment horizontal="center" vertical="center"/>
    </xf>
    <xf numFmtId="0" fontId="129" fillId="36" borderId="8" xfId="74" applyFont="1" applyFill="1" applyBorder="1" applyAlignment="1">
      <alignment horizontal="center" vertical="center"/>
    </xf>
    <xf numFmtId="0" fontId="129" fillId="36" borderId="35" xfId="74" applyFont="1" applyFill="1" applyBorder="1" applyAlignment="1">
      <alignment horizontal="center" vertical="center"/>
    </xf>
    <xf numFmtId="0" fontId="129" fillId="36" borderId="54" xfId="74" applyFont="1" applyFill="1" applyBorder="1" applyAlignment="1">
      <alignment horizontal="center" vertical="center"/>
    </xf>
    <xf numFmtId="0" fontId="86" fillId="32" borderId="16" xfId="595" applyFont="1" applyFill="1" applyAlignment="1">
      <alignment horizontal="left" vertical="center" wrapText="1"/>
    </xf>
    <xf numFmtId="0" fontId="86" fillId="32" borderId="17" xfId="595" applyFont="1" applyFill="1" applyBorder="1" applyAlignment="1">
      <alignment horizontal="left" vertical="center" wrapText="1"/>
    </xf>
    <xf numFmtId="0" fontId="86" fillId="32" borderId="18" xfId="595" applyFont="1" applyFill="1" applyBorder="1" applyAlignment="1">
      <alignment horizontal="left" vertical="center" wrapText="1"/>
    </xf>
    <xf numFmtId="0" fontId="83" fillId="31" borderId="16" xfId="594" applyNumberFormat="1" applyFont="1" applyFill="1" applyBorder="1">
      <alignment horizontal="center" vertical="center"/>
    </xf>
    <xf numFmtId="0" fontId="83" fillId="31" borderId="17" xfId="594" applyNumberFormat="1" applyFont="1" applyFill="1" applyBorder="1">
      <alignment horizontal="center" vertical="center"/>
    </xf>
    <xf numFmtId="0" fontId="83" fillId="31" borderId="18" xfId="594" applyNumberFormat="1" applyFont="1" applyFill="1" applyBorder="1">
      <alignment horizontal="center" vertical="center"/>
    </xf>
    <xf numFmtId="44" fontId="86" fillId="31" borderId="16" xfId="36" applyFont="1" applyFill="1" applyBorder="1" applyAlignment="1">
      <alignment horizontal="center" vertical="center"/>
    </xf>
    <xf numFmtId="44" fontId="86" fillId="31" borderId="17" xfId="36" applyFont="1" applyFill="1" applyBorder="1" applyAlignment="1">
      <alignment horizontal="center" vertical="center"/>
    </xf>
    <xf numFmtId="44" fontId="86" fillId="31" borderId="18" xfId="36" applyFont="1" applyFill="1" applyBorder="1" applyAlignment="1">
      <alignment horizontal="center" vertical="center"/>
    </xf>
    <xf numFmtId="167" fontId="86" fillId="31" borderId="16" xfId="594" applyNumberFormat="1" applyFont="1" applyFill="1" applyBorder="1">
      <alignment horizontal="center" vertical="center"/>
    </xf>
    <xf numFmtId="167" fontId="86" fillId="31" borderId="17" xfId="594" applyNumberFormat="1" applyFont="1" applyFill="1" applyBorder="1">
      <alignment horizontal="center" vertical="center"/>
    </xf>
    <xf numFmtId="167" fontId="86" fillId="31" borderId="18" xfId="594" applyNumberFormat="1" applyFont="1" applyFill="1" applyBorder="1">
      <alignment horizontal="center" vertical="center"/>
    </xf>
    <xf numFmtId="44" fontId="89" fillId="32" borderId="16" xfId="36" applyFont="1" applyFill="1" applyBorder="1" applyAlignment="1">
      <alignment horizontal="center" vertical="center"/>
    </xf>
    <xf numFmtId="44" fontId="89" fillId="32" borderId="17" xfId="36" applyFont="1" applyFill="1" applyBorder="1" applyAlignment="1">
      <alignment horizontal="center" vertical="center"/>
    </xf>
    <xf numFmtId="44" fontId="89" fillId="32" borderId="18" xfId="36" applyFont="1" applyFill="1" applyBorder="1" applyAlignment="1">
      <alignment horizontal="center" vertical="center"/>
    </xf>
    <xf numFmtId="0" fontId="89" fillId="30" borderId="15" xfId="595" applyFont="1" applyFill="1" applyBorder="1">
      <alignment horizontal="center" vertical="center"/>
    </xf>
    <xf numFmtId="0" fontId="89" fillId="30" borderId="15" xfId="595" applyFont="1" applyFill="1" applyBorder="1" applyAlignment="1">
      <alignment horizontal="center" vertical="center" wrapText="1"/>
    </xf>
    <xf numFmtId="0" fontId="81" fillId="32" borderId="40" xfId="74" applyFont="1" applyFill="1" applyBorder="1" applyAlignment="1">
      <alignment horizontal="center" vertical="center"/>
    </xf>
    <xf numFmtId="0" fontId="81" fillId="32" borderId="41" xfId="74" applyFont="1" applyFill="1" applyBorder="1" applyAlignment="1">
      <alignment horizontal="center" vertical="center"/>
    </xf>
    <xf numFmtId="0" fontId="81" fillId="32" borderId="42" xfId="74" applyFont="1" applyFill="1" applyBorder="1" applyAlignment="1">
      <alignment horizontal="center" vertical="center"/>
    </xf>
    <xf numFmtId="0" fontId="111" fillId="33" borderId="0" xfId="74" applyFont="1" applyFill="1" applyAlignment="1">
      <alignment horizontal="center" vertical="center"/>
    </xf>
    <xf numFmtId="0" fontId="84" fillId="39" borderId="0" xfId="74" applyFont="1" applyFill="1" applyAlignment="1">
      <alignment horizontal="center" vertical="center"/>
    </xf>
    <xf numFmtId="0" fontId="83" fillId="33" borderId="0" xfId="74" applyFont="1" applyFill="1" applyAlignment="1">
      <alignment horizontal="center" vertical="center"/>
    </xf>
    <xf numFmtId="0" fontId="108" fillId="33" borderId="0" xfId="74" applyFont="1" applyFill="1" applyAlignment="1">
      <alignment horizontal="left" vertical="center" wrapText="1"/>
    </xf>
    <xf numFmtId="0" fontId="107" fillId="33" borderId="43" xfId="74" applyFont="1" applyFill="1" applyBorder="1" applyAlignment="1">
      <alignment horizontal="right" vertical="center"/>
    </xf>
    <xf numFmtId="2" fontId="81" fillId="32" borderId="40" xfId="74" applyNumberFormat="1" applyFont="1" applyFill="1" applyBorder="1" applyAlignment="1">
      <alignment horizontal="center" vertical="center"/>
    </xf>
    <xf numFmtId="0" fontId="89" fillId="32" borderId="40" xfId="74" applyFont="1" applyFill="1" applyBorder="1" applyAlignment="1">
      <alignment horizontal="center" vertical="center" wrapText="1"/>
    </xf>
    <xf numFmtId="0" fontId="89" fillId="32" borderId="41" xfId="74" applyFont="1" applyFill="1" applyBorder="1" applyAlignment="1">
      <alignment horizontal="center" vertical="center" wrapText="1"/>
    </xf>
    <xf numFmtId="0" fontId="89" fillId="32" borderId="42" xfId="74" applyFont="1" applyFill="1" applyBorder="1" applyAlignment="1">
      <alignment horizontal="center" vertical="center" wrapText="1"/>
    </xf>
    <xf numFmtId="0" fontId="87" fillId="33" borderId="33" xfId="591" applyFont="1" applyFill="1" applyBorder="1" applyAlignment="1">
      <alignment horizontal="left" vertical="center"/>
    </xf>
    <xf numFmtId="0" fontId="87" fillId="33" borderId="34" xfId="591" applyFont="1" applyFill="1" applyBorder="1" applyAlignment="1">
      <alignment horizontal="left" vertical="center"/>
    </xf>
    <xf numFmtId="0" fontId="87" fillId="33" borderId="31" xfId="591" applyFont="1" applyFill="1" applyBorder="1" applyAlignment="1">
      <alignment horizontal="left" vertical="center"/>
    </xf>
    <xf numFmtId="0" fontId="87" fillId="33" borderId="13" xfId="591" applyFont="1" applyFill="1" applyAlignment="1">
      <alignment horizontal="left" vertical="center"/>
    </xf>
    <xf numFmtId="0" fontId="87" fillId="33" borderId="19" xfId="591" applyFont="1" applyFill="1" applyBorder="1" applyAlignment="1">
      <alignment horizontal="left" vertical="center"/>
    </xf>
    <xf numFmtId="0" fontId="87" fillId="33" borderId="20" xfId="591" applyFont="1" applyFill="1" applyBorder="1" applyAlignment="1">
      <alignment horizontal="left" vertical="center"/>
    </xf>
    <xf numFmtId="0" fontId="87" fillId="33" borderId="14" xfId="591" applyFont="1" applyFill="1" applyBorder="1" applyAlignment="1">
      <alignment horizontal="left" vertical="center"/>
    </xf>
    <xf numFmtId="0" fontId="87" fillId="33" borderId="21" xfId="591" applyFont="1" applyFill="1" applyBorder="1" applyAlignment="1">
      <alignment horizontal="left" vertical="center"/>
    </xf>
    <xf numFmtId="0" fontId="87" fillId="33" borderId="26" xfId="591" applyFont="1" applyFill="1" applyBorder="1" applyAlignment="1">
      <alignment horizontal="left" vertical="center"/>
    </xf>
    <xf numFmtId="0" fontId="114" fillId="32" borderId="40" xfId="74" applyFont="1" applyFill="1" applyBorder="1" applyAlignment="1">
      <alignment horizontal="center" vertical="center" wrapText="1"/>
    </xf>
    <xf numFmtId="0" fontId="114" fillId="32" borderId="41" xfId="74" applyFont="1" applyFill="1" applyBorder="1" applyAlignment="1">
      <alignment horizontal="center" vertical="center"/>
    </xf>
    <xf numFmtId="0" fontId="114" fillId="32" borderId="42" xfId="74" applyFont="1" applyFill="1" applyBorder="1" applyAlignment="1">
      <alignment horizontal="center" vertical="center"/>
    </xf>
  </cellXfs>
  <cellStyles count="704">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99FF99"/>
        </patternFill>
      </fill>
    </dxf>
    <dxf>
      <font>
        <color rgb="FF9C0006"/>
      </font>
      <fill>
        <patternFill>
          <bgColor rgb="FFFFC7CE"/>
        </patternFill>
      </fill>
    </dxf>
    <dxf>
      <font>
        <color rgb="FF9C0006"/>
      </font>
      <fill>
        <patternFill>
          <bgColor rgb="FFFFC7CE"/>
        </patternFill>
      </fill>
    </dxf>
    <dxf>
      <fill>
        <patternFill patternType="solid">
          <bgColor rgb="FF99FF99"/>
        </patternFill>
      </fill>
    </dxf>
    <dxf>
      <font>
        <color rgb="FF9C0006"/>
      </font>
      <fill>
        <patternFill>
          <bgColor rgb="FFFFC7CE"/>
        </patternFill>
      </fill>
    </dxf>
    <dxf>
      <fill>
        <patternFill patternType="solid">
          <bgColor rgb="FF99FF99"/>
        </patternFill>
      </fill>
    </dxf>
  </dxfs>
  <tableStyles count="0" defaultTableStyle="TableStyleMedium9" defaultPivotStyle="PivotStyleLight16"/>
  <colors>
    <mruColors>
      <color rgb="FF66FF99"/>
      <color rgb="FF5A702E"/>
      <color rgb="FF99FF99"/>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2MY_CIV4D_APP_FR'!A1"/><Relationship Id="rId2" Type="http://schemas.openxmlformats.org/officeDocument/2006/relationships/hyperlink" Target="#'22MY_CIV4D_APP_EN'!A1"/><Relationship Id="rId1" Type="http://schemas.openxmlformats.org/officeDocument/2006/relationships/hyperlink" Target="#'22MY_CIV4D_SELL-EN'!A1"/><Relationship Id="rId6" Type="http://schemas.openxmlformats.org/officeDocument/2006/relationships/hyperlink" Target="#'22MY_CIV_Si_SELL-FR'!A1"/><Relationship Id="rId5" Type="http://schemas.openxmlformats.org/officeDocument/2006/relationships/hyperlink" Target="#'22MY_CIV4D_SELL-FR'!A1"/><Relationship Id="rId4" Type="http://schemas.openxmlformats.org/officeDocument/2006/relationships/hyperlink" Target="#'22MY_CIV_Si_SELL-EN'!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jpe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jpe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image" Target="../media/image21.png"/><Relationship Id="rId3" Type="http://schemas.openxmlformats.org/officeDocument/2006/relationships/image" Target="../media/image16.jpeg"/><Relationship Id="rId7" Type="http://schemas.openxmlformats.org/officeDocument/2006/relationships/image" Target="../media/image8.png"/><Relationship Id="rId12" Type="http://schemas.openxmlformats.org/officeDocument/2006/relationships/image" Target="../media/image2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19.png"/><Relationship Id="rId11" Type="http://schemas.openxmlformats.org/officeDocument/2006/relationships/image" Target="../media/image12.jpeg"/><Relationship Id="rId5" Type="http://schemas.openxmlformats.org/officeDocument/2006/relationships/image" Target="../media/image18.png"/><Relationship Id="rId10" Type="http://schemas.openxmlformats.org/officeDocument/2006/relationships/image" Target="../media/image11.jpeg"/><Relationship Id="rId4" Type="http://schemas.openxmlformats.org/officeDocument/2006/relationships/image" Target="../media/image17.jpe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(4D)</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6</xdr:col>
      <xdr:colOff>609600</xdr:colOff>
      <xdr:row>6</xdr:row>
      <xdr:rowOff>117593</xdr:rowOff>
    </xdr:from>
    <xdr:to>
      <xdr:col>10</xdr:col>
      <xdr:colOff>191096</xdr:colOff>
      <xdr:row>9</xdr:row>
      <xdr:rowOff>43815</xdr:rowOff>
    </xdr:to>
    <xdr:sp macro="" textlink="">
      <xdr:nvSpPr>
        <xdr:cNvPr id="7" name="Rounded Rectangle 18">
          <a:hlinkClick xmlns:r="http://schemas.openxmlformats.org/officeDocument/2006/relationships" r:id="rId4"/>
          <a:extLst>
            <a:ext uri="{FF2B5EF4-FFF2-40B4-BE49-F238E27FC236}">
              <a16:creationId xmlns:a16="http://schemas.microsoft.com/office/drawing/2014/main" id="{00000000-0008-0000-0300-000007000000}"/>
            </a:ext>
          </a:extLst>
        </xdr:cNvPr>
        <xdr:cNvSpPr/>
      </xdr:nvSpPr>
      <xdr:spPr>
        <a:xfrm>
          <a:off x="7467600" y="1611113"/>
          <a:ext cx="2080856" cy="452002"/>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(Si)</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5"/>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(4D)</a:t>
          </a:r>
          <a:endParaRPr lang="en-CA" sz="1200" b="1"/>
        </a:p>
      </xdr:txBody>
    </xdr:sp>
    <xdr:clientData/>
  </xdr:twoCellAnchor>
  <xdr:twoCellAnchor>
    <xdr:from>
      <xdr:col>7</xdr:col>
      <xdr:colOff>0</xdr:colOff>
      <xdr:row>17</xdr:row>
      <xdr:rowOff>133350</xdr:rowOff>
    </xdr:from>
    <xdr:to>
      <xdr:col>10</xdr:col>
      <xdr:colOff>193001</xdr:colOff>
      <xdr:row>20</xdr:row>
      <xdr:rowOff>78146</xdr:rowOff>
    </xdr:to>
    <xdr:sp macro="" textlink="">
      <xdr:nvSpPr>
        <xdr:cNvPr id="10" name="Rounded Rectangle 3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7482840" y="35699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(Si)</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694090</xdr:colOff>
      <xdr:row>2</xdr:row>
      <xdr:rowOff>248</xdr:rowOff>
    </xdr:from>
    <xdr:to>
      <xdr:col>16</xdr:col>
      <xdr:colOff>3019552</xdr:colOff>
      <xdr:row>8</xdr:row>
      <xdr:rowOff>103916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63979" y="607026"/>
          <a:ext cx="2325462" cy="14160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2</xdr:col>
      <xdr:colOff>11906</xdr:colOff>
      <xdr:row>7</xdr:row>
      <xdr:rowOff>0</xdr:rowOff>
    </xdr:from>
    <xdr:to>
      <xdr:col>6</xdr:col>
      <xdr:colOff>9898</xdr:colOff>
      <xdr:row>8</xdr:row>
      <xdr:rowOff>266</xdr:rowOff>
    </xdr:to>
    <xdr:pic>
      <xdr:nvPicPr>
        <xdr:cNvPr id="16" name="Picture 15">
          <a:extLst>
            <a:ext uri="{FF2B5EF4-FFF2-40B4-BE49-F238E27FC236}">
              <a16:creationId xmlns:a16="http://schemas.microsoft.com/office/drawing/2014/main" id="{AE9F8394-2BFB-1944-CF4F-A328DC7D914A}"/>
            </a:ext>
          </a:extLst>
        </xdr:cNvPr>
        <xdr:cNvPicPr>
          <a:picLocks noChangeAspect="1"/>
        </xdr:cNvPicPr>
      </xdr:nvPicPr>
      <xdr:blipFill>
        <a:blip xmlns:r="http://schemas.openxmlformats.org/officeDocument/2006/relationships" r:embed="rId2"/>
        <a:stretch>
          <a:fillRect/>
        </a:stretch>
      </xdr:blipFill>
      <xdr:spPr>
        <a:xfrm>
          <a:off x="1214437" y="3833813"/>
          <a:ext cx="2676899" cy="1905266"/>
        </a:xfrm>
        <a:prstGeom prst="rect">
          <a:avLst/>
        </a:prstGeom>
      </xdr:spPr>
    </xdr:pic>
    <xdr:clientData/>
  </xdr:twoCellAnchor>
  <xdr:twoCellAnchor editAs="oneCell">
    <xdr:from>
      <xdr:col>12</xdr:col>
      <xdr:colOff>9525</xdr:colOff>
      <xdr:row>17</xdr:row>
      <xdr:rowOff>38099</xdr:rowOff>
    </xdr:from>
    <xdr:to>
      <xdr:col>16</xdr:col>
      <xdr:colOff>9525</xdr:colOff>
      <xdr:row>18</xdr:row>
      <xdr:rowOff>33340</xdr:rowOff>
    </xdr:to>
    <xdr:pic>
      <xdr:nvPicPr>
        <xdr:cNvPr id="35" name="Picture 34">
          <a:extLst>
            <a:ext uri="{FF2B5EF4-FFF2-40B4-BE49-F238E27FC236}">
              <a16:creationId xmlns:a16="http://schemas.microsoft.com/office/drawing/2014/main" id="{3FBA5729-434B-4043-6491-7F69B63B469A}"/>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019" t="1405" r="8108" b="-1"/>
        <a:stretch/>
      </xdr:blipFill>
      <xdr:spPr>
        <a:xfrm>
          <a:off x="7839075" y="9201149"/>
          <a:ext cx="2686050" cy="1900241"/>
        </a:xfrm>
        <a:prstGeom prst="rect">
          <a:avLst/>
        </a:prstGeom>
      </xdr:spPr>
    </xdr:pic>
    <xdr:clientData/>
  </xdr:twoCellAnchor>
  <xdr:twoCellAnchor editAs="oneCell">
    <xdr:from>
      <xdr:col>2</xdr:col>
      <xdr:colOff>0</xdr:colOff>
      <xdr:row>17</xdr:row>
      <xdr:rowOff>47625</xdr:rowOff>
    </xdr:from>
    <xdr:to>
      <xdr:col>6</xdr:col>
      <xdr:colOff>9526</xdr:colOff>
      <xdr:row>18</xdr:row>
      <xdr:rowOff>35722</xdr:rowOff>
    </xdr:to>
    <xdr:pic>
      <xdr:nvPicPr>
        <xdr:cNvPr id="37" name="Picture 36">
          <a:extLst>
            <a:ext uri="{FF2B5EF4-FFF2-40B4-BE49-F238E27FC236}">
              <a16:creationId xmlns:a16="http://schemas.microsoft.com/office/drawing/2014/main" id="{09D35229-3F77-5AEA-4117-B1BB4981689F}"/>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378" t="873" r="6391"/>
        <a:stretch/>
      </xdr:blipFill>
      <xdr:spPr>
        <a:xfrm>
          <a:off x="1200150" y="9210675"/>
          <a:ext cx="2695576" cy="1893097"/>
        </a:xfrm>
        <a:prstGeom prst="rect">
          <a:avLst/>
        </a:prstGeom>
      </xdr:spPr>
    </xdr:pic>
    <xdr:clientData/>
  </xdr:twoCellAnchor>
  <xdr:twoCellAnchor editAs="oneCell">
    <xdr:from>
      <xdr:col>2</xdr:col>
      <xdr:colOff>9525</xdr:colOff>
      <xdr:row>12</xdr:row>
      <xdr:rowOff>28575</xdr:rowOff>
    </xdr:from>
    <xdr:to>
      <xdr:col>6</xdr:col>
      <xdr:colOff>0</xdr:colOff>
      <xdr:row>13</xdr:row>
      <xdr:rowOff>28579</xdr:rowOff>
    </xdr:to>
    <xdr:pic>
      <xdr:nvPicPr>
        <xdr:cNvPr id="40" name="Picture 39">
          <a:extLst>
            <a:ext uri="{FF2B5EF4-FFF2-40B4-BE49-F238E27FC236}">
              <a16:creationId xmlns:a16="http://schemas.microsoft.com/office/drawing/2014/main" id="{81ABBE2B-DAE8-BC91-1EDF-BF5269FA4FD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875" r="5314"/>
        <a:stretch/>
      </xdr:blipFill>
      <xdr:spPr>
        <a:xfrm>
          <a:off x="1209675" y="6505575"/>
          <a:ext cx="2676525" cy="1905004"/>
        </a:xfrm>
        <a:prstGeom prst="rect">
          <a:avLst/>
        </a:prstGeom>
      </xdr:spPr>
    </xdr:pic>
    <xdr:clientData/>
  </xdr:twoCellAnchor>
  <xdr:twoCellAnchor editAs="oneCell">
    <xdr:from>
      <xdr:col>12</xdr:col>
      <xdr:colOff>28575</xdr:colOff>
      <xdr:row>12</xdr:row>
      <xdr:rowOff>19050</xdr:rowOff>
    </xdr:from>
    <xdr:to>
      <xdr:col>16</xdr:col>
      <xdr:colOff>38101</xdr:colOff>
      <xdr:row>13</xdr:row>
      <xdr:rowOff>19054</xdr:rowOff>
    </xdr:to>
    <xdr:pic>
      <xdr:nvPicPr>
        <xdr:cNvPr id="44" name="Picture 43">
          <a:extLst>
            <a:ext uri="{FF2B5EF4-FFF2-40B4-BE49-F238E27FC236}">
              <a16:creationId xmlns:a16="http://schemas.microsoft.com/office/drawing/2014/main" id="{95B95FC5-2A07-5F42-2BBF-87EEBD5B57EE}"/>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4687" r="6875"/>
        <a:stretch/>
      </xdr:blipFill>
      <xdr:spPr>
        <a:xfrm>
          <a:off x="7858125" y="6496050"/>
          <a:ext cx="2695576" cy="1905004"/>
        </a:xfrm>
        <a:prstGeom prst="rect">
          <a:avLst/>
        </a:prstGeom>
      </xdr:spPr>
    </xdr:pic>
    <xdr:clientData/>
  </xdr:twoCellAnchor>
  <xdr:twoCellAnchor editAs="oneCell">
    <xdr:from>
      <xdr:col>7</xdr:col>
      <xdr:colOff>0</xdr:colOff>
      <xdr:row>17</xdr:row>
      <xdr:rowOff>47625</xdr:rowOff>
    </xdr:from>
    <xdr:to>
      <xdr:col>11</xdr:col>
      <xdr:colOff>9525</xdr:colOff>
      <xdr:row>18</xdr:row>
      <xdr:rowOff>47629</xdr:rowOff>
    </xdr:to>
    <xdr:pic>
      <xdr:nvPicPr>
        <xdr:cNvPr id="46" name="Picture 45">
          <a:extLst>
            <a:ext uri="{FF2B5EF4-FFF2-40B4-BE49-F238E27FC236}">
              <a16:creationId xmlns:a16="http://schemas.microsoft.com/office/drawing/2014/main" id="{AFFF78A4-F938-32FA-12F6-7D94474E390C}"/>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6250" r="5313"/>
        <a:stretch/>
      </xdr:blipFill>
      <xdr:spPr>
        <a:xfrm>
          <a:off x="4514850" y="9210675"/>
          <a:ext cx="2695575" cy="1905004"/>
        </a:xfrm>
        <a:prstGeom prst="rect">
          <a:avLst/>
        </a:prstGeom>
      </xdr:spPr>
    </xdr:pic>
    <xdr:clientData/>
  </xdr:twoCellAnchor>
  <xdr:twoCellAnchor editAs="oneCell">
    <xdr:from>
      <xdr:col>1</xdr:col>
      <xdr:colOff>266699</xdr:colOff>
      <xdr:row>3</xdr:row>
      <xdr:rowOff>174245</xdr:rowOff>
    </xdr:from>
    <xdr:to>
      <xdr:col>8</xdr:col>
      <xdr:colOff>476250</xdr:colOff>
      <xdr:row>4</xdr:row>
      <xdr:rowOff>381000</xdr:rowOff>
    </xdr:to>
    <xdr:pic>
      <xdr:nvPicPr>
        <xdr:cNvPr id="48" name="Picture 47">
          <a:extLst>
            <a:ext uri="{FF2B5EF4-FFF2-40B4-BE49-F238E27FC236}">
              <a16:creationId xmlns:a16="http://schemas.microsoft.com/office/drawing/2014/main" id="{93D1C043-203A-86E2-5326-4B9AF208CDF7}"/>
            </a:ext>
          </a:extLst>
        </xdr:cNvPr>
        <xdr:cNvPicPr>
          <a:picLocks noChangeAspect="1"/>
        </xdr:cNvPicPr>
      </xdr:nvPicPr>
      <xdr:blipFill rotWithShape="1">
        <a:blip xmlns:r="http://schemas.openxmlformats.org/officeDocument/2006/relationships" r:embed="rId8" cstate="print">
          <a:alphaModFix/>
          <a:extLst>
            <a:ext uri="{28A0092B-C50C-407E-A947-70E740481C1C}">
              <a14:useLocalDpi xmlns:a14="http://schemas.microsoft.com/office/drawing/2010/main" val="0"/>
            </a:ext>
          </a:extLst>
        </a:blip>
        <a:srcRect l="14828" t="25490" r="17524" b="17211"/>
        <a:stretch/>
      </xdr:blipFill>
      <xdr:spPr>
        <a:xfrm>
          <a:off x="857249" y="879095"/>
          <a:ext cx="4972051" cy="2368930"/>
        </a:xfrm>
        <a:prstGeom prst="rect">
          <a:avLst/>
        </a:prstGeom>
      </xdr:spPr>
    </xdr:pic>
    <xdr:clientData/>
  </xdr:twoCellAnchor>
  <xdr:twoCellAnchor editAs="oneCell">
    <xdr:from>
      <xdr:col>8</xdr:col>
      <xdr:colOff>542925</xdr:colOff>
      <xdr:row>3</xdr:row>
      <xdr:rowOff>130539</xdr:rowOff>
    </xdr:from>
    <xdr:to>
      <xdr:col>16</xdr:col>
      <xdr:colOff>0</xdr:colOff>
      <xdr:row>4</xdr:row>
      <xdr:rowOff>314325</xdr:rowOff>
    </xdr:to>
    <xdr:pic>
      <xdr:nvPicPr>
        <xdr:cNvPr id="50" name="Picture 49">
          <a:extLst>
            <a:ext uri="{FF2B5EF4-FFF2-40B4-BE49-F238E27FC236}">
              <a16:creationId xmlns:a16="http://schemas.microsoft.com/office/drawing/2014/main" id="{D030A08A-75CD-BF27-CC9F-05A5288FA7FA}"/>
            </a:ext>
          </a:extLst>
        </xdr:cNvPr>
        <xdr:cNvPicPr>
          <a:picLocks noChangeAspect="1"/>
        </xdr:cNvPicPr>
      </xdr:nvPicPr>
      <xdr:blipFill rotWithShape="1">
        <a:blip xmlns:r="http://schemas.openxmlformats.org/officeDocument/2006/relationships" r:embed="rId9" cstate="print">
          <a:alphaModFix/>
          <a:extLst>
            <a:ext uri="{28A0092B-C50C-407E-A947-70E740481C1C}">
              <a14:useLocalDpi xmlns:a14="http://schemas.microsoft.com/office/drawing/2010/main" val="0"/>
            </a:ext>
          </a:extLst>
        </a:blip>
        <a:srcRect l="16575" t="22004" r="18229" b="19136"/>
        <a:stretch/>
      </xdr:blipFill>
      <xdr:spPr>
        <a:xfrm>
          <a:off x="5895975" y="835389"/>
          <a:ext cx="4619625" cy="2345961"/>
        </a:xfrm>
        <a:prstGeom prst="rect">
          <a:avLst/>
        </a:prstGeom>
      </xdr:spPr>
    </xdr:pic>
    <xdr:clientData/>
  </xdr:twoCellAnchor>
  <xdr:twoCellAnchor editAs="oneCell">
    <xdr:from>
      <xdr:col>11</xdr:col>
      <xdr:colOff>627051</xdr:colOff>
      <xdr:row>7</xdr:row>
      <xdr:rowOff>38100</xdr:rowOff>
    </xdr:from>
    <xdr:to>
      <xdr:col>16</xdr:col>
      <xdr:colOff>28575</xdr:colOff>
      <xdr:row>8</xdr:row>
      <xdr:rowOff>3164</xdr:rowOff>
    </xdr:to>
    <xdr:pic>
      <xdr:nvPicPr>
        <xdr:cNvPr id="4" name="Picture 3">
          <a:extLst>
            <a:ext uri="{FF2B5EF4-FFF2-40B4-BE49-F238E27FC236}">
              <a16:creationId xmlns:a16="http://schemas.microsoft.com/office/drawing/2014/main" id="{B6275DF6-35F1-1B3F-6AE7-2494BF43FAA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827951" y="3867150"/>
          <a:ext cx="2716224" cy="1870064"/>
        </a:xfrm>
        <a:prstGeom prst="rect">
          <a:avLst/>
        </a:prstGeom>
        <a:ln>
          <a:noFill/>
        </a:ln>
      </xdr:spPr>
    </xdr:pic>
    <xdr:clientData/>
  </xdr:twoCellAnchor>
  <xdr:twoCellAnchor editAs="oneCell">
    <xdr:from>
      <xdr:col>6</xdr:col>
      <xdr:colOff>600075</xdr:colOff>
      <xdr:row>12</xdr:row>
      <xdr:rowOff>133350</xdr:rowOff>
    </xdr:from>
    <xdr:to>
      <xdr:col>11</xdr:col>
      <xdr:colOff>9524</xdr:colOff>
      <xdr:row>13</xdr:row>
      <xdr:rowOff>38099</xdr:rowOff>
    </xdr:to>
    <xdr:pic>
      <xdr:nvPicPr>
        <xdr:cNvPr id="10" name="Picture 9">
          <a:extLst>
            <a:ext uri="{FF2B5EF4-FFF2-40B4-BE49-F238E27FC236}">
              <a16:creationId xmlns:a16="http://schemas.microsoft.com/office/drawing/2014/main" id="{D61302E6-D84C-0238-C6CE-DF684BC2889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486275" y="6610350"/>
          <a:ext cx="2724149" cy="1809749"/>
        </a:xfrm>
        <a:prstGeom prst="rect">
          <a:avLst/>
        </a:prstGeom>
      </xdr:spPr>
    </xdr:pic>
    <xdr:clientData/>
  </xdr:twoCellAnchor>
  <xdr:twoCellAnchor editAs="oneCell">
    <xdr:from>
      <xdr:col>7</xdr:col>
      <xdr:colOff>9527</xdr:colOff>
      <xdr:row>7</xdr:row>
      <xdr:rowOff>28575</xdr:rowOff>
    </xdr:from>
    <xdr:to>
      <xdr:col>10</xdr:col>
      <xdr:colOff>695325</xdr:colOff>
      <xdr:row>7</xdr:row>
      <xdr:rowOff>1895475</xdr:rowOff>
    </xdr:to>
    <xdr:pic>
      <xdr:nvPicPr>
        <xdr:cNvPr id="14" name="Picture 13">
          <a:extLst>
            <a:ext uri="{FF2B5EF4-FFF2-40B4-BE49-F238E27FC236}">
              <a16:creationId xmlns:a16="http://schemas.microsoft.com/office/drawing/2014/main" id="{17D18380-B445-92A7-3545-80ED9B866FC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524377" y="3857625"/>
          <a:ext cx="2666998" cy="18669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857250</xdr:colOff>
      <xdr:row>2</xdr:row>
      <xdr:rowOff>59339</xdr:rowOff>
    </xdr:from>
    <xdr:to>
      <xdr:col>16</xdr:col>
      <xdr:colOff>3192689</xdr:colOff>
      <xdr:row>9</xdr:row>
      <xdr:rowOff>729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95188" y="670527"/>
          <a:ext cx="2335439" cy="14415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2</xdr:col>
      <xdr:colOff>12557</xdr:colOff>
      <xdr:row>6</xdr:row>
      <xdr:rowOff>143308</xdr:rowOff>
    </xdr:from>
    <xdr:to>
      <xdr:col>5</xdr:col>
      <xdr:colOff>691154</xdr:colOff>
      <xdr:row>7</xdr:row>
      <xdr:rowOff>1887298</xdr:rowOff>
    </xdr:to>
    <xdr:pic>
      <xdr:nvPicPr>
        <xdr:cNvPr id="2" name="Picture 1">
          <a:extLst>
            <a:ext uri="{FF2B5EF4-FFF2-40B4-BE49-F238E27FC236}">
              <a16:creationId xmlns:a16="http://schemas.microsoft.com/office/drawing/2014/main" id="{AC7CB2F2-D4C4-458C-B98E-4A432908515E}"/>
            </a:ext>
          </a:extLst>
        </xdr:cNvPr>
        <xdr:cNvPicPr>
          <a:picLocks noChangeAspect="1"/>
        </xdr:cNvPicPr>
      </xdr:nvPicPr>
      <xdr:blipFill>
        <a:blip xmlns:r="http://schemas.openxmlformats.org/officeDocument/2006/relationships" r:embed="rId2"/>
        <a:stretch>
          <a:fillRect/>
        </a:stretch>
      </xdr:blipFill>
      <xdr:spPr>
        <a:xfrm>
          <a:off x="1212707" y="3496108"/>
          <a:ext cx="2659797" cy="1905915"/>
        </a:xfrm>
        <a:prstGeom prst="rect">
          <a:avLst/>
        </a:prstGeom>
      </xdr:spPr>
    </xdr:pic>
    <xdr:clientData/>
  </xdr:twoCellAnchor>
  <xdr:twoCellAnchor editAs="oneCell">
    <xdr:from>
      <xdr:col>1</xdr:col>
      <xdr:colOff>368011</xdr:colOff>
      <xdr:row>3</xdr:row>
      <xdr:rowOff>19050</xdr:rowOff>
    </xdr:from>
    <xdr:to>
      <xdr:col>9</xdr:col>
      <xdr:colOff>53039</xdr:colOff>
      <xdr:row>4</xdr:row>
      <xdr:rowOff>322118</xdr:rowOff>
    </xdr:to>
    <xdr:pic>
      <xdr:nvPicPr>
        <xdr:cNvPr id="3" name="Picture 2">
          <a:extLst>
            <a:ext uri="{FF2B5EF4-FFF2-40B4-BE49-F238E27FC236}">
              <a16:creationId xmlns:a16="http://schemas.microsoft.com/office/drawing/2014/main" id="{2470523B-3493-423C-A8BE-77AE29A98BF6}"/>
            </a:ext>
          </a:extLst>
        </xdr:cNvPr>
        <xdr:cNvPicPr>
          <a:picLocks noChangeAspect="1"/>
        </xdr:cNvPicPr>
      </xdr:nvPicPr>
      <xdr:blipFill rotWithShape="1">
        <a:blip xmlns:r="http://schemas.openxmlformats.org/officeDocument/2006/relationships" r:embed="rId3" cstate="print">
          <a:alphaModFix/>
          <a:extLst>
            <a:ext uri="{28A0092B-C50C-407E-A947-70E740481C1C}">
              <a14:useLocalDpi xmlns:a14="http://schemas.microsoft.com/office/drawing/2010/main" val="0"/>
            </a:ext>
          </a:extLst>
        </a:blip>
        <a:srcRect l="9760" t="23520" r="17637" b="18113"/>
        <a:stretch/>
      </xdr:blipFill>
      <xdr:spPr>
        <a:xfrm>
          <a:off x="958561" y="590550"/>
          <a:ext cx="5019028" cy="2284268"/>
        </a:xfrm>
        <a:prstGeom prst="rect">
          <a:avLst/>
        </a:prstGeom>
      </xdr:spPr>
    </xdr:pic>
    <xdr:clientData/>
  </xdr:twoCellAnchor>
  <xdr:twoCellAnchor editAs="oneCell">
    <xdr:from>
      <xdr:col>9</xdr:col>
      <xdr:colOff>253625</xdr:colOff>
      <xdr:row>3</xdr:row>
      <xdr:rowOff>42213</xdr:rowOff>
    </xdr:from>
    <xdr:to>
      <xdr:col>16</xdr:col>
      <xdr:colOff>14722</xdr:colOff>
      <xdr:row>4</xdr:row>
      <xdr:rowOff>274493</xdr:rowOff>
    </xdr:to>
    <xdr:pic>
      <xdr:nvPicPr>
        <xdr:cNvPr id="4" name="Picture 3">
          <a:extLst>
            <a:ext uri="{FF2B5EF4-FFF2-40B4-BE49-F238E27FC236}">
              <a16:creationId xmlns:a16="http://schemas.microsoft.com/office/drawing/2014/main" id="{0BE27298-020E-40C5-BE4C-5490D393CC22}"/>
            </a:ext>
          </a:extLst>
        </xdr:cNvPr>
        <xdr:cNvPicPr>
          <a:picLocks noChangeAspect="1"/>
        </xdr:cNvPicPr>
      </xdr:nvPicPr>
      <xdr:blipFill rotWithShape="1">
        <a:blip xmlns:r="http://schemas.openxmlformats.org/officeDocument/2006/relationships" r:embed="rId4" cstate="print">
          <a:alphaModFix/>
          <a:extLst>
            <a:ext uri="{28A0092B-C50C-407E-A947-70E740481C1C}">
              <a14:useLocalDpi xmlns:a14="http://schemas.microsoft.com/office/drawing/2010/main" val="0"/>
            </a:ext>
          </a:extLst>
        </a:blip>
        <a:srcRect l="15762" t="22499" r="18864" b="18944"/>
        <a:stretch/>
      </xdr:blipFill>
      <xdr:spPr>
        <a:xfrm>
          <a:off x="6159125" y="613713"/>
          <a:ext cx="4350415" cy="2206553"/>
        </a:xfrm>
        <a:prstGeom prst="rect">
          <a:avLst/>
        </a:prstGeom>
      </xdr:spPr>
    </xdr:pic>
    <xdr:clientData/>
  </xdr:twoCellAnchor>
  <xdr:twoCellAnchor editAs="oneCell">
    <xdr:from>
      <xdr:col>12</xdr:col>
      <xdr:colOff>19268</xdr:colOff>
      <xdr:row>16</xdr:row>
      <xdr:rowOff>186576</xdr:rowOff>
    </xdr:from>
    <xdr:to>
      <xdr:col>15</xdr:col>
      <xdr:colOff>698574</xdr:colOff>
      <xdr:row>18</xdr:row>
      <xdr:rowOff>23816</xdr:rowOff>
    </xdr:to>
    <xdr:pic>
      <xdr:nvPicPr>
        <xdr:cNvPr id="10" name="Picture 9">
          <a:extLst>
            <a:ext uri="{FF2B5EF4-FFF2-40B4-BE49-F238E27FC236}">
              <a16:creationId xmlns:a16="http://schemas.microsoft.com/office/drawing/2014/main" id="{0100CA3E-4934-4403-8BB8-A3B6C076B9E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019" r="8108"/>
        <a:stretch/>
      </xdr:blipFill>
      <xdr:spPr>
        <a:xfrm>
          <a:off x="7848818" y="8844801"/>
          <a:ext cx="2660506" cy="1932740"/>
        </a:xfrm>
        <a:prstGeom prst="rect">
          <a:avLst/>
        </a:prstGeom>
      </xdr:spPr>
    </xdr:pic>
    <xdr:clientData/>
  </xdr:twoCellAnchor>
  <xdr:twoCellAnchor editAs="oneCell">
    <xdr:from>
      <xdr:col>2</xdr:col>
      <xdr:colOff>67326</xdr:colOff>
      <xdr:row>17</xdr:row>
      <xdr:rowOff>6493</xdr:rowOff>
    </xdr:from>
    <xdr:to>
      <xdr:col>6</xdr:col>
      <xdr:colOff>52607</xdr:colOff>
      <xdr:row>18</xdr:row>
      <xdr:rowOff>22083</xdr:rowOff>
    </xdr:to>
    <xdr:pic>
      <xdr:nvPicPr>
        <xdr:cNvPr id="11" name="Picture 10">
          <a:extLst>
            <a:ext uri="{FF2B5EF4-FFF2-40B4-BE49-F238E27FC236}">
              <a16:creationId xmlns:a16="http://schemas.microsoft.com/office/drawing/2014/main" id="{4994F463-5D7E-4F5B-8BA2-55DDB11090BD}"/>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5378" r="6391"/>
        <a:stretch/>
      </xdr:blipFill>
      <xdr:spPr>
        <a:xfrm>
          <a:off x="1262281" y="8856084"/>
          <a:ext cx="2669599" cy="1920590"/>
        </a:xfrm>
        <a:prstGeom prst="rect">
          <a:avLst/>
        </a:prstGeom>
      </xdr:spPr>
    </xdr:pic>
    <xdr:clientData/>
  </xdr:twoCellAnchor>
  <xdr:twoCellAnchor editAs="oneCell">
    <xdr:from>
      <xdr:col>2</xdr:col>
      <xdr:colOff>1</xdr:colOff>
      <xdr:row>12</xdr:row>
      <xdr:rowOff>21861</xdr:rowOff>
    </xdr:from>
    <xdr:to>
      <xdr:col>5</xdr:col>
      <xdr:colOff>695326</xdr:colOff>
      <xdr:row>13</xdr:row>
      <xdr:rowOff>21865</xdr:rowOff>
    </xdr:to>
    <xdr:pic>
      <xdr:nvPicPr>
        <xdr:cNvPr id="13" name="Picture 12">
          <a:extLst>
            <a:ext uri="{FF2B5EF4-FFF2-40B4-BE49-F238E27FC236}">
              <a16:creationId xmlns:a16="http://schemas.microsoft.com/office/drawing/2014/main" id="{0A771102-D646-4DAD-8DD9-B4DD765C0961}"/>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6875" r="5314"/>
        <a:stretch/>
      </xdr:blipFill>
      <xdr:spPr>
        <a:xfrm>
          <a:off x="1200151" y="6184536"/>
          <a:ext cx="2676525" cy="1905004"/>
        </a:xfrm>
        <a:prstGeom prst="rect">
          <a:avLst/>
        </a:prstGeom>
      </xdr:spPr>
    </xdr:pic>
    <xdr:clientData/>
  </xdr:twoCellAnchor>
  <xdr:twoCellAnchor editAs="oneCell">
    <xdr:from>
      <xdr:col>11</xdr:col>
      <xdr:colOff>619126</xdr:colOff>
      <xdr:row>12</xdr:row>
      <xdr:rowOff>31386</xdr:rowOff>
    </xdr:from>
    <xdr:to>
      <xdr:col>16</xdr:col>
      <xdr:colOff>2</xdr:colOff>
      <xdr:row>13</xdr:row>
      <xdr:rowOff>31390</xdr:rowOff>
    </xdr:to>
    <xdr:pic>
      <xdr:nvPicPr>
        <xdr:cNvPr id="26" name="Picture 25">
          <a:extLst>
            <a:ext uri="{FF2B5EF4-FFF2-40B4-BE49-F238E27FC236}">
              <a16:creationId xmlns:a16="http://schemas.microsoft.com/office/drawing/2014/main" id="{C89E1166-F3E9-4BE4-9A5D-EA37AFE0DE5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4687" r="6875"/>
        <a:stretch/>
      </xdr:blipFill>
      <xdr:spPr>
        <a:xfrm>
          <a:off x="7820026" y="6194061"/>
          <a:ext cx="2695576" cy="1905004"/>
        </a:xfrm>
        <a:prstGeom prst="rect">
          <a:avLst/>
        </a:prstGeom>
      </xdr:spPr>
    </xdr:pic>
    <xdr:clientData/>
  </xdr:twoCellAnchor>
  <xdr:twoCellAnchor editAs="oneCell">
    <xdr:from>
      <xdr:col>6</xdr:col>
      <xdr:colOff>619126</xdr:colOff>
      <xdr:row>17</xdr:row>
      <xdr:rowOff>40911</xdr:rowOff>
    </xdr:from>
    <xdr:to>
      <xdr:col>11</xdr:col>
      <xdr:colOff>1</xdr:colOff>
      <xdr:row>18</xdr:row>
      <xdr:rowOff>40915</xdr:rowOff>
    </xdr:to>
    <xdr:pic>
      <xdr:nvPicPr>
        <xdr:cNvPr id="27" name="Picture 26">
          <a:extLst>
            <a:ext uri="{FF2B5EF4-FFF2-40B4-BE49-F238E27FC236}">
              <a16:creationId xmlns:a16="http://schemas.microsoft.com/office/drawing/2014/main" id="{D5B39B4B-B0B9-4D80-8D61-53759D2A36EA}"/>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6250" r="5313"/>
        <a:stretch/>
      </xdr:blipFill>
      <xdr:spPr>
        <a:xfrm>
          <a:off x="4505326" y="8889636"/>
          <a:ext cx="2695575" cy="1905004"/>
        </a:xfrm>
        <a:prstGeom prst="rect">
          <a:avLst/>
        </a:prstGeom>
      </xdr:spPr>
    </xdr:pic>
    <xdr:clientData/>
  </xdr:twoCellAnchor>
  <xdr:twoCellAnchor editAs="oneCell">
    <xdr:from>
      <xdr:col>1</xdr:col>
      <xdr:colOff>257175</xdr:colOff>
      <xdr:row>2</xdr:row>
      <xdr:rowOff>300881</xdr:rowOff>
    </xdr:from>
    <xdr:to>
      <xdr:col>8</xdr:col>
      <xdr:colOff>466726</xdr:colOff>
      <xdr:row>4</xdr:row>
      <xdr:rowOff>374286</xdr:rowOff>
    </xdr:to>
    <xdr:pic>
      <xdr:nvPicPr>
        <xdr:cNvPr id="28" name="Picture 27">
          <a:extLst>
            <a:ext uri="{FF2B5EF4-FFF2-40B4-BE49-F238E27FC236}">
              <a16:creationId xmlns:a16="http://schemas.microsoft.com/office/drawing/2014/main" id="{8571ACC1-FBB1-470C-98AB-ABBBB1B64D43}"/>
            </a:ext>
          </a:extLst>
        </xdr:cNvPr>
        <xdr:cNvPicPr>
          <a:picLocks noChangeAspect="1"/>
        </xdr:cNvPicPr>
      </xdr:nvPicPr>
      <xdr:blipFill rotWithShape="1">
        <a:blip xmlns:r="http://schemas.openxmlformats.org/officeDocument/2006/relationships" r:embed="rId10" cstate="print">
          <a:alphaModFix/>
          <a:extLst>
            <a:ext uri="{28A0092B-C50C-407E-A947-70E740481C1C}">
              <a14:useLocalDpi xmlns:a14="http://schemas.microsoft.com/office/drawing/2010/main" val="0"/>
            </a:ext>
          </a:extLst>
        </a:blip>
        <a:srcRect l="14828" t="25490" r="17524" b="17211"/>
        <a:stretch/>
      </xdr:blipFill>
      <xdr:spPr>
        <a:xfrm>
          <a:off x="847725" y="558056"/>
          <a:ext cx="4972051" cy="2368930"/>
        </a:xfrm>
        <a:prstGeom prst="rect">
          <a:avLst/>
        </a:prstGeom>
      </xdr:spPr>
    </xdr:pic>
    <xdr:clientData/>
  </xdr:twoCellAnchor>
  <xdr:twoCellAnchor editAs="oneCell">
    <xdr:from>
      <xdr:col>9</xdr:col>
      <xdr:colOff>82551</xdr:colOff>
      <xdr:row>3</xdr:row>
      <xdr:rowOff>15875</xdr:rowOff>
    </xdr:from>
    <xdr:to>
      <xdr:col>16</xdr:col>
      <xdr:colOff>104776</xdr:colOff>
      <xdr:row>4</xdr:row>
      <xdr:rowOff>313961</xdr:rowOff>
    </xdr:to>
    <xdr:pic>
      <xdr:nvPicPr>
        <xdr:cNvPr id="29" name="Picture 28">
          <a:extLst>
            <a:ext uri="{FF2B5EF4-FFF2-40B4-BE49-F238E27FC236}">
              <a16:creationId xmlns:a16="http://schemas.microsoft.com/office/drawing/2014/main" id="{772E1A04-DA5F-4AB5-8BA6-B56F11DD2258}"/>
            </a:ext>
          </a:extLst>
        </xdr:cNvPr>
        <xdr:cNvPicPr>
          <a:picLocks noChangeAspect="1"/>
        </xdr:cNvPicPr>
      </xdr:nvPicPr>
      <xdr:blipFill rotWithShape="1">
        <a:blip xmlns:r="http://schemas.openxmlformats.org/officeDocument/2006/relationships" r:embed="rId11" cstate="print">
          <a:alphaModFix/>
          <a:extLst>
            <a:ext uri="{28A0092B-C50C-407E-A947-70E740481C1C}">
              <a14:useLocalDpi xmlns:a14="http://schemas.microsoft.com/office/drawing/2010/main" val="0"/>
            </a:ext>
          </a:extLst>
        </a:blip>
        <a:srcRect l="16575" t="23677" r="18229" b="19136"/>
        <a:stretch/>
      </xdr:blipFill>
      <xdr:spPr>
        <a:xfrm>
          <a:off x="6280151" y="600075"/>
          <a:ext cx="4822825" cy="2279286"/>
        </a:xfrm>
        <a:prstGeom prst="rect">
          <a:avLst/>
        </a:prstGeom>
      </xdr:spPr>
    </xdr:pic>
    <xdr:clientData/>
  </xdr:twoCellAnchor>
  <xdr:twoCellAnchor editAs="oneCell">
    <xdr:from>
      <xdr:col>12</xdr:col>
      <xdr:colOff>16416</xdr:colOff>
      <xdr:row>7</xdr:row>
      <xdr:rowOff>19051</xdr:rowOff>
    </xdr:from>
    <xdr:to>
      <xdr:col>15</xdr:col>
      <xdr:colOff>717550</xdr:colOff>
      <xdr:row>7</xdr:row>
      <xdr:rowOff>1879601</xdr:rowOff>
    </xdr:to>
    <xdr:pic>
      <xdr:nvPicPr>
        <xdr:cNvPr id="8" name="Picture 7">
          <a:extLst>
            <a:ext uri="{FF2B5EF4-FFF2-40B4-BE49-F238E27FC236}">
              <a16:creationId xmlns:a16="http://schemas.microsoft.com/office/drawing/2014/main" id="{AF4E4B96-5B7F-4AB8-989C-54FC59C0D49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207916" y="3543301"/>
          <a:ext cx="2771234" cy="1860550"/>
        </a:xfrm>
        <a:prstGeom prst="rect">
          <a:avLst/>
        </a:prstGeom>
        <a:ln>
          <a:noFill/>
        </a:ln>
      </xdr:spPr>
    </xdr:pic>
    <xdr:clientData/>
  </xdr:twoCellAnchor>
  <xdr:twoCellAnchor editAs="oneCell">
    <xdr:from>
      <xdr:col>7</xdr:col>
      <xdr:colOff>12700</xdr:colOff>
      <xdr:row>12</xdr:row>
      <xdr:rowOff>149225</xdr:rowOff>
    </xdr:from>
    <xdr:to>
      <xdr:col>10</xdr:col>
      <xdr:colOff>730249</xdr:colOff>
      <xdr:row>13</xdr:row>
      <xdr:rowOff>53974</xdr:rowOff>
    </xdr:to>
    <xdr:pic>
      <xdr:nvPicPr>
        <xdr:cNvPr id="9" name="Picture 8">
          <a:extLst>
            <a:ext uri="{FF2B5EF4-FFF2-40B4-BE49-F238E27FC236}">
              <a16:creationId xmlns:a16="http://schemas.microsoft.com/office/drawing/2014/main" id="{B7E5FD20-CB29-4EAA-88AC-75D4648228D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737100" y="6315075"/>
          <a:ext cx="2787649" cy="1809749"/>
        </a:xfrm>
        <a:prstGeom prst="rect">
          <a:avLst/>
        </a:prstGeom>
      </xdr:spPr>
    </xdr:pic>
    <xdr:clientData/>
  </xdr:twoCellAnchor>
  <xdr:twoCellAnchor editAs="oneCell">
    <xdr:from>
      <xdr:col>7</xdr:col>
      <xdr:colOff>19052</xdr:colOff>
      <xdr:row>7</xdr:row>
      <xdr:rowOff>38100</xdr:rowOff>
    </xdr:from>
    <xdr:to>
      <xdr:col>10</xdr:col>
      <xdr:colOff>704850</xdr:colOff>
      <xdr:row>8</xdr:row>
      <xdr:rowOff>0</xdr:rowOff>
    </xdr:to>
    <xdr:pic>
      <xdr:nvPicPr>
        <xdr:cNvPr id="12" name="Picture 11">
          <a:extLst>
            <a:ext uri="{FF2B5EF4-FFF2-40B4-BE49-F238E27FC236}">
              <a16:creationId xmlns:a16="http://schemas.microsoft.com/office/drawing/2014/main" id="{4E36AB92-CC51-457A-A9A4-69B07E1182C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743452" y="3562350"/>
          <a:ext cx="2755898" cy="18669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168.99</v>
          </cell>
          <cell r="D176">
            <v>395</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09375" defaultRowHeight="13.2" outlineLevelRow="1"/>
  <cols>
    <col min="1" max="1" width="9.109375" style="3"/>
    <col min="2" max="2" width="32" style="3" bestFit="1" customWidth="1"/>
    <col min="3" max="3" width="30.5546875" style="3" bestFit="1" customWidth="1"/>
    <col min="4" max="16384" width="9.109375" style="3"/>
  </cols>
  <sheetData>
    <row r="1" spans="1:4">
      <c r="A1" s="4"/>
      <c r="B1" s="4"/>
      <c r="C1" s="4"/>
      <c r="D1" s="4"/>
    </row>
    <row r="2" spans="1:4" ht="15">
      <c r="A2" s="4"/>
      <c r="B2" s="1" t="s">
        <v>32</v>
      </c>
      <c r="C2" s="10">
        <v>6.9900000000000004E-2</v>
      </c>
      <c r="D2" s="14" t="s">
        <v>51</v>
      </c>
    </row>
    <row r="3" spans="1:4" ht="15">
      <c r="A3" s="4"/>
      <c r="B3" s="1" t="s">
        <v>33</v>
      </c>
      <c r="C3" s="11">
        <v>52</v>
      </c>
      <c r="D3" s="14" t="s">
        <v>51</v>
      </c>
    </row>
    <row r="4" spans="1:4" ht="15">
      <c r="A4" s="4"/>
      <c r="B4" s="1" t="s">
        <v>34</v>
      </c>
      <c r="C4" s="12">
        <v>5</v>
      </c>
      <c r="D4" s="14" t="s">
        <v>51</v>
      </c>
    </row>
    <row r="5" spans="1:4" ht="15">
      <c r="A5" s="4"/>
      <c r="B5" s="1" t="s">
        <v>35</v>
      </c>
      <c r="C5" s="5">
        <v>10000</v>
      </c>
      <c r="D5" s="14" t="s">
        <v>52</v>
      </c>
    </row>
    <row r="6" spans="1:4" ht="15">
      <c r="A6" s="4"/>
      <c r="B6" s="1"/>
      <c r="C6" s="1"/>
      <c r="D6" s="4"/>
    </row>
    <row r="7" spans="1:4" ht="15">
      <c r="A7" s="4"/>
      <c r="B7" s="1" t="s">
        <v>36</v>
      </c>
      <c r="C7" s="6" t="s">
        <v>37</v>
      </c>
      <c r="D7" s="4"/>
    </row>
    <row r="8" spans="1:4" ht="13.8">
      <c r="A8" s="4"/>
      <c r="B8" s="4"/>
      <c r="C8" s="7">
        <f>-PMT(C2/C3,C4*C3,C5)</f>
        <v>45.598988283683823</v>
      </c>
      <c r="D8" s="13" t="s">
        <v>50</v>
      </c>
    </row>
    <row r="9" spans="1:4">
      <c r="A9" s="4"/>
      <c r="C9" s="4"/>
      <c r="D9" s="4"/>
    </row>
    <row r="10" spans="1:4">
      <c r="A10" s="4"/>
      <c r="B10" s="84" t="s">
        <v>101</v>
      </c>
      <c r="C10" s="4"/>
      <c r="D10" s="4"/>
    </row>
    <row r="11" spans="1:4">
      <c r="A11" s="4"/>
      <c r="B11" s="4"/>
      <c r="C11" s="4"/>
      <c r="D11" s="4"/>
    </row>
    <row r="13" spans="1:4">
      <c r="B13" s="3" t="s">
        <v>38</v>
      </c>
    </row>
    <row r="15" spans="1:4">
      <c r="B15" s="9" t="s">
        <v>39</v>
      </c>
    </row>
    <row r="16" spans="1:4">
      <c r="B16" s="9" t="s">
        <v>40</v>
      </c>
    </row>
    <row r="19" spans="2:11">
      <c r="B19" s="3" t="s">
        <v>41</v>
      </c>
    </row>
    <row r="21" spans="2:11" ht="76.5" hidden="1" customHeight="1" outlineLevel="1">
      <c r="B21" s="353" t="s">
        <v>43</v>
      </c>
      <c r="C21" s="353"/>
      <c r="D21" s="353"/>
      <c r="E21" s="353"/>
      <c r="F21" s="353"/>
      <c r="G21" s="353"/>
      <c r="H21" s="353"/>
      <c r="I21" s="353"/>
      <c r="J21" s="353"/>
      <c r="K21" s="353"/>
    </row>
    <row r="22" spans="2:11" ht="86.25" hidden="1" customHeight="1" outlineLevel="1">
      <c r="B22" s="354" t="s">
        <v>45</v>
      </c>
      <c r="C22" s="354"/>
      <c r="D22" s="354"/>
      <c r="E22" s="354"/>
      <c r="F22" s="354"/>
      <c r="G22" s="354"/>
      <c r="H22" s="354"/>
      <c r="I22" s="354"/>
      <c r="J22" s="354"/>
      <c r="K22" s="354"/>
    </row>
    <row r="23" spans="2:11" hidden="1" outlineLevel="1">
      <c r="B23" s="3" t="s">
        <v>29</v>
      </c>
    </row>
    <row r="24" spans="2:11" hidden="1" outlineLevel="1">
      <c r="B24" s="3" t="s">
        <v>46</v>
      </c>
    </row>
    <row r="25" spans="2:11" hidden="1" outlineLevel="1"/>
    <row r="26" spans="2:11" hidden="1" outlineLevel="1">
      <c r="B26" s="3" t="s">
        <v>30</v>
      </c>
    </row>
    <row r="27" spans="2:11" hidden="1" outlineLevel="1">
      <c r="B27" s="3" t="s">
        <v>31</v>
      </c>
    </row>
    <row r="28" spans="2:11" hidden="1" outlineLevel="1">
      <c r="B28" s="3" t="s">
        <v>44</v>
      </c>
    </row>
    <row r="29" spans="2:11" hidden="1" outlineLevel="1"/>
    <row r="30" spans="2:11" hidden="1" outlineLevel="1">
      <c r="B30" s="3" t="s">
        <v>47</v>
      </c>
    </row>
    <row r="31" spans="2:11" hidden="1" outlineLevel="1">
      <c r="B31" s="3" t="s">
        <v>48</v>
      </c>
    </row>
    <row r="32" spans="2:11" hidden="1" outlineLevel="1">
      <c r="B32" s="3" t="s">
        <v>49</v>
      </c>
    </row>
    <row r="33" spans="2:2" collapsed="1"/>
    <row r="35" spans="2:2">
      <c r="B35" s="85" t="s">
        <v>42</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60"/>
  <sheetViews>
    <sheetView workbookViewId="0">
      <pane ySplit="1" topLeftCell="A2" activePane="bottomLeft" state="frozen"/>
      <selection activeCell="B35" sqref="B35"/>
      <selection pane="bottomLeft" activeCell="G2" sqref="G2"/>
    </sheetView>
  </sheetViews>
  <sheetFormatPr defaultColWidth="8.6640625" defaultRowHeight="13.2" outlineLevelCol="1"/>
  <cols>
    <col min="1" max="1" width="22.44140625" style="3" customWidth="1" outlineLevel="1"/>
    <col min="2" max="2" width="3.88671875" style="3" customWidth="1" outlineLevel="1"/>
    <col min="3" max="3" width="21.5546875" style="3" customWidth="1" outlineLevel="1"/>
    <col min="4" max="4" width="39.44140625" style="3" bestFit="1" customWidth="1"/>
    <col min="5" max="5" width="2.88671875" style="3" bestFit="1" customWidth="1"/>
    <col min="6" max="16384" width="8.6640625" style="3"/>
  </cols>
  <sheetData>
    <row r="1" spans="1:13" ht="39.6">
      <c r="A1" s="218" t="s">
        <v>155</v>
      </c>
      <c r="B1" s="214"/>
      <c r="C1" s="213"/>
      <c r="D1" s="162" t="s">
        <v>153</v>
      </c>
      <c r="E1" s="215" t="s">
        <v>154</v>
      </c>
      <c r="F1" s="162" t="s">
        <v>121</v>
      </c>
      <c r="G1" s="162" t="s">
        <v>507</v>
      </c>
      <c r="H1" s="162" t="s">
        <v>122</v>
      </c>
      <c r="I1" s="162" t="s">
        <v>123</v>
      </c>
      <c r="J1" s="162" t="s">
        <v>124</v>
      </c>
      <c r="K1" s="162" t="s">
        <v>125</v>
      </c>
      <c r="L1" s="162" t="s">
        <v>126</v>
      </c>
      <c r="M1" s="162" t="s">
        <v>127</v>
      </c>
    </row>
    <row r="2" spans="1:13">
      <c r="A2" s="355" t="s">
        <v>150</v>
      </c>
      <c r="B2" s="216">
        <v>1</v>
      </c>
      <c r="C2" s="217" t="s">
        <v>293</v>
      </c>
      <c r="D2" s="3" t="s">
        <v>293</v>
      </c>
      <c r="G2" s="3" t="s">
        <v>285</v>
      </c>
    </row>
    <row r="3" spans="1:13">
      <c r="A3" s="356"/>
      <c r="B3" s="216">
        <v>2</v>
      </c>
      <c r="C3" s="217" t="s">
        <v>191</v>
      </c>
      <c r="D3" s="3" t="s">
        <v>191</v>
      </c>
      <c r="G3" s="3" t="s">
        <v>283</v>
      </c>
    </row>
    <row r="4" spans="1:13">
      <c r="A4" s="356"/>
      <c r="B4" s="216">
        <v>3</v>
      </c>
      <c r="C4" s="217" t="s">
        <v>180</v>
      </c>
      <c r="D4" s="3" t="s">
        <v>180</v>
      </c>
    </row>
    <row r="5" spans="1:13">
      <c r="A5" s="356"/>
      <c r="B5" s="216">
        <v>4</v>
      </c>
      <c r="C5" s="217" t="s">
        <v>208</v>
      </c>
      <c r="D5" s="3" t="s">
        <v>208</v>
      </c>
    </row>
    <row r="6" spans="1:13">
      <c r="A6" s="356"/>
      <c r="B6" s="216">
        <v>5</v>
      </c>
      <c r="C6" s="217" t="s">
        <v>298</v>
      </c>
      <c r="D6" s="3" t="s">
        <v>298</v>
      </c>
    </row>
    <row r="7" spans="1:13">
      <c r="A7" s="356"/>
      <c r="B7" s="216">
        <v>6</v>
      </c>
      <c r="C7" s="217" t="s">
        <v>299</v>
      </c>
      <c r="D7" s="3" t="s">
        <v>299</v>
      </c>
    </row>
    <row r="8" spans="1:13">
      <c r="A8" s="357" t="s">
        <v>139</v>
      </c>
      <c r="B8" s="216">
        <v>7</v>
      </c>
      <c r="C8" s="217" t="s">
        <v>295</v>
      </c>
      <c r="D8" s="3" t="s">
        <v>295</v>
      </c>
    </row>
    <row r="9" spans="1:13">
      <c r="A9" s="357"/>
      <c r="B9" s="216">
        <v>8</v>
      </c>
      <c r="C9" s="217" t="s">
        <v>167</v>
      </c>
      <c r="D9" s="3" t="s">
        <v>167</v>
      </c>
    </row>
    <row r="10" spans="1:13">
      <c r="A10" s="355" t="s">
        <v>161</v>
      </c>
      <c r="B10" s="216">
        <v>9</v>
      </c>
      <c r="C10" s="217" t="s">
        <v>303</v>
      </c>
      <c r="D10" s="3" t="s">
        <v>303</v>
      </c>
    </row>
    <row r="11" spans="1:13">
      <c r="A11" s="356"/>
      <c r="B11" s="216">
        <v>10</v>
      </c>
      <c r="C11" s="217" t="s">
        <v>95</v>
      </c>
      <c r="D11" s="3" t="s">
        <v>95</v>
      </c>
    </row>
    <row r="12" spans="1:13">
      <c r="A12" s="356"/>
      <c r="B12" s="216">
        <v>11</v>
      </c>
      <c r="C12" s="217" t="s">
        <v>96</v>
      </c>
      <c r="D12" s="3" t="s">
        <v>96</v>
      </c>
    </row>
    <row r="13" spans="1:13">
      <c r="A13" s="356"/>
      <c r="B13" s="216">
        <v>12</v>
      </c>
      <c r="C13" s="217" t="s">
        <v>201</v>
      </c>
      <c r="D13" s="3" t="s">
        <v>201</v>
      </c>
    </row>
    <row r="14" spans="1:13">
      <c r="A14" s="358" t="s">
        <v>140</v>
      </c>
      <c r="B14" s="216">
        <v>13</v>
      </c>
      <c r="C14" s="217" t="s">
        <v>237</v>
      </c>
      <c r="D14" s="3" t="s">
        <v>237</v>
      </c>
    </row>
    <row r="15" spans="1:13">
      <c r="A15" s="358"/>
      <c r="B15" s="216">
        <v>14</v>
      </c>
      <c r="C15" s="217" t="s">
        <v>235</v>
      </c>
      <c r="D15" s="3" t="s">
        <v>235</v>
      </c>
    </row>
    <row r="16" spans="1:13">
      <c r="A16" s="358"/>
      <c r="B16" s="216">
        <v>15</v>
      </c>
      <c r="C16" s="217" t="s">
        <v>255</v>
      </c>
      <c r="D16" s="3" t="s">
        <v>255</v>
      </c>
    </row>
    <row r="17" spans="1:4">
      <c r="A17" s="358"/>
      <c r="B17" s="216">
        <v>16</v>
      </c>
      <c r="C17" s="217" t="s">
        <v>243</v>
      </c>
      <c r="D17" s="3" t="s">
        <v>243</v>
      </c>
    </row>
    <row r="18" spans="1:4">
      <c r="A18" s="358"/>
      <c r="B18" s="216">
        <v>17</v>
      </c>
      <c r="C18" s="217" t="s">
        <v>274</v>
      </c>
      <c r="D18" s="3" t="s">
        <v>274</v>
      </c>
    </row>
    <row r="19" spans="1:4">
      <c r="A19" s="358"/>
      <c r="B19" s="216">
        <v>18</v>
      </c>
      <c r="C19" s="217" t="s">
        <v>230</v>
      </c>
      <c r="D19" s="3" t="s">
        <v>230</v>
      </c>
    </row>
    <row r="20" spans="1:4">
      <c r="A20" s="355" t="s">
        <v>485</v>
      </c>
      <c r="B20" s="216">
        <v>19</v>
      </c>
      <c r="C20" s="217" t="s">
        <v>312</v>
      </c>
      <c r="D20" s="3" t="s">
        <v>312</v>
      </c>
    </row>
    <row r="21" spans="1:4">
      <c r="A21" s="356"/>
      <c r="B21" s="216">
        <v>20</v>
      </c>
      <c r="C21" s="217" t="s">
        <v>199</v>
      </c>
      <c r="D21" s="3" t="s">
        <v>199</v>
      </c>
    </row>
    <row r="22" spans="1:4">
      <c r="A22" s="356"/>
      <c r="B22" s="216">
        <v>21</v>
      </c>
      <c r="C22" s="217" t="s">
        <v>275</v>
      </c>
      <c r="D22" s="3" t="s">
        <v>275</v>
      </c>
    </row>
    <row r="23" spans="1:4">
      <c r="A23" s="356"/>
      <c r="B23" s="216">
        <v>22</v>
      </c>
      <c r="C23" s="217" t="s">
        <v>277</v>
      </c>
      <c r="D23" s="3" t="s">
        <v>277</v>
      </c>
    </row>
    <row r="24" spans="1:4">
      <c r="A24" s="358" t="s">
        <v>141</v>
      </c>
      <c r="B24" s="216">
        <v>23</v>
      </c>
      <c r="C24" s="217" t="s">
        <v>257</v>
      </c>
      <c r="D24" s="3" t="s">
        <v>257</v>
      </c>
    </row>
    <row r="25" spans="1:4">
      <c r="A25" s="357"/>
      <c r="B25" s="216">
        <v>24</v>
      </c>
      <c r="C25" s="217" t="s">
        <v>94</v>
      </c>
      <c r="D25" s="3" t="s">
        <v>94</v>
      </c>
    </row>
    <row r="26" spans="1:4">
      <c r="A26" s="359" t="s">
        <v>486</v>
      </c>
      <c r="B26" s="216">
        <v>25</v>
      </c>
      <c r="C26" s="217" t="s">
        <v>193</v>
      </c>
      <c r="D26" s="3" t="s">
        <v>193</v>
      </c>
    </row>
    <row r="27" spans="1:4">
      <c r="A27" s="360"/>
      <c r="B27" s="216">
        <v>26</v>
      </c>
      <c r="C27" s="217" t="s">
        <v>227</v>
      </c>
      <c r="D27" s="3" t="s">
        <v>227</v>
      </c>
    </row>
    <row r="28" spans="1:4">
      <c r="A28" s="360"/>
      <c r="B28" s="216">
        <v>27</v>
      </c>
      <c r="C28" s="217" t="s">
        <v>304</v>
      </c>
      <c r="D28" s="3" t="s">
        <v>304</v>
      </c>
    </row>
    <row r="29" spans="1:4">
      <c r="A29" s="360"/>
      <c r="B29" s="216">
        <v>28</v>
      </c>
      <c r="C29" s="217" t="s">
        <v>305</v>
      </c>
      <c r="D29" s="3" t="s">
        <v>305</v>
      </c>
    </row>
    <row r="30" spans="1:4">
      <c r="A30" s="360"/>
      <c r="B30" s="216">
        <v>29</v>
      </c>
      <c r="C30" s="217" t="s">
        <v>173</v>
      </c>
      <c r="D30" s="3" t="s">
        <v>173</v>
      </c>
    </row>
    <row r="31" spans="1:4">
      <c r="A31" s="360"/>
      <c r="B31" s="216">
        <v>30</v>
      </c>
      <c r="C31" s="217" t="s">
        <v>310</v>
      </c>
      <c r="D31" s="3" t="s">
        <v>310</v>
      </c>
    </row>
    <row r="32" spans="1:4">
      <c r="A32" s="360"/>
      <c r="B32" s="216">
        <v>31</v>
      </c>
      <c r="C32" s="217" t="s">
        <v>172</v>
      </c>
      <c r="D32" s="3" t="s">
        <v>172</v>
      </c>
    </row>
    <row r="33" spans="1:4">
      <c r="A33" s="360"/>
      <c r="B33" s="216">
        <v>32</v>
      </c>
      <c r="C33" s="217" t="s">
        <v>306</v>
      </c>
      <c r="D33" s="3" t="s">
        <v>306</v>
      </c>
    </row>
    <row r="34" spans="1:4">
      <c r="A34" s="360"/>
      <c r="B34" s="216">
        <v>33</v>
      </c>
      <c r="C34" s="217" t="s">
        <v>308</v>
      </c>
      <c r="D34" s="3" t="s">
        <v>308</v>
      </c>
    </row>
    <row r="35" spans="1:4">
      <c r="A35" s="360"/>
      <c r="B35" s="216">
        <v>34</v>
      </c>
      <c r="C35" s="217" t="s">
        <v>171</v>
      </c>
      <c r="D35" s="3" t="s">
        <v>171</v>
      </c>
    </row>
    <row r="36" spans="1:4">
      <c r="A36" s="357" t="s">
        <v>142</v>
      </c>
      <c r="B36" s="216">
        <v>35</v>
      </c>
      <c r="C36" s="217" t="s">
        <v>186</v>
      </c>
      <c r="D36" s="3" t="s">
        <v>186</v>
      </c>
    </row>
    <row r="37" spans="1:4">
      <c r="A37" s="357"/>
      <c r="B37" s="216">
        <v>36</v>
      </c>
      <c r="C37" s="217" t="s">
        <v>233</v>
      </c>
      <c r="D37" s="3" t="s">
        <v>233</v>
      </c>
    </row>
    <row r="38" spans="1:4">
      <c r="A38" s="357"/>
      <c r="B38" s="216">
        <v>37</v>
      </c>
      <c r="C38" s="217" t="s">
        <v>174</v>
      </c>
      <c r="D38" s="3" t="s">
        <v>174</v>
      </c>
    </row>
    <row r="39" spans="1:4">
      <c r="A39" s="358" t="s">
        <v>143</v>
      </c>
      <c r="B39" s="216">
        <v>38</v>
      </c>
      <c r="C39" s="217" t="s">
        <v>190</v>
      </c>
      <c r="D39" s="3" t="s">
        <v>190</v>
      </c>
    </row>
    <row r="40" spans="1:4">
      <c r="A40" s="358"/>
      <c r="B40" s="216">
        <v>39</v>
      </c>
      <c r="C40" s="217" t="s">
        <v>168</v>
      </c>
      <c r="D40" s="3" t="s">
        <v>168</v>
      </c>
    </row>
    <row r="41" spans="1:4">
      <c r="A41" s="358"/>
      <c r="B41" s="216">
        <v>40</v>
      </c>
      <c r="C41" s="217" t="s">
        <v>254</v>
      </c>
      <c r="D41" s="3" t="s">
        <v>254</v>
      </c>
    </row>
    <row r="42" spans="1:4">
      <c r="A42" s="358"/>
      <c r="B42" s="216">
        <v>41</v>
      </c>
      <c r="C42" s="217" t="s">
        <v>482</v>
      </c>
      <c r="D42" s="3" t="s">
        <v>482</v>
      </c>
    </row>
    <row r="43" spans="1:4">
      <c r="A43" s="357"/>
      <c r="B43" s="216">
        <v>42</v>
      </c>
      <c r="C43" s="217" t="s">
        <v>256</v>
      </c>
      <c r="D43" s="3" t="s">
        <v>256</v>
      </c>
    </row>
    <row r="44" spans="1:4">
      <c r="A44" s="357"/>
      <c r="B44" s="216">
        <v>43</v>
      </c>
      <c r="C44" s="217" t="s">
        <v>93</v>
      </c>
      <c r="D44" s="3" t="s">
        <v>93</v>
      </c>
    </row>
    <row r="45" spans="1:4">
      <c r="A45" s="357"/>
      <c r="B45" s="216">
        <v>44</v>
      </c>
      <c r="C45" s="217" t="s">
        <v>25</v>
      </c>
      <c r="D45" s="3" t="s">
        <v>25</v>
      </c>
    </row>
    <row r="46" spans="1:4">
      <c r="A46" s="357" t="s">
        <v>487</v>
      </c>
      <c r="B46" s="216">
        <v>45</v>
      </c>
      <c r="C46" s="217" t="s">
        <v>252</v>
      </c>
      <c r="D46" s="3" t="s">
        <v>252</v>
      </c>
    </row>
    <row r="47" spans="1:4">
      <c r="A47" s="357"/>
      <c r="B47" s="216">
        <v>46</v>
      </c>
      <c r="C47" s="217" t="s">
        <v>92</v>
      </c>
      <c r="D47" s="3" t="s">
        <v>92</v>
      </c>
    </row>
    <row r="48" spans="1:4">
      <c r="A48" s="357"/>
      <c r="B48" s="216">
        <v>47</v>
      </c>
      <c r="C48" s="217" t="s">
        <v>266</v>
      </c>
      <c r="D48" s="3" t="s">
        <v>266</v>
      </c>
    </row>
    <row r="49" spans="1:4">
      <c r="A49" s="357"/>
      <c r="B49" s="216">
        <v>48</v>
      </c>
      <c r="C49" s="217" t="s">
        <v>281</v>
      </c>
      <c r="D49" s="3" t="s">
        <v>281</v>
      </c>
    </row>
    <row r="50" spans="1:4">
      <c r="A50" s="357"/>
      <c r="B50" s="216">
        <v>49</v>
      </c>
      <c r="C50" s="217" t="s">
        <v>267</v>
      </c>
      <c r="D50" s="3" t="s">
        <v>267</v>
      </c>
    </row>
    <row r="51" spans="1:4">
      <c r="A51" s="357" t="s">
        <v>144</v>
      </c>
      <c r="B51" s="216">
        <v>50</v>
      </c>
      <c r="C51" s="217" t="s">
        <v>311</v>
      </c>
      <c r="D51" s="3" t="s">
        <v>311</v>
      </c>
    </row>
    <row r="52" spans="1:4">
      <c r="A52" s="357"/>
      <c r="B52" s="216">
        <v>51</v>
      </c>
      <c r="C52" s="217" t="s">
        <v>99</v>
      </c>
      <c r="D52" s="3" t="s">
        <v>99</v>
      </c>
    </row>
    <row r="53" spans="1:4">
      <c r="A53" s="357"/>
      <c r="B53" s="216">
        <v>52</v>
      </c>
      <c r="C53" s="217" t="s">
        <v>130</v>
      </c>
      <c r="D53" s="3" t="s">
        <v>130</v>
      </c>
    </row>
    <row r="54" spans="1:4">
      <c r="A54" s="357"/>
      <c r="B54" s="216">
        <v>53</v>
      </c>
      <c r="C54" s="217"/>
    </row>
    <row r="55" spans="1:4">
      <c r="A55" s="357"/>
      <c r="B55" s="216">
        <v>54</v>
      </c>
      <c r="C55" s="217"/>
    </row>
    <row r="56" spans="1:4">
      <c r="A56" s="357"/>
      <c r="B56" s="216"/>
      <c r="C56" s="217"/>
    </row>
    <row r="57" spans="1:4">
      <c r="B57" s="216"/>
    </row>
    <row r="58" spans="1:4">
      <c r="B58" s="216"/>
    </row>
    <row r="59" spans="1:4">
      <c r="B59" s="216"/>
    </row>
    <row r="60" spans="1:4">
      <c r="B60" s="216"/>
    </row>
  </sheetData>
  <autoFilter ref="A1:M60" xr:uid="{C3A489A4-4D2E-4B2C-B2F4-E0E07CC0C5CD}"/>
  <mergeCells count="11">
    <mergeCell ref="A2:A7"/>
    <mergeCell ref="A46:A50"/>
    <mergeCell ref="A51:A56"/>
    <mergeCell ref="A8:A9"/>
    <mergeCell ref="A14:A19"/>
    <mergeCell ref="A24:A25"/>
    <mergeCell ref="A36:A38"/>
    <mergeCell ref="A39:A45"/>
    <mergeCell ref="A10:A13"/>
    <mergeCell ref="A20:A23"/>
    <mergeCell ref="A26:A35"/>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S87"/>
  <sheetViews>
    <sheetView zoomScale="66" zoomScaleNormal="100" zoomScaleSheetLayoutView="100" workbookViewId="0">
      <pane ySplit="7" topLeftCell="A66" activePane="bottomLeft" state="frozen"/>
      <selection pane="bottomLeft" activeCell="B73" sqref="B73"/>
    </sheetView>
  </sheetViews>
  <sheetFormatPr defaultColWidth="9.109375" defaultRowHeight="14.4" outlineLevelRow="1"/>
  <cols>
    <col min="1" max="1" width="9.5546875" style="51" bestFit="1" customWidth="1"/>
    <col min="2" max="2" width="16.33203125" style="51" customWidth="1"/>
    <col min="3" max="3" width="19.5546875" style="51" customWidth="1"/>
    <col min="4" max="4" width="30.88671875" style="109" customWidth="1"/>
    <col min="5" max="5" width="33.5546875" style="109" customWidth="1"/>
    <col min="6" max="6" width="25.109375" style="113" customWidth="1"/>
    <col min="7" max="7" width="38.33203125" style="113" customWidth="1"/>
    <col min="8" max="8" width="5.109375" style="80" customWidth="1"/>
    <col min="9" max="9" width="8.44140625" style="51" customWidth="1"/>
    <col min="10" max="10" width="9.88671875" style="51" bestFit="1" customWidth="1"/>
    <col min="11" max="11" width="7.88671875" style="51" customWidth="1"/>
    <col min="12" max="12" width="11.5546875" style="51" customWidth="1"/>
    <col min="13" max="20" width="8.88671875" style="51" customWidth="1"/>
    <col min="21" max="21" width="43.6640625" style="51" customWidth="1"/>
    <col min="22" max="22" width="53" style="51" customWidth="1"/>
    <col min="23" max="23" width="8.5546875" style="80" customWidth="1"/>
    <col min="24" max="24" width="5.88671875" style="123" customWidth="1"/>
    <col min="25" max="32" width="5.44140625" customWidth="1"/>
    <col min="33" max="35" width="7.88671875" style="80" customWidth="1"/>
    <col min="36" max="42" width="8.88671875" style="97" customWidth="1"/>
    <col min="43" max="43" width="27.44140625" style="97" customWidth="1"/>
    <col min="44" max="44" width="34.88671875" style="97" customWidth="1"/>
    <col min="45" max="45" width="6.5546875" style="51" customWidth="1"/>
    <col min="46" max="16384" width="9.109375" style="51"/>
  </cols>
  <sheetData>
    <row r="1" spans="2:45" s="197" customFormat="1" ht="10.199999999999999">
      <c r="B1" s="221">
        <v>1</v>
      </c>
      <c r="C1" s="221">
        <v>2</v>
      </c>
      <c r="D1" s="221">
        <v>3</v>
      </c>
      <c r="E1" s="221">
        <v>4</v>
      </c>
      <c r="F1" s="221">
        <v>5</v>
      </c>
      <c r="G1" s="221">
        <v>6</v>
      </c>
      <c r="H1" s="221">
        <v>23</v>
      </c>
      <c r="I1" s="221">
        <v>24</v>
      </c>
      <c r="J1" s="221">
        <v>25</v>
      </c>
      <c r="K1" s="221">
        <v>26</v>
      </c>
      <c r="L1" s="221">
        <v>27</v>
      </c>
      <c r="M1" s="221">
        <v>28</v>
      </c>
      <c r="N1" s="221"/>
      <c r="O1" s="221">
        <v>29</v>
      </c>
      <c r="P1" s="221">
        <v>30</v>
      </c>
      <c r="Q1" s="221"/>
      <c r="R1" s="221">
        <v>31</v>
      </c>
      <c r="S1" s="221">
        <v>32</v>
      </c>
      <c r="T1" s="221">
        <v>33</v>
      </c>
      <c r="U1" s="221">
        <v>34</v>
      </c>
      <c r="V1" s="221">
        <v>35</v>
      </c>
      <c r="W1" s="221"/>
      <c r="X1" s="221"/>
      <c r="Y1" s="221"/>
      <c r="Z1" s="221"/>
      <c r="AA1" s="221"/>
      <c r="AB1" s="221"/>
      <c r="AC1" s="221"/>
      <c r="AD1" s="221"/>
      <c r="AE1" s="221"/>
      <c r="AF1" s="221"/>
      <c r="AG1" s="221"/>
      <c r="AH1" s="221"/>
      <c r="AI1" s="221"/>
      <c r="AJ1" s="221"/>
      <c r="AK1" s="221"/>
      <c r="AL1" s="221"/>
      <c r="AM1" s="221"/>
      <c r="AN1" s="221"/>
      <c r="AO1" s="221"/>
      <c r="AP1" s="221"/>
      <c r="AQ1" s="221"/>
      <c r="AR1" s="221"/>
      <c r="AS1" s="221"/>
    </row>
    <row r="2" spans="2:45" ht="25.8">
      <c r="B2" s="104" t="s">
        <v>15</v>
      </c>
      <c r="C2" s="212" t="s">
        <v>273</v>
      </c>
      <c r="D2" s="106"/>
      <c r="E2" s="92"/>
      <c r="F2" s="111"/>
      <c r="G2" s="111"/>
      <c r="H2" s="89"/>
      <c r="I2" s="89"/>
      <c r="J2" s="89"/>
      <c r="K2" s="89"/>
      <c r="L2" s="89"/>
      <c r="M2" s="121" t="s">
        <v>136</v>
      </c>
      <c r="N2" s="121"/>
      <c r="O2" s="121"/>
      <c r="P2" s="122" t="s">
        <v>19</v>
      </c>
      <c r="Q2" s="122"/>
      <c r="R2" s="122" t="s">
        <v>135</v>
      </c>
      <c r="S2" s="122" t="s">
        <v>20</v>
      </c>
      <c r="T2" s="122" t="s">
        <v>100</v>
      </c>
      <c r="U2" s="94"/>
      <c r="W2" s="120"/>
      <c r="X2" s="120"/>
      <c r="Y2" s="120"/>
      <c r="Z2" s="120"/>
      <c r="AA2" s="120"/>
      <c r="AB2" s="120"/>
      <c r="AC2" s="120"/>
      <c r="AD2" s="120"/>
      <c r="AE2" s="120"/>
      <c r="AF2" s="120"/>
      <c r="AG2" s="89"/>
      <c r="AH2" s="89"/>
      <c r="AI2" s="89"/>
      <c r="AJ2" s="91"/>
      <c r="AK2" s="91"/>
      <c r="AL2" s="91"/>
      <c r="AM2" s="91"/>
      <c r="AN2" s="91"/>
      <c r="AO2" s="91"/>
      <c r="AP2" s="91"/>
      <c r="AQ2" s="91"/>
      <c r="AR2" s="91"/>
    </row>
    <row r="3" spans="2:45" ht="20.25" customHeight="1">
      <c r="B3" s="104" t="s">
        <v>16</v>
      </c>
      <c r="C3" s="212">
        <v>2026</v>
      </c>
      <c r="D3" s="106"/>
      <c r="E3" s="92"/>
      <c r="F3" s="111"/>
      <c r="G3" s="111"/>
      <c r="H3" s="89"/>
      <c r="I3" s="89"/>
      <c r="J3" s="89"/>
      <c r="K3" s="89"/>
      <c r="L3" s="89"/>
      <c r="M3" s="89"/>
      <c r="N3" s="89"/>
      <c r="O3" s="89"/>
      <c r="P3" s="89"/>
      <c r="Q3" s="89"/>
      <c r="R3" s="90"/>
      <c r="S3" s="90"/>
      <c r="T3" s="93"/>
      <c r="U3" s="94"/>
      <c r="W3" s="120"/>
      <c r="X3" s="120" t="s">
        <v>134</v>
      </c>
      <c r="Y3" s="120" t="s">
        <v>134</v>
      </c>
      <c r="Z3" s="120"/>
      <c r="AA3" s="120"/>
      <c r="AB3" s="120"/>
      <c r="AC3" s="120"/>
      <c r="AD3" s="120"/>
      <c r="AE3" s="120"/>
      <c r="AF3" s="120"/>
      <c r="AG3" s="89"/>
      <c r="AH3" s="89"/>
      <c r="AI3" s="89"/>
      <c r="AJ3" s="91"/>
      <c r="AK3" s="91"/>
      <c r="AL3" s="91"/>
      <c r="AM3" s="91"/>
      <c r="AN3" s="91"/>
      <c r="AO3" s="91"/>
      <c r="AP3" s="91"/>
      <c r="AQ3" s="91"/>
      <c r="AR3" s="91"/>
    </row>
    <row r="4" spans="2:45" ht="16.5" customHeight="1">
      <c r="B4" s="104" t="s">
        <v>156</v>
      </c>
      <c r="C4" s="219">
        <v>46113</v>
      </c>
      <c r="D4" s="106"/>
      <c r="E4" s="92"/>
      <c r="F4" s="111"/>
      <c r="G4"/>
      <c r="H4" s="89"/>
      <c r="I4" s="89"/>
      <c r="J4" s="89"/>
      <c r="K4" s="89"/>
      <c r="L4" s="89"/>
      <c r="M4" s="367" t="s">
        <v>128</v>
      </c>
      <c r="N4" s="367"/>
      <c r="O4" s="367"/>
      <c r="P4" s="367"/>
      <c r="Q4" s="367"/>
      <c r="R4" s="367"/>
      <c r="S4" s="367"/>
      <c r="T4" s="367"/>
      <c r="U4" s="94"/>
      <c r="W4" s="120"/>
      <c r="X4" s="120" t="s">
        <v>176</v>
      </c>
      <c r="Y4" s="120" t="s">
        <v>176</v>
      </c>
      <c r="Z4" s="120"/>
      <c r="AA4" s="120"/>
      <c r="AB4" s="120"/>
      <c r="AC4" s="120"/>
      <c r="AD4" s="120"/>
      <c r="AE4" s="120"/>
      <c r="AF4" s="120"/>
      <c r="AG4" s="89"/>
      <c r="AH4" s="89"/>
      <c r="AI4" s="89"/>
      <c r="AJ4" s="91"/>
      <c r="AK4" s="91"/>
      <c r="AM4" s="91"/>
      <c r="AN4" s="91"/>
      <c r="AO4" s="91"/>
      <c r="AP4" s="91"/>
      <c r="AQ4" s="91"/>
      <c r="AR4" s="91"/>
    </row>
    <row r="5" spans="2:45" s="95" customFormat="1" ht="25.8">
      <c r="D5" s="107"/>
      <c r="E5" s="110"/>
      <c r="F5" s="112"/>
      <c r="G5" s="112"/>
      <c r="H5" s="116"/>
      <c r="I5" s="96"/>
      <c r="J5" s="96"/>
      <c r="K5" s="96"/>
      <c r="L5" s="89"/>
      <c r="M5" s="368" t="s">
        <v>129</v>
      </c>
      <c r="N5" s="368"/>
      <c r="O5" s="368"/>
      <c r="P5" s="368"/>
      <c r="Q5" s="368"/>
      <c r="R5" s="368"/>
      <c r="S5" s="368"/>
      <c r="T5" s="368"/>
      <c r="U5" s="117"/>
      <c r="V5" s="117"/>
      <c r="W5" s="116"/>
      <c r="X5" s="124"/>
      <c r="AG5" s="286"/>
      <c r="AH5" s="286"/>
      <c r="AI5" s="286"/>
      <c r="AJ5" s="287"/>
      <c r="AK5" s="117"/>
      <c r="AL5" s="117"/>
      <c r="AM5" s="117"/>
      <c r="AN5" s="117"/>
      <c r="AO5" s="117"/>
      <c r="AP5" s="117"/>
      <c r="AQ5" s="244"/>
      <c r="AR5" s="244"/>
      <c r="AS5" s="117"/>
    </row>
    <row r="6" spans="2:45" s="97" customFormat="1" ht="18.75" customHeight="1">
      <c r="B6" s="98" t="s">
        <v>114</v>
      </c>
      <c r="C6" s="98" t="s">
        <v>115</v>
      </c>
      <c r="D6" s="100"/>
      <c r="E6" s="100"/>
      <c r="F6" s="113"/>
      <c r="G6" s="113"/>
      <c r="H6" s="116"/>
      <c r="L6" s="171" t="str">
        <f>prov_cd</f>
        <v>AB</v>
      </c>
      <c r="M6" s="170"/>
      <c r="N6" s="170"/>
      <c r="O6" s="170" t="s">
        <v>211</v>
      </c>
      <c r="P6" s="170" t="s">
        <v>474</v>
      </c>
      <c r="Q6" s="170"/>
      <c r="R6" s="170"/>
      <c r="S6" s="170" t="s">
        <v>212</v>
      </c>
      <c r="T6" s="170" t="s">
        <v>475</v>
      </c>
      <c r="W6" s="99"/>
      <c r="X6" s="366" t="s">
        <v>505</v>
      </c>
      <c r="Y6" s="366"/>
      <c r="Z6" s="341"/>
      <c r="AA6" s="341"/>
      <c r="AB6" s="341"/>
      <c r="AC6" s="341"/>
      <c r="AD6" s="341"/>
      <c r="AE6" s="341"/>
      <c r="AF6" s="341"/>
      <c r="AG6" s="369" t="s">
        <v>205</v>
      </c>
      <c r="AH6" s="370" t="s">
        <v>203</v>
      </c>
      <c r="AI6" s="361" t="s">
        <v>121</v>
      </c>
      <c r="AJ6" s="363" t="s">
        <v>204</v>
      </c>
      <c r="AK6" s="364"/>
      <c r="AL6" s="364"/>
      <c r="AM6" s="364"/>
      <c r="AN6" s="364"/>
      <c r="AO6" s="364"/>
      <c r="AP6" s="365"/>
      <c r="AQ6" s="244"/>
      <c r="AR6" s="244"/>
    </row>
    <row r="7" spans="2:45" s="100" customFormat="1" ht="36">
      <c r="B7" s="101" t="s">
        <v>109</v>
      </c>
      <c r="C7" s="101" t="s">
        <v>10</v>
      </c>
      <c r="D7" s="102" t="s">
        <v>111</v>
      </c>
      <c r="E7" s="102" t="s">
        <v>112</v>
      </c>
      <c r="F7" s="114" t="s">
        <v>113</v>
      </c>
      <c r="G7" s="114" t="s">
        <v>110</v>
      </c>
      <c r="H7" s="168" t="s">
        <v>12</v>
      </c>
      <c r="I7" s="169" t="s">
        <v>166</v>
      </c>
      <c r="J7" s="168" t="s">
        <v>17</v>
      </c>
      <c r="K7" s="168" t="s">
        <v>116</v>
      </c>
      <c r="L7" s="168" t="s">
        <v>118</v>
      </c>
      <c r="M7" s="170"/>
      <c r="N7" s="170"/>
      <c r="O7" s="170" t="s">
        <v>211</v>
      </c>
      <c r="P7" s="170" t="s">
        <v>474</v>
      </c>
      <c r="Q7" s="170"/>
      <c r="R7" s="170"/>
      <c r="S7" s="170" t="s">
        <v>212</v>
      </c>
      <c r="T7" s="170" t="s">
        <v>475</v>
      </c>
      <c r="U7" s="172" t="s">
        <v>119</v>
      </c>
      <c r="V7" s="172" t="s">
        <v>120</v>
      </c>
      <c r="W7" s="245" t="s">
        <v>117</v>
      </c>
      <c r="X7" s="340" t="s">
        <v>506</v>
      </c>
      <c r="Y7" s="340" t="s">
        <v>523</v>
      </c>
      <c r="Z7" s="340" t="s">
        <v>524</v>
      </c>
      <c r="AA7" s="340" t="s">
        <v>525</v>
      </c>
      <c r="AB7" s="340" t="s">
        <v>526</v>
      </c>
      <c r="AC7" s="340" t="s">
        <v>527</v>
      </c>
      <c r="AD7" s="340" t="s">
        <v>528</v>
      </c>
      <c r="AE7" s="340" t="s">
        <v>529</v>
      </c>
      <c r="AF7" s="340" t="s">
        <v>530</v>
      </c>
      <c r="AG7" s="369"/>
      <c r="AH7" s="371"/>
      <c r="AI7" s="362"/>
      <c r="AJ7" s="290" t="s">
        <v>122</v>
      </c>
      <c r="AK7" s="290" t="s">
        <v>123</v>
      </c>
      <c r="AL7" s="290" t="s">
        <v>124</v>
      </c>
      <c r="AM7" s="290" t="s">
        <v>125</v>
      </c>
      <c r="AN7" s="290" t="s">
        <v>126</v>
      </c>
      <c r="AO7" s="290" t="s">
        <v>127</v>
      </c>
      <c r="AP7" s="288"/>
      <c r="AQ7" s="248" t="s">
        <v>151</v>
      </c>
      <c r="AR7" s="161" t="s">
        <v>152</v>
      </c>
    </row>
    <row r="8" spans="2:45" ht="40.799999999999997">
      <c r="B8" s="283" t="s">
        <v>286</v>
      </c>
      <c r="C8" s="108" t="str">
        <f t="shared" ref="C8:C14" si="0">B8</f>
        <v>26PAS-PROPK</v>
      </c>
      <c r="D8" s="281" t="s">
        <v>191</v>
      </c>
      <c r="E8" s="108" t="s">
        <v>179</v>
      </c>
      <c r="F8" s="282" t="s">
        <v>542</v>
      </c>
      <c r="G8" s="311" t="s">
        <v>539</v>
      </c>
      <c r="H8" s="164">
        <f>H55+H56</f>
        <v>0.2</v>
      </c>
      <c r="I8" s="164"/>
      <c r="J8" s="164">
        <f>(J55+J56)*0.9</f>
        <v>306</v>
      </c>
      <c r="K8" s="164">
        <f t="shared" ref="K8" si="1">K55+K56</f>
        <v>567</v>
      </c>
      <c r="L8" s="163">
        <f t="shared" ref="L8:L14" si="2">K8+(H8*VLOOKUP(prov_cd,rate_table,2,FALSE))</f>
        <v>601.20000000000005</v>
      </c>
      <c r="M8" s="188"/>
      <c r="N8" s="188"/>
      <c r="O8" s="188" t="s">
        <v>18</v>
      </c>
      <c r="P8" s="188" t="s">
        <v>18</v>
      </c>
      <c r="Q8" s="188"/>
      <c r="R8" s="188"/>
      <c r="S8" s="188" t="s">
        <v>18</v>
      </c>
      <c r="T8" s="188" t="s">
        <v>18</v>
      </c>
      <c r="U8" s="115"/>
      <c r="V8" s="115"/>
      <c r="W8" s="246">
        <v>1</v>
      </c>
      <c r="X8" s="125"/>
      <c r="Y8" s="125" t="s">
        <v>133</v>
      </c>
      <c r="Z8" s="125"/>
      <c r="AA8" s="125"/>
      <c r="AB8" s="125"/>
      <c r="AC8" s="125"/>
      <c r="AD8" s="125"/>
      <c r="AE8" s="125"/>
      <c r="AF8" s="125"/>
      <c r="AG8" s="336"/>
      <c r="AH8" s="337"/>
      <c r="AI8" s="188" t="s">
        <v>18</v>
      </c>
      <c r="AJ8" s="289"/>
      <c r="AK8" s="188"/>
      <c r="AL8" s="188" t="s">
        <v>18</v>
      </c>
      <c r="AM8" s="289"/>
      <c r="AN8" s="289"/>
      <c r="AO8" s="289"/>
      <c r="AP8" s="289"/>
      <c r="AQ8" s="323"/>
      <c r="AR8" s="322" t="s">
        <v>491</v>
      </c>
    </row>
    <row r="9" spans="2:45" ht="51">
      <c r="B9" s="283" t="s">
        <v>287</v>
      </c>
      <c r="C9" s="108" t="str">
        <f t="shared" si="0"/>
        <v>26PAS-PROPKA</v>
      </c>
      <c r="D9" s="281" t="s">
        <v>180</v>
      </c>
      <c r="E9" s="108" t="s">
        <v>192</v>
      </c>
      <c r="F9" s="282" t="s">
        <v>541</v>
      </c>
      <c r="G9" s="311" t="s">
        <v>540</v>
      </c>
      <c r="H9" s="164">
        <f>H55+H56+H27+H57</f>
        <v>0.79999999999999993</v>
      </c>
      <c r="I9" s="164"/>
      <c r="J9" s="164">
        <f>(J55+J56+J57+J27)*0.9</f>
        <v>664.2</v>
      </c>
      <c r="K9" s="164">
        <f>(K55+K56+K57+K27)*0.9</f>
        <v>1107</v>
      </c>
      <c r="L9" s="163">
        <f t="shared" si="2"/>
        <v>1243.8</v>
      </c>
      <c r="M9" s="188"/>
      <c r="N9" s="188"/>
      <c r="O9" s="188" t="s">
        <v>18</v>
      </c>
      <c r="P9" s="188" t="s">
        <v>18</v>
      </c>
      <c r="Q9" s="188"/>
      <c r="R9" s="188"/>
      <c r="S9" s="188" t="s">
        <v>18</v>
      </c>
      <c r="T9" s="188" t="s">
        <v>18</v>
      </c>
      <c r="U9" s="115" t="s">
        <v>206</v>
      </c>
      <c r="V9" s="115" t="s">
        <v>207</v>
      </c>
      <c r="W9" s="246">
        <v>2</v>
      </c>
      <c r="X9" s="125"/>
      <c r="Y9" s="125" t="s">
        <v>133</v>
      </c>
      <c r="Z9" s="125"/>
      <c r="AA9" s="125"/>
      <c r="AB9" s="125"/>
      <c r="AC9" s="125"/>
      <c r="AD9" s="125"/>
      <c r="AE9" s="125"/>
      <c r="AF9" s="125"/>
      <c r="AG9" s="338"/>
      <c r="AH9" s="339"/>
      <c r="AI9" s="188" t="s">
        <v>18</v>
      </c>
      <c r="AJ9" s="188"/>
      <c r="AK9" s="188"/>
      <c r="AL9" s="188" t="s">
        <v>18</v>
      </c>
      <c r="AM9" s="188"/>
      <c r="AN9" s="188"/>
      <c r="AO9" s="188"/>
      <c r="AP9" s="188"/>
      <c r="AQ9" s="323"/>
      <c r="AR9" s="322" t="s">
        <v>494</v>
      </c>
    </row>
    <row r="10" spans="2:45" ht="20.399999999999999">
      <c r="B10" s="283" t="s">
        <v>291</v>
      </c>
      <c r="C10" s="108" t="str">
        <f t="shared" si="0"/>
        <v>26PAS-BLK-EMB</v>
      </c>
      <c r="D10" s="281" t="s">
        <v>208</v>
      </c>
      <c r="E10" s="108" t="s">
        <v>209</v>
      </c>
      <c r="F10" s="282" t="s">
        <v>513</v>
      </c>
      <c r="G10" s="311" t="s">
        <v>514</v>
      </c>
      <c r="H10" s="164">
        <f>H36+H37</f>
        <v>0.89999999999999991</v>
      </c>
      <c r="I10" s="164"/>
      <c r="J10" s="164">
        <f>(J36+J37)*0.9</f>
        <v>192.6</v>
      </c>
      <c r="K10" s="164">
        <f>(K36+K37)*0.9</f>
        <v>320.40000000000003</v>
      </c>
      <c r="L10" s="163">
        <f t="shared" si="2"/>
        <v>474.3</v>
      </c>
      <c r="M10" s="188"/>
      <c r="N10" s="188"/>
      <c r="O10" s="188" t="s">
        <v>18</v>
      </c>
      <c r="P10" s="188" t="s">
        <v>135</v>
      </c>
      <c r="Q10" s="188"/>
      <c r="R10" s="188"/>
      <c r="S10" s="188" t="s">
        <v>18</v>
      </c>
      <c r="T10" s="188" t="s">
        <v>135</v>
      </c>
      <c r="U10" s="115" t="s">
        <v>206</v>
      </c>
      <c r="V10" s="115" t="s">
        <v>207</v>
      </c>
      <c r="W10" s="246">
        <v>3</v>
      </c>
      <c r="X10" s="125"/>
      <c r="Y10" s="125" t="s">
        <v>133</v>
      </c>
      <c r="Z10" s="125"/>
      <c r="AA10" s="125"/>
      <c r="AB10" s="125"/>
      <c r="AC10" s="125"/>
      <c r="AD10" s="125"/>
      <c r="AE10" s="125"/>
      <c r="AF10" s="125"/>
      <c r="AG10" s="338"/>
      <c r="AH10" s="339"/>
      <c r="AI10" s="188" t="s">
        <v>18</v>
      </c>
      <c r="AJ10" s="188"/>
      <c r="AK10" s="188"/>
      <c r="AL10" s="188"/>
      <c r="AM10" s="188" t="s">
        <v>18</v>
      </c>
      <c r="AN10" s="188"/>
      <c r="AO10" s="188"/>
      <c r="AP10" s="188"/>
      <c r="AQ10" s="323"/>
      <c r="AR10" s="322" t="s">
        <v>512</v>
      </c>
    </row>
    <row r="11" spans="2:45" ht="51">
      <c r="B11" s="283" t="s">
        <v>296</v>
      </c>
      <c r="C11" s="108" t="str">
        <f t="shared" si="0"/>
        <v>26PAS-TOW-PK1</v>
      </c>
      <c r="D11" s="281" t="s">
        <v>298</v>
      </c>
      <c r="E11" s="108" t="s">
        <v>313</v>
      </c>
      <c r="F11" s="282" t="s">
        <v>327</v>
      </c>
      <c r="G11" s="311" t="s">
        <v>355</v>
      </c>
      <c r="H11" s="164">
        <f>H39+H40+H41</f>
        <v>0</v>
      </c>
      <c r="I11" s="164"/>
      <c r="J11" s="164">
        <f>(J39+J40+J41)*0.95</f>
        <v>220.39999999999998</v>
      </c>
      <c r="K11" s="164">
        <f>(K39+K40+K41)*0.95</f>
        <v>354.34999999999997</v>
      </c>
      <c r="L11" s="163">
        <f t="shared" si="2"/>
        <v>354.34999999999997</v>
      </c>
      <c r="M11" s="188"/>
      <c r="N11" s="188"/>
      <c r="O11" s="188" t="s">
        <v>18</v>
      </c>
      <c r="P11" s="188" t="s">
        <v>18</v>
      </c>
      <c r="Q11" s="188"/>
      <c r="R11" s="188"/>
      <c r="S11" s="188" t="s">
        <v>18</v>
      </c>
      <c r="T11" s="188" t="s">
        <v>18</v>
      </c>
      <c r="U11" s="115" t="s">
        <v>472</v>
      </c>
      <c r="V11" s="115" t="s">
        <v>473</v>
      </c>
      <c r="W11" s="246">
        <v>4</v>
      </c>
      <c r="X11" s="125"/>
      <c r="Y11" s="125" t="s">
        <v>133</v>
      </c>
      <c r="Z11" s="125"/>
      <c r="AA11" s="125"/>
      <c r="AB11" s="125"/>
      <c r="AC11" s="125"/>
      <c r="AD11" s="125"/>
      <c r="AE11" s="125"/>
      <c r="AF11" s="125"/>
      <c r="AG11" s="338"/>
      <c r="AH11" s="339"/>
      <c r="AI11" s="188" t="s">
        <v>18</v>
      </c>
      <c r="AJ11" s="188"/>
      <c r="AK11" s="188"/>
      <c r="AL11" s="188" t="s">
        <v>18</v>
      </c>
      <c r="AM11" s="188"/>
      <c r="AN11" s="188"/>
      <c r="AO11" s="188"/>
      <c r="AP11" s="188"/>
      <c r="AQ11" s="323"/>
      <c r="AR11" s="322" t="s">
        <v>489</v>
      </c>
    </row>
    <row r="12" spans="2:45" ht="51">
      <c r="B12" s="283" t="s">
        <v>297</v>
      </c>
      <c r="C12" s="108" t="str">
        <f t="shared" si="0"/>
        <v>26PAS-TOW-PK2</v>
      </c>
      <c r="D12" s="281" t="s">
        <v>299</v>
      </c>
      <c r="E12" s="108" t="s">
        <v>314</v>
      </c>
      <c r="F12" s="282" t="s">
        <v>326</v>
      </c>
      <c r="G12" s="311" t="s">
        <v>356</v>
      </c>
      <c r="H12" s="164">
        <f>H39+H40+H42</f>
        <v>0</v>
      </c>
      <c r="I12" s="164"/>
      <c r="J12" s="164">
        <f>(J39+J40+J42)*0.95</f>
        <v>220.39999999999998</v>
      </c>
      <c r="K12" s="164">
        <f>(K39+K40+K42)*0.95</f>
        <v>354.34999999999997</v>
      </c>
      <c r="L12" s="163">
        <f t="shared" si="2"/>
        <v>354.34999999999997</v>
      </c>
      <c r="M12" s="188"/>
      <c r="N12" s="188"/>
      <c r="O12" s="188" t="s">
        <v>18</v>
      </c>
      <c r="P12" s="188" t="s">
        <v>18</v>
      </c>
      <c r="Q12" s="188"/>
      <c r="R12" s="188"/>
      <c r="S12" s="188" t="s">
        <v>18</v>
      </c>
      <c r="T12" s="188" t="s">
        <v>18</v>
      </c>
      <c r="U12" s="115" t="s">
        <v>472</v>
      </c>
      <c r="V12" s="115" t="s">
        <v>473</v>
      </c>
      <c r="W12" s="246">
        <v>5</v>
      </c>
      <c r="X12" s="125"/>
      <c r="Y12" s="125" t="s">
        <v>133</v>
      </c>
      <c r="Z12" s="125"/>
      <c r="AA12" s="125"/>
      <c r="AB12" s="125"/>
      <c r="AC12" s="125"/>
      <c r="AD12" s="125"/>
      <c r="AE12" s="125"/>
      <c r="AF12" s="125"/>
      <c r="AG12" s="338"/>
      <c r="AH12" s="339"/>
      <c r="AI12" s="188" t="s">
        <v>18</v>
      </c>
      <c r="AJ12" s="188"/>
      <c r="AK12" s="188"/>
      <c r="AL12" s="188" t="s">
        <v>18</v>
      </c>
      <c r="AM12" s="188"/>
      <c r="AN12" s="188"/>
      <c r="AO12" s="188"/>
      <c r="AP12" s="188"/>
      <c r="AQ12" s="323"/>
      <c r="AR12" s="322" t="s">
        <v>490</v>
      </c>
    </row>
    <row r="13" spans="2:45" ht="81.599999999999994">
      <c r="B13" s="283" t="s">
        <v>292</v>
      </c>
      <c r="C13" s="108" t="str">
        <f t="shared" si="0"/>
        <v>26PAS-RUGPK</v>
      </c>
      <c r="D13" s="281" t="s">
        <v>293</v>
      </c>
      <c r="E13" s="310" t="s">
        <v>471</v>
      </c>
      <c r="F13" s="282" t="s">
        <v>509</v>
      </c>
      <c r="G13" s="311" t="s">
        <v>515</v>
      </c>
      <c r="H13" s="164">
        <f>H55+H56+H27+H24+H25</f>
        <v>1.9</v>
      </c>
      <c r="I13" s="164"/>
      <c r="J13" s="164">
        <f>ROUNDUP((J55+J56+J27+J24+J25)*0.8,0)</f>
        <v>1664</v>
      </c>
      <c r="K13" s="164">
        <f>ROUNDUP((K55+K56+K27+K24+K25)*0.8,0)</f>
        <v>2606</v>
      </c>
      <c r="L13" s="163">
        <f t="shared" si="2"/>
        <v>2930.9</v>
      </c>
      <c r="M13" s="188"/>
      <c r="N13" s="188"/>
      <c r="O13" s="188" t="s">
        <v>18</v>
      </c>
      <c r="P13" s="188" t="s">
        <v>18</v>
      </c>
      <c r="Q13" s="188"/>
      <c r="R13" s="188"/>
      <c r="S13" s="188" t="s">
        <v>18</v>
      </c>
      <c r="T13" s="188" t="s">
        <v>18</v>
      </c>
      <c r="U13" s="115" t="s">
        <v>508</v>
      </c>
      <c r="V13" s="115" t="s">
        <v>510</v>
      </c>
      <c r="W13" s="246">
        <v>6</v>
      </c>
      <c r="X13" s="125"/>
      <c r="Y13" s="125" t="s">
        <v>133</v>
      </c>
      <c r="Z13" s="125"/>
      <c r="AA13" s="125"/>
      <c r="AB13" s="125"/>
      <c r="AC13" s="125"/>
      <c r="AD13" s="125"/>
      <c r="AE13" s="125"/>
      <c r="AF13" s="125"/>
      <c r="AG13" s="338"/>
      <c r="AH13" s="339"/>
      <c r="AI13" s="188" t="s">
        <v>18</v>
      </c>
      <c r="AJ13" s="188"/>
      <c r="AL13" s="188" t="s">
        <v>18</v>
      </c>
      <c r="AM13" s="188"/>
      <c r="AN13" s="188"/>
      <c r="AO13" s="188"/>
      <c r="AP13" s="188"/>
      <c r="AQ13" s="323"/>
      <c r="AR13" s="322" t="s">
        <v>536</v>
      </c>
    </row>
    <row r="14" spans="2:45" ht="30.6">
      <c r="B14" s="108" t="s">
        <v>497</v>
      </c>
      <c r="C14" s="108" t="str">
        <f t="shared" si="0"/>
        <v>26PAS-COLD</v>
      </c>
      <c r="D14" s="108" t="s">
        <v>498</v>
      </c>
      <c r="E14" s="108" t="s">
        <v>499</v>
      </c>
      <c r="F14" s="115" t="s">
        <v>500</v>
      </c>
      <c r="G14" s="115" t="s">
        <v>501</v>
      </c>
      <c r="H14" s="164">
        <f>(H70+H71)</f>
        <v>1.2</v>
      </c>
      <c r="I14" s="164"/>
      <c r="J14" s="164">
        <f>(J70+J71)*0.95</f>
        <v>230.85</v>
      </c>
      <c r="K14" s="164">
        <f>K70+K71</f>
        <v>405</v>
      </c>
      <c r="L14" s="163">
        <f t="shared" si="2"/>
        <v>610.20000000000005</v>
      </c>
      <c r="M14" s="188"/>
      <c r="N14" s="188"/>
      <c r="O14" s="188" t="s">
        <v>18</v>
      </c>
      <c r="P14" s="188" t="s">
        <v>18</v>
      </c>
      <c r="Q14" s="188"/>
      <c r="R14" s="188"/>
      <c r="S14" s="188" t="s">
        <v>18</v>
      </c>
      <c r="T14" s="188" t="s">
        <v>18</v>
      </c>
      <c r="U14" s="115" t="s">
        <v>472</v>
      </c>
      <c r="V14" s="115" t="s">
        <v>473</v>
      </c>
      <c r="W14" s="246">
        <v>7</v>
      </c>
      <c r="X14" s="125"/>
      <c r="Y14" s="125" t="s">
        <v>133</v>
      </c>
      <c r="Z14" s="125"/>
      <c r="AA14" s="125"/>
      <c r="AB14" s="125"/>
      <c r="AC14" s="125"/>
      <c r="AD14" s="125"/>
      <c r="AE14" s="125"/>
      <c r="AF14" s="125"/>
      <c r="AG14" s="338"/>
      <c r="AH14" s="339"/>
      <c r="AI14" s="339"/>
      <c r="AJ14" s="188"/>
      <c r="AK14" s="188" t="s">
        <v>18</v>
      </c>
      <c r="AL14" s="188"/>
      <c r="AM14" s="188"/>
      <c r="AN14" s="188"/>
      <c r="AO14" s="188"/>
      <c r="AP14" s="188"/>
      <c r="AQ14" s="323"/>
      <c r="AR14" s="322" t="s">
        <v>502</v>
      </c>
    </row>
    <row r="15" spans="2:45" ht="15.6" hidden="1">
      <c r="B15" s="108"/>
      <c r="C15" s="108"/>
      <c r="D15" s="108"/>
      <c r="E15" s="108"/>
      <c r="F15" s="115"/>
      <c r="G15" s="115"/>
      <c r="H15" s="164"/>
      <c r="I15" s="103"/>
      <c r="J15" s="164"/>
      <c r="K15" s="164"/>
      <c r="L15" s="163"/>
      <c r="M15" s="188"/>
      <c r="N15" s="188"/>
      <c r="O15" s="188"/>
      <c r="P15" s="188"/>
      <c r="Q15" s="188"/>
      <c r="R15" s="188"/>
      <c r="S15" s="188"/>
      <c r="T15" s="173"/>
      <c r="U15" s="115"/>
      <c r="V15" s="115"/>
      <c r="W15" s="246"/>
      <c r="X15" s="125"/>
      <c r="Y15" s="125"/>
      <c r="Z15" s="125"/>
      <c r="AA15" s="125"/>
      <c r="AB15" s="125"/>
      <c r="AC15" s="125"/>
      <c r="AD15" s="125"/>
      <c r="AE15" s="125"/>
      <c r="AF15" s="125"/>
      <c r="AG15" s="338"/>
      <c r="AH15" s="339"/>
      <c r="AI15" s="339"/>
      <c r="AJ15" s="188"/>
      <c r="AK15" s="188"/>
      <c r="AL15" s="188"/>
      <c r="AM15" s="188"/>
      <c r="AN15" s="188"/>
      <c r="AO15" s="188"/>
      <c r="AP15" s="188"/>
      <c r="AQ15" s="323"/>
      <c r="AR15" s="323"/>
    </row>
    <row r="16" spans="2:45" ht="15.6" hidden="1">
      <c r="B16" s="108"/>
      <c r="C16" s="108"/>
      <c r="D16" s="108"/>
      <c r="E16" s="108"/>
      <c r="F16" s="115"/>
      <c r="G16" s="115"/>
      <c r="H16" s="164"/>
      <c r="I16" s="103"/>
      <c r="J16" s="164"/>
      <c r="K16" s="164"/>
      <c r="L16" s="163"/>
      <c r="M16" s="188"/>
      <c r="N16" s="188"/>
      <c r="O16" s="188"/>
      <c r="P16" s="188"/>
      <c r="Q16" s="188"/>
      <c r="R16" s="188"/>
      <c r="S16" s="188"/>
      <c r="T16" s="173"/>
      <c r="U16" s="115"/>
      <c r="V16" s="115"/>
      <c r="W16" s="246"/>
      <c r="X16" s="125"/>
      <c r="Y16" s="125"/>
      <c r="Z16" s="125"/>
      <c r="AA16" s="125"/>
      <c r="AB16" s="125"/>
      <c r="AC16" s="125"/>
      <c r="AD16" s="125"/>
      <c r="AE16" s="125"/>
      <c r="AF16" s="125"/>
      <c r="AG16" s="338"/>
      <c r="AH16" s="339"/>
      <c r="AI16" s="339"/>
      <c r="AJ16" s="188"/>
      <c r="AK16" s="188"/>
      <c r="AL16" s="188"/>
      <c r="AM16" s="188"/>
      <c r="AN16" s="188"/>
      <c r="AO16" s="188"/>
      <c r="AP16" s="188"/>
      <c r="AQ16" s="323"/>
      <c r="AR16" s="323"/>
    </row>
    <row r="17" spans="1:45" ht="10.5" hidden="1" customHeight="1">
      <c r="B17" s="205"/>
      <c r="C17" s="205"/>
      <c r="D17" s="207"/>
      <c r="E17" s="207"/>
      <c r="F17" s="208"/>
      <c r="G17" s="208"/>
      <c r="H17" s="209"/>
      <c r="I17" s="206"/>
      <c r="J17" s="210"/>
      <c r="K17" s="206"/>
      <c r="L17" s="211"/>
      <c r="M17" s="206"/>
      <c r="N17" s="206"/>
      <c r="O17" s="206"/>
      <c r="P17" s="206"/>
      <c r="Q17" s="206"/>
      <c r="R17" s="206"/>
      <c r="S17" s="206"/>
      <c r="T17" s="206"/>
      <c r="U17" s="208"/>
      <c r="V17" s="208"/>
      <c r="W17" s="208"/>
      <c r="X17" s="208"/>
      <c r="Y17" s="208"/>
      <c r="Z17" s="208"/>
      <c r="AA17" s="208"/>
      <c r="AB17" s="208"/>
      <c r="AC17" s="208"/>
      <c r="AD17" s="208"/>
      <c r="AE17" s="208"/>
      <c r="AF17" s="208"/>
      <c r="AG17" s="247"/>
      <c r="AH17" s="247"/>
      <c r="AI17" s="247"/>
      <c r="AJ17" s="209"/>
      <c r="AK17" s="209"/>
      <c r="AL17" s="209"/>
      <c r="AM17" s="209"/>
      <c r="AN17" s="209"/>
      <c r="AO17" s="209"/>
      <c r="AP17" s="209"/>
      <c r="AQ17" s="324"/>
      <c r="AR17" s="324"/>
      <c r="AS17" s="205"/>
    </row>
    <row r="18" spans="1:45" ht="15.6" hidden="1">
      <c r="B18" s="103"/>
      <c r="C18" s="103"/>
      <c r="D18" s="103"/>
      <c r="E18" s="103"/>
      <c r="F18" s="115"/>
      <c r="G18" s="115"/>
      <c r="H18" s="105"/>
      <c r="I18" s="103"/>
      <c r="J18" s="160"/>
      <c r="K18" s="163"/>
      <c r="L18" s="163"/>
      <c r="M18" s="188"/>
      <c r="N18" s="188"/>
      <c r="O18" s="188"/>
      <c r="P18" s="188"/>
      <c r="Q18" s="188"/>
      <c r="R18" s="188"/>
      <c r="S18" s="188"/>
      <c r="T18" s="188"/>
      <c r="U18" s="115"/>
      <c r="V18" s="115"/>
      <c r="W18" s="246"/>
      <c r="X18" s="125"/>
      <c r="Y18" s="125"/>
      <c r="Z18" s="125"/>
      <c r="AA18" s="125"/>
      <c r="AB18" s="125"/>
      <c r="AC18" s="125"/>
      <c r="AD18" s="125"/>
      <c r="AE18" s="125"/>
      <c r="AF18" s="125"/>
      <c r="AG18" s="188"/>
      <c r="AH18" s="188"/>
      <c r="AI18" s="188"/>
      <c r="AJ18" s="188"/>
      <c r="AK18" s="188"/>
      <c r="AL18" s="188"/>
      <c r="AM18" s="188"/>
      <c r="AN18" s="188"/>
      <c r="AO18" s="188"/>
      <c r="AP18" s="188"/>
      <c r="AQ18" s="323"/>
      <c r="AR18" s="323"/>
    </row>
    <row r="19" spans="1:45" ht="27.6" hidden="1">
      <c r="A19" s="317" t="s">
        <v>302</v>
      </c>
      <c r="B19" s="305" t="s">
        <v>284</v>
      </c>
      <c r="C19" s="305"/>
      <c r="D19" s="305" t="s">
        <v>285</v>
      </c>
      <c r="E19" s="304" t="s">
        <v>374</v>
      </c>
      <c r="F19" s="115"/>
      <c r="G19" s="115"/>
      <c r="H19" s="105">
        <v>0.5</v>
      </c>
      <c r="I19" s="103"/>
      <c r="J19" s="160" t="e">
        <f>VLOOKUP(B19,'[2]MASTER PART LIST'!$B:$C,2,FALSE)</f>
        <v>#N/A</v>
      </c>
      <c r="K19" s="163" t="e">
        <f>VLOOKUP(B19,'[2]MASTER PART LIST'!$B:$D,3,FALSE)</f>
        <v>#N/A</v>
      </c>
      <c r="L19" s="163" t="e">
        <f t="shared" ref="L19" si="3">K19+(H19*VLOOKUP(prov_cd,rate_table,2,FALSE))</f>
        <v>#N/A</v>
      </c>
      <c r="M19" s="188"/>
      <c r="N19" s="188"/>
      <c r="O19" s="188" t="s">
        <v>18</v>
      </c>
      <c r="P19" s="188" t="s">
        <v>18</v>
      </c>
      <c r="Q19" s="188"/>
      <c r="R19" s="188"/>
      <c r="S19" s="188" t="s">
        <v>18</v>
      </c>
      <c r="T19" s="188" t="s">
        <v>18</v>
      </c>
      <c r="U19" s="115"/>
      <c r="V19" s="115"/>
      <c r="W19" s="246"/>
      <c r="X19" s="125"/>
      <c r="Y19" s="125"/>
      <c r="Z19" s="125"/>
      <c r="AA19" s="125"/>
      <c r="AB19" s="125"/>
      <c r="AC19" s="125"/>
      <c r="AD19" s="125"/>
      <c r="AE19" s="125"/>
      <c r="AF19" s="125"/>
      <c r="AG19" s="188"/>
      <c r="AH19" s="188"/>
      <c r="AI19" s="188"/>
      <c r="AJ19" s="188"/>
      <c r="AK19" s="188"/>
      <c r="AL19" s="188"/>
      <c r="AM19" s="188"/>
      <c r="AN19" s="188"/>
      <c r="AO19" s="188"/>
      <c r="AP19" s="188"/>
      <c r="AQ19" s="323"/>
      <c r="AR19" s="323"/>
    </row>
    <row r="20" spans="1:45" ht="30.6">
      <c r="B20" s="103" t="s">
        <v>432</v>
      </c>
      <c r="C20" s="305" t="s">
        <v>470</v>
      </c>
      <c r="D20" s="312" t="s">
        <v>201</v>
      </c>
      <c r="E20" s="310" t="s">
        <v>357</v>
      </c>
      <c r="F20" s="309" t="s">
        <v>202</v>
      </c>
      <c r="G20" s="309" t="s">
        <v>358</v>
      </c>
      <c r="H20" s="105">
        <v>0.3</v>
      </c>
      <c r="I20" s="103"/>
      <c r="J20" s="160">
        <f>VLOOKUP(B20,'[2]MASTER PART LIST'!$B:$C,2,FALSE)</f>
        <v>170</v>
      </c>
      <c r="K20" s="163">
        <f>VLOOKUP(B20,'[2]MASTER PART LIST'!$B:$D,3,FALSE)</f>
        <v>283</v>
      </c>
      <c r="L20" s="163">
        <f t="shared" ref="L20" si="4">K20+(H20*VLOOKUP(prov_cd,rate_table,2,FALSE))</f>
        <v>334.3</v>
      </c>
      <c r="M20" s="188"/>
      <c r="N20" s="188"/>
      <c r="O20" s="188" t="s">
        <v>18</v>
      </c>
      <c r="P20" s="188" t="s">
        <v>18</v>
      </c>
      <c r="Q20" s="188"/>
      <c r="R20" s="188"/>
      <c r="S20" s="188" t="s">
        <v>18</v>
      </c>
      <c r="T20" s="188" t="s">
        <v>18</v>
      </c>
      <c r="U20" s="115"/>
      <c r="V20" s="115"/>
      <c r="W20" s="246">
        <v>9</v>
      </c>
      <c r="X20" s="125"/>
      <c r="Y20" s="125" t="s">
        <v>133</v>
      </c>
      <c r="Z20" s="125"/>
      <c r="AA20" s="125"/>
      <c r="AB20" s="125"/>
      <c r="AC20" s="125"/>
      <c r="AD20" s="125"/>
      <c r="AE20" s="125"/>
      <c r="AF20" s="125"/>
      <c r="AG20" s="188"/>
      <c r="AH20" s="188"/>
      <c r="AI20" s="188"/>
      <c r="AJ20" s="188"/>
      <c r="AK20" s="188"/>
      <c r="AL20" s="188"/>
      <c r="AM20" s="188"/>
      <c r="AN20" s="188" t="s">
        <v>18</v>
      </c>
      <c r="AO20" s="188"/>
      <c r="AP20" s="188"/>
      <c r="AQ20" s="323"/>
      <c r="AR20" s="323"/>
    </row>
    <row r="21" spans="1:45" ht="51">
      <c r="B21" s="103" t="s">
        <v>247</v>
      </c>
      <c r="C21" s="103" t="str">
        <f>B21</f>
        <v>08W18-3BM-100</v>
      </c>
      <c r="D21" s="310" t="s">
        <v>303</v>
      </c>
      <c r="E21" s="310" t="s">
        <v>359</v>
      </c>
      <c r="F21" s="309" t="s">
        <v>353</v>
      </c>
      <c r="G21" s="309" t="s">
        <v>360</v>
      </c>
      <c r="H21" s="105">
        <v>1.6</v>
      </c>
      <c r="I21" s="103"/>
      <c r="J21" s="160">
        <f>VLOOKUP(B21,'[2]MASTER PART LIST'!$B:$C,2,FALSE)*4</f>
        <v>2128</v>
      </c>
      <c r="K21" s="163">
        <f>VLOOKUP(B21,'[2]MASTER PART LIST'!$B:$D,3,FALSE)*4</f>
        <v>3272</v>
      </c>
      <c r="L21" s="163">
        <f t="shared" ref="L21" si="5">K21+(H21*VLOOKUP(prov_cd,rate_table,2,FALSE))</f>
        <v>3545.6</v>
      </c>
      <c r="M21" s="188"/>
      <c r="N21" s="188"/>
      <c r="O21" s="188" t="s">
        <v>18</v>
      </c>
      <c r="P21" s="188" t="s">
        <v>18</v>
      </c>
      <c r="Q21" s="188"/>
      <c r="R21" s="188"/>
      <c r="S21" s="188" t="s">
        <v>18</v>
      </c>
      <c r="T21" s="188" t="s">
        <v>18</v>
      </c>
      <c r="U21" s="115" t="s">
        <v>177</v>
      </c>
      <c r="V21" s="115" t="s">
        <v>181</v>
      </c>
      <c r="W21" s="246">
        <v>8</v>
      </c>
      <c r="X21" s="125"/>
      <c r="Y21" s="125" t="s">
        <v>133</v>
      </c>
      <c r="Z21" s="125"/>
      <c r="AA21" s="125"/>
      <c r="AB21" s="125"/>
      <c r="AC21" s="125"/>
      <c r="AD21" s="125"/>
      <c r="AE21" s="125"/>
      <c r="AF21" s="125"/>
      <c r="AG21" s="188" t="s">
        <v>18</v>
      </c>
      <c r="AH21" s="188"/>
      <c r="AI21" s="188"/>
      <c r="AJ21" s="188"/>
      <c r="AK21" s="188"/>
      <c r="AL21" s="188"/>
      <c r="AM21" s="188"/>
      <c r="AN21" s="188"/>
      <c r="AO21" s="188"/>
      <c r="AP21" s="188"/>
      <c r="AQ21" s="323"/>
      <c r="AR21" s="323"/>
    </row>
    <row r="22" spans="1:45" ht="30.6">
      <c r="B22" s="103" t="s">
        <v>289</v>
      </c>
      <c r="C22" s="305" t="s">
        <v>468</v>
      </c>
      <c r="D22" s="312" t="s">
        <v>96</v>
      </c>
      <c r="E22" s="310" t="s">
        <v>361</v>
      </c>
      <c r="F22" s="309" t="s">
        <v>200</v>
      </c>
      <c r="G22" s="309" t="s">
        <v>290</v>
      </c>
      <c r="H22" s="105">
        <v>0.2</v>
      </c>
      <c r="I22" s="103"/>
      <c r="J22" s="160">
        <f>VLOOKUP(B22,'[2]MASTER PART LIST'!$B:$C,2,FALSE)</f>
        <v>94</v>
      </c>
      <c r="K22" s="163">
        <f>VLOOKUP(B22,'[2]MASTER PART LIST'!$B:$D,3,FALSE)</f>
        <v>157</v>
      </c>
      <c r="L22" s="163">
        <f t="shared" ref="L22" si="6">K22+(H22*VLOOKUP(prov_cd,rate_table,2,FALSE))</f>
        <v>191.2</v>
      </c>
      <c r="M22" s="188"/>
      <c r="N22" s="188"/>
      <c r="O22" s="188" t="s">
        <v>18</v>
      </c>
      <c r="P22" s="188" t="s">
        <v>18</v>
      </c>
      <c r="Q22" s="188"/>
      <c r="R22" s="188"/>
      <c r="S22" s="188" t="s">
        <v>18</v>
      </c>
      <c r="T22" s="188" t="s">
        <v>18</v>
      </c>
      <c r="U22" s="115"/>
      <c r="V22" s="115"/>
      <c r="W22" s="246">
        <v>11</v>
      </c>
      <c r="X22" s="125"/>
      <c r="Y22" s="125" t="s">
        <v>133</v>
      </c>
      <c r="Z22" s="125"/>
      <c r="AA22" s="125"/>
      <c r="AB22" s="125"/>
      <c r="AC22" s="125"/>
      <c r="AD22" s="125"/>
      <c r="AE22" s="125"/>
      <c r="AF22" s="125"/>
      <c r="AG22" s="188"/>
      <c r="AH22" s="188"/>
      <c r="AI22" s="188"/>
      <c r="AJ22" s="188" t="s">
        <v>18</v>
      </c>
      <c r="AK22" s="188"/>
      <c r="AL22" s="188"/>
      <c r="AM22" s="188"/>
      <c r="AN22" s="188"/>
      <c r="AO22" s="188"/>
      <c r="AP22" s="188"/>
      <c r="AQ22" s="323"/>
      <c r="AR22" s="323" t="s">
        <v>492</v>
      </c>
    </row>
    <row r="23" spans="1:45" ht="30.6">
      <c r="B23" s="103" t="s">
        <v>288</v>
      </c>
      <c r="C23" s="305" t="s">
        <v>469</v>
      </c>
      <c r="D23" s="312" t="s">
        <v>95</v>
      </c>
      <c r="E23" s="310" t="s">
        <v>362</v>
      </c>
      <c r="F23" s="309" t="s">
        <v>200</v>
      </c>
      <c r="G23" s="309" t="s">
        <v>290</v>
      </c>
      <c r="H23" s="105">
        <v>0.2</v>
      </c>
      <c r="I23" s="103"/>
      <c r="J23" s="160">
        <f>VLOOKUP(B23,'[2]MASTER PART LIST'!$B:$C,2,FALSE)</f>
        <v>88</v>
      </c>
      <c r="K23" s="163">
        <f>VLOOKUP(B23,'[2]MASTER PART LIST'!$B:$D,3,FALSE)</f>
        <v>147</v>
      </c>
      <c r="L23" s="163">
        <f t="shared" ref="L23" si="7">K23+(H23*VLOOKUP(prov_cd,rate_table,2,FALSE))</f>
        <v>181.2</v>
      </c>
      <c r="M23" s="188"/>
      <c r="N23" s="188"/>
      <c r="O23" s="188" t="s">
        <v>18</v>
      </c>
      <c r="P23" s="188" t="s">
        <v>18</v>
      </c>
      <c r="Q23" s="188"/>
      <c r="R23" s="188"/>
      <c r="S23" s="188" t="s">
        <v>18</v>
      </c>
      <c r="T23" s="188" t="s">
        <v>18</v>
      </c>
      <c r="U23" s="115"/>
      <c r="V23" s="115"/>
      <c r="W23" s="246">
        <v>10</v>
      </c>
      <c r="X23" s="125"/>
      <c r="Y23" s="125" t="s">
        <v>133</v>
      </c>
      <c r="Z23" s="125"/>
      <c r="AA23" s="125"/>
      <c r="AB23" s="125"/>
      <c r="AC23" s="125"/>
      <c r="AD23" s="125"/>
      <c r="AE23" s="125"/>
      <c r="AF23" s="125"/>
      <c r="AG23" s="188"/>
      <c r="AH23" s="188"/>
      <c r="AI23" s="188"/>
      <c r="AJ23" s="188" t="s">
        <v>18</v>
      </c>
      <c r="AK23" s="188"/>
      <c r="AL23" s="188"/>
      <c r="AM23" s="188"/>
      <c r="AN23" s="188"/>
      <c r="AO23" s="188"/>
      <c r="AP23" s="188"/>
      <c r="AQ23" s="323"/>
      <c r="AR23" s="323" t="s">
        <v>493</v>
      </c>
    </row>
    <row r="24" spans="1:45" ht="51">
      <c r="B24" s="103" t="s">
        <v>242</v>
      </c>
      <c r="C24" s="103" t="str">
        <f>B24</f>
        <v>08P46-3BM-100</v>
      </c>
      <c r="D24" s="310" t="s">
        <v>243</v>
      </c>
      <c r="E24" s="310" t="s">
        <v>363</v>
      </c>
      <c r="F24" s="309" t="s">
        <v>351</v>
      </c>
      <c r="G24" s="309" t="s">
        <v>364</v>
      </c>
      <c r="H24" s="105">
        <v>0.6</v>
      </c>
      <c r="I24" s="103"/>
      <c r="J24" s="160">
        <f>VLOOKUP(B24,'[2]MASTER PART LIST'!$B:$C,2,FALSE)</f>
        <v>400</v>
      </c>
      <c r="K24" s="163">
        <f>VLOOKUP(B24,'[2]MASTER PART LIST'!$B:$D,3,FALSE)</f>
        <v>615</v>
      </c>
      <c r="L24" s="163">
        <f t="shared" ref="L24:L29" si="8">K24+(H24*VLOOKUP(prov_cd,rate_table,2,FALSE))</f>
        <v>717.6</v>
      </c>
      <c r="M24" s="188"/>
      <c r="N24" s="188"/>
      <c r="O24" s="188" t="s">
        <v>18</v>
      </c>
      <c r="P24" s="188" t="s">
        <v>18</v>
      </c>
      <c r="Q24" s="188"/>
      <c r="R24" s="188"/>
      <c r="S24" s="188" t="s">
        <v>18</v>
      </c>
      <c r="T24" s="188" t="s">
        <v>18</v>
      </c>
      <c r="U24" s="115"/>
      <c r="V24" s="115"/>
      <c r="W24" s="246">
        <v>12</v>
      </c>
      <c r="X24" s="125"/>
      <c r="Y24" s="125" t="s">
        <v>133</v>
      </c>
      <c r="Z24" s="125"/>
      <c r="AA24" s="125"/>
      <c r="AB24" s="125"/>
      <c r="AC24" s="125"/>
      <c r="AD24" s="125"/>
      <c r="AE24" s="125"/>
      <c r="AF24" s="125"/>
      <c r="AG24" s="188"/>
      <c r="AH24" s="188"/>
      <c r="AI24" s="188"/>
      <c r="AJ24" s="188" t="s">
        <v>18</v>
      </c>
      <c r="AK24" s="188"/>
      <c r="AL24" s="188"/>
      <c r="AM24" s="188"/>
      <c r="AN24" s="188"/>
      <c r="AO24" s="188"/>
      <c r="AP24" s="188"/>
      <c r="AQ24" s="323"/>
      <c r="AR24" s="323" t="s">
        <v>516</v>
      </c>
    </row>
    <row r="25" spans="1:45" ht="51">
      <c r="B25" s="103" t="s">
        <v>229</v>
      </c>
      <c r="C25" s="103" t="str">
        <f t="shared" ref="C25:C28" si="9">B25</f>
        <v>08L33-3BM-100A</v>
      </c>
      <c r="D25" s="310" t="s">
        <v>503</v>
      </c>
      <c r="E25" s="310" t="s">
        <v>365</v>
      </c>
      <c r="F25" s="309" t="s">
        <v>352</v>
      </c>
      <c r="G25" s="309" t="s">
        <v>366</v>
      </c>
      <c r="H25" s="105">
        <v>0.6</v>
      </c>
      <c r="I25" s="103"/>
      <c r="J25" s="160">
        <f>VLOOKUP(B25,'[2]MASTER PART LIST'!$B:$C,2,FALSE)</f>
        <v>1222</v>
      </c>
      <c r="K25" s="163">
        <f>VLOOKUP(B25,'[2]MASTER PART LIST'!$B:$D,3,FALSE)</f>
        <v>1880</v>
      </c>
      <c r="L25" s="163">
        <f t="shared" si="8"/>
        <v>1982.6</v>
      </c>
      <c r="M25" s="188"/>
      <c r="N25" s="188"/>
      <c r="O25" s="188" t="s">
        <v>18</v>
      </c>
      <c r="P25" s="188" t="s">
        <v>18</v>
      </c>
      <c r="Q25" s="188"/>
      <c r="R25" s="188"/>
      <c r="S25" s="188" t="s">
        <v>18</v>
      </c>
      <c r="T25" s="188" t="s">
        <v>18</v>
      </c>
      <c r="U25" s="115" t="s">
        <v>476</v>
      </c>
      <c r="V25" s="115"/>
      <c r="W25" s="246">
        <v>13</v>
      </c>
      <c r="X25" s="125"/>
      <c r="Y25" s="125" t="s">
        <v>133</v>
      </c>
      <c r="Z25" s="125"/>
      <c r="AA25" s="125"/>
      <c r="AB25" s="125"/>
      <c r="AC25" s="125"/>
      <c r="AD25" s="125"/>
      <c r="AE25" s="125"/>
      <c r="AF25" s="125"/>
      <c r="AG25" s="188"/>
      <c r="AH25" s="188"/>
      <c r="AI25" s="188"/>
      <c r="AJ25" s="188" t="s">
        <v>18</v>
      </c>
      <c r="AK25" s="188"/>
      <c r="AL25" s="188"/>
      <c r="AM25" s="188"/>
      <c r="AN25" s="188"/>
      <c r="AO25" s="188"/>
      <c r="AP25" s="188"/>
      <c r="AQ25" s="323"/>
      <c r="AR25" s="322" t="s">
        <v>537</v>
      </c>
    </row>
    <row r="26" spans="1:45" ht="40.799999999999997">
      <c r="B26" s="103" t="s">
        <v>228</v>
      </c>
      <c r="C26" s="103" t="str">
        <f t="shared" si="9"/>
        <v>08L33-3BM-100</v>
      </c>
      <c r="D26" s="310" t="s">
        <v>504</v>
      </c>
      <c r="E26" s="310" t="s">
        <v>315</v>
      </c>
      <c r="F26" s="309" t="s">
        <v>350</v>
      </c>
      <c r="G26" s="309" t="s">
        <v>367</v>
      </c>
      <c r="H26" s="105">
        <v>0.6</v>
      </c>
      <c r="I26" s="103"/>
      <c r="J26" s="160">
        <f>VLOOKUP(B26,'[2]MASTER PART LIST'!$B:$C,2,FALSE)</f>
        <v>961</v>
      </c>
      <c r="K26" s="163">
        <f>VLOOKUP(B26,'[2]MASTER PART LIST'!$B:$D,3,FALSE)</f>
        <v>1373</v>
      </c>
      <c r="L26" s="163">
        <f t="shared" si="8"/>
        <v>1475.6</v>
      </c>
      <c r="M26" s="188"/>
      <c r="N26" s="188"/>
      <c r="O26" s="188" t="s">
        <v>18</v>
      </c>
      <c r="P26" s="188" t="s">
        <v>18</v>
      </c>
      <c r="Q26" s="188"/>
      <c r="R26" s="188"/>
      <c r="S26" s="188" t="s">
        <v>18</v>
      </c>
      <c r="T26" s="188" t="s">
        <v>18</v>
      </c>
      <c r="U26" s="115" t="s">
        <v>477</v>
      </c>
      <c r="V26" s="115"/>
      <c r="W26" s="246">
        <v>14</v>
      </c>
      <c r="X26" s="125"/>
      <c r="Y26" s="125" t="s">
        <v>133</v>
      </c>
      <c r="Z26" s="125"/>
      <c r="AA26" s="125"/>
      <c r="AB26" s="125"/>
      <c r="AC26" s="125"/>
      <c r="AD26" s="125"/>
      <c r="AE26" s="125"/>
      <c r="AF26" s="125"/>
      <c r="AG26" s="188"/>
      <c r="AH26" s="188"/>
      <c r="AI26" s="188"/>
      <c r="AJ26" s="188"/>
      <c r="AK26" s="188"/>
      <c r="AL26" s="188" t="s">
        <v>18</v>
      </c>
      <c r="AM26" s="188"/>
      <c r="AN26" s="188"/>
      <c r="AO26" s="188"/>
      <c r="AP26" s="188"/>
      <c r="AQ26" s="323"/>
      <c r="AR26" s="322" t="s">
        <v>538</v>
      </c>
    </row>
    <row r="27" spans="1:45" ht="51">
      <c r="B27" s="103" t="s">
        <v>232</v>
      </c>
      <c r="C27" s="312" t="str">
        <f t="shared" si="9"/>
        <v>08P00-3BM-100</v>
      </c>
      <c r="D27" s="310" t="s">
        <v>233</v>
      </c>
      <c r="E27" s="310" t="s">
        <v>368</v>
      </c>
      <c r="F27" s="309" t="s">
        <v>349</v>
      </c>
      <c r="G27" s="309" t="s">
        <v>369</v>
      </c>
      <c r="H27" s="105">
        <v>0.5</v>
      </c>
      <c r="I27" s="103"/>
      <c r="J27" s="160">
        <f>VLOOKUP(B27,'[2]MASTER PART LIST'!$B:$C,2,FALSE)</f>
        <v>117</v>
      </c>
      <c r="K27" s="163">
        <f>VLOOKUP(B27,'[2]MASTER PART LIST'!$B:$D,3,FALSE)</f>
        <v>195</v>
      </c>
      <c r="L27" s="163">
        <f t="shared" si="8"/>
        <v>280.5</v>
      </c>
      <c r="M27" s="188"/>
      <c r="N27" s="188"/>
      <c r="O27" s="188" t="s">
        <v>18</v>
      </c>
      <c r="P27" s="188" t="s">
        <v>18</v>
      </c>
      <c r="Q27" s="188"/>
      <c r="R27" s="188"/>
      <c r="S27" s="188" t="s">
        <v>18</v>
      </c>
      <c r="T27" s="188" t="s">
        <v>18</v>
      </c>
      <c r="U27" s="115"/>
      <c r="V27" s="115"/>
      <c r="W27" s="246">
        <v>61</v>
      </c>
      <c r="X27" s="125"/>
      <c r="Y27" s="125" t="s">
        <v>133</v>
      </c>
      <c r="Z27" s="125"/>
      <c r="AA27" s="125"/>
      <c r="AB27" s="125"/>
      <c r="AC27" s="125"/>
      <c r="AD27" s="125"/>
      <c r="AE27" s="125"/>
      <c r="AF27" s="125"/>
      <c r="AG27" s="188"/>
      <c r="AH27" s="188"/>
      <c r="AI27" s="188"/>
      <c r="AJ27" s="188" t="s">
        <v>18</v>
      </c>
      <c r="AK27" s="188"/>
      <c r="AL27" s="188"/>
      <c r="AM27" s="188"/>
      <c r="AN27" s="188"/>
      <c r="AO27" s="188"/>
      <c r="AP27" s="188"/>
      <c r="AQ27" s="323"/>
      <c r="AR27" s="322" t="s">
        <v>517</v>
      </c>
    </row>
    <row r="28" spans="1:45" ht="71.400000000000006">
      <c r="B28" s="103" t="s">
        <v>239</v>
      </c>
      <c r="C28" s="312" t="str">
        <f t="shared" si="9"/>
        <v>08P05-3BM-100</v>
      </c>
      <c r="D28" s="310" t="s">
        <v>174</v>
      </c>
      <c r="E28" s="310" t="s">
        <v>370</v>
      </c>
      <c r="F28" s="309" t="s">
        <v>332</v>
      </c>
      <c r="G28" s="309" t="s">
        <v>371</v>
      </c>
      <c r="H28" s="105">
        <v>0.4</v>
      </c>
      <c r="I28" s="103"/>
      <c r="J28" s="160">
        <f>VLOOKUP(B28,'[2]MASTER PART LIST'!$B:$C,2,FALSE)</f>
        <v>128</v>
      </c>
      <c r="K28" s="163">
        <f>VLOOKUP(B28,'[2]MASTER PART LIST'!$B:$D,3,FALSE)</f>
        <v>213</v>
      </c>
      <c r="L28" s="163">
        <f t="shared" si="8"/>
        <v>281.39999999999998</v>
      </c>
      <c r="M28" s="188"/>
      <c r="N28" s="188"/>
      <c r="O28" s="188" t="s">
        <v>18</v>
      </c>
      <c r="P28" s="188" t="s">
        <v>18</v>
      </c>
      <c r="Q28" s="188"/>
      <c r="R28" s="188"/>
      <c r="S28" s="188" t="s">
        <v>18</v>
      </c>
      <c r="T28" s="188" t="s">
        <v>18</v>
      </c>
      <c r="U28" s="115"/>
      <c r="V28" s="115"/>
      <c r="W28" s="246">
        <v>16</v>
      </c>
      <c r="X28" s="125"/>
      <c r="Y28" s="125" t="s">
        <v>133</v>
      </c>
      <c r="Z28" s="125"/>
      <c r="AA28" s="125"/>
      <c r="AB28" s="125"/>
      <c r="AC28" s="125"/>
      <c r="AD28" s="125"/>
      <c r="AE28" s="125"/>
      <c r="AF28" s="125"/>
      <c r="AG28" s="188"/>
      <c r="AH28" s="188"/>
      <c r="AI28" s="188"/>
      <c r="AJ28" s="188" t="s">
        <v>18</v>
      </c>
      <c r="AK28" s="188"/>
      <c r="AL28" s="188"/>
      <c r="AM28" s="188"/>
      <c r="AN28" s="188"/>
      <c r="AO28" s="188"/>
      <c r="AP28" s="188"/>
      <c r="AQ28" s="323"/>
      <c r="AR28" s="323"/>
    </row>
    <row r="29" spans="1:45" ht="40.799999999999997">
      <c r="B29" s="103" t="s">
        <v>269</v>
      </c>
      <c r="C29" s="312" t="s">
        <v>465</v>
      </c>
      <c r="D29" s="310" t="s">
        <v>256</v>
      </c>
      <c r="E29" s="313" t="s">
        <v>333</v>
      </c>
      <c r="F29" s="314" t="s">
        <v>330</v>
      </c>
      <c r="G29" s="309" t="s">
        <v>331</v>
      </c>
      <c r="H29" s="105">
        <v>0.4</v>
      </c>
      <c r="I29" s="103"/>
      <c r="J29" s="160">
        <f>VLOOKUP(B29,'[2]MASTER PART LIST'!$B:$C,2,FALSE)</f>
        <v>41</v>
      </c>
      <c r="K29" s="163">
        <f>VLOOKUP(B29,'[2]MASTER PART LIST'!$B:$D,3,FALSE)</f>
        <v>68</v>
      </c>
      <c r="L29" s="163">
        <f t="shared" si="8"/>
        <v>136.4</v>
      </c>
      <c r="M29" s="188"/>
      <c r="N29" s="188"/>
      <c r="O29" s="188" t="s">
        <v>18</v>
      </c>
      <c r="P29" s="188" t="s">
        <v>18</v>
      </c>
      <c r="Q29" s="188"/>
      <c r="R29" s="188"/>
      <c r="S29" s="188" t="s">
        <v>18</v>
      </c>
      <c r="T29" s="188" t="s">
        <v>18</v>
      </c>
      <c r="U29" s="115"/>
      <c r="V29" s="115"/>
      <c r="W29" s="246">
        <v>41</v>
      </c>
      <c r="X29" s="125"/>
      <c r="Y29" s="125" t="s">
        <v>133</v>
      </c>
      <c r="Z29" s="125"/>
      <c r="AA29" s="125"/>
      <c r="AB29" s="125"/>
      <c r="AC29" s="125"/>
      <c r="AD29" s="125"/>
      <c r="AE29" s="125"/>
      <c r="AF29" s="125"/>
      <c r="AG29" s="188"/>
      <c r="AH29" s="188"/>
      <c r="AI29" s="188"/>
      <c r="AJ29" s="188" t="s">
        <v>18</v>
      </c>
      <c r="AK29" s="188"/>
      <c r="AL29" s="188"/>
      <c r="AM29" s="188"/>
      <c r="AN29" s="188"/>
      <c r="AO29" s="188"/>
      <c r="AP29" s="188"/>
      <c r="AQ29" s="323"/>
      <c r="AR29" s="323"/>
    </row>
    <row r="30" spans="1:45" ht="40.799999999999997">
      <c r="B30" s="103" t="s">
        <v>268</v>
      </c>
      <c r="C30" s="312" t="s">
        <v>466</v>
      </c>
      <c r="D30" s="310" t="s">
        <v>93</v>
      </c>
      <c r="E30" s="310" t="s">
        <v>316</v>
      </c>
      <c r="F30" s="314" t="s">
        <v>330</v>
      </c>
      <c r="G30" s="309" t="s">
        <v>331</v>
      </c>
      <c r="H30" s="105">
        <v>0.4</v>
      </c>
      <c r="I30" s="103"/>
      <c r="J30" s="160">
        <f>VLOOKUP(B30,'[2]MASTER PART LIST'!$B:$C,2,FALSE)</f>
        <v>54</v>
      </c>
      <c r="K30" s="163">
        <f>VLOOKUP(B30,'[2]MASTER PART LIST'!$B:$D,3,FALSE)</f>
        <v>90</v>
      </c>
      <c r="L30" s="163">
        <f t="shared" ref="L30:L31" si="10">K30+(H30*VLOOKUP(prov_cd,rate_table,2,FALSE))</f>
        <v>158.4</v>
      </c>
      <c r="M30" s="188"/>
      <c r="N30" s="188"/>
      <c r="O30" s="188" t="s">
        <v>18</v>
      </c>
      <c r="P30" s="188" t="s">
        <v>18</v>
      </c>
      <c r="Q30" s="188"/>
      <c r="R30" s="188"/>
      <c r="S30" s="188" t="s">
        <v>18</v>
      </c>
      <c r="T30" s="188" t="s">
        <v>18</v>
      </c>
      <c r="U30" s="115"/>
      <c r="V30" s="115"/>
      <c r="W30" s="246">
        <v>42</v>
      </c>
      <c r="X30" s="125"/>
      <c r="Y30" s="125" t="s">
        <v>133</v>
      </c>
      <c r="Z30" s="125"/>
      <c r="AA30" s="125"/>
      <c r="AB30" s="125"/>
      <c r="AC30" s="125"/>
      <c r="AD30" s="125"/>
      <c r="AE30" s="125"/>
      <c r="AF30" s="125"/>
      <c r="AG30" s="188"/>
      <c r="AH30" s="188"/>
      <c r="AI30" s="188"/>
      <c r="AJ30" s="188" t="s">
        <v>18</v>
      </c>
      <c r="AK30" s="188"/>
      <c r="AL30" s="188"/>
      <c r="AM30" s="188"/>
      <c r="AN30" s="188"/>
      <c r="AO30" s="188"/>
      <c r="AP30" s="188"/>
      <c r="AQ30" s="323"/>
      <c r="AR30" s="323"/>
    </row>
    <row r="31" spans="1:45" ht="40.799999999999997">
      <c r="B31" s="103" t="s">
        <v>278</v>
      </c>
      <c r="C31" s="312" t="s">
        <v>467</v>
      </c>
      <c r="D31" s="310" t="s">
        <v>186</v>
      </c>
      <c r="E31" s="310" t="s">
        <v>372</v>
      </c>
      <c r="F31" s="309" t="s">
        <v>279</v>
      </c>
      <c r="G31" s="309" t="s">
        <v>373</v>
      </c>
      <c r="H31" s="105">
        <v>0.6</v>
      </c>
      <c r="I31" s="103"/>
      <c r="J31" s="160">
        <f>VLOOKUP(B31,'[2]MASTER PART LIST'!$B:$C,2,FALSE)</f>
        <v>265</v>
      </c>
      <c r="K31" s="163">
        <f>VLOOKUP(B31,'[2]MASTER PART LIST'!$B:$D,3,FALSE)</f>
        <v>442</v>
      </c>
      <c r="L31" s="163">
        <f t="shared" si="10"/>
        <v>544.6</v>
      </c>
      <c r="M31" s="188"/>
      <c r="N31" s="188"/>
      <c r="O31" s="188" t="s">
        <v>18</v>
      </c>
      <c r="P31" s="188" t="s">
        <v>18</v>
      </c>
      <c r="Q31" s="188"/>
      <c r="R31" s="188"/>
      <c r="S31" s="188" t="s">
        <v>18</v>
      </c>
      <c r="T31" s="188" t="s">
        <v>18</v>
      </c>
      <c r="U31" s="115"/>
      <c r="V31" s="115"/>
      <c r="W31" s="246">
        <v>15</v>
      </c>
      <c r="X31" s="125"/>
      <c r="Y31" s="125" t="s">
        <v>133</v>
      </c>
      <c r="Z31" s="125"/>
      <c r="AA31" s="125"/>
      <c r="AB31" s="125"/>
      <c r="AC31" s="125"/>
      <c r="AD31" s="125"/>
      <c r="AE31" s="125"/>
      <c r="AF31" s="125"/>
      <c r="AG31" s="188"/>
      <c r="AH31" s="188"/>
      <c r="AI31" s="188"/>
      <c r="AJ31" s="188"/>
      <c r="AK31" s="188"/>
      <c r="AL31" s="188" t="s">
        <v>18</v>
      </c>
      <c r="AM31" s="188"/>
      <c r="AN31" s="188"/>
      <c r="AO31" s="188"/>
      <c r="AP31" s="188"/>
      <c r="AQ31" s="323"/>
      <c r="AR31" s="323"/>
    </row>
    <row r="32" spans="1:45" ht="15.6" hidden="1">
      <c r="B32" s="103"/>
      <c r="C32" s="312"/>
      <c r="D32" s="108"/>
      <c r="E32" s="108"/>
      <c r="F32" s="115"/>
      <c r="G32" s="115"/>
      <c r="H32" s="105"/>
      <c r="I32" s="103"/>
      <c r="J32" s="160" t="e">
        <f>VLOOKUP(B32,'[2]MASTER PART LIST'!$B:$C,2,FALSE)</f>
        <v>#N/A</v>
      </c>
      <c r="K32" s="163" t="e">
        <f>VLOOKUP(B32,'[2]MASTER PART LIST'!$B:$D,3,FALSE)</f>
        <v>#N/A</v>
      </c>
      <c r="L32" s="163" t="e">
        <f t="shared" ref="L32:L34" si="11">K32+(H32*VLOOKUP(prov_cd,rate_table,2,FALSE))</f>
        <v>#N/A</v>
      </c>
      <c r="M32" s="188"/>
      <c r="N32" s="188"/>
      <c r="O32" s="188"/>
      <c r="P32" s="188"/>
      <c r="Q32" s="188"/>
      <c r="R32" s="188"/>
      <c r="S32" s="188"/>
      <c r="T32" s="188"/>
      <c r="U32" s="115"/>
      <c r="V32" s="115"/>
      <c r="W32" s="246"/>
      <c r="X32" s="125"/>
      <c r="Y32" s="125"/>
      <c r="Z32" s="125"/>
      <c r="AA32" s="125"/>
      <c r="AB32" s="125"/>
      <c r="AC32" s="125"/>
      <c r="AD32" s="125"/>
      <c r="AE32" s="125"/>
      <c r="AF32" s="125"/>
      <c r="AG32" s="188"/>
      <c r="AH32" s="188"/>
      <c r="AI32" s="188"/>
      <c r="AJ32" s="188"/>
      <c r="AK32" s="188"/>
      <c r="AL32" s="188"/>
      <c r="AM32" s="188"/>
      <c r="AN32" s="188"/>
      <c r="AO32" s="188"/>
      <c r="AP32" s="188"/>
      <c r="AQ32" s="323"/>
      <c r="AR32" s="323"/>
    </row>
    <row r="33" spans="1:44" ht="15.6" hidden="1">
      <c r="B33" s="103"/>
      <c r="C33" s="312"/>
      <c r="D33" s="108"/>
      <c r="E33" s="108"/>
      <c r="F33" s="115"/>
      <c r="G33" s="115"/>
      <c r="H33" s="105"/>
      <c r="I33" s="103"/>
      <c r="J33" s="160" t="e">
        <f>VLOOKUP(B33,'[2]MASTER PART LIST'!$B:$C,2,FALSE)</f>
        <v>#N/A</v>
      </c>
      <c r="K33" s="163" t="e">
        <f>VLOOKUP(B33,'[2]MASTER PART LIST'!$B:$D,3,FALSE)</f>
        <v>#N/A</v>
      </c>
      <c r="L33" s="163" t="e">
        <f t="shared" si="11"/>
        <v>#N/A</v>
      </c>
      <c r="M33" s="188"/>
      <c r="N33" s="188"/>
      <c r="O33" s="188"/>
      <c r="P33" s="188"/>
      <c r="Q33" s="188"/>
      <c r="R33" s="188"/>
      <c r="S33" s="188"/>
      <c r="T33" s="188"/>
      <c r="U33" s="115"/>
      <c r="V33" s="115"/>
      <c r="W33" s="246"/>
      <c r="X33" s="125"/>
      <c r="Y33" s="125"/>
      <c r="Z33" s="125"/>
      <c r="AA33" s="125"/>
      <c r="AB33" s="125"/>
      <c r="AC33" s="125"/>
      <c r="AD33" s="125"/>
      <c r="AE33" s="125"/>
      <c r="AF33" s="125"/>
      <c r="AG33" s="188"/>
      <c r="AH33" s="188"/>
      <c r="AI33" s="188"/>
      <c r="AJ33" s="188"/>
      <c r="AK33" s="188"/>
      <c r="AL33" s="188"/>
      <c r="AM33" s="188"/>
      <c r="AN33" s="188"/>
      <c r="AO33" s="188"/>
      <c r="AP33" s="188"/>
      <c r="AQ33" s="323"/>
      <c r="AR33" s="323"/>
    </row>
    <row r="34" spans="1:44" ht="15.6" hidden="1">
      <c r="B34" s="103"/>
      <c r="C34" s="103"/>
      <c r="D34" s="108"/>
      <c r="E34" s="108"/>
      <c r="F34" s="115"/>
      <c r="G34" s="115"/>
      <c r="H34" s="105"/>
      <c r="I34" s="103"/>
      <c r="J34" s="160" t="e">
        <f>VLOOKUP(B34,'[2]MASTER PART LIST'!$B:$C,2,FALSE)</f>
        <v>#N/A</v>
      </c>
      <c r="K34" s="163" t="e">
        <f>VLOOKUP(B34,'[2]MASTER PART LIST'!$B:$D,3,FALSE)</f>
        <v>#N/A</v>
      </c>
      <c r="L34" s="163" t="e">
        <f t="shared" si="11"/>
        <v>#N/A</v>
      </c>
      <c r="M34" s="188"/>
      <c r="N34" s="188"/>
      <c r="O34" s="188"/>
      <c r="P34" s="188"/>
      <c r="Q34" s="188"/>
      <c r="R34" s="188"/>
      <c r="S34" s="188"/>
      <c r="T34" s="188"/>
      <c r="U34" s="115"/>
      <c r="V34" s="115"/>
      <c r="W34" s="246"/>
      <c r="X34" s="125"/>
      <c r="Y34" s="125"/>
      <c r="Z34" s="125"/>
      <c r="AA34" s="125"/>
      <c r="AB34" s="125"/>
      <c r="AC34" s="125"/>
      <c r="AD34" s="125"/>
      <c r="AE34" s="125"/>
      <c r="AF34" s="125"/>
      <c r="AG34" s="188"/>
      <c r="AH34" s="188"/>
      <c r="AI34" s="188"/>
      <c r="AJ34" s="188"/>
      <c r="AK34" s="188"/>
      <c r="AL34" s="188"/>
      <c r="AM34" s="188"/>
      <c r="AN34" s="188"/>
      <c r="AO34" s="188"/>
      <c r="AP34" s="188"/>
      <c r="AQ34" s="323"/>
      <c r="AR34" s="323"/>
    </row>
    <row r="35" spans="1:44" ht="15.6" hidden="1">
      <c r="B35" s="269" t="s">
        <v>294</v>
      </c>
      <c r="C35" s="269" t="s">
        <v>178</v>
      </c>
      <c r="D35" s="271" t="s">
        <v>184</v>
      </c>
      <c r="E35" s="271" t="s">
        <v>185</v>
      </c>
      <c r="F35" s="272"/>
      <c r="G35" s="272"/>
      <c r="H35" s="276"/>
      <c r="I35" s="269"/>
      <c r="J35" s="277"/>
      <c r="K35" s="278"/>
      <c r="L35" s="278"/>
      <c r="M35" s="275"/>
      <c r="N35" s="275"/>
      <c r="O35" s="275"/>
      <c r="P35" s="275"/>
      <c r="Q35" s="275"/>
      <c r="R35" s="275"/>
      <c r="S35" s="275"/>
      <c r="T35" s="275"/>
      <c r="U35" s="272"/>
      <c r="V35" s="272"/>
      <c r="W35" s="274"/>
      <c r="X35" s="273"/>
      <c r="Y35" s="273"/>
      <c r="Z35" s="273"/>
      <c r="AA35" s="273"/>
      <c r="AB35" s="273"/>
      <c r="AC35" s="273"/>
      <c r="AD35" s="273"/>
      <c r="AE35" s="273"/>
      <c r="AF35" s="273"/>
      <c r="AG35" s="275"/>
      <c r="AH35" s="275"/>
      <c r="AI35" s="275"/>
      <c r="AJ35" s="275"/>
      <c r="AK35" s="275"/>
      <c r="AL35" s="275"/>
      <c r="AM35" s="275"/>
      <c r="AN35" s="275"/>
      <c r="AO35" s="275"/>
      <c r="AP35" s="275"/>
      <c r="AQ35" s="325"/>
      <c r="AR35" s="325"/>
    </row>
    <row r="36" spans="1:44" ht="51">
      <c r="B36" s="103" t="s">
        <v>236</v>
      </c>
      <c r="C36" s="312" t="str">
        <f>B36</f>
        <v>08F20-3BM-100</v>
      </c>
      <c r="D36" s="310" t="s">
        <v>237</v>
      </c>
      <c r="E36" s="310" t="s">
        <v>375</v>
      </c>
      <c r="F36" s="309" t="s">
        <v>346</v>
      </c>
      <c r="G36" s="309" t="s">
        <v>376</v>
      </c>
      <c r="H36" s="105">
        <v>0.3</v>
      </c>
      <c r="I36" s="103"/>
      <c r="J36" s="160">
        <f>VLOOKUP(B36,'[2]MASTER PART LIST'!$B:$C,2,FALSE)</f>
        <v>149</v>
      </c>
      <c r="K36" s="163">
        <f>VLOOKUP(B36,'[2]MASTER PART LIST'!$B:$D,3,FALSE)</f>
        <v>248</v>
      </c>
      <c r="L36" s="163">
        <f t="shared" ref="L36" si="12">K36+(H36*VLOOKUP(prov_cd,rate_table,2,FALSE))</f>
        <v>299.3</v>
      </c>
      <c r="M36" s="188"/>
      <c r="N36" s="188"/>
      <c r="O36" s="188" t="s">
        <v>18</v>
      </c>
      <c r="P36" s="188" t="s">
        <v>18</v>
      </c>
      <c r="Q36" s="188"/>
      <c r="R36" s="188"/>
      <c r="S36" s="188" t="s">
        <v>18</v>
      </c>
      <c r="T36" s="188" t="s">
        <v>18</v>
      </c>
      <c r="U36" s="115"/>
      <c r="V36" s="115"/>
      <c r="W36" s="246">
        <v>17</v>
      </c>
      <c r="X36" s="125"/>
      <c r="Y36" s="125" t="s">
        <v>133</v>
      </c>
      <c r="Z36" s="125"/>
      <c r="AA36" s="125"/>
      <c r="AB36" s="125"/>
      <c r="AC36" s="125"/>
      <c r="AD36" s="125"/>
      <c r="AE36" s="125"/>
      <c r="AF36" s="125"/>
      <c r="AG36" s="188"/>
      <c r="AH36" s="188"/>
      <c r="AI36" s="188"/>
      <c r="AJ36" s="188"/>
      <c r="AK36" s="188"/>
      <c r="AL36" s="188"/>
      <c r="AM36" s="188"/>
      <c r="AN36" s="188" t="s">
        <v>18</v>
      </c>
      <c r="AO36" s="188"/>
      <c r="AP36" s="188"/>
      <c r="AQ36" s="323"/>
      <c r="AR36" s="323" t="s">
        <v>521</v>
      </c>
    </row>
    <row r="37" spans="1:44" ht="51">
      <c r="B37" s="103" t="s">
        <v>234</v>
      </c>
      <c r="C37" s="312" t="str">
        <f>B37</f>
        <v>08F20-3BM-100B</v>
      </c>
      <c r="D37" s="310" t="s">
        <v>235</v>
      </c>
      <c r="E37" s="310" t="s">
        <v>377</v>
      </c>
      <c r="F37" s="309" t="s">
        <v>345</v>
      </c>
      <c r="G37" s="309" t="s">
        <v>378</v>
      </c>
      <c r="H37" s="105">
        <v>0.6</v>
      </c>
      <c r="I37" s="103"/>
      <c r="J37" s="160">
        <f>VLOOKUP(B37,'[2]MASTER PART LIST'!$B:$C,2,FALSE)</f>
        <v>65</v>
      </c>
      <c r="K37" s="163">
        <f>VLOOKUP(B37,'[2]MASTER PART LIST'!$B:$D,3,FALSE)</f>
        <v>108</v>
      </c>
      <c r="L37" s="163">
        <f t="shared" ref="L37" si="13">K37+(H37*VLOOKUP(prov_cd,rate_table,2,FALSE))</f>
        <v>210.6</v>
      </c>
      <c r="M37" s="188"/>
      <c r="N37" s="188"/>
      <c r="O37" s="188" t="s">
        <v>18</v>
      </c>
      <c r="P37" s="188" t="s">
        <v>135</v>
      </c>
      <c r="Q37" s="188"/>
      <c r="R37" s="188"/>
      <c r="S37" s="188" t="s">
        <v>18</v>
      </c>
      <c r="T37" s="188" t="s">
        <v>135</v>
      </c>
      <c r="U37" s="115"/>
      <c r="V37" s="115"/>
      <c r="W37" s="246">
        <v>18</v>
      </c>
      <c r="X37" s="125"/>
      <c r="Y37" s="125" t="s">
        <v>133</v>
      </c>
      <c r="Z37" s="125"/>
      <c r="AA37" s="125"/>
      <c r="AB37" s="125"/>
      <c r="AC37" s="125"/>
      <c r="AD37" s="125"/>
      <c r="AE37" s="125"/>
      <c r="AF37" s="125"/>
      <c r="AG37" s="188"/>
      <c r="AH37" s="188"/>
      <c r="AI37" s="188"/>
      <c r="AJ37" s="188"/>
      <c r="AK37" s="188"/>
      <c r="AL37" s="188"/>
      <c r="AM37" s="188"/>
      <c r="AN37" s="188" t="s">
        <v>18</v>
      </c>
      <c r="AO37" s="188"/>
      <c r="AP37" s="188"/>
      <c r="AQ37" s="323"/>
      <c r="AR37" s="323" t="s">
        <v>521</v>
      </c>
    </row>
    <row r="38" spans="1:44" ht="40.799999999999997">
      <c r="A38" s="51" t="s">
        <v>511</v>
      </c>
      <c r="B38" s="103" t="s">
        <v>270</v>
      </c>
      <c r="C38" s="312" t="s">
        <v>464</v>
      </c>
      <c r="D38" s="310" t="s">
        <v>255</v>
      </c>
      <c r="E38" s="310" t="s">
        <v>379</v>
      </c>
      <c r="F38" s="309" t="s">
        <v>344</v>
      </c>
      <c r="G38" s="309" t="s">
        <v>380</v>
      </c>
      <c r="H38" s="105">
        <v>0.2</v>
      </c>
      <c r="I38" s="103"/>
      <c r="J38" s="160">
        <f>VLOOKUP(B38,'[2]MASTER PART LIST'!$B:$C,2,FALSE)</f>
        <v>36</v>
      </c>
      <c r="K38" s="163">
        <f>VLOOKUP(B38,'[2]MASTER PART LIST'!$B:$D,3,FALSE)</f>
        <v>60</v>
      </c>
      <c r="L38" s="163">
        <f t="shared" ref="L38" si="14">K38+(H38*VLOOKUP(prov_cd,rate_table,2,FALSE))</f>
        <v>94.2</v>
      </c>
      <c r="M38" s="188"/>
      <c r="N38" s="188"/>
      <c r="O38" s="188" t="s">
        <v>18</v>
      </c>
      <c r="P38" s="188" t="s">
        <v>18</v>
      </c>
      <c r="Q38" s="188"/>
      <c r="R38" s="188"/>
      <c r="S38" s="188" t="s">
        <v>18</v>
      </c>
      <c r="T38" s="188" t="s">
        <v>18</v>
      </c>
      <c r="U38" s="115"/>
      <c r="V38" s="115"/>
      <c r="W38" s="246">
        <v>19</v>
      </c>
      <c r="X38" s="125"/>
      <c r="Y38" s="125" t="s">
        <v>134</v>
      </c>
      <c r="Z38" s="125"/>
      <c r="AA38" s="125"/>
      <c r="AB38" s="125"/>
      <c r="AC38" s="125"/>
      <c r="AD38" s="125"/>
      <c r="AE38" s="125"/>
      <c r="AF38" s="125"/>
      <c r="AG38" s="188"/>
      <c r="AH38" s="188"/>
      <c r="AI38" s="188"/>
      <c r="AJ38" s="188"/>
      <c r="AK38" s="188"/>
      <c r="AL38" s="188"/>
      <c r="AM38" s="188"/>
      <c r="AN38" s="188" t="s">
        <v>18</v>
      </c>
      <c r="AO38" s="188"/>
      <c r="AP38" s="188"/>
      <c r="AQ38" s="323"/>
      <c r="AR38" s="323" t="s">
        <v>521</v>
      </c>
    </row>
    <row r="39" spans="1:44" ht="27.6">
      <c r="B39" s="103" t="s">
        <v>231</v>
      </c>
      <c r="C39" s="312" t="str">
        <f>B39</f>
        <v>08L92-3BM-100A</v>
      </c>
      <c r="D39" s="310" t="s">
        <v>312</v>
      </c>
      <c r="E39" s="310" t="s">
        <v>381</v>
      </c>
      <c r="F39" s="309" t="s">
        <v>312</v>
      </c>
      <c r="G39" s="309" t="s">
        <v>382</v>
      </c>
      <c r="H39" s="105">
        <v>0</v>
      </c>
      <c r="I39" s="103"/>
      <c r="J39" s="160">
        <f>VLOOKUP(B39,'[2]MASTER PART LIST'!$B:$C,2,FALSE)</f>
        <v>94</v>
      </c>
      <c r="K39" s="163">
        <f>VLOOKUP(B39,'[2]MASTER PART LIST'!$B:$D,3,FALSE)</f>
        <v>157</v>
      </c>
      <c r="L39" s="163">
        <f>K39+(H39*VLOOKUP(prov_cd,rate_table,2,FALSE))</f>
        <v>157</v>
      </c>
      <c r="M39" s="188"/>
      <c r="N39" s="188"/>
      <c r="O39" s="188" t="s">
        <v>18</v>
      </c>
      <c r="P39" s="188" t="s">
        <v>18</v>
      </c>
      <c r="Q39" s="188"/>
      <c r="R39" s="188"/>
      <c r="S39" s="188" t="s">
        <v>18</v>
      </c>
      <c r="T39" s="188" t="s">
        <v>18</v>
      </c>
      <c r="U39" s="115"/>
      <c r="V39" s="115"/>
      <c r="W39" s="246">
        <v>21</v>
      </c>
      <c r="X39" s="125"/>
      <c r="Y39" s="125" t="s">
        <v>133</v>
      </c>
      <c r="Z39" s="125"/>
      <c r="AA39" s="125"/>
      <c r="AB39" s="125"/>
      <c r="AC39" s="125"/>
      <c r="AD39" s="125"/>
      <c r="AE39" s="125"/>
      <c r="AF39" s="125"/>
      <c r="AG39" s="188"/>
      <c r="AH39" s="188"/>
      <c r="AI39" s="188"/>
      <c r="AJ39" s="188"/>
      <c r="AK39" s="188"/>
      <c r="AL39" s="188" t="s">
        <v>18</v>
      </c>
      <c r="AM39" s="188"/>
      <c r="AN39" s="188"/>
      <c r="AO39" s="188"/>
      <c r="AP39" s="188"/>
      <c r="AQ39" s="323"/>
      <c r="AR39" s="322" t="s">
        <v>522</v>
      </c>
    </row>
    <row r="40" spans="1:44" ht="40.799999999999997">
      <c r="B40" s="103" t="s">
        <v>198</v>
      </c>
      <c r="C40" s="312" t="s">
        <v>461</v>
      </c>
      <c r="D40" s="310" t="s">
        <v>199</v>
      </c>
      <c r="E40" s="310" t="s">
        <v>383</v>
      </c>
      <c r="F40" s="309" t="s">
        <v>347</v>
      </c>
      <c r="G40" s="309" t="s">
        <v>384</v>
      </c>
      <c r="H40" s="105">
        <v>0</v>
      </c>
      <c r="I40" s="103"/>
      <c r="J40" s="160">
        <f>VLOOKUP(B40,'[2]MASTER PART LIST'!$B:$C,2,FALSE)</f>
        <v>109</v>
      </c>
      <c r="K40" s="163">
        <f>VLOOKUP(B40,'[2]MASTER PART LIST'!$B:$D,3,FALSE)</f>
        <v>168</v>
      </c>
      <c r="L40" s="163">
        <f t="shared" ref="L40:L43" si="15">K40+(H40*VLOOKUP(prov_cd,rate_table,2,FALSE))</f>
        <v>168</v>
      </c>
      <c r="M40" s="188"/>
      <c r="N40" s="188"/>
      <c r="O40" s="188" t="s">
        <v>18</v>
      </c>
      <c r="P40" s="188" t="s">
        <v>18</v>
      </c>
      <c r="Q40" s="188"/>
      <c r="R40" s="188"/>
      <c r="S40" s="188" t="s">
        <v>18</v>
      </c>
      <c r="T40" s="188" t="s">
        <v>18</v>
      </c>
      <c r="U40" s="115"/>
      <c r="V40" s="115"/>
      <c r="W40" s="246">
        <v>22</v>
      </c>
      <c r="X40" s="125"/>
      <c r="Y40" s="125" t="s">
        <v>133</v>
      </c>
      <c r="Z40" s="125"/>
      <c r="AA40" s="125"/>
      <c r="AB40" s="125"/>
      <c r="AC40" s="125"/>
      <c r="AD40" s="125"/>
      <c r="AE40" s="125"/>
      <c r="AF40" s="125"/>
      <c r="AG40" s="188"/>
      <c r="AH40" s="188"/>
      <c r="AI40" s="188"/>
      <c r="AJ40" s="188"/>
      <c r="AK40" s="188"/>
      <c r="AL40" s="188" t="s">
        <v>18</v>
      </c>
      <c r="AM40" s="188"/>
      <c r="AN40" s="188"/>
      <c r="AO40" s="188"/>
      <c r="AP40" s="188"/>
      <c r="AQ40" s="323" t="s">
        <v>496</v>
      </c>
      <c r="AR40" s="322" t="s">
        <v>522</v>
      </c>
    </row>
    <row r="41" spans="1:44" ht="27.6">
      <c r="B41" s="103" t="s">
        <v>196</v>
      </c>
      <c r="C41" s="312" t="s">
        <v>462</v>
      </c>
      <c r="D41" s="310" t="s">
        <v>275</v>
      </c>
      <c r="E41" s="310" t="s">
        <v>385</v>
      </c>
      <c r="F41" s="309" t="s">
        <v>276</v>
      </c>
      <c r="G41" s="309" t="s">
        <v>386</v>
      </c>
      <c r="H41" s="105">
        <v>0</v>
      </c>
      <c r="I41" s="103"/>
      <c r="J41" s="160">
        <f>VLOOKUP(B41,'[2]MASTER PART LIST'!$B:$C,2,FALSE)</f>
        <v>29</v>
      </c>
      <c r="K41" s="163">
        <f>VLOOKUP(B41,'[2]MASTER PART LIST'!$B:$D,3,FALSE)</f>
        <v>48</v>
      </c>
      <c r="L41" s="163">
        <f t="shared" ref="L41:L42" si="16">K41+(H41*VLOOKUP(prov_cd,rate_table,2,FALSE))</f>
        <v>48</v>
      </c>
      <c r="M41" s="188"/>
      <c r="N41" s="188"/>
      <c r="O41" s="188" t="s">
        <v>18</v>
      </c>
      <c r="P41" s="188" t="s">
        <v>18</v>
      </c>
      <c r="Q41" s="188"/>
      <c r="R41" s="188"/>
      <c r="S41" s="188" t="s">
        <v>18</v>
      </c>
      <c r="T41" s="188" t="s">
        <v>18</v>
      </c>
      <c r="U41" s="115"/>
      <c r="V41" s="115"/>
      <c r="W41" s="246">
        <v>23</v>
      </c>
      <c r="X41" s="125"/>
      <c r="Y41" s="125" t="s">
        <v>133</v>
      </c>
      <c r="Z41" s="125"/>
      <c r="AA41" s="125"/>
      <c r="AB41" s="125"/>
      <c r="AC41" s="125"/>
      <c r="AD41" s="125"/>
      <c r="AE41" s="125"/>
      <c r="AF41" s="125"/>
      <c r="AG41" s="188"/>
      <c r="AH41" s="188"/>
      <c r="AI41" s="188"/>
      <c r="AJ41" s="188"/>
      <c r="AK41" s="188"/>
      <c r="AL41" s="188" t="s">
        <v>18</v>
      </c>
      <c r="AM41" s="188"/>
      <c r="AN41" s="188"/>
      <c r="AO41" s="188"/>
      <c r="AP41" s="188"/>
      <c r="AQ41" s="323" t="s">
        <v>496</v>
      </c>
      <c r="AR41" s="322" t="s">
        <v>522</v>
      </c>
    </row>
    <row r="42" spans="1:44" ht="27.6">
      <c r="B42" s="103" t="s">
        <v>197</v>
      </c>
      <c r="C42" s="312" t="s">
        <v>463</v>
      </c>
      <c r="D42" s="310" t="s">
        <v>277</v>
      </c>
      <c r="E42" s="310" t="s">
        <v>387</v>
      </c>
      <c r="F42" s="309" t="s">
        <v>276</v>
      </c>
      <c r="G42" s="309" t="s">
        <v>386</v>
      </c>
      <c r="H42" s="105">
        <v>0</v>
      </c>
      <c r="I42" s="103"/>
      <c r="J42" s="160">
        <f>VLOOKUP(B42,'[2]MASTER PART LIST'!$B:$C,2,FALSE)</f>
        <v>29</v>
      </c>
      <c r="K42" s="163">
        <f>VLOOKUP(B42,'[2]MASTER PART LIST'!$B:$D,3,FALSE)</f>
        <v>48</v>
      </c>
      <c r="L42" s="163">
        <f t="shared" si="16"/>
        <v>48</v>
      </c>
      <c r="M42" s="188"/>
      <c r="N42" s="188"/>
      <c r="O42" s="188" t="s">
        <v>18</v>
      </c>
      <c r="P42" s="188" t="s">
        <v>18</v>
      </c>
      <c r="Q42" s="188"/>
      <c r="R42" s="188"/>
      <c r="S42" s="188" t="s">
        <v>18</v>
      </c>
      <c r="T42" s="188" t="s">
        <v>18</v>
      </c>
      <c r="U42" s="115"/>
      <c r="V42" s="115"/>
      <c r="W42" s="246">
        <v>24</v>
      </c>
      <c r="X42" s="125"/>
      <c r="Y42" s="125" t="s">
        <v>133</v>
      </c>
      <c r="Z42" s="125"/>
      <c r="AA42" s="125"/>
      <c r="AB42" s="125"/>
      <c r="AC42" s="125"/>
      <c r="AD42" s="125"/>
      <c r="AE42" s="125"/>
      <c r="AF42" s="125"/>
      <c r="AG42" s="188"/>
      <c r="AH42" s="188"/>
      <c r="AI42" s="188"/>
      <c r="AJ42" s="188"/>
      <c r="AK42" s="188"/>
      <c r="AL42" s="188" t="s">
        <v>18</v>
      </c>
      <c r="AM42" s="188"/>
      <c r="AN42" s="188"/>
      <c r="AO42" s="188"/>
      <c r="AP42" s="188"/>
      <c r="AQ42" s="323" t="s">
        <v>496</v>
      </c>
      <c r="AR42" s="322" t="s">
        <v>522</v>
      </c>
    </row>
    <row r="43" spans="1:44" ht="61.2">
      <c r="B43" s="103" t="s">
        <v>225</v>
      </c>
      <c r="C43" s="312" t="str">
        <f>B43</f>
        <v>08L04-3BM-300</v>
      </c>
      <c r="D43" s="310" t="s">
        <v>193</v>
      </c>
      <c r="E43" s="310" t="s">
        <v>388</v>
      </c>
      <c r="F43" s="307" t="s">
        <v>348</v>
      </c>
      <c r="G43" s="307" t="s">
        <v>389</v>
      </c>
      <c r="H43" s="105">
        <v>0.3</v>
      </c>
      <c r="I43" s="103"/>
      <c r="J43" s="160">
        <f>VLOOKUP(B43,'[2]MASTER PART LIST'!$B:$C,2,FALSE)</f>
        <v>265</v>
      </c>
      <c r="K43" s="163">
        <f>VLOOKUP(B43,'[2]MASTER PART LIST'!$B:$D,3,FALSE)</f>
        <v>442</v>
      </c>
      <c r="L43" s="163">
        <f t="shared" si="15"/>
        <v>493.3</v>
      </c>
      <c r="M43" s="188"/>
      <c r="N43" s="188"/>
      <c r="O43" s="188" t="s">
        <v>18</v>
      </c>
      <c r="P43" s="188" t="s">
        <v>18</v>
      </c>
      <c r="Q43" s="188"/>
      <c r="R43" s="188"/>
      <c r="S43" s="188" t="s">
        <v>18</v>
      </c>
      <c r="T43" s="188" t="s">
        <v>18</v>
      </c>
      <c r="U43" s="115"/>
      <c r="V43" s="115"/>
      <c r="W43" s="246">
        <v>25</v>
      </c>
      <c r="X43" s="125"/>
      <c r="Y43" s="125" t="s">
        <v>133</v>
      </c>
      <c r="Z43" s="125"/>
      <c r="AA43" s="125"/>
      <c r="AB43" s="125"/>
      <c r="AC43" s="125"/>
      <c r="AD43" s="125"/>
      <c r="AE43" s="125"/>
      <c r="AF43" s="125"/>
      <c r="AG43" s="188"/>
      <c r="AH43" s="188"/>
      <c r="AI43" s="188"/>
      <c r="AJ43" s="188"/>
      <c r="AK43" s="188"/>
      <c r="AL43" s="188" t="s">
        <v>18</v>
      </c>
      <c r="AM43" s="188"/>
      <c r="AN43" s="188"/>
      <c r="AO43" s="188"/>
      <c r="AP43" s="188"/>
      <c r="AQ43" s="323"/>
      <c r="AR43" s="323"/>
    </row>
    <row r="44" spans="1:44" ht="15.6" hidden="1">
      <c r="B44" s="190" t="s">
        <v>175</v>
      </c>
      <c r="C44" s="269" t="s">
        <v>187</v>
      </c>
      <c r="D44" s="271" t="s">
        <v>188</v>
      </c>
      <c r="E44" s="271" t="s">
        <v>189</v>
      </c>
      <c r="F44" s="272"/>
      <c r="G44" s="272"/>
      <c r="H44" s="279"/>
      <c r="I44" s="269"/>
      <c r="J44" s="280"/>
      <c r="K44" s="278"/>
      <c r="L44" s="278"/>
      <c r="M44" s="275"/>
      <c r="N44" s="275"/>
      <c r="O44" s="275"/>
      <c r="P44" s="275"/>
      <c r="Q44" s="275"/>
      <c r="R44" s="275"/>
      <c r="S44" s="275"/>
      <c r="T44" s="275"/>
      <c r="U44" s="272" t="s">
        <v>478</v>
      </c>
      <c r="V44" s="272" t="s">
        <v>479</v>
      </c>
      <c r="W44" s="274"/>
      <c r="X44" s="273"/>
      <c r="Y44" s="273"/>
      <c r="Z44" s="273"/>
      <c r="AA44" s="273"/>
      <c r="AB44" s="273"/>
      <c r="AC44" s="273"/>
      <c r="AD44" s="273"/>
      <c r="AE44" s="273"/>
      <c r="AF44" s="273"/>
      <c r="AG44" s="188"/>
      <c r="AH44" s="188"/>
      <c r="AI44" s="188"/>
      <c r="AJ44" s="275"/>
      <c r="AK44" s="275"/>
      <c r="AL44" s="275"/>
      <c r="AM44" s="275"/>
      <c r="AN44" s="275"/>
      <c r="AO44" s="275"/>
      <c r="AP44" s="275"/>
      <c r="AQ44" s="325"/>
      <c r="AR44" s="326"/>
    </row>
    <row r="45" spans="1:44" ht="51">
      <c r="B45" s="103" t="s">
        <v>226</v>
      </c>
      <c r="C45" s="103" t="str">
        <f>B45</f>
        <v>08L08-3BM-100</v>
      </c>
      <c r="D45" s="310" t="s">
        <v>227</v>
      </c>
      <c r="E45" s="310" t="s">
        <v>390</v>
      </c>
      <c r="F45" s="309" t="s">
        <v>354</v>
      </c>
      <c r="G45" s="309" t="s">
        <v>391</v>
      </c>
      <c r="H45" s="164">
        <v>0.6</v>
      </c>
      <c r="I45" s="103"/>
      <c r="J45" s="160">
        <f>VLOOKUP(B45,'[2]MASTER PART LIST'!$B:$C,2,FALSE)</f>
        <v>957</v>
      </c>
      <c r="K45" s="163">
        <f>VLOOKUP(B45,'[2]MASTER PART LIST'!$B:$D,3,FALSE)</f>
        <v>1367</v>
      </c>
      <c r="L45" s="163">
        <f t="shared" ref="L45" si="17">K45+(H45*VLOOKUP(prov_cd,rate_table,2,FALSE))</f>
        <v>1469.6</v>
      </c>
      <c r="M45" s="188"/>
      <c r="N45" s="188"/>
      <c r="O45" s="188" t="s">
        <v>18</v>
      </c>
      <c r="P45" s="188" t="s">
        <v>18</v>
      </c>
      <c r="Q45" s="188"/>
      <c r="R45" s="188"/>
      <c r="S45" s="188" t="s">
        <v>18</v>
      </c>
      <c r="T45" s="188" t="s">
        <v>18</v>
      </c>
      <c r="U45" s="115"/>
      <c r="V45" s="115"/>
      <c r="W45" s="246">
        <v>26</v>
      </c>
      <c r="X45" s="125"/>
      <c r="Y45" s="125"/>
      <c r="Z45" s="125"/>
      <c r="AA45" s="125"/>
      <c r="AB45" s="125"/>
      <c r="AC45" s="125"/>
      <c r="AD45" s="125"/>
      <c r="AE45" s="125"/>
      <c r="AF45" s="125"/>
      <c r="AG45" s="188"/>
      <c r="AH45" s="173"/>
      <c r="AI45" s="173"/>
      <c r="AJ45" s="188"/>
      <c r="AK45" s="188"/>
      <c r="AL45" s="188" t="s">
        <v>18</v>
      </c>
      <c r="AM45" s="188"/>
      <c r="AN45" s="188"/>
      <c r="AO45" s="188"/>
      <c r="AP45" s="188"/>
      <c r="AQ45" s="323"/>
      <c r="AR45" s="323"/>
    </row>
    <row r="46" spans="1:44" ht="40.799999999999997">
      <c r="B46" s="103" t="s">
        <v>430</v>
      </c>
      <c r="C46" s="312" t="s">
        <v>450</v>
      </c>
      <c r="D46" s="310" t="s">
        <v>304</v>
      </c>
      <c r="E46" s="310" t="s">
        <v>392</v>
      </c>
      <c r="F46" s="307" t="s">
        <v>440</v>
      </c>
      <c r="G46" s="306" t="s">
        <v>441</v>
      </c>
      <c r="H46" s="164">
        <v>0.4</v>
      </c>
      <c r="I46" s="103"/>
      <c r="J46" s="160">
        <f>VLOOKUP(B46,'[2]MASTER PART LIST'!$B:$C,2,FALSE)</f>
        <v>393</v>
      </c>
      <c r="K46" s="163">
        <f>VLOOKUP(B46,'[2]MASTER PART LIST'!$B:$D,3,FALSE)</f>
        <v>561</v>
      </c>
      <c r="L46" s="163">
        <f>K46+(H46*VLOOKUP(prov_cd,rate_table,2,FALSE))</f>
        <v>629.4</v>
      </c>
      <c r="M46" s="188"/>
      <c r="N46" s="188"/>
      <c r="O46" s="188" t="s">
        <v>18</v>
      </c>
      <c r="P46" s="188" t="s">
        <v>18</v>
      </c>
      <c r="Q46" s="188"/>
      <c r="R46" s="188"/>
      <c r="S46" s="188" t="s">
        <v>18</v>
      </c>
      <c r="T46" s="188" t="s">
        <v>18</v>
      </c>
      <c r="U46" s="115" t="s">
        <v>478</v>
      </c>
      <c r="V46" s="115" t="s">
        <v>479</v>
      </c>
      <c r="W46" s="246">
        <v>27</v>
      </c>
      <c r="X46" s="125"/>
      <c r="Y46" s="125"/>
      <c r="Z46" s="125"/>
      <c r="AA46" s="125"/>
      <c r="AB46" s="125"/>
      <c r="AC46" s="125"/>
      <c r="AD46" s="125"/>
      <c r="AE46" s="125"/>
      <c r="AF46" s="125"/>
      <c r="AG46" s="188"/>
      <c r="AH46" s="173"/>
      <c r="AI46" s="173"/>
      <c r="AJ46" s="188"/>
      <c r="AK46" s="188"/>
      <c r="AL46" s="188" t="s">
        <v>18</v>
      </c>
      <c r="AM46" s="188"/>
      <c r="AN46" s="188"/>
      <c r="AO46" s="188"/>
      <c r="AP46" s="188"/>
      <c r="AQ46" s="323" t="s">
        <v>495</v>
      </c>
      <c r="AR46" s="323"/>
    </row>
    <row r="47" spans="1:44" ht="40.799999999999997">
      <c r="B47" s="103" t="s">
        <v>195</v>
      </c>
      <c r="C47" s="312" t="s">
        <v>449</v>
      </c>
      <c r="D47" s="310" t="s">
        <v>305</v>
      </c>
      <c r="E47" s="310" t="s">
        <v>393</v>
      </c>
      <c r="F47" s="307" t="s">
        <v>439</v>
      </c>
      <c r="G47" s="306" t="s">
        <v>442</v>
      </c>
      <c r="H47" s="164">
        <v>0.4</v>
      </c>
      <c r="I47" s="103"/>
      <c r="J47" s="160">
        <f>VLOOKUP(B47,'[2]MASTER PART LIST'!$B:$C,2,FALSE)</f>
        <v>300</v>
      </c>
      <c r="K47" s="163">
        <f>VLOOKUP(B47,'[2]MASTER PART LIST'!$B:$D,3,FALSE)</f>
        <v>500</v>
      </c>
      <c r="L47" s="163">
        <f>K47+(H47*VLOOKUP(prov_cd,rate_table,2,FALSE))</f>
        <v>568.4</v>
      </c>
      <c r="M47" s="188"/>
      <c r="N47" s="188"/>
      <c r="O47" s="188" t="s">
        <v>18</v>
      </c>
      <c r="P47" s="188" t="s">
        <v>18</v>
      </c>
      <c r="Q47" s="188"/>
      <c r="R47" s="188"/>
      <c r="S47" s="188" t="s">
        <v>18</v>
      </c>
      <c r="T47" s="188" t="s">
        <v>18</v>
      </c>
      <c r="U47" s="115" t="s">
        <v>478</v>
      </c>
      <c r="V47" s="115" t="s">
        <v>479</v>
      </c>
      <c r="W47" s="246">
        <v>44</v>
      </c>
      <c r="X47" s="125"/>
      <c r="Y47" s="125"/>
      <c r="Z47" s="125"/>
      <c r="AA47" s="125"/>
      <c r="AB47" s="125"/>
      <c r="AC47" s="125"/>
      <c r="AD47" s="125"/>
      <c r="AE47" s="125"/>
      <c r="AF47" s="125"/>
      <c r="AG47" s="188"/>
      <c r="AH47" s="173"/>
      <c r="AI47" s="173"/>
      <c r="AJ47" s="188"/>
      <c r="AK47" s="188"/>
      <c r="AL47" s="188" t="s">
        <v>18</v>
      </c>
      <c r="AM47" s="188"/>
      <c r="AN47" s="188"/>
      <c r="AO47" s="188"/>
      <c r="AP47" s="188"/>
      <c r="AQ47" s="323" t="s">
        <v>495</v>
      </c>
      <c r="AR47" s="323"/>
    </row>
    <row r="48" spans="1:44" ht="40.799999999999997">
      <c r="B48" s="103" t="s">
        <v>170</v>
      </c>
      <c r="C48" s="312" t="s">
        <v>451</v>
      </c>
      <c r="D48" s="310" t="s">
        <v>173</v>
      </c>
      <c r="E48" s="310" t="s">
        <v>394</v>
      </c>
      <c r="F48" s="307" t="s">
        <v>438</v>
      </c>
      <c r="G48" s="306" t="s">
        <v>443</v>
      </c>
      <c r="H48" s="164">
        <v>0.2</v>
      </c>
      <c r="I48" s="103"/>
      <c r="J48" s="160">
        <f>VLOOKUP(B48,'[2]MASTER PART LIST'!$B:$C,2,FALSE)</f>
        <v>426</v>
      </c>
      <c r="K48" s="163">
        <f>VLOOKUP(B48,'[2]MASTER PART LIST'!$B:$D,3,FALSE)</f>
        <v>710</v>
      </c>
      <c r="L48" s="163">
        <f>K48+(H48*VLOOKUP(prov_cd,rate_table,2,FALSE))</f>
        <v>744.2</v>
      </c>
      <c r="M48" s="188"/>
      <c r="N48" s="188"/>
      <c r="O48" s="188" t="s">
        <v>18</v>
      </c>
      <c r="P48" s="188" t="s">
        <v>18</v>
      </c>
      <c r="Q48" s="188"/>
      <c r="R48" s="188"/>
      <c r="S48" s="188" t="s">
        <v>18</v>
      </c>
      <c r="T48" s="188" t="s">
        <v>18</v>
      </c>
      <c r="U48" s="115" t="s">
        <v>478</v>
      </c>
      <c r="V48" s="115" t="s">
        <v>479</v>
      </c>
      <c r="W48" s="246">
        <v>28</v>
      </c>
      <c r="X48" s="125"/>
      <c r="Y48" s="125"/>
      <c r="Z48" s="125"/>
      <c r="AA48" s="125"/>
      <c r="AB48" s="125"/>
      <c r="AC48" s="125"/>
      <c r="AD48" s="125"/>
      <c r="AE48" s="125"/>
      <c r="AF48" s="125"/>
      <c r="AG48" s="188"/>
      <c r="AH48" s="173"/>
      <c r="AI48" s="173"/>
      <c r="AJ48" s="188"/>
      <c r="AK48" s="188"/>
      <c r="AL48" s="188" t="s">
        <v>18</v>
      </c>
      <c r="AM48" s="188"/>
      <c r="AN48" s="188"/>
      <c r="AO48" s="188"/>
      <c r="AP48" s="188"/>
      <c r="AQ48" s="323" t="s">
        <v>495</v>
      </c>
      <c r="AR48" s="323"/>
    </row>
    <row r="49" spans="2:44" ht="81.599999999999994">
      <c r="B49" s="103" t="s">
        <v>428</v>
      </c>
      <c r="C49" s="312" t="s">
        <v>452</v>
      </c>
      <c r="D49" s="310" t="s">
        <v>310</v>
      </c>
      <c r="E49" s="310" t="s">
        <v>395</v>
      </c>
      <c r="F49" s="307" t="s">
        <v>437</v>
      </c>
      <c r="G49" s="306" t="s">
        <v>444</v>
      </c>
      <c r="H49" s="164">
        <v>0.4</v>
      </c>
      <c r="I49" s="103"/>
      <c r="J49" s="160">
        <f>VLOOKUP(B49,'[2]MASTER PART LIST'!$B:$C,2,FALSE)</f>
        <v>213</v>
      </c>
      <c r="K49" s="163">
        <f>VLOOKUP(B49,'[2]MASTER PART LIST'!$B:$D,3,FALSE)</f>
        <v>355</v>
      </c>
      <c r="L49" s="163">
        <f>K49+(H49*VLOOKUP(prov_cd,rate_table,2,FALSE))</f>
        <v>423.4</v>
      </c>
      <c r="M49" s="188"/>
      <c r="N49" s="188"/>
      <c r="O49" s="188" t="s">
        <v>18</v>
      </c>
      <c r="P49" s="188" t="s">
        <v>18</v>
      </c>
      <c r="Q49" s="188"/>
      <c r="R49" s="188"/>
      <c r="S49" s="188" t="s">
        <v>18</v>
      </c>
      <c r="T49" s="188" t="s">
        <v>18</v>
      </c>
      <c r="U49" s="115" t="s">
        <v>478</v>
      </c>
      <c r="V49" s="115" t="s">
        <v>479</v>
      </c>
      <c r="W49" s="246">
        <v>45</v>
      </c>
      <c r="X49" s="125"/>
      <c r="Y49" s="125"/>
      <c r="Z49" s="125"/>
      <c r="AA49" s="125"/>
      <c r="AB49" s="125"/>
      <c r="AC49" s="125"/>
      <c r="AD49" s="125"/>
      <c r="AE49" s="125"/>
      <c r="AF49" s="125"/>
      <c r="AG49" s="188"/>
      <c r="AH49" s="173"/>
      <c r="AI49" s="173"/>
      <c r="AJ49" s="188"/>
      <c r="AK49" s="188"/>
      <c r="AL49" s="188" t="s">
        <v>18</v>
      </c>
      <c r="AM49" s="188"/>
      <c r="AN49" s="188"/>
      <c r="AO49" s="188"/>
      <c r="AP49" s="188"/>
      <c r="AQ49" s="323" t="s">
        <v>495</v>
      </c>
      <c r="AR49" s="323"/>
    </row>
    <row r="50" spans="2:44" ht="81.599999999999994">
      <c r="B50" s="103" t="s">
        <v>429</v>
      </c>
      <c r="C50" s="312" t="s">
        <v>453</v>
      </c>
      <c r="D50" s="310" t="s">
        <v>172</v>
      </c>
      <c r="E50" s="310" t="s">
        <v>396</v>
      </c>
      <c r="F50" s="307" t="s">
        <v>436</v>
      </c>
      <c r="G50" s="306" t="s">
        <v>445</v>
      </c>
      <c r="H50" s="164">
        <v>0.4</v>
      </c>
      <c r="I50" s="103"/>
      <c r="J50" s="160">
        <f>VLOOKUP(B50,'[2]MASTER PART LIST'!$B:$C,2,FALSE)</f>
        <v>442</v>
      </c>
      <c r="K50" s="163">
        <f>VLOOKUP(B50,'[2]MASTER PART LIST'!$B:$D,3,FALSE)</f>
        <v>737</v>
      </c>
      <c r="L50" s="163">
        <f t="shared" ref="L50:L58" si="18">K50+(H50*VLOOKUP(prov_cd,rate_table,2,FALSE))</f>
        <v>805.4</v>
      </c>
      <c r="M50" s="188"/>
      <c r="N50" s="188"/>
      <c r="O50" s="188" t="s">
        <v>18</v>
      </c>
      <c r="P50" s="188" t="s">
        <v>18</v>
      </c>
      <c r="Q50" s="188"/>
      <c r="R50" s="188"/>
      <c r="S50" s="188" t="s">
        <v>18</v>
      </c>
      <c r="T50" s="188" t="s">
        <v>18</v>
      </c>
      <c r="U50" s="115" t="s">
        <v>478</v>
      </c>
      <c r="V50" s="115" t="s">
        <v>479</v>
      </c>
      <c r="W50" s="246">
        <v>46</v>
      </c>
      <c r="X50" s="125"/>
      <c r="Y50" s="125"/>
      <c r="Z50" s="125"/>
      <c r="AA50" s="125"/>
      <c r="AB50" s="125"/>
      <c r="AC50" s="125"/>
      <c r="AD50" s="125"/>
      <c r="AE50" s="125"/>
      <c r="AF50" s="125"/>
      <c r="AG50" s="188"/>
      <c r="AH50" s="173"/>
      <c r="AI50" s="173"/>
      <c r="AJ50" s="188"/>
      <c r="AK50" s="188"/>
      <c r="AL50" s="188" t="s">
        <v>18</v>
      </c>
      <c r="AM50" s="188"/>
      <c r="AN50" s="188"/>
      <c r="AO50" s="188"/>
      <c r="AP50" s="188"/>
      <c r="AQ50" s="323" t="s">
        <v>495</v>
      </c>
      <c r="AR50" s="323"/>
    </row>
    <row r="51" spans="2:44" ht="81.599999999999994">
      <c r="B51" s="103" t="s">
        <v>169</v>
      </c>
      <c r="C51" s="312" t="s">
        <v>454</v>
      </c>
      <c r="D51" s="310" t="s">
        <v>306</v>
      </c>
      <c r="E51" s="310" t="s">
        <v>307</v>
      </c>
      <c r="F51" s="307" t="s">
        <v>433</v>
      </c>
      <c r="G51" s="306" t="s">
        <v>446</v>
      </c>
      <c r="H51" s="164">
        <v>0.2</v>
      </c>
      <c r="I51" s="103"/>
      <c r="J51" s="160">
        <f>VLOOKUP(B51,'[2]MASTER PART LIST'!$B:$C,2,FALSE)</f>
        <v>820</v>
      </c>
      <c r="K51" s="163">
        <f>VLOOKUP(B51,'[2]MASTER PART LIST'!$B:$D,3,FALSE)</f>
        <v>1367</v>
      </c>
      <c r="L51" s="163">
        <f t="shared" si="18"/>
        <v>1401.2</v>
      </c>
      <c r="M51" s="188"/>
      <c r="N51" s="188"/>
      <c r="O51" s="188" t="s">
        <v>18</v>
      </c>
      <c r="P51" s="188" t="s">
        <v>18</v>
      </c>
      <c r="Q51" s="188"/>
      <c r="R51" s="188"/>
      <c r="S51" s="188" t="s">
        <v>18</v>
      </c>
      <c r="T51" s="188" t="s">
        <v>18</v>
      </c>
      <c r="U51" s="115" t="s">
        <v>478</v>
      </c>
      <c r="V51" s="115" t="s">
        <v>479</v>
      </c>
      <c r="W51" s="246">
        <v>47</v>
      </c>
      <c r="X51" s="125"/>
      <c r="Y51" s="125"/>
      <c r="Z51" s="125"/>
      <c r="AA51" s="125"/>
      <c r="AB51" s="125"/>
      <c r="AC51" s="125"/>
      <c r="AD51" s="125"/>
      <c r="AE51" s="125"/>
      <c r="AF51" s="125"/>
      <c r="AG51" s="188"/>
      <c r="AH51" s="173"/>
      <c r="AI51" s="173"/>
      <c r="AJ51" s="188"/>
      <c r="AK51" s="188"/>
      <c r="AL51" s="188" t="s">
        <v>18</v>
      </c>
      <c r="AM51" s="188"/>
      <c r="AN51" s="188"/>
      <c r="AO51" s="188"/>
      <c r="AP51" s="188"/>
      <c r="AQ51" s="323" t="s">
        <v>495</v>
      </c>
      <c r="AR51" s="323"/>
    </row>
    <row r="52" spans="2:44" ht="91.8">
      <c r="B52" s="103" t="s">
        <v>194</v>
      </c>
      <c r="C52" s="312" t="s">
        <v>455</v>
      </c>
      <c r="D52" s="310" t="s">
        <v>308</v>
      </c>
      <c r="E52" s="310" t="s">
        <v>397</v>
      </c>
      <c r="F52" s="307" t="s">
        <v>434</v>
      </c>
      <c r="G52" s="306" t="s">
        <v>447</v>
      </c>
      <c r="H52" s="164">
        <v>0.2</v>
      </c>
      <c r="I52" s="103"/>
      <c r="J52" s="160">
        <f>VLOOKUP(B52,'[2]MASTER PART LIST'!$B:$C,2,FALSE)</f>
        <v>898</v>
      </c>
      <c r="K52" s="163">
        <f>VLOOKUP(B52,'[2]MASTER PART LIST'!$B:$D,3,FALSE)</f>
        <v>1497</v>
      </c>
      <c r="L52" s="163">
        <f t="shared" si="18"/>
        <v>1531.2</v>
      </c>
      <c r="M52" s="188"/>
      <c r="N52" s="188"/>
      <c r="O52" s="188" t="s">
        <v>18</v>
      </c>
      <c r="P52" s="188" t="s">
        <v>18</v>
      </c>
      <c r="Q52" s="188"/>
      <c r="R52" s="188"/>
      <c r="S52" s="188" t="s">
        <v>18</v>
      </c>
      <c r="T52" s="188" t="s">
        <v>18</v>
      </c>
      <c r="U52" s="115" t="s">
        <v>478</v>
      </c>
      <c r="V52" s="115" t="s">
        <v>479</v>
      </c>
      <c r="W52" s="246">
        <v>48</v>
      </c>
      <c r="X52" s="125"/>
      <c r="Y52" s="125"/>
      <c r="Z52" s="125"/>
      <c r="AA52" s="125"/>
      <c r="AB52" s="125"/>
      <c r="AC52" s="125"/>
      <c r="AD52" s="125"/>
      <c r="AE52" s="125"/>
      <c r="AF52" s="125"/>
      <c r="AG52" s="188"/>
      <c r="AH52" s="173"/>
      <c r="AI52" s="173"/>
      <c r="AJ52" s="188"/>
      <c r="AK52" s="188"/>
      <c r="AL52" s="188" t="s">
        <v>18</v>
      </c>
      <c r="AM52" s="188"/>
      <c r="AN52" s="188"/>
      <c r="AO52" s="188"/>
      <c r="AP52" s="188"/>
      <c r="AQ52" s="323" t="s">
        <v>495</v>
      </c>
      <c r="AR52" s="323"/>
    </row>
    <row r="53" spans="2:44" ht="102">
      <c r="B53" s="103" t="s">
        <v>427</v>
      </c>
      <c r="C53" s="312" t="s">
        <v>456</v>
      </c>
      <c r="D53" s="310" t="s">
        <v>171</v>
      </c>
      <c r="E53" s="310" t="s">
        <v>309</v>
      </c>
      <c r="F53" s="307" t="s">
        <v>435</v>
      </c>
      <c r="G53" s="306" t="s">
        <v>448</v>
      </c>
      <c r="H53" s="164">
        <v>0.4</v>
      </c>
      <c r="I53" s="103"/>
      <c r="J53" s="160">
        <f>VLOOKUP(B53,'[2]MASTER PART LIST'!$B:$C,2,FALSE)</f>
        <v>586</v>
      </c>
      <c r="K53" s="163">
        <f>VLOOKUP(B53,'[2]MASTER PART LIST'!$B:$D,3,FALSE)</f>
        <v>977</v>
      </c>
      <c r="L53" s="163">
        <f t="shared" si="18"/>
        <v>1045.4000000000001</v>
      </c>
      <c r="M53" s="188"/>
      <c r="N53" s="188"/>
      <c r="O53" s="188" t="s">
        <v>18</v>
      </c>
      <c r="P53" s="188" t="s">
        <v>18</v>
      </c>
      <c r="Q53" s="188"/>
      <c r="R53" s="188"/>
      <c r="S53" s="188" t="s">
        <v>18</v>
      </c>
      <c r="T53" s="188" t="s">
        <v>18</v>
      </c>
      <c r="U53" s="115" t="s">
        <v>478</v>
      </c>
      <c r="V53" s="115" t="s">
        <v>479</v>
      </c>
      <c r="W53" s="246">
        <v>49</v>
      </c>
      <c r="X53" s="125"/>
      <c r="Y53" s="125"/>
      <c r="Z53" s="125"/>
      <c r="AA53" s="125"/>
      <c r="AB53" s="125"/>
      <c r="AC53" s="125"/>
      <c r="AD53" s="125"/>
      <c r="AE53" s="125"/>
      <c r="AF53" s="125"/>
      <c r="AG53" s="188"/>
      <c r="AH53" s="173"/>
      <c r="AI53" s="173"/>
      <c r="AJ53" s="188"/>
      <c r="AK53" s="188"/>
      <c r="AL53" s="188" t="s">
        <v>18</v>
      </c>
      <c r="AM53" s="188"/>
      <c r="AN53" s="188"/>
      <c r="AO53" s="188"/>
      <c r="AP53" s="188"/>
      <c r="AQ53" s="323" t="s">
        <v>495</v>
      </c>
      <c r="AR53" s="323"/>
    </row>
    <row r="54" spans="2:44" ht="61.2">
      <c r="B54" s="103" t="s">
        <v>431</v>
      </c>
      <c r="C54" s="312" t="s">
        <v>457</v>
      </c>
      <c r="D54" s="310" t="s">
        <v>311</v>
      </c>
      <c r="E54" s="310" t="s">
        <v>398</v>
      </c>
      <c r="F54" s="309" t="s">
        <v>422</v>
      </c>
      <c r="G54" s="309" t="s">
        <v>423</v>
      </c>
      <c r="H54" s="164">
        <v>0</v>
      </c>
      <c r="I54" s="103"/>
      <c r="J54" s="160">
        <f>VLOOKUP(B54,'[2]MASTER PART LIST'!$B:$C,2,FALSE)</f>
        <v>490</v>
      </c>
      <c r="K54" s="163">
        <f>VLOOKUP(B54,'[2]MASTER PART LIST'!$B:$D,3,FALSE)</f>
        <v>700</v>
      </c>
      <c r="L54" s="163">
        <f t="shared" si="18"/>
        <v>700</v>
      </c>
      <c r="M54" s="188"/>
      <c r="N54" s="188"/>
      <c r="O54" s="188" t="s">
        <v>18</v>
      </c>
      <c r="P54" s="188" t="s">
        <v>18</v>
      </c>
      <c r="Q54" s="188"/>
      <c r="R54" s="188"/>
      <c r="S54" s="188" t="s">
        <v>18</v>
      </c>
      <c r="T54" s="188" t="s">
        <v>18</v>
      </c>
      <c r="U54" s="115"/>
      <c r="V54" s="115"/>
      <c r="W54" s="246">
        <v>60</v>
      </c>
      <c r="X54" s="125"/>
      <c r="Y54" s="125"/>
      <c r="Z54" s="125"/>
      <c r="AA54" s="125"/>
      <c r="AB54" s="125"/>
      <c r="AC54" s="125"/>
      <c r="AD54" s="125"/>
      <c r="AE54" s="125"/>
      <c r="AF54" s="125"/>
      <c r="AG54" s="188"/>
      <c r="AH54" s="173"/>
      <c r="AI54" s="173"/>
      <c r="AJ54" s="188"/>
      <c r="AK54" s="188"/>
      <c r="AL54" s="188" t="s">
        <v>18</v>
      </c>
      <c r="AM54" s="188"/>
      <c r="AN54" s="188"/>
      <c r="AO54" s="188"/>
      <c r="AP54" s="188"/>
      <c r="AQ54" s="323"/>
      <c r="AR54" s="323"/>
    </row>
    <row r="55" spans="2:44" ht="30.6">
      <c r="B55" s="103" t="s">
        <v>240</v>
      </c>
      <c r="C55" s="103" t="str">
        <f t="shared" ref="C55:C62" si="19">B55</f>
        <v>08P17-3BM-120A</v>
      </c>
      <c r="D55" s="310" t="s">
        <v>295</v>
      </c>
      <c r="E55" s="310" t="s">
        <v>399</v>
      </c>
      <c r="F55" s="309" t="s">
        <v>317</v>
      </c>
      <c r="G55" s="309" t="s">
        <v>400</v>
      </c>
      <c r="H55" s="164">
        <v>0.1</v>
      </c>
      <c r="I55" s="103"/>
      <c r="J55" s="160">
        <f>VLOOKUP(B55,'[2]MASTER PART LIST'!$B:$C,2,FALSE)</f>
        <v>216</v>
      </c>
      <c r="K55" s="163">
        <f>VLOOKUP(B55,'[2]MASTER PART LIST'!$B:$D,3,FALSE)</f>
        <v>360</v>
      </c>
      <c r="L55" s="163">
        <f t="shared" si="18"/>
        <v>377.1</v>
      </c>
      <c r="M55" s="188"/>
      <c r="N55" s="188"/>
      <c r="O55" s="188" t="s">
        <v>18</v>
      </c>
      <c r="P55" s="188" t="s">
        <v>18</v>
      </c>
      <c r="Q55" s="188"/>
      <c r="R55" s="188"/>
      <c r="S55" s="188" t="s">
        <v>18</v>
      </c>
      <c r="T55" s="188" t="s">
        <v>18</v>
      </c>
      <c r="U55" s="115"/>
      <c r="V55" s="115"/>
      <c r="W55" s="246">
        <v>31</v>
      </c>
      <c r="X55" s="125"/>
      <c r="Y55" s="125"/>
      <c r="Z55" s="125"/>
      <c r="AA55" s="125"/>
      <c r="AB55" s="125"/>
      <c r="AC55" s="125"/>
      <c r="AD55" s="125"/>
      <c r="AE55" s="125"/>
      <c r="AF55" s="125"/>
      <c r="AG55" s="188"/>
      <c r="AH55" s="173"/>
      <c r="AI55" s="173"/>
      <c r="AJ55" s="188"/>
      <c r="AK55" s="188"/>
      <c r="AL55" s="188" t="s">
        <v>18</v>
      </c>
      <c r="AM55" s="188"/>
      <c r="AN55" s="188"/>
      <c r="AO55" s="188"/>
      <c r="AP55" s="188"/>
      <c r="AQ55" s="323"/>
      <c r="AR55" s="322" t="s">
        <v>517</v>
      </c>
    </row>
    <row r="56" spans="2:44" ht="30.6">
      <c r="B56" s="103" t="s">
        <v>244</v>
      </c>
      <c r="C56" s="103" t="str">
        <f t="shared" si="19"/>
        <v>08U45-3BM-100</v>
      </c>
      <c r="D56" s="310" t="s">
        <v>167</v>
      </c>
      <c r="E56" s="310" t="s">
        <v>401</v>
      </c>
      <c r="F56" s="309" t="s">
        <v>318</v>
      </c>
      <c r="G56" s="309" t="s">
        <v>402</v>
      </c>
      <c r="H56" s="164">
        <v>0.1</v>
      </c>
      <c r="I56" s="103"/>
      <c r="J56" s="160">
        <f>VLOOKUP(B56,'[2]MASTER PART LIST'!$B:$C,2,FALSE)</f>
        <v>124</v>
      </c>
      <c r="K56" s="163">
        <f>VLOOKUP(B56,'[2]MASTER PART LIST'!$B:$D,3,FALSE)</f>
        <v>207</v>
      </c>
      <c r="L56" s="163">
        <f t="shared" si="18"/>
        <v>224.1</v>
      </c>
      <c r="M56" s="188"/>
      <c r="N56" s="188"/>
      <c r="O56" s="188" t="s">
        <v>18</v>
      </c>
      <c r="P56" s="188" t="s">
        <v>18</v>
      </c>
      <c r="Q56" s="188"/>
      <c r="R56" s="188"/>
      <c r="S56" s="188" t="s">
        <v>18</v>
      </c>
      <c r="T56" s="188" t="s">
        <v>18</v>
      </c>
      <c r="U56" s="115"/>
      <c r="V56" s="115"/>
      <c r="W56" s="246">
        <v>32</v>
      </c>
      <c r="X56" s="125"/>
      <c r="Y56" s="125"/>
      <c r="Z56" s="125"/>
      <c r="AA56" s="125"/>
      <c r="AB56" s="125"/>
      <c r="AC56" s="125"/>
      <c r="AD56" s="125"/>
      <c r="AE56" s="125"/>
      <c r="AF56" s="125"/>
      <c r="AG56" s="188"/>
      <c r="AH56" s="173"/>
      <c r="AI56" s="173"/>
      <c r="AJ56" s="188"/>
      <c r="AK56" s="188"/>
      <c r="AL56" s="188" t="s">
        <v>18</v>
      </c>
      <c r="AM56" s="188"/>
      <c r="AN56" s="188"/>
      <c r="AO56" s="188"/>
      <c r="AP56" s="188"/>
      <c r="AQ56" s="323"/>
      <c r="AR56" s="322" t="s">
        <v>517</v>
      </c>
    </row>
    <row r="57" spans="2:44" ht="30.6">
      <c r="B57" s="103" t="s">
        <v>250</v>
      </c>
      <c r="C57" s="103" t="str">
        <f t="shared" si="19"/>
        <v>08U35-3BM-310</v>
      </c>
      <c r="D57" s="310" t="s">
        <v>190</v>
      </c>
      <c r="E57" s="310" t="s">
        <v>403</v>
      </c>
      <c r="F57" s="309" t="s">
        <v>319</v>
      </c>
      <c r="G57" s="309" t="s">
        <v>404</v>
      </c>
      <c r="H57" s="164">
        <v>0.1</v>
      </c>
      <c r="I57" s="103"/>
      <c r="J57" s="160">
        <f>VLOOKUP(B57,'[2]MASTER PART LIST'!$B:$C,2,FALSE)</f>
        <v>281</v>
      </c>
      <c r="K57" s="163">
        <f>VLOOKUP(B57,'[2]MASTER PART LIST'!$B:$D,3,FALSE)</f>
        <v>468</v>
      </c>
      <c r="L57" s="163">
        <f>K57+(H57*VLOOKUP(prov_cd,rate_table,2,FALSE))</f>
        <v>485.1</v>
      </c>
      <c r="M57" s="188"/>
      <c r="N57" s="188"/>
      <c r="O57" s="188" t="s">
        <v>18</v>
      </c>
      <c r="P57" s="188" t="s">
        <v>18</v>
      </c>
      <c r="Q57" s="188"/>
      <c r="R57" s="188"/>
      <c r="S57" s="188" t="s">
        <v>18</v>
      </c>
      <c r="T57" s="188" t="s">
        <v>18</v>
      </c>
      <c r="U57" s="115" t="s">
        <v>481</v>
      </c>
      <c r="V57" s="115" t="s">
        <v>483</v>
      </c>
      <c r="W57" s="246">
        <v>33</v>
      </c>
      <c r="X57" s="125"/>
      <c r="Y57" s="125"/>
      <c r="Z57" s="125"/>
      <c r="AA57" s="125"/>
      <c r="AB57" s="125"/>
      <c r="AC57" s="125"/>
      <c r="AD57" s="125"/>
      <c r="AE57" s="125"/>
      <c r="AF57" s="125"/>
      <c r="AG57" s="188"/>
      <c r="AH57" s="173"/>
      <c r="AI57" s="173"/>
      <c r="AJ57" s="188"/>
      <c r="AK57" s="188"/>
      <c r="AL57" s="188" t="s">
        <v>18</v>
      </c>
      <c r="AM57" s="188"/>
      <c r="AN57" s="188"/>
      <c r="AO57" s="188"/>
      <c r="AP57" s="188"/>
      <c r="AQ57" s="323"/>
      <c r="AR57" s="322" t="s">
        <v>518</v>
      </c>
    </row>
    <row r="58" spans="2:44" ht="81.599999999999994">
      <c r="B58" s="103" t="s">
        <v>241</v>
      </c>
      <c r="C58" s="103" t="str">
        <f t="shared" si="19"/>
        <v>08P42-3BM-100</v>
      </c>
      <c r="D58" s="310" t="s">
        <v>168</v>
      </c>
      <c r="E58" s="310" t="s">
        <v>405</v>
      </c>
      <c r="F58" s="309" t="s">
        <v>320</v>
      </c>
      <c r="G58" s="309" t="s">
        <v>406</v>
      </c>
      <c r="H58" s="164">
        <v>0.2</v>
      </c>
      <c r="I58" s="103"/>
      <c r="J58" s="160">
        <f>VLOOKUP(B58,'[2]MASTER PART LIST'!$B:$C,2,FALSE)</f>
        <v>127</v>
      </c>
      <c r="K58" s="163">
        <f>VLOOKUP(B58,'[2]MASTER PART LIST'!$B:$D,3,FALSE)</f>
        <v>212</v>
      </c>
      <c r="L58" s="163">
        <f t="shared" si="18"/>
        <v>246.2</v>
      </c>
      <c r="M58" s="188"/>
      <c r="N58" s="188"/>
      <c r="O58" s="188" t="s">
        <v>18</v>
      </c>
      <c r="P58" s="188" t="s">
        <v>18</v>
      </c>
      <c r="Q58" s="188"/>
      <c r="R58" s="188"/>
      <c r="S58" s="188" t="s">
        <v>18</v>
      </c>
      <c r="T58" s="188" t="s">
        <v>18</v>
      </c>
      <c r="U58" s="115"/>
      <c r="V58" s="115"/>
      <c r="W58" s="246">
        <v>34</v>
      </c>
      <c r="X58" s="125"/>
      <c r="Y58" s="125"/>
      <c r="Z58" s="125"/>
      <c r="AA58" s="125"/>
      <c r="AB58" s="125"/>
      <c r="AC58" s="125"/>
      <c r="AD58" s="125"/>
      <c r="AE58" s="125"/>
      <c r="AF58" s="125"/>
      <c r="AG58" s="188"/>
      <c r="AH58" s="173"/>
      <c r="AI58" s="173"/>
      <c r="AJ58" s="188"/>
      <c r="AK58" s="188"/>
      <c r="AL58" s="188" t="s">
        <v>18</v>
      </c>
      <c r="AM58" s="188"/>
      <c r="AN58" s="188"/>
      <c r="AO58" s="188"/>
      <c r="AP58" s="188"/>
      <c r="AQ58" s="323"/>
      <c r="AR58" s="322" t="s">
        <v>519</v>
      </c>
    </row>
    <row r="59" spans="2:44" ht="40.799999999999997">
      <c r="B59" s="103" t="s">
        <v>249</v>
      </c>
      <c r="C59" s="103" t="str">
        <f t="shared" si="19"/>
        <v>08U35-3BM-300A</v>
      </c>
      <c r="D59" s="310" t="s">
        <v>254</v>
      </c>
      <c r="E59" s="310" t="s">
        <v>321</v>
      </c>
      <c r="F59" s="309" t="s">
        <v>322</v>
      </c>
      <c r="G59" s="309" t="s">
        <v>323</v>
      </c>
      <c r="H59" s="164">
        <v>0.4</v>
      </c>
      <c r="I59" s="103"/>
      <c r="J59" s="160">
        <f>VLOOKUP(B59,'[2]MASTER PART LIST'!$B:$C,2,FALSE)</f>
        <v>638</v>
      </c>
      <c r="K59" s="163">
        <f>VLOOKUP(B59,'[2]MASTER PART LIST'!$B:$D,3,FALSE)</f>
        <v>1063</v>
      </c>
      <c r="L59" s="163">
        <f>K59+(H59*VLOOKUP(prov_cd,rate_table,2,FALSE))</f>
        <v>1131.4000000000001</v>
      </c>
      <c r="M59" s="188"/>
      <c r="N59" s="188"/>
      <c r="O59" s="188" t="s">
        <v>18</v>
      </c>
      <c r="P59" s="188" t="s">
        <v>18</v>
      </c>
      <c r="Q59" s="188"/>
      <c r="R59" s="188"/>
      <c r="S59" s="188" t="s">
        <v>18</v>
      </c>
      <c r="T59" s="188" t="s">
        <v>18</v>
      </c>
      <c r="U59" s="115"/>
      <c r="V59" s="115"/>
      <c r="W59" s="246">
        <v>35</v>
      </c>
      <c r="X59" s="125"/>
      <c r="Y59" s="125"/>
      <c r="Z59" s="125"/>
      <c r="AA59" s="125"/>
      <c r="AB59" s="125"/>
      <c r="AC59" s="125"/>
      <c r="AD59" s="125"/>
      <c r="AE59" s="125"/>
      <c r="AF59" s="125"/>
      <c r="AG59" s="188"/>
      <c r="AH59" s="173"/>
      <c r="AI59" s="173"/>
      <c r="AJ59" s="188"/>
      <c r="AK59" s="188"/>
      <c r="AL59" s="188" t="s">
        <v>18</v>
      </c>
      <c r="AM59" s="188"/>
      <c r="AN59" s="188"/>
      <c r="AO59" s="188"/>
      <c r="AP59" s="188"/>
      <c r="AQ59" s="323"/>
      <c r="AR59" s="323"/>
    </row>
    <row r="60" spans="2:44" ht="61.2">
      <c r="B60" s="103" t="s">
        <v>253</v>
      </c>
      <c r="C60" s="103" t="str">
        <f t="shared" si="19"/>
        <v>08Z03-3BM-300</v>
      </c>
      <c r="D60" s="310" t="s">
        <v>482</v>
      </c>
      <c r="E60" s="310" t="s">
        <v>407</v>
      </c>
      <c r="F60" s="309" t="s">
        <v>343</v>
      </c>
      <c r="G60" s="309" t="s">
        <v>408</v>
      </c>
      <c r="H60" s="164">
        <v>0.3</v>
      </c>
      <c r="I60" s="103"/>
      <c r="J60" s="160">
        <f>VLOOKUP(B60,'[2]MASTER PART LIST'!$B:$C,2,FALSE)</f>
        <v>170</v>
      </c>
      <c r="K60" s="163">
        <f>VLOOKUP(B60,'[2]MASTER PART LIST'!$B:$D,3,FALSE)</f>
        <v>283</v>
      </c>
      <c r="L60" s="163">
        <f>K60+(H60*VLOOKUP(prov_cd,rate_table,2,FALSE))</f>
        <v>334.3</v>
      </c>
      <c r="M60" s="188"/>
      <c r="N60" s="188"/>
      <c r="O60" s="188" t="s">
        <v>18</v>
      </c>
      <c r="P60" s="188" t="s">
        <v>18</v>
      </c>
      <c r="Q60" s="188"/>
      <c r="R60" s="188"/>
      <c r="S60" s="188" t="s">
        <v>18</v>
      </c>
      <c r="T60" s="188" t="s">
        <v>18</v>
      </c>
      <c r="U60" s="115"/>
      <c r="V60" s="115"/>
      <c r="W60" s="246">
        <v>36</v>
      </c>
      <c r="X60" s="125"/>
      <c r="Y60" s="125"/>
      <c r="Z60" s="125"/>
      <c r="AA60" s="125"/>
      <c r="AB60" s="125"/>
      <c r="AC60" s="125"/>
      <c r="AD60" s="125"/>
      <c r="AE60" s="125"/>
      <c r="AF60" s="125"/>
      <c r="AG60" s="188"/>
      <c r="AH60" s="173"/>
      <c r="AI60" s="173"/>
      <c r="AJ60" s="188"/>
      <c r="AK60" s="188"/>
      <c r="AL60" s="188" t="s">
        <v>18</v>
      </c>
      <c r="AM60" s="188"/>
      <c r="AN60" s="188"/>
      <c r="AO60" s="188"/>
      <c r="AP60" s="188"/>
      <c r="AQ60" s="323"/>
      <c r="AR60" s="323"/>
    </row>
    <row r="61" spans="2:44" ht="40.799999999999997">
      <c r="B61" s="103" t="s">
        <v>248</v>
      </c>
      <c r="C61" s="103" t="str">
        <f t="shared" si="19"/>
        <v>08L96-3BM-300</v>
      </c>
      <c r="D61" s="310" t="s">
        <v>92</v>
      </c>
      <c r="E61" s="310" t="s">
        <v>409</v>
      </c>
      <c r="F61" s="314" t="s">
        <v>335</v>
      </c>
      <c r="G61" s="309" t="s">
        <v>410</v>
      </c>
      <c r="H61" s="164">
        <v>0.1</v>
      </c>
      <c r="I61" s="103"/>
      <c r="J61" s="160">
        <f>VLOOKUP(B61,'[2]MASTER PART LIST'!$B:$C,2,FALSE)</f>
        <v>60</v>
      </c>
      <c r="K61" s="163">
        <f>VLOOKUP(B61,'[2]MASTER PART LIST'!$B:$D,3,FALSE)</f>
        <v>100</v>
      </c>
      <c r="L61" s="163">
        <f>K61+(H61*VLOOKUP(prov_cd,rate_table,2,FALSE))</f>
        <v>117.1</v>
      </c>
      <c r="M61" s="188"/>
      <c r="N61" s="188"/>
      <c r="O61" s="188" t="s">
        <v>18</v>
      </c>
      <c r="P61" s="188" t="s">
        <v>18</v>
      </c>
      <c r="Q61" s="188"/>
      <c r="R61" s="188"/>
      <c r="S61" s="188" t="s">
        <v>18</v>
      </c>
      <c r="T61" s="188" t="s">
        <v>18</v>
      </c>
      <c r="U61" s="115"/>
      <c r="V61" s="115"/>
      <c r="W61" s="246">
        <v>37</v>
      </c>
      <c r="X61" s="125"/>
      <c r="Y61" s="125"/>
      <c r="Z61" s="125"/>
      <c r="AA61" s="125"/>
      <c r="AB61" s="125"/>
      <c r="AC61" s="125"/>
      <c r="AD61" s="125"/>
      <c r="AE61" s="125"/>
      <c r="AF61" s="125"/>
      <c r="AG61" s="188"/>
      <c r="AH61" s="173"/>
      <c r="AI61" s="173"/>
      <c r="AJ61" s="188"/>
      <c r="AK61" s="188"/>
      <c r="AL61" s="188" t="s">
        <v>18</v>
      </c>
      <c r="AM61" s="188"/>
      <c r="AN61" s="188"/>
      <c r="AO61" s="188"/>
      <c r="AP61" s="188"/>
      <c r="AQ61" s="323"/>
      <c r="AR61" s="323"/>
    </row>
    <row r="62" spans="2:44" ht="51">
      <c r="B62" s="103" t="s">
        <v>265</v>
      </c>
      <c r="C62" s="103" t="str">
        <f t="shared" si="19"/>
        <v>08Z05-3BM-100</v>
      </c>
      <c r="D62" s="310" t="s">
        <v>266</v>
      </c>
      <c r="E62" s="310" t="s">
        <v>411</v>
      </c>
      <c r="F62" s="309" t="s">
        <v>338</v>
      </c>
      <c r="G62" s="309" t="s">
        <v>412</v>
      </c>
      <c r="H62" s="164">
        <v>0.5</v>
      </c>
      <c r="I62" s="103"/>
      <c r="J62" s="160">
        <f>VLOOKUP(B62,'[2]MASTER PART LIST'!$B:$C,2,FALSE)</f>
        <v>590</v>
      </c>
      <c r="K62" s="163">
        <f>VLOOKUP(B62,'[2]MASTER PART LIST'!$B:$D,3,FALSE)</f>
        <v>983</v>
      </c>
      <c r="L62" s="163">
        <f t="shared" ref="L62" si="20">K62+(H62*VLOOKUP(prov_cd,rate_table,2,FALSE))</f>
        <v>1068.5</v>
      </c>
      <c r="M62" s="188"/>
      <c r="N62" s="188"/>
      <c r="O62" s="188" t="s">
        <v>18</v>
      </c>
      <c r="P62" s="188" t="s">
        <v>18</v>
      </c>
      <c r="Q62" s="188"/>
      <c r="R62" s="188"/>
      <c r="S62" s="188" t="s">
        <v>18</v>
      </c>
      <c r="T62" s="188" t="s">
        <v>18</v>
      </c>
      <c r="U62" s="115" t="s">
        <v>480</v>
      </c>
      <c r="V62" s="115" t="s">
        <v>484</v>
      </c>
      <c r="W62" s="246">
        <v>38</v>
      </c>
      <c r="X62" s="125"/>
      <c r="Y62" s="125"/>
      <c r="Z62" s="125"/>
      <c r="AA62" s="125"/>
      <c r="AB62" s="125"/>
      <c r="AC62" s="125"/>
      <c r="AD62" s="125"/>
      <c r="AE62" s="125"/>
      <c r="AF62" s="125"/>
      <c r="AG62" s="188"/>
      <c r="AH62" s="173"/>
      <c r="AI62" s="173"/>
      <c r="AJ62" s="188"/>
      <c r="AK62" s="188"/>
      <c r="AL62" s="188" t="s">
        <v>18</v>
      </c>
      <c r="AM62" s="188"/>
      <c r="AN62" s="188"/>
      <c r="AO62" s="188"/>
      <c r="AP62" s="188"/>
      <c r="AQ62" s="323"/>
      <c r="AR62" s="323" t="s">
        <v>488</v>
      </c>
    </row>
    <row r="63" spans="2:44" ht="40.799999999999997">
      <c r="B63" s="103" t="s">
        <v>238</v>
      </c>
      <c r="C63" s="103" t="str">
        <f>B63</f>
        <v>08P04-3BM-100</v>
      </c>
      <c r="D63" s="310" t="s">
        <v>25</v>
      </c>
      <c r="E63" s="310" t="s">
        <v>413</v>
      </c>
      <c r="F63" s="309" t="s">
        <v>339</v>
      </c>
      <c r="G63" s="309" t="s">
        <v>414</v>
      </c>
      <c r="H63" s="105">
        <v>0.4</v>
      </c>
      <c r="I63" s="103"/>
      <c r="J63" s="160">
        <f>VLOOKUP(B63,'[2]MASTER PART LIST'!$B:$C,2,FALSE)</f>
        <v>118</v>
      </c>
      <c r="K63" s="163">
        <f>VLOOKUP(B63,'[2]MASTER PART LIST'!$B:$D,3,FALSE)</f>
        <v>197</v>
      </c>
      <c r="L63" s="163">
        <f>K63+(H63*VLOOKUP(prov_cd,rate_table,2,FALSE))</f>
        <v>265.39999999999998</v>
      </c>
      <c r="M63" s="188"/>
      <c r="N63" s="188"/>
      <c r="O63" s="188" t="s">
        <v>18</v>
      </c>
      <c r="P63" s="188" t="s">
        <v>18</v>
      </c>
      <c r="Q63" s="188"/>
      <c r="R63" s="188"/>
      <c r="S63" s="188" t="s">
        <v>18</v>
      </c>
      <c r="T63" s="188" t="s">
        <v>18</v>
      </c>
      <c r="U63" s="115"/>
      <c r="V63" s="115"/>
      <c r="W63" s="246">
        <v>43</v>
      </c>
      <c r="X63" s="125"/>
      <c r="Y63" s="125"/>
      <c r="Z63" s="125"/>
      <c r="AA63" s="125"/>
      <c r="AB63" s="125"/>
      <c r="AC63" s="125"/>
      <c r="AD63" s="125"/>
      <c r="AE63" s="125"/>
      <c r="AF63" s="125"/>
      <c r="AG63" s="188"/>
      <c r="AH63" s="188"/>
      <c r="AI63" s="188"/>
      <c r="AJ63" s="188" t="s">
        <v>18</v>
      </c>
      <c r="AK63" s="188"/>
      <c r="AL63" s="188"/>
      <c r="AM63" s="188"/>
      <c r="AN63" s="188"/>
      <c r="AO63" s="188"/>
      <c r="AP63" s="188"/>
      <c r="AQ63" s="323"/>
      <c r="AR63" s="323"/>
    </row>
    <row r="64" spans="2:44" ht="51">
      <c r="B64" s="103" t="s">
        <v>271</v>
      </c>
      <c r="C64" s="312" t="s">
        <v>458</v>
      </c>
      <c r="D64" s="310" t="s">
        <v>267</v>
      </c>
      <c r="E64" s="310" t="s">
        <v>415</v>
      </c>
      <c r="F64" s="309" t="s">
        <v>340</v>
      </c>
      <c r="G64" s="309" t="s">
        <v>416</v>
      </c>
      <c r="H64" s="164">
        <v>0</v>
      </c>
      <c r="I64" s="103"/>
      <c r="J64" s="160">
        <f>VLOOKUP(B64,'[2]MASTER PART LIST'!$B:$C,2,FALSE)</f>
        <v>89</v>
      </c>
      <c r="K64" s="163">
        <f>VLOOKUP(B64,'[2]MASTER PART LIST'!$B:$D,3,FALSE)</f>
        <v>148</v>
      </c>
      <c r="L64" s="163">
        <f t="shared" ref="L64:L66" si="21">K64+(H64*VLOOKUP(prov_cd,rate_table,2,FALSE))</f>
        <v>148</v>
      </c>
      <c r="M64" s="188"/>
      <c r="N64" s="188"/>
      <c r="O64" s="188" t="s">
        <v>18</v>
      </c>
      <c r="P64" s="188" t="s">
        <v>18</v>
      </c>
      <c r="Q64" s="188"/>
      <c r="R64" s="188"/>
      <c r="S64" s="188" t="s">
        <v>18</v>
      </c>
      <c r="T64" s="188" t="s">
        <v>18</v>
      </c>
      <c r="U64" s="115"/>
      <c r="V64" s="115"/>
      <c r="W64" s="246">
        <v>39</v>
      </c>
      <c r="X64" s="125"/>
      <c r="Y64" s="125"/>
      <c r="Z64" s="125"/>
      <c r="AA64" s="125"/>
      <c r="AB64" s="125"/>
      <c r="AC64" s="125"/>
      <c r="AD64" s="125"/>
      <c r="AE64" s="125"/>
      <c r="AF64" s="125"/>
      <c r="AG64" s="188"/>
      <c r="AH64" s="173"/>
      <c r="AI64" s="173"/>
      <c r="AJ64" s="188"/>
      <c r="AK64" s="188"/>
      <c r="AL64" s="188" t="s">
        <v>18</v>
      </c>
      <c r="AM64" s="188"/>
      <c r="AN64" s="188"/>
      <c r="AO64" s="188"/>
      <c r="AP64" s="188"/>
      <c r="AQ64" s="323"/>
      <c r="AR64" s="323"/>
    </row>
    <row r="65" spans="2:44" ht="15.9" customHeight="1">
      <c r="B65" s="103" t="s">
        <v>272</v>
      </c>
      <c r="C65" s="103"/>
      <c r="D65" s="310" t="s">
        <v>99</v>
      </c>
      <c r="E65" s="310" t="s">
        <v>417</v>
      </c>
      <c r="F65" s="308" t="s">
        <v>336</v>
      </c>
      <c r="G65" s="315" t="s">
        <v>337</v>
      </c>
      <c r="H65" s="164">
        <v>0</v>
      </c>
      <c r="I65" s="103"/>
      <c r="J65" s="160">
        <f>VLOOKUP(B65,'[2]MASTER PART LIST'!$B:$C,2,FALSE)</f>
        <v>41</v>
      </c>
      <c r="K65" s="163">
        <f>VLOOKUP(B65,'[2]MASTER PART LIST'!$B:$D,3,FALSE)</f>
        <v>68</v>
      </c>
      <c r="L65" s="163">
        <f t="shared" si="21"/>
        <v>68</v>
      </c>
      <c r="M65" s="188"/>
      <c r="N65" s="188"/>
      <c r="O65" s="188" t="s">
        <v>18</v>
      </c>
      <c r="P65" s="188" t="s">
        <v>18</v>
      </c>
      <c r="Q65" s="188"/>
      <c r="R65" s="188"/>
      <c r="S65" s="188" t="s">
        <v>18</v>
      </c>
      <c r="T65" s="188" t="s">
        <v>18</v>
      </c>
      <c r="U65" s="115"/>
      <c r="V65" s="115"/>
      <c r="W65" s="246">
        <v>250</v>
      </c>
      <c r="X65" s="125"/>
      <c r="Y65" s="125"/>
      <c r="Z65" s="125"/>
      <c r="AA65" s="125"/>
      <c r="AB65" s="125"/>
      <c r="AC65" s="125"/>
      <c r="AD65" s="125"/>
      <c r="AE65" s="125"/>
      <c r="AF65" s="125"/>
      <c r="AG65" s="188"/>
      <c r="AH65" s="173"/>
      <c r="AI65" s="173"/>
      <c r="AJ65" s="188"/>
      <c r="AK65" s="188"/>
      <c r="AL65" s="188" t="s">
        <v>18</v>
      </c>
      <c r="AM65" s="188"/>
      <c r="AN65" s="188"/>
      <c r="AO65" s="188"/>
      <c r="AP65" s="188"/>
      <c r="AQ65" s="323"/>
      <c r="AR65" s="323"/>
    </row>
    <row r="66" spans="2:44" ht="51">
      <c r="B66" s="103" t="s">
        <v>280</v>
      </c>
      <c r="C66" s="103" t="str">
        <f>B66</f>
        <v>08U08-3BM-100</v>
      </c>
      <c r="D66" s="310" t="s">
        <v>281</v>
      </c>
      <c r="E66" s="310" t="s">
        <v>418</v>
      </c>
      <c r="F66" s="309" t="s">
        <v>341</v>
      </c>
      <c r="G66" s="309" t="s">
        <v>419</v>
      </c>
      <c r="H66" s="164"/>
      <c r="I66" s="103"/>
      <c r="J66" s="160">
        <f>VLOOKUP(B66,'[2]MASTER PART LIST'!$B:$C,2,FALSE)</f>
        <v>108</v>
      </c>
      <c r="K66" s="163">
        <f>VLOOKUP(B66,'[2]MASTER PART LIST'!$B:$D,3,FALSE)</f>
        <v>180</v>
      </c>
      <c r="L66" s="163">
        <f t="shared" si="21"/>
        <v>180</v>
      </c>
      <c r="M66" s="188"/>
      <c r="N66" s="188"/>
      <c r="O66" s="188" t="s">
        <v>18</v>
      </c>
      <c r="P66" s="188" t="s">
        <v>18</v>
      </c>
      <c r="Q66" s="188"/>
      <c r="R66" s="188"/>
      <c r="S66" s="188" t="s">
        <v>18</v>
      </c>
      <c r="T66" s="188" t="s">
        <v>18</v>
      </c>
      <c r="U66" s="115"/>
      <c r="V66" s="115"/>
      <c r="W66" s="246">
        <v>40</v>
      </c>
      <c r="X66" s="125"/>
      <c r="Y66" s="125"/>
      <c r="Z66" s="125"/>
      <c r="AA66" s="125"/>
      <c r="AB66" s="125"/>
      <c r="AC66" s="125"/>
      <c r="AD66" s="125"/>
      <c r="AE66" s="125"/>
      <c r="AF66" s="125"/>
      <c r="AG66" s="188"/>
      <c r="AH66" s="173"/>
      <c r="AI66" s="173"/>
      <c r="AJ66" s="188"/>
      <c r="AK66" s="188"/>
      <c r="AL66" s="188" t="s">
        <v>18</v>
      </c>
      <c r="AM66" s="188"/>
      <c r="AN66" s="188"/>
      <c r="AO66" s="188"/>
      <c r="AP66" s="188"/>
      <c r="AQ66" s="323"/>
      <c r="AR66" s="323"/>
    </row>
    <row r="67" spans="2:44" ht="51">
      <c r="B67" s="103" t="s">
        <v>251</v>
      </c>
      <c r="C67" s="103" t="str">
        <f>B67</f>
        <v>08V30-3BM-300</v>
      </c>
      <c r="D67" s="310" t="s">
        <v>252</v>
      </c>
      <c r="E67" s="310" t="s">
        <v>420</v>
      </c>
      <c r="F67" s="309" t="s">
        <v>342</v>
      </c>
      <c r="G67" s="309" t="s">
        <v>421</v>
      </c>
      <c r="H67" s="164">
        <v>0.1</v>
      </c>
      <c r="I67" s="103"/>
      <c r="J67" s="160">
        <f>VLOOKUP(B67,'[2]MASTER PART LIST'!$B:$C,2,FALSE)</f>
        <v>86</v>
      </c>
      <c r="K67" s="163">
        <f>VLOOKUP(B67,'[2]MASTER PART LIST'!$B:$D,3,FALSE)</f>
        <v>143</v>
      </c>
      <c r="L67" s="163">
        <f t="shared" ref="L67:L72" si="22">K67+(H67*VLOOKUP(prov_cd,rate_table,2,FALSE))</f>
        <v>160.1</v>
      </c>
      <c r="M67" s="188"/>
      <c r="N67" s="188"/>
      <c r="O67" s="188" t="s">
        <v>18</v>
      </c>
      <c r="P67" s="188" t="s">
        <v>18</v>
      </c>
      <c r="Q67" s="188"/>
      <c r="R67" s="188"/>
      <c r="S67" s="188" t="s">
        <v>18</v>
      </c>
      <c r="T67" s="188" t="s">
        <v>18</v>
      </c>
      <c r="U67" s="115"/>
      <c r="V67" s="115"/>
      <c r="W67" s="246">
        <v>20</v>
      </c>
      <c r="X67" s="125"/>
      <c r="Y67" s="125"/>
      <c r="Z67" s="125"/>
      <c r="AA67" s="125"/>
      <c r="AB67" s="125"/>
      <c r="AC67" s="125"/>
      <c r="AD67" s="125"/>
      <c r="AE67" s="125"/>
      <c r="AF67" s="125"/>
      <c r="AG67" s="188"/>
      <c r="AH67" s="173"/>
      <c r="AI67" s="173"/>
      <c r="AJ67" s="188"/>
      <c r="AK67" s="188"/>
      <c r="AL67" s="188" t="s">
        <v>18</v>
      </c>
      <c r="AM67" s="188"/>
      <c r="AN67" s="188"/>
      <c r="AO67" s="188"/>
      <c r="AP67" s="188"/>
      <c r="AQ67" s="323"/>
      <c r="AR67" s="323"/>
    </row>
    <row r="68" spans="2:44" ht="15.6">
      <c r="B68" s="103" t="s">
        <v>245</v>
      </c>
      <c r="C68" s="103"/>
      <c r="D68" s="310" t="s">
        <v>246</v>
      </c>
      <c r="E68" s="310"/>
      <c r="F68" s="115"/>
      <c r="G68" s="115"/>
      <c r="H68" s="164">
        <v>1</v>
      </c>
      <c r="I68" s="103"/>
      <c r="J68" s="160">
        <f>VLOOKUP(B68,'[2]MASTER PART LIST'!$B:$C,2,FALSE)</f>
        <v>531</v>
      </c>
      <c r="K68" s="163">
        <f>VLOOKUP(B68,'[2]MASTER PART LIST'!$B:$D,3,FALSE)</f>
        <v>759</v>
      </c>
      <c r="L68" s="163">
        <f t="shared" si="22"/>
        <v>930</v>
      </c>
      <c r="M68" s="188"/>
      <c r="N68" s="188"/>
      <c r="O68" s="188" t="s">
        <v>135</v>
      </c>
      <c r="P68" s="188" t="s">
        <v>135</v>
      </c>
      <c r="Q68" s="188"/>
      <c r="R68" s="188"/>
      <c r="S68" s="188"/>
      <c r="T68" s="188"/>
      <c r="U68" s="115"/>
      <c r="V68" s="115"/>
      <c r="W68" s="246"/>
      <c r="X68" s="342"/>
      <c r="Y68" s="342"/>
      <c r="Z68" s="342"/>
      <c r="AA68" s="342"/>
      <c r="AB68" s="342"/>
      <c r="AC68" s="342"/>
      <c r="AD68" s="342"/>
      <c r="AE68" s="342"/>
      <c r="AF68" s="342"/>
      <c r="AG68" s="188"/>
      <c r="AH68" s="173"/>
      <c r="AI68" s="173"/>
      <c r="AJ68" s="188"/>
      <c r="AK68" s="188"/>
      <c r="AL68" s="188"/>
      <c r="AM68" s="188"/>
      <c r="AN68" s="188"/>
      <c r="AO68" s="188"/>
      <c r="AP68" s="188"/>
      <c r="AQ68" s="323"/>
      <c r="AR68" s="323"/>
    </row>
    <row r="69" spans="2:44" ht="61.2">
      <c r="B69" s="103" t="s">
        <v>531</v>
      </c>
      <c r="C69" s="103" t="str">
        <f>B69</f>
        <v>76400-T90-A01</v>
      </c>
      <c r="D69" s="310" t="s">
        <v>532</v>
      </c>
      <c r="E69" s="310" t="s">
        <v>534</v>
      </c>
      <c r="F69" s="309" t="s">
        <v>533</v>
      </c>
      <c r="G69" s="309" t="s">
        <v>535</v>
      </c>
      <c r="H69" s="164">
        <v>1</v>
      </c>
      <c r="I69" s="103"/>
      <c r="J69" s="160">
        <f>VLOOKUP(B69,'[2]MASTER PART LIST'!$B:$C,2,FALSE)</f>
        <v>353.98</v>
      </c>
      <c r="K69" s="163">
        <f>VLOOKUP(B69,'[2]MASTER PART LIST'!$B:$D,3,FALSE)</f>
        <v>588.59</v>
      </c>
      <c r="L69" s="163">
        <f t="shared" ref="L69" si="23">K69+(H69*VLOOKUP(prov_cd,rate_table,2,FALSE))</f>
        <v>759.59</v>
      </c>
      <c r="M69" s="188"/>
      <c r="N69" s="188"/>
      <c r="O69" s="188" t="s">
        <v>18</v>
      </c>
      <c r="P69" s="188" t="s">
        <v>18</v>
      </c>
      <c r="Q69" s="188"/>
      <c r="R69" s="188"/>
      <c r="S69" s="188" t="s">
        <v>18</v>
      </c>
      <c r="T69" s="188" t="s">
        <v>18</v>
      </c>
      <c r="U69" s="115"/>
      <c r="V69" s="115"/>
      <c r="W69" s="246">
        <v>62</v>
      </c>
      <c r="X69" s="342"/>
      <c r="Y69" s="342"/>
      <c r="Z69" s="342"/>
      <c r="AA69" s="342"/>
      <c r="AB69" s="342"/>
      <c r="AC69" s="342"/>
      <c r="AD69" s="342"/>
      <c r="AE69" s="342"/>
      <c r="AF69" s="342"/>
      <c r="AG69" s="188"/>
      <c r="AH69" s="173"/>
      <c r="AI69" s="173"/>
      <c r="AJ69" s="188"/>
      <c r="AK69" s="188"/>
      <c r="AL69" s="188" t="s">
        <v>18</v>
      </c>
      <c r="AM69" s="188"/>
      <c r="AN69" s="188"/>
      <c r="AO69" s="188"/>
      <c r="AP69" s="188"/>
      <c r="AQ69" s="323"/>
      <c r="AR69" s="323"/>
    </row>
    <row r="70" spans="2:44" ht="51">
      <c r="B70" s="103" t="s">
        <v>426</v>
      </c>
      <c r="C70" s="312" t="s">
        <v>460</v>
      </c>
      <c r="D70" s="108" t="s">
        <v>257</v>
      </c>
      <c r="E70" s="259" t="s">
        <v>334</v>
      </c>
      <c r="F70" s="115" t="s">
        <v>324</v>
      </c>
      <c r="G70" s="115" t="s">
        <v>325</v>
      </c>
      <c r="H70" s="164">
        <v>1.2</v>
      </c>
      <c r="I70" s="103"/>
      <c r="J70" s="160">
        <f>VLOOKUP(B70,'[2]MASTER PART LIST'!$B:$C,2,FALSE)</f>
        <v>149</v>
      </c>
      <c r="K70" s="163">
        <f>VLOOKUP(B70,'[2]MASTER PART LIST'!$B:$D,3,FALSE)</f>
        <v>248</v>
      </c>
      <c r="L70" s="163">
        <f>K70+(H70*VLOOKUP(prov_cd,rate_table,2,FALSE))</f>
        <v>453.2</v>
      </c>
      <c r="M70" s="188"/>
      <c r="N70" s="188"/>
      <c r="O70" s="188" t="s">
        <v>18</v>
      </c>
      <c r="P70" s="188" t="s">
        <v>18</v>
      </c>
      <c r="Q70" s="188"/>
      <c r="R70" s="188"/>
      <c r="S70" s="188" t="s">
        <v>18</v>
      </c>
      <c r="T70" s="188" t="s">
        <v>18</v>
      </c>
      <c r="U70" s="115"/>
      <c r="V70" s="115"/>
      <c r="W70" s="246">
        <v>29</v>
      </c>
      <c r="X70" s="125"/>
      <c r="Y70" s="125"/>
      <c r="Z70" s="125"/>
      <c r="AA70" s="125"/>
      <c r="AB70" s="125"/>
      <c r="AC70" s="125"/>
      <c r="AD70" s="125"/>
      <c r="AE70" s="125"/>
      <c r="AF70" s="125"/>
      <c r="AG70" s="188"/>
      <c r="AH70" s="173"/>
      <c r="AI70" s="173"/>
      <c r="AJ70" s="188"/>
      <c r="AK70" s="188" t="s">
        <v>18</v>
      </c>
      <c r="AL70" s="188"/>
      <c r="AM70" s="188"/>
      <c r="AN70" s="188"/>
      <c r="AO70" s="188"/>
      <c r="AP70" s="188"/>
      <c r="AQ70" s="323"/>
      <c r="AR70" s="323" t="s">
        <v>520</v>
      </c>
    </row>
    <row r="71" spans="2:44" ht="30.6">
      <c r="B71" s="103" t="s">
        <v>258</v>
      </c>
      <c r="C71" s="103" t="str">
        <f>B71</f>
        <v>31670-BMS-004H</v>
      </c>
      <c r="D71" s="108" t="s">
        <v>94</v>
      </c>
      <c r="E71" s="108" t="s">
        <v>259</v>
      </c>
      <c r="F71" s="115" t="s">
        <v>260</v>
      </c>
      <c r="G71" s="115" t="s">
        <v>261</v>
      </c>
      <c r="H71" s="164">
        <v>0</v>
      </c>
      <c r="I71" s="103"/>
      <c r="J71" s="160">
        <f>VLOOKUP(B71,'[2]MASTER PART LIST'!$B:$C,2,FALSE)</f>
        <v>94</v>
      </c>
      <c r="K71" s="163">
        <f>VLOOKUP(B71,'[2]MASTER PART LIST'!$B:$D,3,FALSE)</f>
        <v>157</v>
      </c>
      <c r="L71" s="163">
        <f t="shared" si="22"/>
        <v>157</v>
      </c>
      <c r="M71" s="188"/>
      <c r="N71" s="188"/>
      <c r="O71" s="188" t="s">
        <v>18</v>
      </c>
      <c r="P71" s="188" t="s">
        <v>18</v>
      </c>
      <c r="Q71" s="188"/>
      <c r="R71" s="188"/>
      <c r="S71" s="188" t="s">
        <v>18</v>
      </c>
      <c r="T71" s="188" t="s">
        <v>18</v>
      </c>
      <c r="U71" s="115"/>
      <c r="V71" s="115"/>
      <c r="W71" s="246">
        <v>30</v>
      </c>
      <c r="X71" s="125"/>
      <c r="Y71" s="125"/>
      <c r="Z71" s="125"/>
      <c r="AA71" s="125"/>
      <c r="AB71" s="125"/>
      <c r="AC71" s="125"/>
      <c r="AD71" s="125"/>
      <c r="AE71" s="125"/>
      <c r="AF71" s="125"/>
      <c r="AG71" s="188"/>
      <c r="AH71" s="173"/>
      <c r="AI71" s="173"/>
      <c r="AJ71" s="188"/>
      <c r="AK71" s="188" t="s">
        <v>18</v>
      </c>
      <c r="AL71" s="188"/>
      <c r="AM71" s="188"/>
      <c r="AN71" s="188"/>
      <c r="AO71" s="188"/>
      <c r="AP71" s="188"/>
      <c r="AQ71" s="323"/>
      <c r="AR71" s="323" t="s">
        <v>520</v>
      </c>
    </row>
    <row r="72" spans="2:44" ht="15.6" hidden="1">
      <c r="B72" s="318" t="s">
        <v>262</v>
      </c>
      <c r="C72" s="318" t="s">
        <v>459</v>
      </c>
      <c r="D72" s="319" t="s">
        <v>263</v>
      </c>
      <c r="E72" s="319" t="s">
        <v>264</v>
      </c>
      <c r="F72" s="320"/>
      <c r="G72" s="320"/>
      <c r="H72" s="164"/>
      <c r="I72" s="103"/>
      <c r="J72" s="160">
        <f>VLOOKUP(B72,'[2]MASTER PART LIST'!$B:$C,2,FALSE)</f>
        <v>20</v>
      </c>
      <c r="K72" s="163">
        <f>VLOOKUP(B72,'[2]MASTER PART LIST'!$B:$D,3,FALSE)</f>
        <v>28</v>
      </c>
      <c r="L72" s="163">
        <f t="shared" si="22"/>
        <v>28</v>
      </c>
      <c r="M72" s="188"/>
      <c r="N72" s="188"/>
      <c r="O72" s="188" t="s">
        <v>18</v>
      </c>
      <c r="P72" s="188" t="s">
        <v>18</v>
      </c>
      <c r="Q72" s="188"/>
      <c r="R72" s="188"/>
      <c r="S72" s="188" t="s">
        <v>18</v>
      </c>
      <c r="T72" s="188" t="s">
        <v>18</v>
      </c>
      <c r="U72" s="115"/>
      <c r="V72" s="115"/>
      <c r="W72" s="321"/>
      <c r="X72" s="321"/>
      <c r="Y72" s="321"/>
      <c r="Z72" s="321"/>
      <c r="AA72" s="321"/>
      <c r="AB72" s="321"/>
      <c r="AC72" s="321"/>
      <c r="AD72" s="321"/>
      <c r="AE72" s="321"/>
      <c r="AF72" s="321"/>
      <c r="AG72" s="188"/>
      <c r="AH72" s="173"/>
      <c r="AI72" s="173"/>
      <c r="AJ72" s="188"/>
      <c r="AK72" s="188"/>
      <c r="AL72" s="188"/>
      <c r="AM72" s="188"/>
      <c r="AN72" s="188"/>
      <c r="AO72" s="188"/>
      <c r="AP72" s="188"/>
      <c r="AQ72" s="323"/>
      <c r="AR72" s="323"/>
    </row>
    <row r="73" spans="2:44" ht="40.799999999999997">
      <c r="B73" s="190" t="s">
        <v>131</v>
      </c>
      <c r="C73" s="190" t="s">
        <v>160</v>
      </c>
      <c r="D73" s="108" t="s">
        <v>130</v>
      </c>
      <c r="E73" s="108" t="s">
        <v>132</v>
      </c>
      <c r="F73" s="115" t="s">
        <v>137</v>
      </c>
      <c r="G73" s="115" t="s">
        <v>138</v>
      </c>
      <c r="H73" s="167">
        <f>H74</f>
        <v>0</v>
      </c>
      <c r="I73" s="103"/>
      <c r="J73" s="166">
        <f>J74</f>
        <v>13.25</v>
      </c>
      <c r="K73" s="165">
        <f>K74</f>
        <v>22</v>
      </c>
      <c r="L73" s="163">
        <f t="shared" ref="L73:L82" si="24">K73+(H73*VLOOKUP(prov_cd,rate_table,2,FALSE))</f>
        <v>22</v>
      </c>
      <c r="M73" s="188"/>
      <c r="N73" s="188"/>
      <c r="O73" s="188" t="s">
        <v>18</v>
      </c>
      <c r="P73" s="188" t="s">
        <v>18</v>
      </c>
      <c r="Q73" s="188"/>
      <c r="R73" s="188"/>
      <c r="S73" s="188" t="s">
        <v>18</v>
      </c>
      <c r="T73" s="188" t="s">
        <v>18</v>
      </c>
      <c r="U73" s="115"/>
      <c r="V73" s="115"/>
      <c r="W73" s="246">
        <v>249</v>
      </c>
      <c r="X73" s="125"/>
      <c r="Y73" s="125"/>
      <c r="Z73" s="125"/>
      <c r="AA73" s="125"/>
      <c r="AB73" s="125"/>
      <c r="AC73" s="125"/>
      <c r="AD73" s="125"/>
      <c r="AE73" s="125"/>
      <c r="AF73" s="125"/>
      <c r="AG73" s="188"/>
      <c r="AH73" s="188"/>
      <c r="AI73" s="188"/>
      <c r="AJ73" s="188"/>
      <c r="AK73" s="188"/>
      <c r="AL73" s="188"/>
      <c r="AM73" s="188"/>
      <c r="AN73" s="188"/>
      <c r="AO73" s="188" t="s">
        <v>18</v>
      </c>
      <c r="AP73" s="188"/>
      <c r="AQ73" s="323"/>
      <c r="AR73" s="323"/>
    </row>
    <row r="74" spans="2:44" ht="15.6" hidden="1" outlineLevel="1">
      <c r="B74" s="191" t="s">
        <v>160</v>
      </c>
      <c r="C74" s="318" t="s">
        <v>459</v>
      </c>
      <c r="D74" s="108" t="s">
        <v>210</v>
      </c>
      <c r="E74" s="103" t="s">
        <v>98</v>
      </c>
      <c r="F74" s="208"/>
      <c r="G74" s="208"/>
      <c r="H74" s="164">
        <v>0</v>
      </c>
      <c r="I74" s="127"/>
      <c r="J74" s="160">
        <f>VLOOKUP(B74,'[2]MASTER PART LIST'!$B:$C,2,FALSE)</f>
        <v>13.25</v>
      </c>
      <c r="K74" s="163">
        <f>VLOOKUP(B74,'[2]MASTER PART LIST'!$B:$D,3,FALSE)</f>
        <v>22</v>
      </c>
      <c r="L74" s="163">
        <f t="shared" si="24"/>
        <v>22</v>
      </c>
      <c r="M74" s="188"/>
      <c r="N74" s="188"/>
      <c r="O74" s="188" t="s">
        <v>18</v>
      </c>
      <c r="P74" s="188" t="s">
        <v>18</v>
      </c>
      <c r="Q74" s="188"/>
      <c r="R74" s="188"/>
      <c r="S74" s="188" t="s">
        <v>18</v>
      </c>
      <c r="T74" s="188" t="s">
        <v>18</v>
      </c>
      <c r="U74" s="115"/>
      <c r="V74" s="115"/>
      <c r="W74" s="208"/>
      <c r="X74" s="208"/>
      <c r="Y74" s="208"/>
      <c r="Z74" s="208"/>
      <c r="AA74" s="208"/>
      <c r="AB74" s="208"/>
      <c r="AC74" s="208"/>
      <c r="AD74" s="208"/>
      <c r="AE74" s="208"/>
      <c r="AF74" s="208"/>
      <c r="AG74" s="208"/>
      <c r="AH74" s="126"/>
      <c r="AI74" s="126"/>
      <c r="AJ74" s="126"/>
      <c r="AK74" s="126"/>
      <c r="AL74" s="126"/>
      <c r="AM74" s="126"/>
      <c r="AN74" s="126"/>
      <c r="AO74" s="126"/>
      <c r="AP74" s="126"/>
      <c r="AQ74" s="327"/>
      <c r="AR74" s="327"/>
    </row>
    <row r="75" spans="2:44" ht="15.6" hidden="1" outlineLevel="1">
      <c r="B75" s="191" t="s">
        <v>213</v>
      </c>
      <c r="C75" s="318" t="s">
        <v>459</v>
      </c>
      <c r="D75" s="108" t="s">
        <v>214</v>
      </c>
      <c r="E75" s="103" t="s">
        <v>215</v>
      </c>
      <c r="F75" s="208"/>
      <c r="G75" s="208"/>
      <c r="H75" s="164">
        <v>0</v>
      </c>
      <c r="I75" s="127"/>
      <c r="J75" s="160">
        <f>VLOOKUP(B75,'[2]MASTER PART LIST'!$B:$C,2,FALSE)</f>
        <v>13.25</v>
      </c>
      <c r="K75" s="163">
        <f>VLOOKUP(B75,'[2]MASTER PART LIST'!$B:$D,3,FALSE)</f>
        <v>22</v>
      </c>
      <c r="L75" s="163">
        <f t="shared" ref="L75" si="25">K75+(H75*VLOOKUP(prov_cd,rate_table,2,FALSE))</f>
        <v>22</v>
      </c>
      <c r="M75" s="188"/>
      <c r="N75" s="188"/>
      <c r="O75" s="188" t="s">
        <v>18</v>
      </c>
      <c r="P75" s="188" t="s">
        <v>19</v>
      </c>
      <c r="Q75" s="188"/>
      <c r="R75" s="188"/>
      <c r="S75" s="188" t="s">
        <v>18</v>
      </c>
      <c r="T75" s="188" t="s">
        <v>19</v>
      </c>
      <c r="U75" s="115"/>
      <c r="V75" s="115"/>
      <c r="W75" s="208"/>
      <c r="X75" s="208"/>
      <c r="Y75" s="208"/>
      <c r="Z75" s="208"/>
      <c r="AA75" s="208"/>
      <c r="AB75" s="208"/>
      <c r="AC75" s="208"/>
      <c r="AD75" s="208"/>
      <c r="AE75" s="208"/>
      <c r="AF75" s="208"/>
      <c r="AG75" s="208"/>
      <c r="AH75" s="126"/>
      <c r="AI75" s="126"/>
      <c r="AJ75" s="126"/>
      <c r="AK75" s="126"/>
      <c r="AL75" s="126"/>
      <c r="AM75" s="126"/>
      <c r="AN75" s="126"/>
      <c r="AO75" s="126"/>
      <c r="AP75" s="126"/>
      <c r="AQ75" s="327"/>
      <c r="AR75" s="327"/>
    </row>
    <row r="76" spans="2:44" ht="15.6" hidden="1" outlineLevel="1">
      <c r="B76" s="191" t="s">
        <v>216</v>
      </c>
      <c r="C76" s="318" t="s">
        <v>459</v>
      </c>
      <c r="D76" s="108" t="s">
        <v>217</v>
      </c>
      <c r="E76" s="108" t="s">
        <v>182</v>
      </c>
      <c r="F76" s="208"/>
      <c r="G76" s="208"/>
      <c r="H76" s="164">
        <v>0</v>
      </c>
      <c r="I76" s="127"/>
      <c r="J76" s="160">
        <f>VLOOKUP(B76,'[2]MASTER PART LIST'!$B:$C,2,FALSE)</f>
        <v>13.25</v>
      </c>
      <c r="K76" s="163">
        <f>VLOOKUP(B76,'[2]MASTER PART LIST'!$B:$D,3,FALSE)</f>
        <v>22</v>
      </c>
      <c r="L76" s="163">
        <f t="shared" ref="L76:L79" si="26">K76+(H76*VLOOKUP(prov_cd,rate_table,2,FALSE))</f>
        <v>22</v>
      </c>
      <c r="M76" s="188"/>
      <c r="N76" s="188"/>
      <c r="O76" s="188" t="s">
        <v>18</v>
      </c>
      <c r="P76" s="188" t="s">
        <v>18</v>
      </c>
      <c r="Q76" s="188"/>
      <c r="R76" s="188"/>
      <c r="S76" s="188" t="s">
        <v>18</v>
      </c>
      <c r="T76" s="188" t="s">
        <v>18</v>
      </c>
      <c r="U76" s="115"/>
      <c r="V76" s="115"/>
      <c r="W76" s="208"/>
      <c r="X76" s="208"/>
      <c r="Y76" s="208"/>
      <c r="Z76" s="208"/>
      <c r="AA76" s="208"/>
      <c r="AB76" s="208"/>
      <c r="AC76" s="208"/>
      <c r="AD76" s="208"/>
      <c r="AE76" s="208"/>
      <c r="AF76" s="208"/>
      <c r="AG76" s="208"/>
      <c r="AH76" s="126"/>
      <c r="AI76" s="126"/>
      <c r="AJ76" s="126"/>
      <c r="AK76" s="126"/>
      <c r="AL76" s="126"/>
      <c r="AM76" s="126"/>
      <c r="AN76" s="126"/>
      <c r="AO76" s="126"/>
      <c r="AP76" s="126"/>
      <c r="AQ76" s="327"/>
      <c r="AR76" s="327"/>
    </row>
    <row r="77" spans="2:44" ht="15.6" hidden="1" outlineLevel="1">
      <c r="B77" s="191" t="s">
        <v>218</v>
      </c>
      <c r="C77" s="318" t="s">
        <v>459</v>
      </c>
      <c r="D77" s="108" t="s">
        <v>219</v>
      </c>
      <c r="E77" s="108" t="s">
        <v>220</v>
      </c>
      <c r="F77" s="208"/>
      <c r="G77" s="208"/>
      <c r="H77" s="164">
        <v>0</v>
      </c>
      <c r="I77" s="127"/>
      <c r="J77" s="160">
        <f>VLOOKUP(B77,'[2]MASTER PART LIST'!$B:$C,2,FALSE)</f>
        <v>13.25</v>
      </c>
      <c r="K77" s="163">
        <f>VLOOKUP(B77,'[2]MASTER PART LIST'!$B:$D,3,FALSE)</f>
        <v>22</v>
      </c>
      <c r="L77" s="163">
        <f t="shared" si="26"/>
        <v>22</v>
      </c>
      <c r="M77" s="188"/>
      <c r="N77" s="188"/>
      <c r="O77" s="188" t="s">
        <v>18</v>
      </c>
      <c r="P77" s="188" t="s">
        <v>18</v>
      </c>
      <c r="Q77" s="188"/>
      <c r="R77" s="188"/>
      <c r="S77" s="188" t="s">
        <v>18</v>
      </c>
      <c r="T77" s="188" t="s">
        <v>18</v>
      </c>
      <c r="U77" s="115"/>
      <c r="V77" s="115"/>
      <c r="W77" s="208"/>
      <c r="X77" s="208"/>
      <c r="Y77" s="208"/>
      <c r="Z77" s="208"/>
      <c r="AA77" s="208"/>
      <c r="AB77" s="208"/>
      <c r="AC77" s="208"/>
      <c r="AD77" s="208"/>
      <c r="AE77" s="208"/>
      <c r="AF77" s="208"/>
      <c r="AG77" s="208"/>
      <c r="AH77" s="126"/>
      <c r="AI77" s="126"/>
      <c r="AJ77" s="126"/>
      <c r="AK77" s="126"/>
      <c r="AL77" s="126"/>
      <c r="AM77" s="126"/>
      <c r="AN77" s="126"/>
      <c r="AO77" s="126"/>
      <c r="AP77" s="126"/>
      <c r="AQ77" s="327"/>
      <c r="AR77" s="327"/>
    </row>
    <row r="78" spans="2:44" ht="15.6" hidden="1" outlineLevel="1">
      <c r="B78" s="295" t="s">
        <v>221</v>
      </c>
      <c r="C78" s="318" t="s">
        <v>459</v>
      </c>
      <c r="D78" s="108" t="s">
        <v>222</v>
      </c>
      <c r="E78" s="312" t="s">
        <v>424</v>
      </c>
      <c r="F78" s="208"/>
      <c r="G78" s="208"/>
      <c r="H78" s="164">
        <v>0</v>
      </c>
      <c r="I78" s="127"/>
      <c r="J78" s="160" t="e">
        <f>VLOOKUP(B78,'[2]MASTER PART LIST'!$B:$C,2,FALSE)</f>
        <v>#N/A</v>
      </c>
      <c r="K78" s="163" t="e">
        <f>VLOOKUP(B78,'[2]MASTER PART LIST'!$B:$D,3,FALSE)</f>
        <v>#N/A</v>
      </c>
      <c r="L78" s="163" t="e">
        <f t="shared" si="26"/>
        <v>#N/A</v>
      </c>
      <c r="M78" s="188"/>
      <c r="N78" s="188"/>
      <c r="O78" s="188" t="s">
        <v>19</v>
      </c>
      <c r="P78" s="188" t="s">
        <v>19</v>
      </c>
      <c r="Q78" s="188"/>
      <c r="R78" s="188"/>
      <c r="S78" s="188" t="s">
        <v>18</v>
      </c>
      <c r="T78" s="188" t="s">
        <v>18</v>
      </c>
      <c r="U78" s="115"/>
      <c r="V78" s="115"/>
      <c r="W78" s="208"/>
      <c r="X78" s="208"/>
      <c r="Y78" s="208"/>
      <c r="Z78" s="208"/>
      <c r="AA78" s="208"/>
      <c r="AB78" s="208"/>
      <c r="AC78" s="208"/>
      <c r="AD78" s="208"/>
      <c r="AE78" s="208"/>
      <c r="AF78" s="208"/>
      <c r="AG78" s="208"/>
      <c r="AH78" s="126"/>
      <c r="AI78" s="126"/>
      <c r="AJ78" s="126"/>
      <c r="AK78" s="126"/>
      <c r="AL78" s="126"/>
      <c r="AM78" s="126"/>
      <c r="AN78" s="126"/>
      <c r="AO78" s="126"/>
      <c r="AP78" s="126"/>
      <c r="AQ78" s="327"/>
      <c r="AR78" s="327"/>
    </row>
    <row r="79" spans="2:44" ht="15.6" hidden="1" outlineLevel="1">
      <c r="B79" s="295" t="s">
        <v>223</v>
      </c>
      <c r="C79" s="318" t="s">
        <v>459</v>
      </c>
      <c r="D79" s="108" t="s">
        <v>224</v>
      </c>
      <c r="E79" s="316" t="s">
        <v>425</v>
      </c>
      <c r="F79" s="208"/>
      <c r="G79" s="208"/>
      <c r="H79" s="164">
        <v>0</v>
      </c>
      <c r="I79" s="127"/>
      <c r="J79" s="160">
        <f>VLOOKUP(B79,'[2]MASTER PART LIST'!$B:$C,2,FALSE)</f>
        <v>13.25</v>
      </c>
      <c r="K79" s="163">
        <f>VLOOKUP(B79,'[2]MASTER PART LIST'!$B:$D,3,FALSE)</f>
        <v>22</v>
      </c>
      <c r="L79" s="163">
        <f t="shared" si="26"/>
        <v>22</v>
      </c>
      <c r="M79" s="188"/>
      <c r="N79" s="188"/>
      <c r="O79" s="188" t="s">
        <v>19</v>
      </c>
      <c r="P79" s="188" t="s">
        <v>19</v>
      </c>
      <c r="Q79" s="188"/>
      <c r="R79" s="188"/>
      <c r="S79" s="188" t="s">
        <v>18</v>
      </c>
      <c r="T79" s="188" t="s">
        <v>18</v>
      </c>
      <c r="U79" s="115"/>
      <c r="V79" s="115"/>
      <c r="W79" s="208"/>
      <c r="X79" s="208"/>
      <c r="Y79" s="208"/>
      <c r="Z79" s="208"/>
      <c r="AA79" s="208"/>
      <c r="AB79" s="208"/>
      <c r="AC79" s="208"/>
      <c r="AD79" s="208"/>
      <c r="AE79" s="208"/>
      <c r="AF79" s="208"/>
      <c r="AG79" s="208"/>
      <c r="AH79" s="126"/>
      <c r="AI79" s="126"/>
      <c r="AJ79" s="126"/>
      <c r="AK79" s="126"/>
      <c r="AL79" s="126"/>
      <c r="AM79" s="126"/>
      <c r="AN79" s="126"/>
      <c r="AO79" s="126"/>
      <c r="AP79" s="126"/>
      <c r="AQ79" s="327"/>
      <c r="AR79" s="327"/>
    </row>
    <row r="80" spans="2:44" ht="15.6" hidden="1" collapsed="1">
      <c r="B80" s="103" t="s">
        <v>58</v>
      </c>
      <c r="C80" s="318" t="s">
        <v>459</v>
      </c>
      <c r="D80" s="108" t="s">
        <v>183</v>
      </c>
      <c r="E80" s="108" t="s">
        <v>86</v>
      </c>
      <c r="F80" s="208"/>
      <c r="G80" s="208"/>
      <c r="H80" s="164">
        <v>0</v>
      </c>
      <c r="I80" s="103"/>
      <c r="J80" s="160">
        <f>VLOOKUP(B80,'[2]MASTER PART LIST'!$B:$C,2,FALSE)</f>
        <v>9.5</v>
      </c>
      <c r="K80" s="163">
        <f>VLOOKUP(B80,'[2]MASTER PART LIST'!$B:$D,3,FALSE)</f>
        <v>15.75</v>
      </c>
      <c r="L80" s="163">
        <f t="shared" si="24"/>
        <v>15.75</v>
      </c>
      <c r="M80" s="188"/>
      <c r="N80" s="188"/>
      <c r="O80" s="188" t="s">
        <v>18</v>
      </c>
      <c r="P80" s="188" t="s">
        <v>18</v>
      </c>
      <c r="Q80" s="188"/>
      <c r="R80" s="188"/>
      <c r="S80" s="188" t="s">
        <v>18</v>
      </c>
      <c r="T80" s="188" t="s">
        <v>18</v>
      </c>
      <c r="U80" s="115" t="s">
        <v>163</v>
      </c>
      <c r="V80" s="115" t="s">
        <v>165</v>
      </c>
      <c r="W80" s="246"/>
      <c r="X80" s="208"/>
      <c r="Y80" s="125"/>
      <c r="Z80" s="125"/>
      <c r="AA80" s="125"/>
      <c r="AB80" s="125"/>
      <c r="AC80" s="125"/>
      <c r="AD80" s="125"/>
      <c r="AE80" s="125"/>
      <c r="AF80" s="125"/>
      <c r="AG80" s="188"/>
      <c r="AH80" s="188"/>
      <c r="AI80" s="188"/>
      <c r="AJ80" s="188"/>
      <c r="AK80" s="188"/>
      <c r="AL80" s="188"/>
      <c r="AM80" s="188"/>
      <c r="AN80" s="188"/>
      <c r="AO80" s="188"/>
      <c r="AP80" s="188"/>
      <c r="AQ80" s="323"/>
      <c r="AR80" s="323"/>
    </row>
    <row r="81" spans="2:44" ht="15.6" hidden="1">
      <c r="B81" s="249" t="s">
        <v>57</v>
      </c>
      <c r="C81" s="318" t="s">
        <v>459</v>
      </c>
      <c r="D81" s="250" t="s">
        <v>21</v>
      </c>
      <c r="E81" s="250" t="s">
        <v>87</v>
      </c>
      <c r="F81" s="208"/>
      <c r="G81" s="208"/>
      <c r="H81" s="254">
        <v>0</v>
      </c>
      <c r="I81" s="249"/>
      <c r="J81" s="255">
        <f>VLOOKUP(B81,'[2]MASTER PART LIST'!$B:$C,2,FALSE)</f>
        <v>2.4500000000000002</v>
      </c>
      <c r="K81" s="256">
        <f>VLOOKUP(B81,'[2]MASTER PART LIST'!$B:$D,3,FALSE)</f>
        <v>4</v>
      </c>
      <c r="L81" s="256">
        <f t="shared" si="24"/>
        <v>4</v>
      </c>
      <c r="M81" s="188"/>
      <c r="N81" s="188"/>
      <c r="O81" s="188" t="s">
        <v>18</v>
      </c>
      <c r="P81" s="188" t="s">
        <v>18</v>
      </c>
      <c r="Q81" s="188"/>
      <c r="R81" s="188"/>
      <c r="S81" s="188" t="s">
        <v>18</v>
      </c>
      <c r="T81" s="188" t="s">
        <v>18</v>
      </c>
      <c r="U81" s="257" t="s">
        <v>163</v>
      </c>
      <c r="V81" s="257" t="s">
        <v>165</v>
      </c>
      <c r="W81" s="252"/>
      <c r="X81" s="208"/>
      <c r="Y81" s="251"/>
      <c r="Z81" s="251"/>
      <c r="AA81" s="251"/>
      <c r="AB81" s="251"/>
      <c r="AC81" s="251"/>
      <c r="AD81" s="251"/>
      <c r="AE81" s="251"/>
      <c r="AF81" s="251"/>
      <c r="AG81" s="188"/>
      <c r="AH81" s="188"/>
      <c r="AI81" s="188"/>
      <c r="AJ81" s="253"/>
      <c r="AK81" s="253"/>
      <c r="AL81" s="253"/>
      <c r="AM81" s="253"/>
      <c r="AN81" s="253"/>
      <c r="AO81" s="253"/>
      <c r="AP81" s="253"/>
      <c r="AQ81" s="328"/>
      <c r="AR81" s="328"/>
    </row>
    <row r="82" spans="2:44" ht="27.6" hidden="1">
      <c r="B82" s="258" t="s">
        <v>56</v>
      </c>
      <c r="C82" s="318" t="s">
        <v>459</v>
      </c>
      <c r="D82" s="259" t="s">
        <v>22</v>
      </c>
      <c r="E82" s="259" t="s">
        <v>97</v>
      </c>
      <c r="F82" s="208"/>
      <c r="G82" s="208"/>
      <c r="H82" s="263">
        <v>0</v>
      </c>
      <c r="I82" s="258"/>
      <c r="J82" s="264">
        <f>VLOOKUP(B82,'[2]MASTER PART LIST'!$B:$C,2,FALSE)</f>
        <v>6.25</v>
      </c>
      <c r="K82" s="265">
        <f>VLOOKUP(B82,'[2]MASTER PART LIST'!$B:$D,3,FALSE)</f>
        <v>13.75</v>
      </c>
      <c r="L82" s="265">
        <f t="shared" si="24"/>
        <v>13.75</v>
      </c>
      <c r="M82" s="188"/>
      <c r="N82" s="188"/>
      <c r="O82" s="188" t="s">
        <v>18</v>
      </c>
      <c r="P82" s="188" t="s">
        <v>18</v>
      </c>
      <c r="Q82" s="188"/>
      <c r="R82" s="188"/>
      <c r="S82" s="188" t="s">
        <v>18</v>
      </c>
      <c r="T82" s="188" t="s">
        <v>18</v>
      </c>
      <c r="U82" s="266" t="s">
        <v>162</v>
      </c>
      <c r="V82" s="266" t="s">
        <v>164</v>
      </c>
      <c r="W82" s="261"/>
      <c r="X82" s="208"/>
      <c r="Y82" s="260"/>
      <c r="Z82" s="260"/>
      <c r="AA82" s="260"/>
      <c r="AB82" s="260"/>
      <c r="AC82" s="260"/>
      <c r="AD82" s="260"/>
      <c r="AE82" s="260"/>
      <c r="AF82" s="260"/>
      <c r="AG82" s="188"/>
      <c r="AH82" s="188"/>
      <c r="AI82" s="188"/>
      <c r="AJ82" s="262"/>
      <c r="AK82" s="262"/>
      <c r="AL82" s="262"/>
      <c r="AM82" s="262"/>
      <c r="AN82" s="262"/>
      <c r="AO82" s="262"/>
      <c r="AP82" s="262"/>
      <c r="AQ82" s="329"/>
      <c r="AR82" s="329"/>
    </row>
    <row r="83" spans="2:44" ht="13.8">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row>
    <row r="84" spans="2:44" ht="13.8">
      <c r="E84" s="51"/>
      <c r="H84" s="113"/>
      <c r="I84" s="113"/>
      <c r="J84" s="113"/>
      <c r="K84" s="113"/>
      <c r="L84" s="113"/>
      <c r="M84" s="113"/>
      <c r="N84" s="113"/>
      <c r="O84" s="113"/>
      <c r="P84" s="113"/>
      <c r="Q84" s="113"/>
      <c r="R84" s="113"/>
      <c r="S84" s="113"/>
      <c r="T84" s="113"/>
      <c r="U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row>
    <row r="85" spans="2:44" ht="13.8">
      <c r="H85" s="113"/>
      <c r="I85" s="113"/>
      <c r="J85" s="113"/>
      <c r="K85" s="113"/>
      <c r="L85" s="113"/>
      <c r="M85" s="113"/>
      <c r="N85" s="113"/>
      <c r="O85" s="113"/>
      <c r="P85" s="113"/>
      <c r="Q85" s="113"/>
      <c r="R85" s="113"/>
      <c r="S85" s="113"/>
      <c r="T85" s="113"/>
      <c r="U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row>
    <row r="86" spans="2:44" ht="13.8">
      <c r="H86" s="113"/>
      <c r="I86" s="113"/>
      <c r="J86" s="113"/>
      <c r="K86" s="113"/>
      <c r="L86" s="113"/>
      <c r="M86" s="113"/>
      <c r="N86" s="113"/>
      <c r="O86" s="113"/>
      <c r="P86" s="113"/>
      <c r="Q86" s="113"/>
      <c r="R86" s="113"/>
      <c r="S86" s="113"/>
      <c r="T86" s="113"/>
      <c r="U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row>
    <row r="87" spans="2:44" ht="13.8">
      <c r="H87" s="113"/>
      <c r="I87" s="113"/>
      <c r="J87" s="113"/>
      <c r="K87" s="113"/>
      <c r="L87" s="113"/>
      <c r="M87" s="113"/>
      <c r="N87" s="113"/>
      <c r="O87" s="113"/>
      <c r="P87" s="113"/>
      <c r="Q87" s="113"/>
      <c r="R87" s="113"/>
      <c r="S87" s="113"/>
      <c r="T87" s="113"/>
      <c r="U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row>
  </sheetData>
  <mergeCells count="7">
    <mergeCell ref="AI6:AI7"/>
    <mergeCell ref="AJ6:AP6"/>
    <mergeCell ref="X6:Y6"/>
    <mergeCell ref="M4:T4"/>
    <mergeCell ref="M5:T5"/>
    <mergeCell ref="AG6:AG7"/>
    <mergeCell ref="AH6:AH7"/>
  </mergeCells>
  <phoneticPr fontId="48" type="noConversion"/>
  <conditionalFormatting sqref="X8:X43 X72:X82 W72 X88:X1048576 X45:X70">
    <cfRule type="containsText" dxfId="16" priority="7" operator="containsText" text="NEW">
      <formula>NOT(ISERROR(SEARCH("NEW",W8)))</formula>
    </cfRule>
  </conditionalFormatting>
  <conditionalFormatting sqref="W44">
    <cfRule type="duplicateValues" dxfId="15" priority="6"/>
  </conditionalFormatting>
  <conditionalFormatting sqref="X71:AF71">
    <cfRule type="containsText" dxfId="14" priority="2" operator="containsText" text="NEW">
      <formula>NOT(ISERROR(SEARCH("NEW",X71)))</formula>
    </cfRule>
  </conditionalFormatting>
  <conditionalFormatting sqref="W71">
    <cfRule type="duplicateValues" dxfId="13" priority="3"/>
  </conditionalFormatting>
  <conditionalFormatting sqref="W73:W82 AJ1 W5:W43 AM1 AP1 W88:W1048576 W45:W70">
    <cfRule type="duplicateValues" dxfId="12" priority="18"/>
  </conditionalFormatting>
  <conditionalFormatting sqref="Y8:AF43 Y72:AF82 Y45:AF70">
    <cfRule type="containsText" dxfId="11" priority="1" operator="containsText" text="NEW">
      <formula>NOT(ISERROR(SEARCH("NEW",Y8)))</formula>
    </cfRule>
  </conditionalFormatting>
  <dataValidations count="1">
    <dataValidation type="list" allowBlank="1" showInputMessage="1" showErrorMessage="1" sqref="X8:AF16 Y80:AF82 W72 X18:AF73"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B1" sqref="B1"/>
    </sheetView>
  </sheetViews>
  <sheetFormatPr defaultColWidth="9.109375" defaultRowHeight="13.2"/>
  <cols>
    <col min="1" max="1" width="49.44140625" style="28" customWidth="1"/>
    <col min="2" max="3" width="14.109375" style="28" customWidth="1"/>
    <col min="4" max="16384" width="9.109375" style="28"/>
  </cols>
  <sheetData>
    <row r="1" spans="1:12" ht="47.4" thickBot="1">
      <c r="A1" s="88" t="s">
        <v>108</v>
      </c>
      <c r="B1" s="87" t="s">
        <v>0</v>
      </c>
      <c r="C1" s="31"/>
      <c r="G1" s="29"/>
      <c r="H1" s="29"/>
      <c r="I1" s="29"/>
      <c r="J1" s="29"/>
      <c r="K1" s="29"/>
    </row>
    <row r="2" spans="1:12">
      <c r="A2" s="33"/>
      <c r="C2" s="31"/>
      <c r="F2" s="30"/>
      <c r="G2" s="34"/>
      <c r="H2" s="34"/>
      <c r="I2" s="34"/>
      <c r="J2" s="34"/>
      <c r="K2" s="34"/>
      <c r="L2" s="31"/>
    </row>
    <row r="3" spans="1:12" ht="13.8" thickBot="1">
      <c r="A3" s="33"/>
      <c r="B3" s="34"/>
      <c r="C3" s="39"/>
      <c r="E3" s="32"/>
      <c r="F3" s="30"/>
      <c r="G3" s="34"/>
      <c r="H3" s="34"/>
      <c r="I3" s="34"/>
      <c r="J3" s="34"/>
      <c r="K3" s="34"/>
      <c r="L3" s="31"/>
    </row>
    <row r="4" spans="1:12" ht="15" thickBot="1">
      <c r="A4" s="33"/>
      <c r="B4" s="38" t="s">
        <v>24</v>
      </c>
      <c r="C4" s="40"/>
      <c r="F4" s="30"/>
      <c r="G4" s="34"/>
      <c r="H4" s="34"/>
      <c r="I4" s="34"/>
      <c r="J4" s="34"/>
      <c r="K4" s="34"/>
      <c r="L4" s="31"/>
    </row>
    <row r="5" spans="1:12" ht="14.4">
      <c r="B5" s="38" t="s">
        <v>107</v>
      </c>
      <c r="C5" s="40"/>
      <c r="F5" s="30"/>
      <c r="G5" s="34"/>
      <c r="H5" s="34"/>
      <c r="I5" s="34"/>
      <c r="J5" s="34"/>
      <c r="K5" s="34"/>
      <c r="L5" s="31"/>
    </row>
    <row r="6" spans="1:12" ht="13.8">
      <c r="A6" s="30"/>
      <c r="B6" s="36" t="s">
        <v>0</v>
      </c>
      <c r="C6" s="41">
        <v>171</v>
      </c>
      <c r="D6" s="31"/>
      <c r="F6" s="30"/>
      <c r="G6" s="34"/>
      <c r="H6" s="34"/>
      <c r="I6" s="34"/>
      <c r="J6" s="34"/>
      <c r="K6" s="34"/>
      <c r="L6" s="31"/>
    </row>
    <row r="7" spans="1:12" ht="13.8">
      <c r="A7" s="30"/>
      <c r="B7" s="36" t="s">
        <v>1</v>
      </c>
      <c r="C7" s="41">
        <v>181</v>
      </c>
      <c r="D7" s="31"/>
      <c r="F7" s="30"/>
      <c r="G7" s="34"/>
      <c r="H7" s="34"/>
      <c r="I7" s="34"/>
      <c r="J7" s="34"/>
      <c r="K7" s="34"/>
      <c r="L7" s="31"/>
    </row>
    <row r="8" spans="1:12" ht="13.8">
      <c r="A8" s="30"/>
      <c r="B8" s="36" t="s">
        <v>2</v>
      </c>
      <c r="C8" s="41">
        <v>164</v>
      </c>
      <c r="D8" s="31"/>
      <c r="F8" s="30"/>
      <c r="G8" s="34"/>
      <c r="H8" s="34"/>
      <c r="I8" s="34"/>
      <c r="J8" s="34"/>
      <c r="K8" s="34"/>
      <c r="L8" s="31"/>
    </row>
    <row r="9" spans="1:12" ht="13.8">
      <c r="A9" s="30"/>
      <c r="B9" s="36" t="s">
        <v>3</v>
      </c>
      <c r="C9" s="41">
        <v>142</v>
      </c>
      <c r="D9" s="31"/>
      <c r="F9" s="30"/>
      <c r="G9" s="34"/>
      <c r="H9" s="34"/>
      <c r="I9" s="34"/>
      <c r="J9" s="34"/>
      <c r="K9" s="34"/>
      <c r="L9" s="31"/>
    </row>
    <row r="10" spans="1:12" ht="13.8">
      <c r="A10" s="30"/>
      <c r="B10" s="36" t="s">
        <v>4</v>
      </c>
      <c r="C10" s="41">
        <v>142</v>
      </c>
      <c r="D10" s="31"/>
      <c r="F10" s="30"/>
      <c r="G10" s="34"/>
      <c r="H10" s="34"/>
      <c r="I10" s="34"/>
      <c r="J10" s="34"/>
      <c r="K10" s="34"/>
      <c r="L10" s="31"/>
    </row>
    <row r="11" spans="1:12" ht="14.4" thickBot="1">
      <c r="A11" s="30"/>
      <c r="B11" s="36" t="s">
        <v>5</v>
      </c>
      <c r="C11" s="41">
        <v>142</v>
      </c>
      <c r="D11" s="31"/>
      <c r="F11" s="30"/>
      <c r="G11" s="34"/>
      <c r="H11" s="34"/>
      <c r="I11" s="34"/>
      <c r="J11" s="34"/>
      <c r="K11" s="34"/>
      <c r="L11" s="31"/>
    </row>
    <row r="12" spans="1:12" ht="14.4" thickBot="1">
      <c r="A12" s="30"/>
      <c r="B12" s="36" t="s">
        <v>6</v>
      </c>
      <c r="C12" s="41">
        <v>160</v>
      </c>
      <c r="D12" s="31"/>
      <c r="F12" s="45" t="str">
        <f>prov_cd</f>
        <v>AB</v>
      </c>
      <c r="G12" s="34"/>
      <c r="H12" s="34"/>
      <c r="I12" s="34"/>
      <c r="J12" s="34"/>
      <c r="K12" s="34"/>
      <c r="L12" s="31"/>
    </row>
    <row r="13" spans="1:12" ht="13.8">
      <c r="A13" s="30"/>
      <c r="B13" s="36" t="s">
        <v>53</v>
      </c>
      <c r="C13" s="41">
        <v>134</v>
      </c>
      <c r="D13" s="31"/>
      <c r="F13" s="30"/>
      <c r="G13" s="34"/>
      <c r="H13" s="34"/>
      <c r="I13" s="34"/>
      <c r="J13" s="34"/>
      <c r="K13" s="34"/>
      <c r="L13" s="31"/>
    </row>
    <row r="14" spans="1:12" ht="13.8">
      <c r="A14" s="30"/>
      <c r="B14" s="36" t="s">
        <v>7</v>
      </c>
      <c r="C14" s="41">
        <v>152</v>
      </c>
      <c r="D14" s="31"/>
      <c r="F14" s="30"/>
      <c r="G14" s="34"/>
      <c r="H14" s="34"/>
      <c r="I14" s="34"/>
      <c r="J14" s="34"/>
      <c r="K14" s="34"/>
      <c r="L14" s="31"/>
    </row>
    <row r="15" spans="1:12" ht="13.8">
      <c r="A15" s="30"/>
      <c r="B15" s="36" t="s">
        <v>8</v>
      </c>
      <c r="C15" s="41">
        <v>164</v>
      </c>
      <c r="D15" s="31"/>
      <c r="F15" s="30"/>
      <c r="G15" s="34"/>
      <c r="H15" s="34"/>
      <c r="I15" s="34"/>
      <c r="J15" s="34"/>
      <c r="K15" s="34"/>
      <c r="L15" s="31"/>
    </row>
    <row r="16" spans="1:12" ht="14.4"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ht="14.4">
      <c r="B19" s="352" t="s">
        <v>543</v>
      </c>
      <c r="C19" s="219">
        <f>'26MY_PASSPORT_DATA'!$C$4</f>
        <v>46113</v>
      </c>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26</v>
      </c>
      <c r="F23" s="30"/>
      <c r="G23" s="34"/>
      <c r="H23" s="34"/>
      <c r="I23" s="34"/>
      <c r="J23" s="34"/>
      <c r="K23" s="34"/>
      <c r="L23" s="31"/>
    </row>
    <row r="24" spans="1:12">
      <c r="A24" s="32" t="s">
        <v>88</v>
      </c>
      <c r="F24" s="30"/>
      <c r="G24" s="34"/>
      <c r="H24" s="34"/>
      <c r="I24" s="34"/>
      <c r="J24" s="34"/>
      <c r="K24" s="34"/>
      <c r="L24" s="31"/>
    </row>
    <row r="25" spans="1:12">
      <c r="F25" s="30"/>
      <c r="G25" s="34"/>
      <c r="H25" s="34"/>
      <c r="I25" s="34"/>
      <c r="J25" s="34"/>
      <c r="K25" s="34"/>
      <c r="L25" s="31"/>
    </row>
    <row r="26" spans="1:12">
      <c r="A26" s="119"/>
      <c r="F26" s="30"/>
      <c r="G26" s="34"/>
      <c r="H26" s="34"/>
      <c r="I26" s="34"/>
      <c r="J26" s="34"/>
      <c r="K26" s="34"/>
      <c r="L26" s="31"/>
    </row>
    <row r="27" spans="1:12">
      <c r="A27" s="119"/>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50"/>
  <sheetViews>
    <sheetView view="pageBreakPreview" topLeftCell="A85" zoomScale="70" zoomScaleNormal="60" zoomScaleSheetLayoutView="70" workbookViewId="0">
      <selection activeCell="C118" sqref="C118"/>
    </sheetView>
  </sheetViews>
  <sheetFormatPr defaultColWidth="9.109375" defaultRowHeight="13.8" outlineLevelCol="1"/>
  <cols>
    <col min="1" max="1" width="4" style="46" customWidth="1"/>
    <col min="2" max="2" width="12.5546875" style="335" customWidth="1"/>
    <col min="3" max="3" width="44.88671875" style="46" customWidth="1"/>
    <col min="4" max="4" width="19.88671875" style="46" customWidth="1"/>
    <col min="5" max="5" width="10.88671875" style="46" customWidth="1" outlineLevel="1"/>
    <col min="6" max="6" width="12.44140625" style="46" customWidth="1"/>
    <col min="7" max="7" width="8.5546875" style="46" customWidth="1"/>
    <col min="8" max="8" width="17.33203125" style="46" customWidth="1"/>
    <col min="9" max="10" width="10.5546875" style="46" hidden="1" customWidth="1"/>
    <col min="11" max="12" width="10.5546875" style="46" customWidth="1"/>
    <col min="13" max="14" width="10.5546875" style="46" hidden="1" customWidth="1"/>
    <col min="15" max="16" width="10.5546875" style="46" customWidth="1"/>
    <col min="17" max="17" width="50.44140625" style="46" customWidth="1"/>
    <col min="18" max="18" width="9.109375" style="46" customWidth="1"/>
    <col min="19" max="16384" width="9.109375" style="46"/>
  </cols>
  <sheetData>
    <row r="2" spans="2:20" ht="35.25" customHeight="1">
      <c r="B2" s="330" t="s">
        <v>149</v>
      </c>
      <c r="C2" s="157" t="s">
        <v>65</v>
      </c>
      <c r="D2" s="157"/>
      <c r="E2" s="154"/>
      <c r="F2" s="15"/>
      <c r="G2" s="128"/>
      <c r="H2" s="129"/>
      <c r="I2" s="129"/>
      <c r="J2" s="129"/>
      <c r="K2" s="129"/>
      <c r="L2" s="144"/>
      <c r="M2" s="145"/>
      <c r="N2" s="145"/>
      <c r="O2" s="144"/>
      <c r="P2" s="144"/>
      <c r="Q2" s="144"/>
    </row>
    <row r="3" spans="2:20" ht="25.8">
      <c r="B3" s="330"/>
      <c r="C3" s="158" t="s">
        <v>15</v>
      </c>
      <c r="D3" s="267" t="str">
        <f>'26MY_PASSPORT_DATA'!C2</f>
        <v>Passport</v>
      </c>
      <c r="E3" s="155"/>
      <c r="F3" s="2"/>
      <c r="G3" s="128"/>
      <c r="H3" s="129"/>
      <c r="I3" s="129"/>
      <c r="J3" s="129"/>
      <c r="K3" s="129"/>
      <c r="L3" s="146"/>
      <c r="O3" s="147"/>
      <c r="P3" s="144"/>
      <c r="Q3" s="144"/>
    </row>
    <row r="4" spans="2:20" ht="25.8">
      <c r="B4" s="330"/>
      <c r="C4" s="158" t="s">
        <v>16</v>
      </c>
      <c r="D4" s="270">
        <f>'26MY_PASSPORT_DATA'!$C$3</f>
        <v>2026</v>
      </c>
      <c r="E4" s="155"/>
      <c r="F4" s="2"/>
      <c r="G4" s="128"/>
      <c r="H4" s="129"/>
      <c r="I4" s="129"/>
      <c r="J4" s="129"/>
      <c r="K4" s="129"/>
      <c r="L4" s="144"/>
      <c r="M4" s="148"/>
      <c r="N4" s="148"/>
      <c r="O4" s="144"/>
      <c r="P4" s="144"/>
      <c r="Q4" s="144"/>
    </row>
    <row r="5" spans="2:20">
      <c r="B5" s="330"/>
      <c r="C5" s="156" t="s">
        <v>145</v>
      </c>
      <c r="D5" s="156"/>
      <c r="E5" s="118"/>
      <c r="F5" s="118"/>
      <c r="G5" s="118"/>
      <c r="H5" s="118"/>
      <c r="I5" s="118"/>
      <c r="J5" s="118"/>
      <c r="K5" s="118"/>
      <c r="L5" s="118"/>
      <c r="M5" s="118"/>
      <c r="N5" s="118"/>
      <c r="O5" s="118"/>
      <c r="P5" s="118"/>
      <c r="Q5" s="149"/>
    </row>
    <row r="6" spans="2:20">
      <c r="B6" s="330"/>
      <c r="C6" s="138" t="s">
        <v>146</v>
      </c>
      <c r="D6" s="138"/>
      <c r="E6" s="138"/>
      <c r="F6" s="138"/>
      <c r="G6" s="138"/>
      <c r="H6" s="138"/>
      <c r="I6" s="138"/>
      <c r="J6" s="138"/>
      <c r="K6" s="138"/>
      <c r="L6" s="138"/>
      <c r="M6" s="138"/>
      <c r="N6" s="138"/>
      <c r="O6" s="138"/>
      <c r="P6" s="118"/>
      <c r="Q6" s="149"/>
    </row>
    <row r="7" spans="2:20">
      <c r="B7" s="330"/>
      <c r="C7" s="138" t="s">
        <v>147</v>
      </c>
      <c r="D7" s="138"/>
      <c r="E7" s="138"/>
      <c r="F7" s="138"/>
      <c r="G7" s="138"/>
      <c r="H7" s="138"/>
      <c r="I7" s="138"/>
      <c r="J7" s="138"/>
      <c r="K7" s="138"/>
      <c r="L7" s="138"/>
      <c r="M7" s="138"/>
      <c r="N7" s="138"/>
      <c r="O7" s="138"/>
      <c r="P7" s="118"/>
      <c r="Q7" s="149"/>
    </row>
    <row r="8" spans="2:20">
      <c r="B8" s="330"/>
      <c r="C8" s="138" t="s">
        <v>148</v>
      </c>
      <c r="D8" s="138"/>
      <c r="E8" s="138"/>
      <c r="F8" s="138"/>
      <c r="G8" s="138"/>
      <c r="H8" s="139"/>
      <c r="I8" s="138"/>
      <c r="J8" s="138"/>
      <c r="K8" s="138"/>
      <c r="L8" s="138"/>
      <c r="M8" s="138"/>
      <c r="N8" s="138"/>
      <c r="O8" s="138"/>
      <c r="P8" s="118"/>
      <c r="Q8" s="149"/>
    </row>
    <row r="9" spans="2:20">
      <c r="B9" s="330"/>
      <c r="C9" s="141"/>
      <c r="D9" s="141"/>
      <c r="E9" s="141"/>
      <c r="F9" s="141"/>
      <c r="G9" s="141"/>
      <c r="H9" s="141"/>
      <c r="I9" s="141"/>
      <c r="J9" s="141"/>
      <c r="K9" s="141"/>
      <c r="L9" s="141"/>
      <c r="M9" s="141"/>
      <c r="N9" s="141"/>
      <c r="O9" s="141"/>
      <c r="P9" s="142"/>
      <c r="Q9" s="159"/>
    </row>
    <row r="10" spans="2:20" ht="14.4">
      <c r="B10" s="330"/>
      <c r="C10" s="51"/>
      <c r="D10" s="51"/>
      <c r="E10" s="51"/>
      <c r="F10" s="51"/>
      <c r="G10" s="51"/>
      <c r="H10" s="151" t="s">
        <v>54</v>
      </c>
      <c r="I10" s="51"/>
      <c r="J10" s="51"/>
      <c r="K10" s="51"/>
      <c r="L10" s="51"/>
      <c r="M10" s="51"/>
      <c r="N10" s="51"/>
      <c r="O10" s="51"/>
      <c r="P10" s="51"/>
      <c r="Q10" s="150"/>
    </row>
    <row r="11" spans="2:20" ht="18">
      <c r="B11" s="330"/>
      <c r="C11" s="152" t="s">
        <v>64</v>
      </c>
      <c r="D11" s="153"/>
      <c r="E11" s="132"/>
      <c r="F11" s="132"/>
      <c r="G11" s="131"/>
      <c r="H11" s="182" t="str">
        <f>prov_cd</f>
        <v>AB</v>
      </c>
      <c r="I11" s="181"/>
      <c r="J11" s="181"/>
      <c r="K11" s="51"/>
      <c r="L11" s="51"/>
      <c r="M11" s="51"/>
      <c r="N11" s="51"/>
      <c r="O11" s="51"/>
      <c r="P11" s="51"/>
      <c r="Q11" s="51"/>
    </row>
    <row r="12" spans="2:20" ht="14.4">
      <c r="B12" s="330"/>
      <c r="C12" s="387" t="s">
        <v>55</v>
      </c>
      <c r="D12" s="387" t="s">
        <v>10</v>
      </c>
      <c r="E12" s="387" t="s">
        <v>17</v>
      </c>
      <c r="F12" s="387" t="s">
        <v>11</v>
      </c>
      <c r="G12" s="387" t="s">
        <v>12</v>
      </c>
      <c r="H12" s="388" t="s">
        <v>13</v>
      </c>
      <c r="I12" s="387" t="s">
        <v>23</v>
      </c>
      <c r="J12" s="387"/>
      <c r="K12" s="387"/>
      <c r="L12" s="387"/>
      <c r="M12" s="387"/>
      <c r="N12" s="387"/>
      <c r="O12" s="387"/>
      <c r="P12" s="387"/>
      <c r="Q12" s="387" t="s">
        <v>14</v>
      </c>
    </row>
    <row r="13" spans="2:20" ht="43.2">
      <c r="B13" s="330"/>
      <c r="C13" s="387"/>
      <c r="D13" s="387"/>
      <c r="E13" s="387"/>
      <c r="F13" s="387"/>
      <c r="G13" s="387"/>
      <c r="H13" s="388"/>
      <c r="I13" s="174">
        <f>'26MY_PASSPORT_DATA'!$M$7</f>
        <v>0</v>
      </c>
      <c r="J13" s="174">
        <f>'26MY_PASSPORT_DATA'!$M$7</f>
        <v>0</v>
      </c>
      <c r="K13" s="174" t="str">
        <f>'26MY_PASSPORT_DATA'!$O$7</f>
        <v>TrailSport</v>
      </c>
      <c r="L13" s="174" t="str">
        <f>'26MY_PASSPORT_DATA'!$P$7</f>
        <v>TrailSport Blackout</v>
      </c>
      <c r="M13" s="174">
        <f>'26MY_PASSPORT_DATA'!$R$7</f>
        <v>0</v>
      </c>
      <c r="N13" s="174">
        <f>'26MY_PASSPORT_DATA'!$R$7</f>
        <v>0</v>
      </c>
      <c r="O13" s="174" t="str">
        <f>'26MY_PASSPORT_DATA'!$S$7</f>
        <v>TrailSport Touring</v>
      </c>
      <c r="P13" s="174" t="str">
        <f>'26MY_PASSPORT_DATA'!$T$7</f>
        <v>Trailsport Touring Blackout</v>
      </c>
      <c r="Q13" s="387"/>
    </row>
    <row r="14" spans="2:20" s="134" customFormat="1" ht="14.4">
      <c r="B14" s="331" t="s">
        <v>286</v>
      </c>
      <c r="C14" s="196" t="str">
        <f>VLOOKUP(B14,'26MY_PASSPORT_DATA'!B:AR,3,FALSE)</f>
        <v>Protection Package</v>
      </c>
      <c r="D14" s="284" t="str">
        <f>B14</f>
        <v>26PAS-PROPK</v>
      </c>
      <c r="E14" s="378">
        <f>VLOOKUP(B14,'26MY_PASSPORT_DATA'!B:AR,9,FALSE)</f>
        <v>306</v>
      </c>
      <c r="F14" s="378">
        <f>VLOOKUP(B14,'26MY_PASSPORT_DATA'!B:AR,10,FALSE)</f>
        <v>567</v>
      </c>
      <c r="G14" s="381">
        <f>VLOOKUP(B14,'26MY_PASSPORT_DATA'!B:AR,7,FALSE)</f>
        <v>0.2</v>
      </c>
      <c r="H14" s="384">
        <f>VLOOKUP(B14,'26MY_PASSPORT_DATA'!B:AR,11,FALSE)</f>
        <v>601.20000000000005</v>
      </c>
      <c r="I14" s="375">
        <f>VLOOKUP($B14,'26MY_PASSPORT_DATA'!$B:$AR,12,FALSE)</f>
        <v>0</v>
      </c>
      <c r="J14" s="375">
        <f>VLOOKUP($B14,'26MY_PASSPORT_DATA'!$B:$AR,13,FALSE)</f>
        <v>0</v>
      </c>
      <c r="K14" s="375" t="str">
        <f>VLOOKUP(B14,'26MY_PASSPORT_DATA'!B:AR,14,FALSE)</f>
        <v>•</v>
      </c>
      <c r="L14" s="375" t="str">
        <f>VLOOKUP(B14,'26MY_PASSPORT_DATA'!B:AR,15,FALSE)</f>
        <v>•</v>
      </c>
      <c r="M14" s="375">
        <f>VLOOKUP($B14,'26MY_PASSPORT_DATA'!$B:$AR,16,FALSE)</f>
        <v>0</v>
      </c>
      <c r="N14" s="375">
        <f>VLOOKUP(B14,'26MY_PASSPORT_DATA'!B:AR,17,FALSE)</f>
        <v>0</v>
      </c>
      <c r="O14" s="375" t="str">
        <f>VLOOKUP(B14,'26MY_PASSPORT_DATA'!B:AR,18,FALSE)</f>
        <v>•</v>
      </c>
      <c r="P14" s="375" t="str">
        <f>VLOOKUP(B14,'26MY_PASSPORT_DATA'!B:AR,19,FALSE)</f>
        <v>•</v>
      </c>
      <c r="Q14" s="372" t="str">
        <f>IF(VLOOKUP(B14,'26MY_PASSPORT_DATA'!B:AR,20,FALSE)="","",VLOOKUP(B14,'26MY_PASSPORT_DATA'!B:AR,20,FALSE))</f>
        <v/>
      </c>
      <c r="R14" s="97"/>
      <c r="S14" s="97"/>
      <c r="T14" s="97"/>
    </row>
    <row r="15" spans="2:20" s="134" customFormat="1" ht="14.4">
      <c r="B15" s="331" t="s">
        <v>240</v>
      </c>
      <c r="C15" s="192" t="str">
        <f>VLOOKUP(B15,'26MY_PASSPORT_DATA'!B:AR,3,FALSE)</f>
        <v>All Season Mats (TrailSport logo)</v>
      </c>
      <c r="D15" s="220" t="str">
        <f t="shared" ref="D15" si="0">B15</f>
        <v>08P17-3BM-120A</v>
      </c>
      <c r="E15" s="379"/>
      <c r="F15" s="379"/>
      <c r="G15" s="382"/>
      <c r="H15" s="385"/>
      <c r="I15" s="376"/>
      <c r="J15" s="376"/>
      <c r="K15" s="376"/>
      <c r="L15" s="376"/>
      <c r="M15" s="376"/>
      <c r="N15" s="376"/>
      <c r="O15" s="376"/>
      <c r="P15" s="376"/>
      <c r="Q15" s="373"/>
      <c r="R15" s="97"/>
      <c r="S15" s="97"/>
      <c r="T15" s="97"/>
    </row>
    <row r="16" spans="2:20" s="134" customFormat="1" ht="14.4">
      <c r="B16" s="331" t="s">
        <v>244</v>
      </c>
      <c r="C16" s="192" t="str">
        <f>VLOOKUP(B16,'26MY_PASSPORT_DATA'!B:AR,3,FALSE)</f>
        <v>Cargo Tray</v>
      </c>
      <c r="D16" s="202" t="str">
        <f t="shared" ref="D16" si="1">B16</f>
        <v>08U45-3BM-100</v>
      </c>
      <c r="E16" s="380"/>
      <c r="F16" s="380"/>
      <c r="G16" s="383"/>
      <c r="H16" s="386"/>
      <c r="I16" s="377"/>
      <c r="J16" s="377"/>
      <c r="K16" s="377"/>
      <c r="L16" s="377"/>
      <c r="M16" s="377"/>
      <c r="N16" s="377"/>
      <c r="O16" s="377"/>
      <c r="P16" s="377"/>
      <c r="Q16" s="374"/>
      <c r="R16" s="97"/>
      <c r="S16" s="97"/>
      <c r="T16" s="97"/>
    </row>
    <row r="17" spans="2:20" s="134" customFormat="1" ht="6.9" customHeight="1">
      <c r="B17" s="331"/>
      <c r="C17" s="203"/>
      <c r="D17" s="204"/>
      <c r="E17" s="204"/>
      <c r="F17" s="204"/>
      <c r="G17" s="204"/>
      <c r="H17" s="204"/>
      <c r="I17" s="204"/>
      <c r="J17" s="204"/>
      <c r="K17" s="204"/>
      <c r="L17" s="204"/>
      <c r="M17" s="204"/>
      <c r="N17" s="204"/>
      <c r="O17" s="204"/>
      <c r="P17" s="204"/>
      <c r="Q17" s="349"/>
      <c r="R17" s="97"/>
      <c r="S17" s="97"/>
    </row>
    <row r="18" spans="2:20" s="134" customFormat="1" ht="14.4">
      <c r="B18" s="331" t="s">
        <v>287</v>
      </c>
      <c r="C18" s="196" t="str">
        <f>VLOOKUP(B18,'26MY_PASSPORT_DATA'!B:AR,3,FALSE)</f>
        <v>Protection Package Advance</v>
      </c>
      <c r="D18" s="284" t="str">
        <f>B18</f>
        <v>26PAS-PROPKA</v>
      </c>
      <c r="E18" s="378">
        <f>VLOOKUP(B18,'26MY_PASSPORT_DATA'!B:AR,9,FALSE)</f>
        <v>664.2</v>
      </c>
      <c r="F18" s="378">
        <f>VLOOKUP(B18,'26MY_PASSPORT_DATA'!B:AR,10,FALSE)</f>
        <v>1107</v>
      </c>
      <c r="G18" s="381">
        <f>VLOOKUP(B18,'26MY_PASSPORT_DATA'!B:AR,7,FALSE)</f>
        <v>0.79999999999999993</v>
      </c>
      <c r="H18" s="384">
        <f>VLOOKUP(B18,'26MY_PASSPORT_DATA'!B:AR,11,FALSE)</f>
        <v>1243.8</v>
      </c>
      <c r="I18" s="375">
        <f>VLOOKUP($B18,'26MY_PASSPORT_DATA'!$B:$AR,12,FALSE)</f>
        <v>0</v>
      </c>
      <c r="J18" s="375">
        <f>VLOOKUP($B18,'26MY_PASSPORT_DATA'!$B:$AR,13,FALSE)</f>
        <v>0</v>
      </c>
      <c r="K18" s="375" t="str">
        <f>VLOOKUP(B18,'26MY_PASSPORT_DATA'!B:AR,14,FALSE)</f>
        <v>•</v>
      </c>
      <c r="L18" s="375" t="str">
        <f>VLOOKUP(B18,'26MY_PASSPORT_DATA'!B:AR,15,FALSE)</f>
        <v>•</v>
      </c>
      <c r="M18" s="375">
        <f>VLOOKUP($B18,'26MY_PASSPORT_DATA'!$B:$AR,16,FALSE)</f>
        <v>0</v>
      </c>
      <c r="N18" s="375">
        <f>VLOOKUP(B18,'26MY_PASSPORT_DATA'!B:AR,17,FALSE)</f>
        <v>0</v>
      </c>
      <c r="O18" s="375" t="str">
        <f>VLOOKUP(B18,'26MY_PASSPORT_DATA'!B:AR,18,FALSE)</f>
        <v>•</v>
      </c>
      <c r="P18" s="375" t="str">
        <f>VLOOKUP(B18,'26MY_PASSPORT_DATA'!B:AR,19,FALSE)</f>
        <v>•</v>
      </c>
      <c r="Q18" s="372" t="str">
        <f>IF(VLOOKUP(B18,'26MY_PASSPORT_DATA'!B:AR,20,FALSE)="","",VLOOKUP(B18,'26MY_PASSPORT_DATA'!B:AR,20,FALSE))</f>
        <v>10% Discount applied</v>
      </c>
      <c r="R18" s="97"/>
      <c r="S18" s="97"/>
      <c r="T18" s="97"/>
    </row>
    <row r="19" spans="2:20" s="134" customFormat="1" ht="14.4">
      <c r="B19" s="331" t="s">
        <v>240</v>
      </c>
      <c r="C19" s="192" t="str">
        <f>VLOOKUP(B19,'26MY_PASSPORT_DATA'!B:AR,3,FALSE)</f>
        <v>All Season Mats (TrailSport logo)</v>
      </c>
      <c r="D19" s="220" t="str">
        <f t="shared" ref="D19" si="2">B19</f>
        <v>08P17-3BM-120A</v>
      </c>
      <c r="E19" s="379"/>
      <c r="F19" s="379"/>
      <c r="G19" s="382"/>
      <c r="H19" s="385"/>
      <c r="I19" s="376"/>
      <c r="J19" s="376"/>
      <c r="K19" s="376"/>
      <c r="L19" s="376"/>
      <c r="M19" s="376"/>
      <c r="N19" s="376"/>
      <c r="O19" s="376"/>
      <c r="P19" s="376"/>
      <c r="Q19" s="373"/>
      <c r="R19" s="97"/>
      <c r="S19" s="97"/>
      <c r="T19" s="97"/>
    </row>
    <row r="20" spans="2:20" s="134" customFormat="1" ht="14.4">
      <c r="B20" s="331" t="s">
        <v>244</v>
      </c>
      <c r="C20" s="192" t="str">
        <f>VLOOKUP(B20,'26MY_PASSPORT_DATA'!B:AR,3,FALSE)</f>
        <v>Cargo Tray</v>
      </c>
      <c r="D20" s="220" t="str">
        <f t="shared" ref="D20" si="3">B20</f>
        <v>08U45-3BM-100</v>
      </c>
      <c r="E20" s="379"/>
      <c r="F20" s="379"/>
      <c r="G20" s="382"/>
      <c r="H20" s="385"/>
      <c r="I20" s="376"/>
      <c r="J20" s="376"/>
      <c r="K20" s="376"/>
      <c r="L20" s="376"/>
      <c r="M20" s="376"/>
      <c r="N20" s="376"/>
      <c r="O20" s="376"/>
      <c r="P20" s="376"/>
      <c r="Q20" s="373"/>
      <c r="R20" s="97"/>
      <c r="S20" s="97"/>
      <c r="T20" s="97"/>
    </row>
    <row r="21" spans="2:20" s="134" customFormat="1" ht="14.4">
      <c r="B21" s="331" t="s">
        <v>250</v>
      </c>
      <c r="C21" s="192" t="str">
        <f>VLOOKUP(B21,'26MY_PASSPORT_DATA'!B:AR,3,FALSE)</f>
        <v>Cargo Cover</v>
      </c>
      <c r="D21" s="220" t="str">
        <f t="shared" ref="D21:D22" si="4">B21</f>
        <v>08U35-3BM-310</v>
      </c>
      <c r="E21" s="379"/>
      <c r="F21" s="379"/>
      <c r="G21" s="382"/>
      <c r="H21" s="385"/>
      <c r="I21" s="376"/>
      <c r="J21" s="376"/>
      <c r="K21" s="376"/>
      <c r="L21" s="376"/>
      <c r="M21" s="376"/>
      <c r="N21" s="376"/>
      <c r="O21" s="376"/>
      <c r="P21" s="376"/>
      <c r="Q21" s="373"/>
      <c r="R21" s="97"/>
      <c r="S21" s="97"/>
      <c r="T21" s="97"/>
    </row>
    <row r="22" spans="2:20" s="134" customFormat="1" ht="15" customHeight="1">
      <c r="B22" s="331" t="s">
        <v>232</v>
      </c>
      <c r="C22" s="192" t="str">
        <f>VLOOKUP(B22,'26MY_PASSPORT_DATA'!B:AR,3,FALSE)</f>
        <v>Splash Guards</v>
      </c>
      <c r="D22" s="220" t="str">
        <f t="shared" si="4"/>
        <v>08P00-3BM-100</v>
      </c>
      <c r="E22" s="380"/>
      <c r="F22" s="380"/>
      <c r="G22" s="383"/>
      <c r="H22" s="386"/>
      <c r="I22" s="377"/>
      <c r="J22" s="377"/>
      <c r="K22" s="377"/>
      <c r="L22" s="377"/>
      <c r="M22" s="377"/>
      <c r="N22" s="377"/>
      <c r="O22" s="377"/>
      <c r="P22" s="377"/>
      <c r="Q22" s="374"/>
      <c r="R22" s="97"/>
      <c r="S22" s="97"/>
      <c r="T22" s="97"/>
    </row>
    <row r="23" spans="2:20" s="134" customFormat="1" ht="6.9" customHeight="1">
      <c r="B23" s="331"/>
      <c r="C23" s="203"/>
      <c r="D23" s="204"/>
      <c r="E23" s="204"/>
      <c r="F23" s="204"/>
      <c r="G23" s="204"/>
      <c r="H23" s="204"/>
      <c r="I23" s="204"/>
      <c r="J23" s="204"/>
      <c r="K23" s="204"/>
      <c r="L23" s="204"/>
      <c r="M23" s="204"/>
      <c r="N23" s="204"/>
      <c r="O23" s="204"/>
      <c r="P23" s="204"/>
      <c r="Q23" s="349"/>
      <c r="R23" s="97"/>
      <c r="S23" s="97"/>
    </row>
    <row r="24" spans="2:20" s="134" customFormat="1" ht="14.4">
      <c r="B24" s="331" t="s">
        <v>291</v>
      </c>
      <c r="C24" s="196" t="str">
        <f>VLOOKUP(B24,'26MY_PASSPORT_DATA'!B:AR,3,FALSE)</f>
        <v>Black Emblem Set</v>
      </c>
      <c r="D24" s="284" t="str">
        <f>B24</f>
        <v>26PAS-BLK-EMB</v>
      </c>
      <c r="E24" s="378">
        <f>VLOOKUP(B24,'26MY_PASSPORT_DATA'!B:AR,9,FALSE)</f>
        <v>192.6</v>
      </c>
      <c r="F24" s="378">
        <f>VLOOKUP(B24,'26MY_PASSPORT_DATA'!B:AR,10,FALSE)</f>
        <v>320.40000000000003</v>
      </c>
      <c r="G24" s="381">
        <f>VLOOKUP(B24,'26MY_PASSPORT_DATA'!B:AR,7,FALSE)</f>
        <v>0.89999999999999991</v>
      </c>
      <c r="H24" s="384">
        <f>VLOOKUP(B24,'26MY_PASSPORT_DATA'!B:AR,11,FALSE)</f>
        <v>474.3</v>
      </c>
      <c r="I24" s="375">
        <f>VLOOKUP($B24,'26MY_PASSPORT_DATA'!$B:$AR,12,FALSE)</f>
        <v>0</v>
      </c>
      <c r="J24" s="375">
        <f>VLOOKUP($B24,'26MY_PASSPORT_DATA'!$B:$AR,13,FALSE)</f>
        <v>0</v>
      </c>
      <c r="K24" s="375" t="str">
        <f>VLOOKUP(B24,'26MY_PASSPORT_DATA'!B:AR,14,FALSE)</f>
        <v>•</v>
      </c>
      <c r="L24" s="375" t="str">
        <f>VLOOKUP(B24,'26MY_PASSPORT_DATA'!B:AR,15,FALSE)</f>
        <v>S</v>
      </c>
      <c r="M24" s="375">
        <f>VLOOKUP($B24,'26MY_PASSPORT_DATA'!$B:$AR,16,FALSE)</f>
        <v>0</v>
      </c>
      <c r="N24" s="375">
        <f>VLOOKUP(B24,'26MY_PASSPORT_DATA'!B:AR,17,FALSE)</f>
        <v>0</v>
      </c>
      <c r="O24" s="375" t="str">
        <f>VLOOKUP(B24,'26MY_PASSPORT_DATA'!B:AR,18,FALSE)</f>
        <v>•</v>
      </c>
      <c r="P24" s="375" t="str">
        <f>VLOOKUP(B24,'26MY_PASSPORT_DATA'!B:AR,19,FALSE)</f>
        <v>S</v>
      </c>
      <c r="Q24" s="372" t="str">
        <f>IF(VLOOKUP(B24,'26MY_PASSPORT_DATA'!B:AR,20,FALSE)="","",VLOOKUP(B24,'26MY_PASSPORT_DATA'!B:AR,20,FALSE))</f>
        <v>10% Discount applied</v>
      </c>
      <c r="R24" s="97"/>
      <c r="S24" s="97"/>
      <c r="T24" s="97"/>
    </row>
    <row r="25" spans="2:20" s="134" customFormat="1" ht="14.4">
      <c r="B25" s="331" t="s">
        <v>236</v>
      </c>
      <c r="C25" s="293" t="str">
        <f>VLOOKUP(B25,'26MY_PASSPORT_DATA'!B:AR,3,FALSE)</f>
        <v>Black Emblem Passport</v>
      </c>
      <c r="D25" s="220" t="str">
        <f t="shared" ref="D25:D26" si="5">B25</f>
        <v>08F20-3BM-100</v>
      </c>
      <c r="E25" s="379"/>
      <c r="F25" s="379"/>
      <c r="G25" s="382"/>
      <c r="H25" s="385"/>
      <c r="I25" s="376"/>
      <c r="J25" s="376"/>
      <c r="K25" s="376"/>
      <c r="L25" s="376"/>
      <c r="M25" s="376"/>
      <c r="N25" s="376"/>
      <c r="O25" s="376"/>
      <c r="P25" s="376"/>
      <c r="Q25" s="373"/>
      <c r="R25" s="97"/>
      <c r="S25" s="97"/>
      <c r="T25" s="97"/>
    </row>
    <row r="26" spans="2:20" s="134" customFormat="1" ht="14.4">
      <c r="B26" s="331" t="s">
        <v>234</v>
      </c>
      <c r="C26" s="192" t="str">
        <f>VLOOKUP(B26,'26MY_PASSPORT_DATA'!B:AR,3,FALSE)</f>
        <v>Black Emblem H Front &amp; rear</v>
      </c>
      <c r="D26" s="220" t="str">
        <f t="shared" si="5"/>
        <v>08F20-3BM-100B</v>
      </c>
      <c r="E26" s="380"/>
      <c r="F26" s="380"/>
      <c r="G26" s="383"/>
      <c r="H26" s="386"/>
      <c r="I26" s="377"/>
      <c r="J26" s="377"/>
      <c r="K26" s="377"/>
      <c r="L26" s="377"/>
      <c r="M26" s="377"/>
      <c r="N26" s="377"/>
      <c r="O26" s="377"/>
      <c r="P26" s="377"/>
      <c r="Q26" s="374"/>
      <c r="R26" s="97"/>
      <c r="S26" s="97"/>
      <c r="T26" s="97"/>
    </row>
    <row r="27" spans="2:20" s="134" customFormat="1" ht="6.9" customHeight="1">
      <c r="B27" s="331"/>
      <c r="C27" s="203"/>
      <c r="D27" s="204"/>
      <c r="E27" s="204"/>
      <c r="F27" s="204"/>
      <c r="G27" s="204"/>
      <c r="H27" s="204"/>
      <c r="I27" s="204"/>
      <c r="J27" s="204"/>
      <c r="K27" s="204"/>
      <c r="L27" s="204"/>
      <c r="M27" s="204"/>
      <c r="N27" s="204"/>
      <c r="O27" s="204"/>
      <c r="P27" s="204"/>
      <c r="Q27" s="349"/>
      <c r="R27" s="97"/>
      <c r="S27" s="97"/>
    </row>
    <row r="28" spans="2:20" s="134" customFormat="1" ht="14.4">
      <c r="B28" s="331" t="s">
        <v>296</v>
      </c>
      <c r="C28" s="196" t="str">
        <f>VLOOKUP(B28,'26MY_PASSPORT_DATA'!B:AR,3,FALSE)</f>
        <v>Towing Package 1</v>
      </c>
      <c r="D28" s="284" t="str">
        <f>B28</f>
        <v>26PAS-TOW-PK1</v>
      </c>
      <c r="E28" s="378">
        <f>VLOOKUP(B28,'26MY_PASSPORT_DATA'!B:AR,9,FALSE)</f>
        <v>220.39999999999998</v>
      </c>
      <c r="F28" s="378">
        <f>VLOOKUP(B28,'26MY_PASSPORT_DATA'!B:AR,10,FALSE)</f>
        <v>354.34999999999997</v>
      </c>
      <c r="G28" s="381">
        <f>VLOOKUP(B28,'26MY_PASSPORT_DATA'!B:AR,7,FALSE)</f>
        <v>0</v>
      </c>
      <c r="H28" s="384">
        <f>VLOOKUP(B28,'26MY_PASSPORT_DATA'!B:AR,11,FALSE)</f>
        <v>354.34999999999997</v>
      </c>
      <c r="I28" s="375">
        <f>VLOOKUP($B28,'26MY_PASSPORT_DATA'!$B:$AR,12,FALSE)</f>
        <v>0</v>
      </c>
      <c r="J28" s="375">
        <f>VLOOKUP($B28,'26MY_PASSPORT_DATA'!$B:$AR,13,FALSE)</f>
        <v>0</v>
      </c>
      <c r="K28" s="375" t="str">
        <f>VLOOKUP(B28,'26MY_PASSPORT_DATA'!B:AR,14,FALSE)</f>
        <v>•</v>
      </c>
      <c r="L28" s="375" t="str">
        <f>VLOOKUP(B28,'26MY_PASSPORT_DATA'!B:AR,15,FALSE)</f>
        <v>•</v>
      </c>
      <c r="M28" s="375">
        <f>VLOOKUP($B28,'26MY_PASSPORT_DATA'!$B:$AR,16,FALSE)</f>
        <v>0</v>
      </c>
      <c r="N28" s="375">
        <f>VLOOKUP(B28,'26MY_PASSPORT_DATA'!B:AR,17,FALSE)</f>
        <v>0</v>
      </c>
      <c r="O28" s="375" t="str">
        <f>VLOOKUP(B28,'26MY_PASSPORT_DATA'!B:AR,18,FALSE)</f>
        <v>•</v>
      </c>
      <c r="P28" s="375" t="str">
        <f>VLOOKUP(B28,'26MY_PASSPORT_DATA'!B:AR,19,FALSE)</f>
        <v>•</v>
      </c>
      <c r="Q28" s="372" t="str">
        <f>IF(VLOOKUP(B28,'26MY_PASSPORT_DATA'!B:AR,20,FALSE)="","",VLOOKUP(B28,'26MY_PASSPORT_DATA'!B:AR,20,FALSE))</f>
        <v>5% Discount applied</v>
      </c>
      <c r="R28" s="97"/>
      <c r="S28" s="97"/>
      <c r="T28" s="97"/>
    </row>
    <row r="29" spans="2:20" s="134" customFormat="1" ht="14.4">
      <c r="B29" s="331" t="s">
        <v>231</v>
      </c>
      <c r="C29" s="293" t="str">
        <f>VLOOKUP(B29,'26MY_PASSPORT_DATA'!B:AR,3,FALSE)</f>
        <v>Trailer Hitch Ball Mount</v>
      </c>
      <c r="D29" s="220" t="str">
        <f t="shared" ref="D29:D30" si="6">B29</f>
        <v>08L92-3BM-100A</v>
      </c>
      <c r="E29" s="379"/>
      <c r="F29" s="379"/>
      <c r="G29" s="382"/>
      <c r="H29" s="385"/>
      <c r="I29" s="376"/>
      <c r="J29" s="376"/>
      <c r="K29" s="376"/>
      <c r="L29" s="376"/>
      <c r="M29" s="376"/>
      <c r="N29" s="376"/>
      <c r="O29" s="376"/>
      <c r="P29" s="376"/>
      <c r="Q29" s="373"/>
      <c r="R29" s="97"/>
      <c r="S29" s="97"/>
      <c r="T29" s="97"/>
    </row>
    <row r="30" spans="2:20" s="134" customFormat="1" ht="14.4">
      <c r="B30" s="331" t="s">
        <v>196</v>
      </c>
      <c r="C30" s="192" t="str">
        <f>VLOOKUP(B30,'26MY_PASSPORT_DATA'!B:AR,3,FALSE)</f>
        <v>Trailer Hitch Ball - 1-7/8"</v>
      </c>
      <c r="D30" s="220" t="str">
        <f t="shared" si="6"/>
        <v>08L92-S9V-300G</v>
      </c>
      <c r="E30" s="379"/>
      <c r="F30" s="379"/>
      <c r="G30" s="382"/>
      <c r="H30" s="385"/>
      <c r="I30" s="376"/>
      <c r="J30" s="376"/>
      <c r="K30" s="376"/>
      <c r="L30" s="376"/>
      <c r="M30" s="376"/>
      <c r="N30" s="376"/>
      <c r="O30" s="376"/>
      <c r="P30" s="376"/>
      <c r="Q30" s="373"/>
      <c r="R30" s="97"/>
      <c r="S30" s="97"/>
      <c r="T30" s="97"/>
    </row>
    <row r="31" spans="2:20" s="134" customFormat="1" ht="14.4">
      <c r="B31" s="331" t="s">
        <v>198</v>
      </c>
      <c r="C31" s="192" t="str">
        <f>VLOOKUP(B31,'26MY_PASSPORT_DATA'!B:AR,3,FALSE)</f>
        <v>Trailer Hitch Locking Pin</v>
      </c>
      <c r="D31" s="220" t="str">
        <f t="shared" ref="D31" si="7">B31</f>
        <v>08L92-SJC-300A</v>
      </c>
      <c r="E31" s="380"/>
      <c r="F31" s="380"/>
      <c r="G31" s="383"/>
      <c r="H31" s="386"/>
      <c r="I31" s="377"/>
      <c r="J31" s="377"/>
      <c r="K31" s="377"/>
      <c r="L31" s="377"/>
      <c r="M31" s="377"/>
      <c r="N31" s="377"/>
      <c r="O31" s="377"/>
      <c r="P31" s="377"/>
      <c r="Q31" s="374"/>
      <c r="R31" s="97"/>
      <c r="S31" s="97"/>
      <c r="T31" s="97"/>
    </row>
    <row r="32" spans="2:20" s="134" customFormat="1" ht="6.9" customHeight="1">
      <c r="B32" s="331"/>
      <c r="C32" s="203"/>
      <c r="D32" s="204"/>
      <c r="E32" s="204"/>
      <c r="F32" s="204"/>
      <c r="G32" s="204"/>
      <c r="H32" s="204"/>
      <c r="I32" s="204"/>
      <c r="J32" s="204"/>
      <c r="K32" s="204"/>
      <c r="L32" s="204"/>
      <c r="M32" s="204"/>
      <c r="N32" s="204"/>
      <c r="O32" s="204"/>
      <c r="P32" s="204"/>
      <c r="Q32" s="349"/>
      <c r="R32" s="97"/>
      <c r="S32" s="97"/>
    </row>
    <row r="33" spans="2:20" s="134" customFormat="1" ht="14.4">
      <c r="B33" s="331" t="s">
        <v>297</v>
      </c>
      <c r="C33" s="196" t="str">
        <f>VLOOKUP(B33,'26MY_PASSPORT_DATA'!B:AR,3,FALSE)</f>
        <v>Towing Package 2</v>
      </c>
      <c r="D33" s="284" t="str">
        <f>B33</f>
        <v>26PAS-TOW-PK2</v>
      </c>
      <c r="E33" s="378">
        <f>VLOOKUP(B33,'26MY_PASSPORT_DATA'!B:AR,9,FALSE)</f>
        <v>220.39999999999998</v>
      </c>
      <c r="F33" s="378">
        <f>VLOOKUP(B33,'26MY_PASSPORT_DATA'!B:AR,10,FALSE)</f>
        <v>354.34999999999997</v>
      </c>
      <c r="G33" s="381">
        <f>VLOOKUP(B33,'26MY_PASSPORT_DATA'!B:AR,7,FALSE)</f>
        <v>0</v>
      </c>
      <c r="H33" s="384">
        <f>VLOOKUP(B33,'26MY_PASSPORT_DATA'!B:AR,11,FALSE)</f>
        <v>354.34999999999997</v>
      </c>
      <c r="I33" s="375">
        <f>VLOOKUP($B33,'26MY_PASSPORT_DATA'!$B:$AR,12,FALSE)</f>
        <v>0</v>
      </c>
      <c r="J33" s="375">
        <f>VLOOKUP($B33,'26MY_PASSPORT_DATA'!$B:$AR,13,FALSE)</f>
        <v>0</v>
      </c>
      <c r="K33" s="375" t="str">
        <f>VLOOKUP(B33,'26MY_PASSPORT_DATA'!B:AR,14,FALSE)</f>
        <v>•</v>
      </c>
      <c r="L33" s="375" t="str">
        <f>VLOOKUP(B33,'26MY_PASSPORT_DATA'!B:AR,15,FALSE)</f>
        <v>•</v>
      </c>
      <c r="M33" s="375">
        <f>VLOOKUP($B33,'26MY_PASSPORT_DATA'!$B:$AR,16,FALSE)</f>
        <v>0</v>
      </c>
      <c r="N33" s="375">
        <f>VLOOKUP(B33,'26MY_PASSPORT_DATA'!B:AR,17,FALSE)</f>
        <v>0</v>
      </c>
      <c r="O33" s="375" t="str">
        <f>VLOOKUP(B33,'26MY_PASSPORT_DATA'!B:AR,18,FALSE)</f>
        <v>•</v>
      </c>
      <c r="P33" s="375" t="str">
        <f>VLOOKUP(B33,'26MY_PASSPORT_DATA'!B:AR,19,FALSE)</f>
        <v>•</v>
      </c>
      <c r="Q33" s="372" t="str">
        <f>IF(VLOOKUP(B33,'26MY_PASSPORT_DATA'!B:AR,20,FALSE)="","",VLOOKUP(B33,'26MY_PASSPORT_DATA'!B:AR,20,FALSE))</f>
        <v>5% Discount applied</v>
      </c>
      <c r="R33" s="97"/>
      <c r="S33" s="97"/>
      <c r="T33" s="97"/>
    </row>
    <row r="34" spans="2:20" s="134" customFormat="1" ht="14.4">
      <c r="B34" s="331" t="s">
        <v>231</v>
      </c>
      <c r="C34" s="293" t="str">
        <f>VLOOKUP(B34,'26MY_PASSPORT_DATA'!B:AR,3,FALSE)</f>
        <v>Trailer Hitch Ball Mount</v>
      </c>
      <c r="D34" s="220" t="str">
        <f t="shared" ref="D34:D36" si="8">B34</f>
        <v>08L92-3BM-100A</v>
      </c>
      <c r="E34" s="379"/>
      <c r="F34" s="379"/>
      <c r="G34" s="382"/>
      <c r="H34" s="385"/>
      <c r="I34" s="376"/>
      <c r="J34" s="376"/>
      <c r="K34" s="376"/>
      <c r="L34" s="376"/>
      <c r="M34" s="376"/>
      <c r="N34" s="376"/>
      <c r="O34" s="376"/>
      <c r="P34" s="376"/>
      <c r="Q34" s="373"/>
      <c r="R34" s="97"/>
      <c r="S34" s="97"/>
      <c r="T34" s="97"/>
    </row>
    <row r="35" spans="2:20" s="134" customFormat="1" ht="14.4">
      <c r="B35" s="331" t="s">
        <v>197</v>
      </c>
      <c r="C35" s="192" t="str">
        <f>VLOOKUP(B35,'26MY_PASSPORT_DATA'!B:AR,3,FALSE)</f>
        <v>Trailer Hitch Ball - 2"</v>
      </c>
      <c r="D35" s="220" t="str">
        <f t="shared" si="8"/>
        <v>08L92-S9V-300H</v>
      </c>
      <c r="E35" s="379"/>
      <c r="F35" s="379"/>
      <c r="G35" s="382"/>
      <c r="H35" s="385"/>
      <c r="I35" s="376"/>
      <c r="J35" s="376"/>
      <c r="K35" s="376"/>
      <c r="L35" s="376"/>
      <c r="M35" s="376"/>
      <c r="N35" s="376"/>
      <c r="O35" s="376"/>
      <c r="P35" s="376"/>
      <c r="Q35" s="373"/>
      <c r="R35" s="97"/>
      <c r="S35" s="97"/>
      <c r="T35" s="97"/>
    </row>
    <row r="36" spans="2:20" s="134" customFormat="1" ht="14.4">
      <c r="B36" s="331" t="s">
        <v>198</v>
      </c>
      <c r="C36" s="192" t="str">
        <f>VLOOKUP(B36,'26MY_PASSPORT_DATA'!B:AR,3,FALSE)</f>
        <v>Trailer Hitch Locking Pin</v>
      </c>
      <c r="D36" s="220" t="str">
        <f t="shared" si="8"/>
        <v>08L92-SJC-300A</v>
      </c>
      <c r="E36" s="380"/>
      <c r="F36" s="380"/>
      <c r="G36" s="383"/>
      <c r="H36" s="386"/>
      <c r="I36" s="377"/>
      <c r="J36" s="377"/>
      <c r="K36" s="377"/>
      <c r="L36" s="377"/>
      <c r="M36" s="377"/>
      <c r="N36" s="377"/>
      <c r="O36" s="377"/>
      <c r="P36" s="377"/>
      <c r="Q36" s="374"/>
      <c r="R36" s="97"/>
      <c r="S36" s="97"/>
      <c r="T36" s="97"/>
    </row>
    <row r="37" spans="2:20" s="134" customFormat="1" ht="6.9" customHeight="1">
      <c r="B37" s="331"/>
      <c r="C37" s="203"/>
      <c r="D37" s="204"/>
      <c r="E37" s="204"/>
      <c r="F37" s="204"/>
      <c r="G37" s="204"/>
      <c r="H37" s="204"/>
      <c r="I37" s="204"/>
      <c r="J37" s="204"/>
      <c r="K37" s="204"/>
      <c r="L37" s="204"/>
      <c r="M37" s="204"/>
      <c r="N37" s="204"/>
      <c r="O37" s="204"/>
      <c r="P37" s="204"/>
      <c r="Q37" s="349"/>
      <c r="R37" s="97"/>
      <c r="S37" s="97"/>
    </row>
    <row r="38" spans="2:20" s="134" customFormat="1" ht="14.4">
      <c r="B38" s="331" t="s">
        <v>292</v>
      </c>
      <c r="C38" s="196" t="str">
        <f>VLOOKUP(B38,'26MY_PASSPORT_DATA'!B:AR,3,FALSE)</f>
        <v>Rugged Package</v>
      </c>
      <c r="D38" s="284" t="str">
        <f>B38</f>
        <v>26PAS-RUGPK</v>
      </c>
      <c r="E38" s="378">
        <f>VLOOKUP(B38,'26MY_PASSPORT_DATA'!B:AR,9,FALSE)</f>
        <v>1664</v>
      </c>
      <c r="F38" s="378">
        <f>VLOOKUP(B38,'26MY_PASSPORT_DATA'!B:AR,10,FALSE)</f>
        <v>2606</v>
      </c>
      <c r="G38" s="381">
        <f>VLOOKUP(B38,'26MY_PASSPORT_DATA'!B:AR,7,FALSE)</f>
        <v>1.9</v>
      </c>
      <c r="H38" s="384">
        <f>VLOOKUP(B38,'26MY_PASSPORT_DATA'!B:AR,11,FALSE)</f>
        <v>2930.9</v>
      </c>
      <c r="I38" s="375">
        <f>VLOOKUP($B38,'26MY_PASSPORT_DATA'!$B:$AR,12,FALSE)</f>
        <v>0</v>
      </c>
      <c r="J38" s="375">
        <f>VLOOKUP($B38,'26MY_PASSPORT_DATA'!$B:$AR,13,FALSE)</f>
        <v>0</v>
      </c>
      <c r="K38" s="375" t="str">
        <f>VLOOKUP(B38,'26MY_PASSPORT_DATA'!B:AR,14,FALSE)</f>
        <v>•</v>
      </c>
      <c r="L38" s="375" t="str">
        <f>VLOOKUP(B38,'26MY_PASSPORT_DATA'!B:AR,15,FALSE)</f>
        <v>•</v>
      </c>
      <c r="M38" s="375">
        <f>VLOOKUP($B38,'26MY_PASSPORT_DATA'!$B:$AR,16,FALSE)</f>
        <v>0</v>
      </c>
      <c r="N38" s="375">
        <f>VLOOKUP(B38,'26MY_PASSPORT_DATA'!B:AR,17,FALSE)</f>
        <v>0</v>
      </c>
      <c r="O38" s="375" t="str">
        <f>VLOOKUP(B38,'26MY_PASSPORT_DATA'!B:AR,18,FALSE)</f>
        <v>•</v>
      </c>
      <c r="P38" s="375" t="str">
        <f>VLOOKUP(B38,'26MY_PASSPORT_DATA'!B:AR,19,FALSE)</f>
        <v>•</v>
      </c>
      <c r="Q38" s="372" t="str">
        <f>IF(VLOOKUP(B38,'26MY_PASSPORT_DATA'!B:AR,20,FALSE)="","",VLOOKUP(B38,'26MY_PASSPORT_DATA'!B:AR,20,FALSE))</f>
        <v xml:space="preserve">Promotional 20% discount available for a limited time. </v>
      </c>
      <c r="R38" s="97"/>
      <c r="S38" s="97"/>
      <c r="T38" s="97"/>
    </row>
    <row r="39" spans="2:20" s="134" customFormat="1" ht="14.4">
      <c r="B39" s="331" t="s">
        <v>240</v>
      </c>
      <c r="C39" s="192" t="str">
        <f>VLOOKUP(B39,'26MY_PASSPORT_DATA'!B:AR,3,FALSE)</f>
        <v>All Season Mats (TrailSport logo)</v>
      </c>
      <c r="D39" s="202" t="str">
        <f t="shared" ref="D39" si="9">B39</f>
        <v>08P17-3BM-120A</v>
      </c>
      <c r="E39" s="379"/>
      <c r="F39" s="379"/>
      <c r="G39" s="382"/>
      <c r="H39" s="385"/>
      <c r="I39" s="376"/>
      <c r="J39" s="376"/>
      <c r="K39" s="376"/>
      <c r="L39" s="376"/>
      <c r="M39" s="376"/>
      <c r="N39" s="376"/>
      <c r="O39" s="376"/>
      <c r="P39" s="376"/>
      <c r="Q39" s="373"/>
      <c r="R39" s="97"/>
      <c r="S39" s="97"/>
      <c r="T39" s="97"/>
    </row>
    <row r="40" spans="2:20" s="134" customFormat="1" ht="14.4">
      <c r="B40" s="331" t="s">
        <v>244</v>
      </c>
      <c r="C40" s="192" t="str">
        <f>VLOOKUP(B40,'26MY_PASSPORT_DATA'!B:AR,3,FALSE)</f>
        <v>Cargo Tray</v>
      </c>
      <c r="D40" s="202" t="str">
        <f t="shared" ref="D40:D43" si="10">B40</f>
        <v>08U45-3BM-100</v>
      </c>
      <c r="E40" s="379"/>
      <c r="F40" s="379"/>
      <c r="G40" s="382"/>
      <c r="H40" s="385"/>
      <c r="I40" s="376"/>
      <c r="J40" s="376"/>
      <c r="K40" s="376"/>
      <c r="L40" s="376"/>
      <c r="M40" s="376"/>
      <c r="N40" s="376"/>
      <c r="O40" s="376"/>
      <c r="P40" s="376"/>
      <c r="Q40" s="373"/>
      <c r="R40" s="97"/>
      <c r="S40" s="97"/>
      <c r="T40" s="97"/>
    </row>
    <row r="41" spans="2:20" s="134" customFormat="1" ht="14.4">
      <c r="B41" s="331" t="s">
        <v>232</v>
      </c>
      <c r="C41" s="192" t="str">
        <f>VLOOKUP(B41,'26MY_PASSPORT_DATA'!B:AR,3,FALSE)</f>
        <v>Splash Guards</v>
      </c>
      <c r="D41" s="202" t="str">
        <f t="shared" ref="D41" si="11">B41</f>
        <v>08P00-3BM-100</v>
      </c>
      <c r="E41" s="379"/>
      <c r="F41" s="379"/>
      <c r="G41" s="382"/>
      <c r="H41" s="385"/>
      <c r="I41" s="376"/>
      <c r="J41" s="376"/>
      <c r="K41" s="376"/>
      <c r="L41" s="376"/>
      <c r="M41" s="376"/>
      <c r="N41" s="376"/>
      <c r="O41" s="376"/>
      <c r="P41" s="376"/>
      <c r="Q41" s="373"/>
      <c r="R41" s="97"/>
      <c r="S41" s="97"/>
      <c r="T41" s="97"/>
    </row>
    <row r="42" spans="2:20" s="134" customFormat="1" ht="14.4">
      <c r="B42" s="331" t="s">
        <v>242</v>
      </c>
      <c r="C42" s="192" t="str">
        <f>VLOOKUP(B42,'26MY_PASSPORT_DATA'!B:AR,3,FALSE)</f>
        <v>Front Scuff Plate</v>
      </c>
      <c r="D42" s="202" t="str">
        <f t="shared" si="10"/>
        <v>08P46-3BM-100</v>
      </c>
      <c r="E42" s="379"/>
      <c r="F42" s="379"/>
      <c r="G42" s="382"/>
      <c r="H42" s="385"/>
      <c r="I42" s="376"/>
      <c r="J42" s="376"/>
      <c r="K42" s="376"/>
      <c r="L42" s="376"/>
      <c r="M42" s="376"/>
      <c r="N42" s="376"/>
      <c r="O42" s="376"/>
      <c r="P42" s="376"/>
      <c r="Q42" s="373"/>
      <c r="R42" s="97"/>
      <c r="S42" s="97"/>
      <c r="T42" s="97"/>
    </row>
    <row r="43" spans="2:20" s="134" customFormat="1" ht="14.4">
      <c r="B43" s="331" t="s">
        <v>229</v>
      </c>
      <c r="C43" s="192" t="str">
        <f>VLOOKUP(B43,'26MY_PASSPORT_DATA'!B:AR,3,FALSE)</f>
        <v>Rock Slider</v>
      </c>
      <c r="D43" s="220" t="str">
        <f t="shared" si="10"/>
        <v>08L33-3BM-100A</v>
      </c>
      <c r="E43" s="380"/>
      <c r="F43" s="380"/>
      <c r="G43" s="383"/>
      <c r="H43" s="386"/>
      <c r="I43" s="377"/>
      <c r="J43" s="377"/>
      <c r="K43" s="377"/>
      <c r="L43" s="377"/>
      <c r="M43" s="377"/>
      <c r="N43" s="377"/>
      <c r="O43" s="377"/>
      <c r="P43" s="377"/>
      <c r="Q43" s="374"/>
      <c r="R43" s="97"/>
      <c r="S43" s="97"/>
      <c r="T43" s="97"/>
    </row>
    <row r="44" spans="2:20" s="134" customFormat="1" ht="6.9" customHeight="1">
      <c r="B44" s="331"/>
      <c r="C44" s="203"/>
      <c r="D44" s="204"/>
      <c r="E44" s="204"/>
      <c r="F44" s="204"/>
      <c r="G44" s="204"/>
      <c r="H44" s="204"/>
      <c r="I44" s="204"/>
      <c r="J44" s="204"/>
      <c r="K44" s="204"/>
      <c r="L44" s="204"/>
      <c r="M44" s="204"/>
      <c r="N44" s="204"/>
      <c r="O44" s="204"/>
      <c r="P44" s="204"/>
      <c r="Q44" s="349"/>
      <c r="R44" s="97"/>
      <c r="S44" s="97"/>
    </row>
    <row r="45" spans="2:20" s="134" customFormat="1" ht="14.4">
      <c r="B45" s="331" t="s">
        <v>497</v>
      </c>
      <c r="C45" s="196" t="str">
        <f>VLOOKUP(B45,'26MY_PASSPORT_DATA'!B:AR,3,FALSE)</f>
        <v>Cold Weather Package</v>
      </c>
      <c r="D45" s="284" t="str">
        <f>B45</f>
        <v>26PAS-COLD</v>
      </c>
      <c r="E45" s="378">
        <f>VLOOKUP(B45,'26MY_PASSPORT_DATA'!B:AR,9,FALSE)</f>
        <v>230.85</v>
      </c>
      <c r="F45" s="378">
        <f>VLOOKUP(B45,'26MY_PASSPORT_DATA'!B:AR,10,FALSE)</f>
        <v>405</v>
      </c>
      <c r="G45" s="381">
        <f>VLOOKUP(B45,'26MY_PASSPORT_DATA'!B:AR,7,FALSE)</f>
        <v>1.2</v>
      </c>
      <c r="H45" s="384">
        <f>VLOOKUP(B45,'26MY_PASSPORT_DATA'!B:AR,11,FALSE)</f>
        <v>610.20000000000005</v>
      </c>
      <c r="I45" s="375">
        <f>VLOOKUP($B45,'26MY_PASSPORT_DATA'!$B:$AR,12,FALSE)</f>
        <v>0</v>
      </c>
      <c r="J45" s="375">
        <f>VLOOKUP($B45,'26MY_PASSPORT_DATA'!$B:$AR,13,FALSE)</f>
        <v>0</v>
      </c>
      <c r="K45" s="375" t="str">
        <f>VLOOKUP(B45,'26MY_PASSPORT_DATA'!B:AR,14,FALSE)</f>
        <v>•</v>
      </c>
      <c r="L45" s="375" t="str">
        <f>VLOOKUP(B45,'26MY_PASSPORT_DATA'!B:AR,15,FALSE)</f>
        <v>•</v>
      </c>
      <c r="M45" s="375">
        <f>VLOOKUP($B45,'26MY_PASSPORT_DATA'!$B:$AR,16,FALSE)</f>
        <v>0</v>
      </c>
      <c r="N45" s="375">
        <f>VLOOKUP(B45,'26MY_PASSPORT_DATA'!B:AR,17,FALSE)</f>
        <v>0</v>
      </c>
      <c r="O45" s="375" t="str">
        <f>VLOOKUP(B45,'26MY_PASSPORT_DATA'!B:AR,18,FALSE)</f>
        <v>•</v>
      </c>
      <c r="P45" s="375" t="str">
        <f>VLOOKUP(B45,'26MY_PASSPORT_DATA'!B:AR,19,FALSE)</f>
        <v>•</v>
      </c>
      <c r="Q45" s="372" t="str">
        <f>IF(VLOOKUP(B45,'26MY_PASSPORT_DATA'!B:AR,20,FALSE)="","",VLOOKUP(B45,'26MY_PASSPORT_DATA'!B:AR,20,FALSE))</f>
        <v>5% Discount applied</v>
      </c>
      <c r="R45" s="97"/>
      <c r="S45" s="97"/>
      <c r="T45" s="97"/>
    </row>
    <row r="46" spans="2:20" s="134" customFormat="1" ht="14.4">
      <c r="B46" s="331" t="s">
        <v>426</v>
      </c>
      <c r="C46" s="192" t="str">
        <f>VLOOKUP(B46,'26MY_PASSPORT_DATA'!B:AR,3,FALSE)</f>
        <v>Engine Block Heater</v>
      </c>
      <c r="D46" s="220" t="str">
        <f t="shared" ref="D46:D47" si="12">B46</f>
        <v>08T44-SNA-302</v>
      </c>
      <c r="E46" s="379"/>
      <c r="F46" s="379"/>
      <c r="G46" s="382"/>
      <c r="H46" s="385"/>
      <c r="I46" s="376"/>
      <c r="J46" s="376"/>
      <c r="K46" s="376"/>
      <c r="L46" s="376"/>
      <c r="M46" s="376"/>
      <c r="N46" s="376"/>
      <c r="O46" s="376"/>
      <c r="P46" s="376"/>
      <c r="Q46" s="373"/>
      <c r="R46" s="97"/>
      <c r="S46" s="97"/>
      <c r="T46" s="97"/>
    </row>
    <row r="47" spans="2:20" s="134" customFormat="1" ht="14.4">
      <c r="B47" s="331" t="s">
        <v>258</v>
      </c>
      <c r="C47" s="192" t="str">
        <f>VLOOKUP(B47,'26MY_PASSPORT_DATA'!B:AR,3,FALSE)</f>
        <v>Optimate 12V Auto Battery Charger/Maintainer</v>
      </c>
      <c r="D47" s="202" t="str">
        <f t="shared" si="12"/>
        <v>31670-BMS-004H</v>
      </c>
      <c r="E47" s="380"/>
      <c r="F47" s="380"/>
      <c r="G47" s="383"/>
      <c r="H47" s="386"/>
      <c r="I47" s="377"/>
      <c r="J47" s="377"/>
      <c r="K47" s="377"/>
      <c r="L47" s="377"/>
      <c r="M47" s="377"/>
      <c r="N47" s="377"/>
      <c r="O47" s="377"/>
      <c r="P47" s="377"/>
      <c r="Q47" s="374"/>
      <c r="R47" s="97"/>
      <c r="S47" s="97"/>
      <c r="T47" s="97"/>
    </row>
    <row r="48" spans="2:20" s="135" customFormat="1" ht="15" customHeight="1">
      <c r="B48" s="332"/>
      <c r="C48" s="132"/>
      <c r="D48" s="132"/>
      <c r="E48" s="132"/>
      <c r="F48" s="132"/>
      <c r="G48" s="131"/>
      <c r="H48" s="132"/>
      <c r="I48" s="132"/>
      <c r="J48" s="132"/>
      <c r="K48" s="132"/>
      <c r="L48" s="132"/>
      <c r="M48" s="132"/>
      <c r="N48" s="132"/>
      <c r="O48" s="132"/>
      <c r="P48" s="132"/>
      <c r="Q48" s="132"/>
    </row>
    <row r="49" spans="1:17" s="133" customFormat="1" ht="18">
      <c r="B49" s="331"/>
      <c r="C49" s="152" t="s">
        <v>63</v>
      </c>
      <c r="D49" s="152"/>
      <c r="E49" s="143"/>
      <c r="F49" s="143"/>
      <c r="G49" s="143"/>
      <c r="H49" s="143"/>
      <c r="I49" s="143"/>
      <c r="J49" s="143"/>
      <c r="K49" s="143"/>
      <c r="L49" s="143"/>
      <c r="M49" s="143"/>
      <c r="N49" s="143"/>
      <c r="O49" s="143"/>
      <c r="P49" s="143"/>
      <c r="Q49" s="143"/>
    </row>
    <row r="50" spans="1:17" s="134" customFormat="1" ht="15" customHeight="1">
      <c r="B50" s="331"/>
      <c r="C50" s="387" t="s">
        <v>55</v>
      </c>
      <c r="D50" s="387" t="s">
        <v>10</v>
      </c>
      <c r="E50" s="387" t="s">
        <v>17</v>
      </c>
      <c r="F50" s="387" t="s">
        <v>11</v>
      </c>
      <c r="G50" s="387" t="s">
        <v>12</v>
      </c>
      <c r="H50" s="388" t="s">
        <v>13</v>
      </c>
      <c r="I50" s="387" t="s">
        <v>23</v>
      </c>
      <c r="J50" s="387"/>
      <c r="K50" s="387"/>
      <c r="L50" s="387"/>
      <c r="M50" s="387"/>
      <c r="N50" s="387"/>
      <c r="O50" s="387"/>
      <c r="P50" s="387"/>
      <c r="Q50" s="387" t="s">
        <v>14</v>
      </c>
    </row>
    <row r="51" spans="1:17" s="134" customFormat="1" ht="43.2">
      <c r="B51" s="332"/>
      <c r="C51" s="387"/>
      <c r="D51" s="387"/>
      <c r="E51" s="387"/>
      <c r="F51" s="387"/>
      <c r="G51" s="387"/>
      <c r="H51" s="388"/>
      <c r="I51" s="174">
        <f>'26MY_PASSPORT_DATA'!$M$7</f>
        <v>0</v>
      </c>
      <c r="J51" s="174">
        <f>'26MY_PASSPORT_DATA'!$M$7</f>
        <v>0</v>
      </c>
      <c r="K51" s="174" t="str">
        <f>'26MY_PASSPORT_DATA'!$O$7</f>
        <v>TrailSport</v>
      </c>
      <c r="L51" s="174" t="str">
        <f>'26MY_PASSPORT_DATA'!$P$7</f>
        <v>TrailSport Blackout</v>
      </c>
      <c r="M51" s="174">
        <f>'26MY_PASSPORT_DATA'!$R$7</f>
        <v>0</v>
      </c>
      <c r="N51" s="174">
        <f>'26MY_PASSPORT_DATA'!$R$7</f>
        <v>0</v>
      </c>
      <c r="O51" s="174" t="str">
        <f>'26MY_PASSPORT_DATA'!$S$7</f>
        <v>TrailSport Touring</v>
      </c>
      <c r="P51" s="174" t="str">
        <f>'26MY_PASSPORT_DATA'!$T$7</f>
        <v>Trailsport Touring Blackout</v>
      </c>
      <c r="Q51" s="387"/>
    </row>
    <row r="52" spans="1:17" s="135" customFormat="1" ht="15" customHeight="1">
      <c r="B52" s="332" t="s">
        <v>247</v>
      </c>
      <c r="C52" s="175" t="str">
        <f>VLOOKUP(B52,'26MY_PASSPORT_DATA'!B:AR,3,FALSE)</f>
        <v>18" Retro Alloy Wheel White</v>
      </c>
      <c r="D52" s="79" t="str">
        <f>B52</f>
        <v>08W18-3BM-100</v>
      </c>
      <c r="E52" s="343">
        <f>VLOOKUP(B52,'26MY_PASSPORT_DATA'!B:AR,9,FALSE)</f>
        <v>2128</v>
      </c>
      <c r="F52" s="343">
        <f>VLOOKUP(B52,'26MY_PASSPORT_DATA'!B:AR,10,FALSE)</f>
        <v>3272</v>
      </c>
      <c r="G52" s="344">
        <f>VLOOKUP(B52,'26MY_PASSPORT_DATA'!B:AR,7,FALSE)</f>
        <v>1.6</v>
      </c>
      <c r="H52" s="345">
        <f>VLOOKUP(B52,'26MY_PASSPORT_DATA'!B:AR,11,FALSE)</f>
        <v>3545.6</v>
      </c>
      <c r="I52" s="347">
        <f>VLOOKUP($B52,'26MY_PASSPORT_DATA'!$B:$AR,12,FALSE)</f>
        <v>0</v>
      </c>
      <c r="J52" s="347">
        <f>VLOOKUP($B52,'26MY_PASSPORT_DATA'!$B:$AR,13,FALSE)</f>
        <v>0</v>
      </c>
      <c r="K52" s="347" t="str">
        <f>VLOOKUP(B52,'26MY_PASSPORT_DATA'!B:AR,14,FALSE)</f>
        <v>•</v>
      </c>
      <c r="L52" s="347" t="str">
        <f>VLOOKUP(B52,'26MY_PASSPORT_DATA'!B:AR,15,FALSE)</f>
        <v>•</v>
      </c>
      <c r="M52" s="347">
        <f>VLOOKUP($B52,'26MY_PASSPORT_DATA'!$B:$AR,16,FALSE)</f>
        <v>0</v>
      </c>
      <c r="N52" s="347">
        <f>VLOOKUP(B52,'26MY_PASSPORT_DATA'!B:AR,17,FALSE)</f>
        <v>0</v>
      </c>
      <c r="O52" s="347" t="str">
        <f>VLOOKUP(B52,'26MY_PASSPORT_DATA'!B:AR,18,FALSE)</f>
        <v>•</v>
      </c>
      <c r="P52" s="347" t="str">
        <f>VLOOKUP(B52,'26MY_PASSPORT_DATA'!B:AR,19,FALSE)</f>
        <v>•</v>
      </c>
      <c r="Q52" s="346" t="str">
        <f>IF(VLOOKUP(B52,'26MY_PASSPORT_DATA'!B:AR,20,FALSE)="","",VLOOKUP(B52,'26MY_PASSPORT_DATA'!B:AR,20,FALSE))</f>
        <v>Priced as a set of 4 wheels. Tires sold separately.</v>
      </c>
    </row>
    <row r="53" spans="1:17" s="134" customFormat="1" ht="14.4">
      <c r="B53" s="332" t="s">
        <v>289</v>
      </c>
      <c r="C53" s="175" t="str">
        <f>VLOOKUP(B53,'26MY_PASSPORT_DATA'!B:AR,3,FALSE)</f>
        <v>Wheel Locks - Chrome</v>
      </c>
      <c r="D53" s="291" t="str">
        <f t="shared" ref="D53:D55" si="13">B53</f>
        <v>08W42-TK4-301</v>
      </c>
      <c r="E53" s="343">
        <f>VLOOKUP(B53,'26MY_PASSPORT_DATA'!B:AR,9,FALSE)</f>
        <v>94</v>
      </c>
      <c r="F53" s="343">
        <f>VLOOKUP(B53,'26MY_PASSPORT_DATA'!B:AR,10,FALSE)</f>
        <v>157</v>
      </c>
      <c r="G53" s="344">
        <f>VLOOKUP(B53,'26MY_PASSPORT_DATA'!B:AR,7,FALSE)</f>
        <v>0.2</v>
      </c>
      <c r="H53" s="345">
        <f>VLOOKUP(B53,'26MY_PASSPORT_DATA'!B:AR,11,FALSE)</f>
        <v>191.2</v>
      </c>
      <c r="I53" s="347">
        <f>VLOOKUP($B53,'26MY_PASSPORT_DATA'!$B:$AR,12,FALSE)</f>
        <v>0</v>
      </c>
      <c r="J53" s="347">
        <f>VLOOKUP($B53,'26MY_PASSPORT_DATA'!$B:$AR,13,FALSE)</f>
        <v>0</v>
      </c>
      <c r="K53" s="347" t="str">
        <f>VLOOKUP(B53,'26MY_PASSPORT_DATA'!B:AR,14,FALSE)</f>
        <v>•</v>
      </c>
      <c r="L53" s="347" t="str">
        <f>VLOOKUP(B53,'26MY_PASSPORT_DATA'!B:AR,15,FALSE)</f>
        <v>•</v>
      </c>
      <c r="M53" s="347">
        <f>VLOOKUP($B53,'26MY_PASSPORT_DATA'!$B:$AR,16,FALSE)</f>
        <v>0</v>
      </c>
      <c r="N53" s="347">
        <f>VLOOKUP(B53,'26MY_PASSPORT_DATA'!B:AR,17,FALSE)</f>
        <v>0</v>
      </c>
      <c r="O53" s="347" t="str">
        <f>VLOOKUP(B53,'26MY_PASSPORT_DATA'!B:AR,18,FALSE)</f>
        <v>•</v>
      </c>
      <c r="P53" s="347" t="str">
        <f>VLOOKUP(B53,'26MY_PASSPORT_DATA'!B:AR,19,FALSE)</f>
        <v>•</v>
      </c>
      <c r="Q53" s="346" t="str">
        <f>IF(VLOOKUP(B53,'26MY_PASSPORT_DATA'!B:AR,20,FALSE)="","",VLOOKUP(B53,'26MY_PASSPORT_DATA'!B:AR,20,FALSE))</f>
        <v/>
      </c>
    </row>
    <row r="54" spans="1:17" s="134" customFormat="1" ht="14.4">
      <c r="B54" s="332" t="s">
        <v>288</v>
      </c>
      <c r="C54" s="175" t="str">
        <f>VLOOKUP(B54,'26MY_PASSPORT_DATA'!B:AR,3,FALSE)</f>
        <v>Wheel Locks - Black</v>
      </c>
      <c r="D54" s="291" t="str">
        <f t="shared" si="13"/>
        <v>08W42-TG7-301A</v>
      </c>
      <c r="E54" s="343">
        <f>VLOOKUP(B54,'26MY_PASSPORT_DATA'!B:AR,9,FALSE)</f>
        <v>88</v>
      </c>
      <c r="F54" s="343">
        <f>VLOOKUP(B54,'26MY_PASSPORT_DATA'!B:AR,10,FALSE)</f>
        <v>147</v>
      </c>
      <c r="G54" s="344">
        <f>VLOOKUP(B54,'26MY_PASSPORT_DATA'!B:AR,7,FALSE)</f>
        <v>0.2</v>
      </c>
      <c r="H54" s="345">
        <f>VLOOKUP(B54,'26MY_PASSPORT_DATA'!B:AR,11,FALSE)</f>
        <v>181.2</v>
      </c>
      <c r="I54" s="347">
        <f>VLOOKUP($B54,'26MY_PASSPORT_DATA'!$B:$AR,12,FALSE)</f>
        <v>0</v>
      </c>
      <c r="J54" s="347">
        <f>VLOOKUP($B54,'26MY_PASSPORT_DATA'!$B:$AR,13,FALSE)</f>
        <v>0</v>
      </c>
      <c r="K54" s="347" t="str">
        <f>VLOOKUP(B54,'26MY_PASSPORT_DATA'!B:AR,14,FALSE)</f>
        <v>•</v>
      </c>
      <c r="L54" s="347" t="str">
        <f>VLOOKUP(B54,'26MY_PASSPORT_DATA'!B:AR,15,FALSE)</f>
        <v>•</v>
      </c>
      <c r="M54" s="347">
        <f>VLOOKUP($B54,'26MY_PASSPORT_DATA'!$B:$AR,16,FALSE)</f>
        <v>0</v>
      </c>
      <c r="N54" s="347">
        <f>VLOOKUP(B54,'26MY_PASSPORT_DATA'!B:AR,17,FALSE)</f>
        <v>0</v>
      </c>
      <c r="O54" s="347" t="str">
        <f>VLOOKUP(B54,'26MY_PASSPORT_DATA'!B:AR,18,FALSE)</f>
        <v>•</v>
      </c>
      <c r="P54" s="347" t="str">
        <f>VLOOKUP(B54,'26MY_PASSPORT_DATA'!B:AR,19,FALSE)</f>
        <v>•</v>
      </c>
      <c r="Q54" s="346" t="str">
        <f>IF(VLOOKUP(B54,'26MY_PASSPORT_DATA'!B:AR,20,FALSE)="","",VLOOKUP(B54,'26MY_PASSPORT_DATA'!B:AR,20,FALSE))</f>
        <v/>
      </c>
    </row>
    <row r="55" spans="1:17" s="134" customFormat="1" ht="14.4">
      <c r="B55" s="332" t="s">
        <v>432</v>
      </c>
      <c r="C55" s="175" t="str">
        <f>VLOOKUP(B55,'26MY_PASSPORT_DATA'!B:AR,3,FALSE)</f>
        <v>Wheel Lug Nuts, Black</v>
      </c>
      <c r="D55" s="291" t="str">
        <f t="shared" si="13"/>
        <v>08W42-PL4-100A</v>
      </c>
      <c r="E55" s="343">
        <f>VLOOKUP(B55,'26MY_PASSPORT_DATA'!B:AR,9,FALSE)</f>
        <v>170</v>
      </c>
      <c r="F55" s="343">
        <f>VLOOKUP(B55,'26MY_PASSPORT_DATA'!B:AR,10,FALSE)</f>
        <v>283</v>
      </c>
      <c r="G55" s="344">
        <f>VLOOKUP(B55,'26MY_PASSPORT_DATA'!B:AR,7,FALSE)</f>
        <v>0.3</v>
      </c>
      <c r="H55" s="345">
        <f>VLOOKUP(B55,'26MY_PASSPORT_DATA'!B:AR,11,FALSE)</f>
        <v>334.3</v>
      </c>
      <c r="I55" s="347">
        <f>VLOOKUP($B55,'26MY_PASSPORT_DATA'!$B:$AR,12,FALSE)</f>
        <v>0</v>
      </c>
      <c r="J55" s="347">
        <f>VLOOKUP($B55,'26MY_PASSPORT_DATA'!$B:$AR,13,FALSE)</f>
        <v>0</v>
      </c>
      <c r="K55" s="347" t="str">
        <f>VLOOKUP(B55,'26MY_PASSPORT_DATA'!B:AR,14,FALSE)</f>
        <v>•</v>
      </c>
      <c r="L55" s="347" t="str">
        <f>VLOOKUP(B55,'26MY_PASSPORT_DATA'!B:AR,15,FALSE)</f>
        <v>•</v>
      </c>
      <c r="M55" s="347">
        <f>VLOOKUP($B55,'26MY_PASSPORT_DATA'!$B:$AR,16,FALSE)</f>
        <v>0</v>
      </c>
      <c r="N55" s="347">
        <f>VLOOKUP(B55,'26MY_PASSPORT_DATA'!B:AR,17,FALSE)</f>
        <v>0</v>
      </c>
      <c r="O55" s="347" t="str">
        <f>VLOOKUP(B55,'26MY_PASSPORT_DATA'!B:AR,18,FALSE)</f>
        <v>•</v>
      </c>
      <c r="P55" s="347" t="str">
        <f>VLOOKUP(B55,'26MY_PASSPORT_DATA'!B:AR,19,FALSE)</f>
        <v>•</v>
      </c>
      <c r="Q55" s="346" t="str">
        <f>IF(VLOOKUP(B55,'26MY_PASSPORT_DATA'!B:AR,20,FALSE)="","",VLOOKUP(B55,'26MY_PASSPORT_DATA'!B:AR,20,FALSE))</f>
        <v/>
      </c>
    </row>
    <row r="56" spans="1:17" s="134" customFormat="1" ht="7.5" hidden="1" customHeight="1">
      <c r="A56" s="303" t="s">
        <v>301</v>
      </c>
      <c r="B56" s="332" t="s">
        <v>284</v>
      </c>
      <c r="C56" s="175" t="str">
        <f>VLOOKUP(B56,'26MY_PASSPORT_DATA'!B:AR,3,FALSE)</f>
        <v>FULL SIZE SPARE KIT ??</v>
      </c>
      <c r="D56" s="291" t="str">
        <f t="shared" ref="D56" si="14">B56</f>
        <v>08U02-3BM-100</v>
      </c>
      <c r="E56" s="176">
        <f>VLOOKUP(B56,'26MY_PASSPORT_DATA'!B:AR,25,FALSE)</f>
        <v>0</v>
      </c>
      <c r="F56" s="176">
        <f>VLOOKUP(B56,'26MY_PASSPORT_DATA'!B:AR,26,FALSE)</f>
        <v>0</v>
      </c>
      <c r="G56" s="177">
        <f>VLOOKUP(B56,'26MY_PASSPORT_DATA'!B:AR,23,FALSE)</f>
        <v>0</v>
      </c>
      <c r="H56" s="178">
        <f>VLOOKUP(B56,'26MY_PASSPORT_DATA'!B:AR,27,FALSE)</f>
        <v>0</v>
      </c>
      <c r="I56" s="179">
        <f>VLOOKUP(B56,'26MY_PASSPORT_DATA'!B:AR,28,FALSE)</f>
        <v>0</v>
      </c>
      <c r="J56" s="179" t="e">
        <f>VLOOKUP(C56,'26MY_PASSPORT_DATA'!C:AS,28,FALSE)</f>
        <v>#N/A</v>
      </c>
      <c r="K56" s="179">
        <f>VLOOKUP(B56,'26MY_PASSPORT_DATA'!B:AR,29,FALSE)</f>
        <v>0</v>
      </c>
      <c r="L56" s="179">
        <f>VLOOKUP(B56,'26MY_PASSPORT_DATA'!B:AR,30,FALSE)</f>
        <v>0</v>
      </c>
      <c r="M56" s="179" t="e">
        <f>VLOOKUP(A56,'26MY_PASSPORT_DATA'!A:AQ,31,FALSE)</f>
        <v>#N/A</v>
      </c>
      <c r="N56" s="179">
        <f>VLOOKUP(B56,'26MY_PASSPORT_DATA'!B:AR,31,FALSE)</f>
        <v>0</v>
      </c>
      <c r="O56" s="179">
        <f>VLOOKUP(B56,'26MY_PASSPORT_DATA'!B:AR,32,FALSE)</f>
        <v>0</v>
      </c>
      <c r="P56" s="179">
        <f>VLOOKUP(B56,'26MY_PASSPORT_DATA'!B:AR,33,FALSE)</f>
        <v>0</v>
      </c>
      <c r="Q56" s="180" t="str">
        <f>IF(VLOOKUP(B56,'26MY_PASSPORT_DATA'!B:AR,34,FALSE)="","",VLOOKUP(B56,'26MY_PASSPORT_DATA'!B:AR,34,FALSE))</f>
        <v/>
      </c>
    </row>
    <row r="57" spans="1:17" s="135" customFormat="1" ht="10.5" customHeight="1">
      <c r="B57" s="332"/>
      <c r="C57" s="20"/>
      <c r="D57" s="183"/>
      <c r="E57" s="184"/>
      <c r="F57" s="184"/>
      <c r="G57" s="185"/>
      <c r="H57" s="186"/>
      <c r="I57" s="91"/>
      <c r="J57" s="91"/>
      <c r="K57" s="97"/>
      <c r="L57" s="91"/>
      <c r="M57" s="91"/>
      <c r="N57" s="91"/>
      <c r="O57" s="91"/>
      <c r="P57" s="91"/>
      <c r="Q57" s="187"/>
    </row>
    <row r="58" spans="1:17" s="133" customFormat="1" ht="18">
      <c r="B58" s="333"/>
      <c r="C58" s="152" t="s">
        <v>62</v>
      </c>
      <c r="D58" s="152"/>
      <c r="E58" s="143"/>
      <c r="F58" s="143"/>
      <c r="G58" s="143"/>
      <c r="H58" s="143"/>
      <c r="I58" s="143"/>
      <c r="J58" s="143"/>
      <c r="K58" s="91"/>
      <c r="L58" s="143"/>
      <c r="M58" s="143"/>
      <c r="N58" s="143"/>
      <c r="O58" s="143"/>
      <c r="P58" s="143"/>
      <c r="Q58" s="143"/>
    </row>
    <row r="59" spans="1:17" s="134" customFormat="1" ht="15" customHeight="1">
      <c r="B59" s="332"/>
      <c r="C59" s="387" t="s">
        <v>55</v>
      </c>
      <c r="D59" s="387" t="s">
        <v>10</v>
      </c>
      <c r="E59" s="387" t="s">
        <v>17</v>
      </c>
      <c r="F59" s="387" t="s">
        <v>11</v>
      </c>
      <c r="G59" s="387" t="s">
        <v>12</v>
      </c>
      <c r="H59" s="388" t="s">
        <v>13</v>
      </c>
      <c r="I59" s="387" t="s">
        <v>23</v>
      </c>
      <c r="J59" s="387"/>
      <c r="K59" s="387"/>
      <c r="L59" s="387"/>
      <c r="M59" s="387"/>
      <c r="N59" s="387"/>
      <c r="O59" s="387"/>
      <c r="P59" s="387"/>
      <c r="Q59" s="387" t="s">
        <v>14</v>
      </c>
    </row>
    <row r="60" spans="1:17" s="134" customFormat="1" ht="43.2">
      <c r="B60" s="332"/>
      <c r="C60" s="387"/>
      <c r="D60" s="387"/>
      <c r="E60" s="387"/>
      <c r="F60" s="387"/>
      <c r="G60" s="387"/>
      <c r="H60" s="388"/>
      <c r="I60" s="174">
        <f>'26MY_PASSPORT_DATA'!$M$7</f>
        <v>0</v>
      </c>
      <c r="J60" s="174">
        <f>'26MY_PASSPORT_DATA'!$M$7</f>
        <v>0</v>
      </c>
      <c r="K60" s="174" t="str">
        <f>'26MY_PASSPORT_DATA'!$O$7</f>
        <v>TrailSport</v>
      </c>
      <c r="L60" s="174" t="str">
        <f>'26MY_PASSPORT_DATA'!$P$7</f>
        <v>TrailSport Blackout</v>
      </c>
      <c r="M60" s="174">
        <f>'26MY_PASSPORT_DATA'!$R$7</f>
        <v>0</v>
      </c>
      <c r="N60" s="174">
        <f>'26MY_PASSPORT_DATA'!$R$7</f>
        <v>0</v>
      </c>
      <c r="O60" s="174" t="str">
        <f>'26MY_PASSPORT_DATA'!$S$7</f>
        <v>TrailSport Touring</v>
      </c>
      <c r="P60" s="174" t="str">
        <f>'26MY_PASSPORT_DATA'!$T$7</f>
        <v>Trailsport Touring Blackout</v>
      </c>
      <c r="Q60" s="387"/>
    </row>
    <row r="61" spans="1:17" s="135" customFormat="1" ht="15" customHeight="1">
      <c r="B61" s="332" t="s">
        <v>242</v>
      </c>
      <c r="C61" s="175" t="str">
        <f>VLOOKUP(B61,'26MY_PASSPORT_DATA'!B:AR,3,FALSE)</f>
        <v>Front Scuff Plate</v>
      </c>
      <c r="D61" s="79" t="str">
        <f>B61</f>
        <v>08P46-3BM-100</v>
      </c>
      <c r="E61" s="343">
        <f>VLOOKUP(B61,'26MY_PASSPORT_DATA'!B:AR,9,FALSE)</f>
        <v>400</v>
      </c>
      <c r="F61" s="343">
        <f>VLOOKUP(B61,'26MY_PASSPORT_DATA'!B:AR,10,FALSE)</f>
        <v>615</v>
      </c>
      <c r="G61" s="344">
        <f>VLOOKUP(B61,'26MY_PASSPORT_DATA'!B:AR,7,FALSE)</f>
        <v>0.6</v>
      </c>
      <c r="H61" s="345">
        <f>VLOOKUP(B61,'26MY_PASSPORT_DATA'!B:AR,11,FALSE)</f>
        <v>717.6</v>
      </c>
      <c r="I61" s="347">
        <f>VLOOKUP($B61,'26MY_PASSPORT_DATA'!$B:$AR,12,FALSE)</f>
        <v>0</v>
      </c>
      <c r="J61" s="347">
        <f>VLOOKUP($B61,'26MY_PASSPORT_DATA'!$B:$AR,13,FALSE)</f>
        <v>0</v>
      </c>
      <c r="K61" s="347" t="str">
        <f>VLOOKUP(B61,'26MY_PASSPORT_DATA'!B:AR,14,FALSE)</f>
        <v>•</v>
      </c>
      <c r="L61" s="347" t="str">
        <f>VLOOKUP(B61,'26MY_PASSPORT_DATA'!B:AR,15,FALSE)</f>
        <v>•</v>
      </c>
      <c r="M61" s="347">
        <f>VLOOKUP($B61,'26MY_PASSPORT_DATA'!$B:$AR,16,FALSE)</f>
        <v>0</v>
      </c>
      <c r="N61" s="347">
        <f>VLOOKUP(B61,'26MY_PASSPORT_DATA'!B:AR,17,FALSE)</f>
        <v>0</v>
      </c>
      <c r="O61" s="347" t="str">
        <f>VLOOKUP(B61,'26MY_PASSPORT_DATA'!B:AR,18,FALSE)</f>
        <v>•</v>
      </c>
      <c r="P61" s="347" t="str">
        <f>VLOOKUP(B61,'26MY_PASSPORT_DATA'!B:AR,19,FALSE)</f>
        <v>•</v>
      </c>
      <c r="Q61" s="350" t="str">
        <f>IF(VLOOKUP(B61,'26MY_PASSPORT_DATA'!B:AR,20,FALSE)="","",VLOOKUP(B61,'26MY_PASSPORT_DATA'!B:AR,20,FALSE))</f>
        <v/>
      </c>
    </row>
    <row r="62" spans="1:17" s="135" customFormat="1" ht="15" customHeight="1">
      <c r="B62" s="332" t="s">
        <v>229</v>
      </c>
      <c r="C62" s="175" t="str">
        <f>VLOOKUP(B62,'26MY_PASSPORT_DATA'!B:AR,3,FALSE)</f>
        <v>Rock Slider</v>
      </c>
      <c r="D62" s="79" t="str">
        <f t="shared" ref="D62:D67" si="15">B62</f>
        <v>08L33-3BM-100A</v>
      </c>
      <c r="E62" s="343">
        <f>VLOOKUP(B62,'26MY_PASSPORT_DATA'!B:AR,9,FALSE)</f>
        <v>1222</v>
      </c>
      <c r="F62" s="343">
        <f>VLOOKUP(B62,'26MY_PASSPORT_DATA'!B:AR,10,FALSE)</f>
        <v>1880</v>
      </c>
      <c r="G62" s="344">
        <f>VLOOKUP(B62,'26MY_PASSPORT_DATA'!B:AR,7,FALSE)</f>
        <v>0.6</v>
      </c>
      <c r="H62" s="345">
        <f>VLOOKUP(B62,'26MY_PASSPORT_DATA'!B:AR,11,FALSE)</f>
        <v>1982.6</v>
      </c>
      <c r="I62" s="347">
        <f>VLOOKUP($B62,'26MY_PASSPORT_DATA'!$B:$AR,12,FALSE)</f>
        <v>0</v>
      </c>
      <c r="J62" s="347">
        <f>VLOOKUP($B62,'26MY_PASSPORT_DATA'!$B:$AR,13,FALSE)</f>
        <v>0</v>
      </c>
      <c r="K62" s="347" t="str">
        <f>VLOOKUP(B62,'26MY_PASSPORT_DATA'!B:AR,14,FALSE)</f>
        <v>•</v>
      </c>
      <c r="L62" s="347" t="str">
        <f>VLOOKUP(B62,'26MY_PASSPORT_DATA'!B:AR,15,FALSE)</f>
        <v>•</v>
      </c>
      <c r="M62" s="347">
        <f>VLOOKUP($B62,'26MY_PASSPORT_DATA'!$B:$AR,16,FALSE)</f>
        <v>0</v>
      </c>
      <c r="N62" s="347">
        <f>VLOOKUP(B62,'26MY_PASSPORT_DATA'!B:AR,17,FALSE)</f>
        <v>0</v>
      </c>
      <c r="O62" s="347" t="str">
        <f>VLOOKUP(B62,'26MY_PASSPORT_DATA'!B:AR,18,FALSE)</f>
        <v>•</v>
      </c>
      <c r="P62" s="347" t="str">
        <f>VLOOKUP(B62,'26MY_PASSPORT_DATA'!B:AR,19,FALSE)</f>
        <v>•</v>
      </c>
      <c r="Q62" s="350" t="str">
        <f>IF(VLOOKUP(B62,'26MY_PASSPORT_DATA'!B:AR,20,FALSE)="","",VLOOKUP(B62,'26MY_PASSPORT_DATA'!B:AR,20,FALSE))</f>
        <v>Cannot be installed with Running Boards</v>
      </c>
    </row>
    <row r="63" spans="1:17" s="135" customFormat="1" ht="15" customHeight="1">
      <c r="B63" s="332" t="s">
        <v>228</v>
      </c>
      <c r="C63" s="175" t="str">
        <f>VLOOKUP(B63,'26MY_PASSPORT_DATA'!B:AR,3,FALSE)</f>
        <v>Running Boards</v>
      </c>
      <c r="D63" s="79" t="str">
        <f t="shared" si="15"/>
        <v>08L33-3BM-100</v>
      </c>
      <c r="E63" s="343">
        <f>VLOOKUP(B63,'26MY_PASSPORT_DATA'!B:AR,9,FALSE)</f>
        <v>961</v>
      </c>
      <c r="F63" s="343">
        <f>VLOOKUP(B63,'26MY_PASSPORT_DATA'!B:AR,10,FALSE)</f>
        <v>1373</v>
      </c>
      <c r="G63" s="344">
        <f>VLOOKUP(B63,'26MY_PASSPORT_DATA'!B:AR,7,FALSE)</f>
        <v>0.6</v>
      </c>
      <c r="H63" s="345">
        <f>VLOOKUP(B63,'26MY_PASSPORT_DATA'!B:AR,11,FALSE)</f>
        <v>1475.6</v>
      </c>
      <c r="I63" s="347">
        <f>VLOOKUP($B63,'26MY_PASSPORT_DATA'!$B:$AR,12,FALSE)</f>
        <v>0</v>
      </c>
      <c r="J63" s="347">
        <f>VLOOKUP($B63,'26MY_PASSPORT_DATA'!$B:$AR,13,FALSE)</f>
        <v>0</v>
      </c>
      <c r="K63" s="347" t="str">
        <f>VLOOKUP(B63,'26MY_PASSPORT_DATA'!B:AR,14,FALSE)</f>
        <v>•</v>
      </c>
      <c r="L63" s="347" t="str">
        <f>VLOOKUP(B63,'26MY_PASSPORT_DATA'!B:AR,15,FALSE)</f>
        <v>•</v>
      </c>
      <c r="M63" s="347">
        <f>VLOOKUP($B63,'26MY_PASSPORT_DATA'!$B:$AR,16,FALSE)</f>
        <v>0</v>
      </c>
      <c r="N63" s="347">
        <f>VLOOKUP(B63,'26MY_PASSPORT_DATA'!B:AR,17,FALSE)</f>
        <v>0</v>
      </c>
      <c r="O63" s="347" t="str">
        <f>VLOOKUP(B63,'26MY_PASSPORT_DATA'!B:AR,18,FALSE)</f>
        <v>•</v>
      </c>
      <c r="P63" s="347" t="str">
        <f>VLOOKUP(B63,'26MY_PASSPORT_DATA'!B:AR,19,FALSE)</f>
        <v>•</v>
      </c>
      <c r="Q63" s="350" t="str">
        <f>IF(VLOOKUP(B63,'26MY_PASSPORT_DATA'!B:AR,20,FALSE)="","",VLOOKUP(B63,'26MY_PASSPORT_DATA'!B:AR,20,FALSE))</f>
        <v>Cannot be installed with Rocker Slider</v>
      </c>
    </row>
    <row r="64" spans="1:17" s="135" customFormat="1" ht="15" customHeight="1">
      <c r="B64" s="332" t="s">
        <v>232</v>
      </c>
      <c r="C64" s="175" t="str">
        <f>VLOOKUP(B64,'26MY_PASSPORT_DATA'!B:AR,3,FALSE)</f>
        <v>Splash Guards</v>
      </c>
      <c r="D64" s="79" t="str">
        <f t="shared" ref="D64:D66" si="16">B64</f>
        <v>08P00-3BM-100</v>
      </c>
      <c r="E64" s="343">
        <f>VLOOKUP(B64,'26MY_PASSPORT_DATA'!B:AR,9,FALSE)</f>
        <v>117</v>
      </c>
      <c r="F64" s="343">
        <f>VLOOKUP(B64,'26MY_PASSPORT_DATA'!B:AR,10,FALSE)</f>
        <v>195</v>
      </c>
      <c r="G64" s="344">
        <f>VLOOKUP(B64,'26MY_PASSPORT_DATA'!B:AR,7,FALSE)</f>
        <v>0.5</v>
      </c>
      <c r="H64" s="345">
        <f>VLOOKUP(B64,'26MY_PASSPORT_DATA'!B:AR,11,FALSE)</f>
        <v>280.5</v>
      </c>
      <c r="I64" s="347">
        <f>VLOOKUP($B64,'26MY_PASSPORT_DATA'!$B:$AR,12,FALSE)</f>
        <v>0</v>
      </c>
      <c r="J64" s="347">
        <f>VLOOKUP($B64,'26MY_PASSPORT_DATA'!$B:$AR,13,FALSE)</f>
        <v>0</v>
      </c>
      <c r="K64" s="347" t="str">
        <f>VLOOKUP(B64,'26MY_PASSPORT_DATA'!B:AR,14,FALSE)</f>
        <v>•</v>
      </c>
      <c r="L64" s="347" t="str">
        <f>VLOOKUP(B64,'26MY_PASSPORT_DATA'!B:AR,15,FALSE)</f>
        <v>•</v>
      </c>
      <c r="M64" s="347">
        <f>VLOOKUP($B64,'26MY_PASSPORT_DATA'!$B:$AR,16,FALSE)</f>
        <v>0</v>
      </c>
      <c r="N64" s="347">
        <f>VLOOKUP(B64,'26MY_PASSPORT_DATA'!B:AR,17,FALSE)</f>
        <v>0</v>
      </c>
      <c r="O64" s="347" t="str">
        <f>VLOOKUP(B64,'26MY_PASSPORT_DATA'!B:AR,18,FALSE)</f>
        <v>•</v>
      </c>
      <c r="P64" s="347" t="str">
        <f>VLOOKUP(B64,'26MY_PASSPORT_DATA'!B:AR,19,FALSE)</f>
        <v>•</v>
      </c>
      <c r="Q64" s="350" t="str">
        <f>IF(VLOOKUP(B64,'26MY_PASSPORT_DATA'!B:AR,20,FALSE)="","",VLOOKUP(B64,'26MY_PASSPORT_DATA'!B:AR,20,FALSE))</f>
        <v/>
      </c>
    </row>
    <row r="65" spans="2:17" s="135" customFormat="1" ht="15" customHeight="1">
      <c r="B65" s="332" t="s">
        <v>239</v>
      </c>
      <c r="C65" s="175" t="str">
        <f>VLOOKUP(B65,'26MY_PASSPORT_DATA'!B:AR,3,FALSE)</f>
        <v>Body Side Moulding</v>
      </c>
      <c r="D65" s="79" t="str">
        <f t="shared" si="16"/>
        <v>08P05-3BM-100</v>
      </c>
      <c r="E65" s="343">
        <f>VLOOKUP(B65,'26MY_PASSPORT_DATA'!B:AR,9,FALSE)</f>
        <v>128</v>
      </c>
      <c r="F65" s="343">
        <f>VLOOKUP(B65,'26MY_PASSPORT_DATA'!B:AR,10,FALSE)</f>
        <v>213</v>
      </c>
      <c r="G65" s="344">
        <f>VLOOKUP(B65,'26MY_PASSPORT_DATA'!B:AR,7,FALSE)</f>
        <v>0.4</v>
      </c>
      <c r="H65" s="345">
        <f>VLOOKUP(B65,'26MY_PASSPORT_DATA'!B:AR,11,FALSE)</f>
        <v>281.39999999999998</v>
      </c>
      <c r="I65" s="347">
        <f>VLOOKUP($B65,'26MY_PASSPORT_DATA'!$B:$AR,12,FALSE)</f>
        <v>0</v>
      </c>
      <c r="J65" s="347">
        <f>VLOOKUP($B65,'26MY_PASSPORT_DATA'!$B:$AR,13,FALSE)</f>
        <v>0</v>
      </c>
      <c r="K65" s="347" t="str">
        <f>VLOOKUP(B65,'26MY_PASSPORT_DATA'!B:AR,14,FALSE)</f>
        <v>•</v>
      </c>
      <c r="L65" s="347" t="str">
        <f>VLOOKUP(B65,'26MY_PASSPORT_DATA'!B:AR,15,FALSE)</f>
        <v>•</v>
      </c>
      <c r="M65" s="347">
        <f>VLOOKUP($B65,'26MY_PASSPORT_DATA'!$B:$AR,16,FALSE)</f>
        <v>0</v>
      </c>
      <c r="N65" s="347">
        <f>VLOOKUP(B65,'26MY_PASSPORT_DATA'!B:AR,17,FALSE)</f>
        <v>0</v>
      </c>
      <c r="O65" s="347" t="str">
        <f>VLOOKUP(B65,'26MY_PASSPORT_DATA'!B:AR,18,FALSE)</f>
        <v>•</v>
      </c>
      <c r="P65" s="347" t="str">
        <f>VLOOKUP(B65,'26MY_PASSPORT_DATA'!B:AR,19,FALSE)</f>
        <v>•</v>
      </c>
      <c r="Q65" s="350" t="str">
        <f>IF(VLOOKUP(B65,'26MY_PASSPORT_DATA'!B:AR,20,FALSE)="","",VLOOKUP(B65,'26MY_PASSPORT_DATA'!B:AR,20,FALSE))</f>
        <v/>
      </c>
    </row>
    <row r="66" spans="2:17" s="135" customFormat="1" ht="15" customHeight="1">
      <c r="B66" s="332" t="s">
        <v>269</v>
      </c>
      <c r="C66" s="175" t="str">
        <f>VLOOKUP(B66,'26MY_PASSPORT_DATA'!B:AR,3,FALSE)</f>
        <v>Door Handle Film</v>
      </c>
      <c r="D66" s="79" t="str">
        <f t="shared" si="16"/>
        <v>08P48-T90-100A</v>
      </c>
      <c r="E66" s="343">
        <f>VLOOKUP(B66,'26MY_PASSPORT_DATA'!B:AR,9,FALSE)</f>
        <v>41</v>
      </c>
      <c r="F66" s="343">
        <f>VLOOKUP(B66,'26MY_PASSPORT_DATA'!B:AR,10,FALSE)</f>
        <v>68</v>
      </c>
      <c r="G66" s="344">
        <f>VLOOKUP(B66,'26MY_PASSPORT_DATA'!B:AR,7,FALSE)</f>
        <v>0.4</v>
      </c>
      <c r="H66" s="345">
        <f>VLOOKUP(B66,'26MY_PASSPORT_DATA'!B:AR,11,FALSE)</f>
        <v>136.4</v>
      </c>
      <c r="I66" s="347">
        <f>VLOOKUP($B66,'26MY_PASSPORT_DATA'!$B:$AR,12,FALSE)</f>
        <v>0</v>
      </c>
      <c r="J66" s="347">
        <f>VLOOKUP($B66,'26MY_PASSPORT_DATA'!$B:$AR,13,FALSE)</f>
        <v>0</v>
      </c>
      <c r="K66" s="347" t="str">
        <f>VLOOKUP(B66,'26MY_PASSPORT_DATA'!B:AR,14,FALSE)</f>
        <v>•</v>
      </c>
      <c r="L66" s="347" t="str">
        <f>VLOOKUP(B66,'26MY_PASSPORT_DATA'!B:AR,15,FALSE)</f>
        <v>•</v>
      </c>
      <c r="M66" s="347">
        <f>VLOOKUP($B66,'26MY_PASSPORT_DATA'!$B:$AR,16,FALSE)</f>
        <v>0</v>
      </c>
      <c r="N66" s="347">
        <f>VLOOKUP(B66,'26MY_PASSPORT_DATA'!B:AR,17,FALSE)</f>
        <v>0</v>
      </c>
      <c r="O66" s="347" t="str">
        <f>VLOOKUP(B66,'26MY_PASSPORT_DATA'!B:AR,18,FALSE)</f>
        <v>•</v>
      </c>
      <c r="P66" s="347" t="str">
        <f>VLOOKUP(B66,'26MY_PASSPORT_DATA'!B:AR,19,FALSE)</f>
        <v>•</v>
      </c>
      <c r="Q66" s="350" t="str">
        <f>IF(VLOOKUP(B66,'26MY_PASSPORT_DATA'!B:AR,20,FALSE)="","",VLOOKUP(B66,'26MY_PASSPORT_DATA'!B:AR,20,FALSE))</f>
        <v/>
      </c>
    </row>
    <row r="67" spans="2:17" s="135" customFormat="1" ht="15" customHeight="1">
      <c r="B67" s="332" t="s">
        <v>268</v>
      </c>
      <c r="C67" s="175" t="str">
        <f>VLOOKUP(B67,'26MY_PASSPORT_DATA'!B:AR,3,FALSE)</f>
        <v>Door Edge Film</v>
      </c>
      <c r="D67" s="79" t="str">
        <f t="shared" si="15"/>
        <v>08P20-T90-100</v>
      </c>
      <c r="E67" s="343">
        <f>VLOOKUP(B67,'26MY_PASSPORT_DATA'!B:AR,9,FALSE)</f>
        <v>54</v>
      </c>
      <c r="F67" s="343">
        <f>VLOOKUP(B67,'26MY_PASSPORT_DATA'!B:AR,10,FALSE)</f>
        <v>90</v>
      </c>
      <c r="G67" s="344">
        <f>VLOOKUP(B67,'26MY_PASSPORT_DATA'!B:AR,7,FALSE)</f>
        <v>0.4</v>
      </c>
      <c r="H67" s="345">
        <f>VLOOKUP(B67,'26MY_PASSPORT_DATA'!B:AR,11,FALSE)</f>
        <v>158.4</v>
      </c>
      <c r="I67" s="347">
        <f>VLOOKUP($B67,'26MY_PASSPORT_DATA'!$B:$AR,12,FALSE)</f>
        <v>0</v>
      </c>
      <c r="J67" s="347">
        <f>VLOOKUP($B67,'26MY_PASSPORT_DATA'!$B:$AR,13,FALSE)</f>
        <v>0</v>
      </c>
      <c r="K67" s="347" t="str">
        <f>VLOOKUP(B67,'26MY_PASSPORT_DATA'!B:AR,14,FALSE)</f>
        <v>•</v>
      </c>
      <c r="L67" s="347" t="str">
        <f>VLOOKUP(B67,'26MY_PASSPORT_DATA'!B:AR,15,FALSE)</f>
        <v>•</v>
      </c>
      <c r="M67" s="347">
        <f>VLOOKUP($B67,'26MY_PASSPORT_DATA'!$B:$AR,16,FALSE)</f>
        <v>0</v>
      </c>
      <c r="N67" s="347">
        <f>VLOOKUP(B67,'26MY_PASSPORT_DATA'!B:AR,17,FALSE)</f>
        <v>0</v>
      </c>
      <c r="O67" s="347" t="str">
        <f>VLOOKUP(B67,'26MY_PASSPORT_DATA'!B:AR,18,FALSE)</f>
        <v>•</v>
      </c>
      <c r="P67" s="347" t="str">
        <f>VLOOKUP(B67,'26MY_PASSPORT_DATA'!B:AR,19,FALSE)</f>
        <v>•</v>
      </c>
      <c r="Q67" s="350" t="str">
        <f>IF(VLOOKUP(B67,'26MY_PASSPORT_DATA'!B:AR,20,FALSE)="","",VLOOKUP(B67,'26MY_PASSPORT_DATA'!B:AR,20,FALSE))</f>
        <v/>
      </c>
    </row>
    <row r="68" spans="2:17" s="135" customFormat="1" ht="15" customHeight="1">
      <c r="B68" s="332" t="s">
        <v>278</v>
      </c>
      <c r="C68" s="175" t="str">
        <f>VLOOKUP(B68,'26MY_PASSPORT_DATA'!B:AR,3,FALSE)</f>
        <v>Door Visor</v>
      </c>
      <c r="D68" s="79" t="str">
        <f t="shared" ref="D68" si="17">B68</f>
        <v>08R04-T90-100</v>
      </c>
      <c r="E68" s="343">
        <f>VLOOKUP(B68,'26MY_PASSPORT_DATA'!B:AR,9,FALSE)</f>
        <v>265</v>
      </c>
      <c r="F68" s="343">
        <f>VLOOKUP(B68,'26MY_PASSPORT_DATA'!B:AR,10,FALSE)</f>
        <v>442</v>
      </c>
      <c r="G68" s="344">
        <f>VLOOKUP(B68,'26MY_PASSPORT_DATA'!B:AR,7,FALSE)</f>
        <v>0.6</v>
      </c>
      <c r="H68" s="345">
        <f>VLOOKUP(B68,'26MY_PASSPORT_DATA'!B:AR,11,FALSE)</f>
        <v>544.6</v>
      </c>
      <c r="I68" s="347">
        <f>VLOOKUP($B68,'26MY_PASSPORT_DATA'!$B:$AR,12,FALSE)</f>
        <v>0</v>
      </c>
      <c r="J68" s="347">
        <f>VLOOKUP($B68,'26MY_PASSPORT_DATA'!$B:$AR,13,FALSE)</f>
        <v>0</v>
      </c>
      <c r="K68" s="347" t="str">
        <f>VLOOKUP(B68,'26MY_PASSPORT_DATA'!B:AR,14,FALSE)</f>
        <v>•</v>
      </c>
      <c r="L68" s="347" t="str">
        <f>VLOOKUP(B68,'26MY_PASSPORT_DATA'!B:AR,15,FALSE)</f>
        <v>•</v>
      </c>
      <c r="M68" s="347">
        <f>VLOOKUP($B68,'26MY_PASSPORT_DATA'!$B:$AR,16,FALSE)</f>
        <v>0</v>
      </c>
      <c r="N68" s="347">
        <f>VLOOKUP(B68,'26MY_PASSPORT_DATA'!B:AR,17,FALSE)</f>
        <v>0</v>
      </c>
      <c r="O68" s="347" t="str">
        <f>VLOOKUP(B68,'26MY_PASSPORT_DATA'!B:AR,18,FALSE)</f>
        <v>•</v>
      </c>
      <c r="P68" s="347" t="str">
        <f>VLOOKUP(B68,'26MY_PASSPORT_DATA'!B:AR,19,FALSE)</f>
        <v>•</v>
      </c>
      <c r="Q68" s="350" t="str">
        <f>IF(VLOOKUP(B68,'26MY_PASSPORT_DATA'!B:AR,20,FALSE)="","",VLOOKUP(B68,'26MY_PASSPORT_DATA'!B:AR,20,FALSE))</f>
        <v/>
      </c>
    </row>
    <row r="69" spans="2:17" s="135" customFormat="1" ht="15" customHeight="1">
      <c r="B69" s="332" t="s">
        <v>294</v>
      </c>
      <c r="C69" s="199" t="str">
        <f>VLOOKUP(B69,'26MY_PASSPORT_DATA'!B:AR,3,FALSE)</f>
        <v>Emblems</v>
      </c>
      <c r="D69" s="189"/>
      <c r="E69" s="189"/>
      <c r="F69" s="189"/>
      <c r="G69" s="189"/>
      <c r="H69" s="189"/>
      <c r="I69" s="189"/>
      <c r="J69" s="189"/>
      <c r="K69" s="189"/>
      <c r="L69" s="189"/>
      <c r="M69" s="189"/>
      <c r="N69" s="189"/>
      <c r="O69" s="189"/>
      <c r="P69" s="189"/>
      <c r="Q69" s="180"/>
    </row>
    <row r="70" spans="2:17" s="135" customFormat="1" ht="14.4">
      <c r="B70" s="332" t="s">
        <v>236</v>
      </c>
      <c r="C70" s="292" t="str">
        <f>VLOOKUP(B70,'26MY_PASSPORT_DATA'!B:AR,3,FALSE)</f>
        <v>Black Emblem Passport</v>
      </c>
      <c r="D70" s="79" t="str">
        <f t="shared" ref="D70:D84" si="18">B70</f>
        <v>08F20-3BM-100</v>
      </c>
      <c r="E70" s="343">
        <f>VLOOKUP(B70,'26MY_PASSPORT_DATA'!B:AR,9,FALSE)</f>
        <v>149</v>
      </c>
      <c r="F70" s="343">
        <f>VLOOKUP(B70,'26MY_PASSPORT_DATA'!B:AR,10,FALSE)</f>
        <v>248</v>
      </c>
      <c r="G70" s="344">
        <f>VLOOKUP(B70,'26MY_PASSPORT_DATA'!B:AR,7,FALSE)</f>
        <v>0.3</v>
      </c>
      <c r="H70" s="345">
        <f>VLOOKUP(B70,'26MY_PASSPORT_DATA'!B:AR,11,FALSE)</f>
        <v>299.3</v>
      </c>
      <c r="I70" s="347">
        <f>VLOOKUP($B70,'26MY_PASSPORT_DATA'!$B:$AR,12,FALSE)</f>
        <v>0</v>
      </c>
      <c r="J70" s="347">
        <f>VLOOKUP($B70,'26MY_PASSPORT_DATA'!$B:$AR,13,FALSE)</f>
        <v>0</v>
      </c>
      <c r="K70" s="347" t="str">
        <f>VLOOKUP(B70,'26MY_PASSPORT_DATA'!B:AR,14,FALSE)</f>
        <v>•</v>
      </c>
      <c r="L70" s="347" t="str">
        <f>VLOOKUP(B70,'26MY_PASSPORT_DATA'!B:AR,15,FALSE)</f>
        <v>•</v>
      </c>
      <c r="M70" s="347">
        <f>VLOOKUP($B70,'26MY_PASSPORT_DATA'!$B:$AR,16,FALSE)</f>
        <v>0</v>
      </c>
      <c r="N70" s="347">
        <f>VLOOKUP(B70,'26MY_PASSPORT_DATA'!B:AR,17,FALSE)</f>
        <v>0</v>
      </c>
      <c r="O70" s="347" t="str">
        <f>VLOOKUP(B70,'26MY_PASSPORT_DATA'!B:AR,18,FALSE)</f>
        <v>•</v>
      </c>
      <c r="P70" s="347" t="str">
        <f>VLOOKUP(B70,'26MY_PASSPORT_DATA'!B:AR,19,FALSE)</f>
        <v>•</v>
      </c>
      <c r="Q70" s="350" t="str">
        <f>IF(VLOOKUP(B70,'26MY_PASSPORT_DATA'!B:AR,20,FALSE)="","",VLOOKUP(B70,'26MY_PASSPORT_DATA'!B:AR,20,FALSE))</f>
        <v/>
      </c>
    </row>
    <row r="71" spans="2:17" s="135" customFormat="1" ht="15" customHeight="1">
      <c r="B71" s="332" t="s">
        <v>234</v>
      </c>
      <c r="C71" s="285" t="str">
        <f>VLOOKUP(B71,'26MY_PASSPORT_DATA'!B:AR,3,FALSE)</f>
        <v>Black Emblem H Front &amp; rear</v>
      </c>
      <c r="D71" s="79" t="str">
        <f t="shared" si="18"/>
        <v>08F20-3BM-100B</v>
      </c>
      <c r="E71" s="343">
        <f>VLOOKUP(B71,'26MY_PASSPORT_DATA'!B:AR,9,FALSE)</f>
        <v>65</v>
      </c>
      <c r="F71" s="343">
        <f>VLOOKUP(B71,'26MY_PASSPORT_DATA'!B:AR,10,FALSE)</f>
        <v>108</v>
      </c>
      <c r="G71" s="344">
        <f>VLOOKUP(B71,'26MY_PASSPORT_DATA'!B:AR,7,FALSE)</f>
        <v>0.6</v>
      </c>
      <c r="H71" s="345">
        <f>VLOOKUP(B71,'26MY_PASSPORT_DATA'!B:AR,11,FALSE)</f>
        <v>210.6</v>
      </c>
      <c r="I71" s="347">
        <f>VLOOKUP($B71,'26MY_PASSPORT_DATA'!$B:$AR,12,FALSE)</f>
        <v>0</v>
      </c>
      <c r="J71" s="347">
        <f>VLOOKUP($B71,'26MY_PASSPORT_DATA'!$B:$AR,13,FALSE)</f>
        <v>0</v>
      </c>
      <c r="K71" s="347" t="str">
        <f>VLOOKUP(B71,'26MY_PASSPORT_DATA'!B:AR,14,FALSE)</f>
        <v>•</v>
      </c>
      <c r="L71" s="347" t="str">
        <f>VLOOKUP(B71,'26MY_PASSPORT_DATA'!B:AR,15,FALSE)</f>
        <v>S</v>
      </c>
      <c r="M71" s="347">
        <f>VLOOKUP($B71,'26MY_PASSPORT_DATA'!$B:$AR,16,FALSE)</f>
        <v>0</v>
      </c>
      <c r="N71" s="347">
        <f>VLOOKUP(B71,'26MY_PASSPORT_DATA'!B:AR,17,FALSE)</f>
        <v>0</v>
      </c>
      <c r="O71" s="347" t="str">
        <f>VLOOKUP(B71,'26MY_PASSPORT_DATA'!B:AR,18,FALSE)</f>
        <v>•</v>
      </c>
      <c r="P71" s="347" t="str">
        <f>VLOOKUP(B71,'26MY_PASSPORT_DATA'!B:AR,19,FALSE)</f>
        <v>S</v>
      </c>
      <c r="Q71" s="350" t="str">
        <f>IF(VLOOKUP(B71,'26MY_PASSPORT_DATA'!B:AR,20,FALSE)="","",VLOOKUP(B71,'26MY_PASSPORT_DATA'!B:AR,20,FALSE))</f>
        <v/>
      </c>
    </row>
    <row r="72" spans="2:17" s="135" customFormat="1" ht="15" customHeight="1">
      <c r="B72" s="332" t="s">
        <v>231</v>
      </c>
      <c r="C72" s="175" t="str">
        <f>VLOOKUP(B72,'26MY_PASSPORT_DATA'!B:AR,3,FALSE)</f>
        <v>Trailer Hitch Ball Mount</v>
      </c>
      <c r="D72" s="79" t="str">
        <f t="shared" ref="D72:D74" si="19">B72</f>
        <v>08L92-3BM-100A</v>
      </c>
      <c r="E72" s="343">
        <f>VLOOKUP(B72,'26MY_PASSPORT_DATA'!B:AR,9,FALSE)</f>
        <v>94</v>
      </c>
      <c r="F72" s="343">
        <f>VLOOKUP(B72,'26MY_PASSPORT_DATA'!B:AR,10,FALSE)</f>
        <v>157</v>
      </c>
      <c r="G72" s="344">
        <f>VLOOKUP(B72,'26MY_PASSPORT_DATA'!B:AR,7,FALSE)</f>
        <v>0</v>
      </c>
      <c r="H72" s="345">
        <f>VLOOKUP(B72,'26MY_PASSPORT_DATA'!B:AR,11,FALSE)</f>
        <v>157</v>
      </c>
      <c r="I72" s="347">
        <f>VLOOKUP($B72,'26MY_PASSPORT_DATA'!$B:$AR,12,FALSE)</f>
        <v>0</v>
      </c>
      <c r="J72" s="347">
        <f>VLOOKUP($B72,'26MY_PASSPORT_DATA'!$B:$AR,13,FALSE)</f>
        <v>0</v>
      </c>
      <c r="K72" s="347" t="str">
        <f>VLOOKUP(B72,'26MY_PASSPORT_DATA'!B:AR,14,FALSE)</f>
        <v>•</v>
      </c>
      <c r="L72" s="347" t="str">
        <f>VLOOKUP(B72,'26MY_PASSPORT_DATA'!B:AR,15,FALSE)</f>
        <v>•</v>
      </c>
      <c r="M72" s="347">
        <f>VLOOKUP($B72,'26MY_PASSPORT_DATA'!$B:$AR,16,FALSE)</f>
        <v>0</v>
      </c>
      <c r="N72" s="347">
        <f>VLOOKUP(B72,'26MY_PASSPORT_DATA'!B:AR,17,FALSE)</f>
        <v>0</v>
      </c>
      <c r="O72" s="347" t="str">
        <f>VLOOKUP(B72,'26MY_PASSPORT_DATA'!B:AR,18,FALSE)</f>
        <v>•</v>
      </c>
      <c r="P72" s="347" t="str">
        <f>VLOOKUP(B72,'26MY_PASSPORT_DATA'!B:AR,19,FALSE)</f>
        <v>•</v>
      </c>
      <c r="Q72" s="350" t="str">
        <f>IF(VLOOKUP(B72,'26MY_PASSPORT_DATA'!B:AR,20,FALSE)="","",VLOOKUP(B72,'26MY_PASSPORT_DATA'!B:AR,20,FALSE))</f>
        <v/>
      </c>
    </row>
    <row r="73" spans="2:17" s="135" customFormat="1" ht="15" customHeight="1">
      <c r="B73" s="332" t="s">
        <v>198</v>
      </c>
      <c r="C73" s="175" t="str">
        <f>VLOOKUP(B73,'26MY_PASSPORT_DATA'!B:AR,3,FALSE)</f>
        <v>Trailer Hitch Locking Pin</v>
      </c>
      <c r="D73" s="79" t="str">
        <f t="shared" si="19"/>
        <v>08L92-SJC-300A</v>
      </c>
      <c r="E73" s="343">
        <f>VLOOKUP(B73,'26MY_PASSPORT_DATA'!B:AR,9,FALSE)</f>
        <v>109</v>
      </c>
      <c r="F73" s="343">
        <f>VLOOKUP(B73,'26MY_PASSPORT_DATA'!B:AR,10,FALSE)</f>
        <v>168</v>
      </c>
      <c r="G73" s="344">
        <f>VLOOKUP(B73,'26MY_PASSPORT_DATA'!B:AR,7,FALSE)</f>
        <v>0</v>
      </c>
      <c r="H73" s="345">
        <f>VLOOKUP(B73,'26MY_PASSPORT_DATA'!B:AR,11,FALSE)</f>
        <v>168</v>
      </c>
      <c r="I73" s="347">
        <f>VLOOKUP($B73,'26MY_PASSPORT_DATA'!$B:$AR,12,FALSE)</f>
        <v>0</v>
      </c>
      <c r="J73" s="347">
        <f>VLOOKUP($B73,'26MY_PASSPORT_DATA'!$B:$AR,13,FALSE)</f>
        <v>0</v>
      </c>
      <c r="K73" s="347" t="str">
        <f>VLOOKUP(B73,'26MY_PASSPORT_DATA'!B:AR,14,FALSE)</f>
        <v>•</v>
      </c>
      <c r="L73" s="347" t="str">
        <f>VLOOKUP(B73,'26MY_PASSPORT_DATA'!B:AR,15,FALSE)</f>
        <v>•</v>
      </c>
      <c r="M73" s="347">
        <f>VLOOKUP($B73,'26MY_PASSPORT_DATA'!$B:$AR,16,FALSE)</f>
        <v>0</v>
      </c>
      <c r="N73" s="347">
        <f>VLOOKUP(B73,'26MY_PASSPORT_DATA'!B:AR,17,FALSE)</f>
        <v>0</v>
      </c>
      <c r="O73" s="347" t="str">
        <f>VLOOKUP(B73,'26MY_PASSPORT_DATA'!B:AR,18,FALSE)</f>
        <v>•</v>
      </c>
      <c r="P73" s="347" t="str">
        <f>VLOOKUP(B73,'26MY_PASSPORT_DATA'!B:AR,19,FALSE)</f>
        <v>•</v>
      </c>
      <c r="Q73" s="350" t="str">
        <f>IF(VLOOKUP(B73,'26MY_PASSPORT_DATA'!B:AR,20,FALSE)="","",VLOOKUP(B73,'26MY_PASSPORT_DATA'!B:AR,20,FALSE))</f>
        <v/>
      </c>
    </row>
    <row r="74" spans="2:17" s="135" customFormat="1" ht="15" customHeight="1">
      <c r="B74" s="332" t="s">
        <v>196</v>
      </c>
      <c r="C74" s="175" t="str">
        <f>VLOOKUP(B74,'26MY_PASSPORT_DATA'!B:AR,3,FALSE)</f>
        <v>Trailer Hitch Ball - 1-7/8"</v>
      </c>
      <c r="D74" s="79" t="str">
        <f t="shared" si="19"/>
        <v>08L92-S9V-300G</v>
      </c>
      <c r="E74" s="343">
        <f>VLOOKUP(B74,'26MY_PASSPORT_DATA'!B:AR,9,FALSE)</f>
        <v>29</v>
      </c>
      <c r="F74" s="343">
        <f>VLOOKUP(B74,'26MY_PASSPORT_DATA'!B:AR,10,FALSE)</f>
        <v>48</v>
      </c>
      <c r="G74" s="344">
        <f>VLOOKUP(B74,'26MY_PASSPORT_DATA'!B:AR,7,FALSE)</f>
        <v>0</v>
      </c>
      <c r="H74" s="345">
        <f>VLOOKUP(B74,'26MY_PASSPORT_DATA'!B:AR,11,FALSE)</f>
        <v>48</v>
      </c>
      <c r="I74" s="347">
        <f>VLOOKUP($B74,'26MY_PASSPORT_DATA'!$B:$AR,12,FALSE)</f>
        <v>0</v>
      </c>
      <c r="J74" s="347">
        <f>VLOOKUP($B74,'26MY_PASSPORT_DATA'!$B:$AR,13,FALSE)</f>
        <v>0</v>
      </c>
      <c r="K74" s="347" t="str">
        <f>VLOOKUP(B74,'26MY_PASSPORT_DATA'!B:AR,14,FALSE)</f>
        <v>•</v>
      </c>
      <c r="L74" s="347" t="str">
        <f>VLOOKUP(B74,'26MY_PASSPORT_DATA'!B:AR,15,FALSE)</f>
        <v>•</v>
      </c>
      <c r="M74" s="347">
        <f>VLOOKUP($B74,'26MY_PASSPORT_DATA'!$B:$AR,16,FALSE)</f>
        <v>0</v>
      </c>
      <c r="N74" s="347">
        <f>VLOOKUP(B74,'26MY_PASSPORT_DATA'!B:AR,17,FALSE)</f>
        <v>0</v>
      </c>
      <c r="O74" s="347" t="str">
        <f>VLOOKUP(B74,'26MY_PASSPORT_DATA'!B:AR,18,FALSE)</f>
        <v>•</v>
      </c>
      <c r="P74" s="347" t="str">
        <f>VLOOKUP(B74,'26MY_PASSPORT_DATA'!B:AR,19,FALSE)</f>
        <v>•</v>
      </c>
      <c r="Q74" s="350" t="str">
        <f>IF(VLOOKUP(B74,'26MY_PASSPORT_DATA'!B:AR,20,FALSE)="","",VLOOKUP(B74,'26MY_PASSPORT_DATA'!B:AR,20,FALSE))</f>
        <v/>
      </c>
    </row>
    <row r="75" spans="2:17" s="135" customFormat="1" ht="15" customHeight="1">
      <c r="B75" s="332" t="s">
        <v>197</v>
      </c>
      <c r="C75" s="175" t="str">
        <f>VLOOKUP(B75,'26MY_PASSPORT_DATA'!B:AR,3,FALSE)</f>
        <v>Trailer Hitch Ball - 2"</v>
      </c>
      <c r="D75" s="291" t="str">
        <f t="shared" ref="D75" si="20">B75</f>
        <v>08L92-S9V-300H</v>
      </c>
      <c r="E75" s="343">
        <f>VLOOKUP(B75,'26MY_PASSPORT_DATA'!B:AR,9,FALSE)</f>
        <v>29</v>
      </c>
      <c r="F75" s="343">
        <f>VLOOKUP(B75,'26MY_PASSPORT_DATA'!B:AR,10,FALSE)</f>
        <v>48</v>
      </c>
      <c r="G75" s="344">
        <f>VLOOKUP(B75,'26MY_PASSPORT_DATA'!B:AR,7,FALSE)</f>
        <v>0</v>
      </c>
      <c r="H75" s="345">
        <f>VLOOKUP(B75,'26MY_PASSPORT_DATA'!B:AR,11,FALSE)</f>
        <v>48</v>
      </c>
      <c r="I75" s="347">
        <f>VLOOKUP($B75,'26MY_PASSPORT_DATA'!$B:$AR,12,FALSE)</f>
        <v>0</v>
      </c>
      <c r="J75" s="347">
        <f>VLOOKUP($B75,'26MY_PASSPORT_DATA'!$B:$AR,13,FALSE)</f>
        <v>0</v>
      </c>
      <c r="K75" s="347" t="str">
        <f>VLOOKUP(B75,'26MY_PASSPORT_DATA'!B:AR,14,FALSE)</f>
        <v>•</v>
      </c>
      <c r="L75" s="347" t="str">
        <f>VLOOKUP(B75,'26MY_PASSPORT_DATA'!B:AR,15,FALSE)</f>
        <v>•</v>
      </c>
      <c r="M75" s="347">
        <f>VLOOKUP($B75,'26MY_PASSPORT_DATA'!$B:$AR,16,FALSE)</f>
        <v>0</v>
      </c>
      <c r="N75" s="347">
        <f>VLOOKUP(B75,'26MY_PASSPORT_DATA'!B:AR,17,FALSE)</f>
        <v>0</v>
      </c>
      <c r="O75" s="347" t="str">
        <f>VLOOKUP(B75,'26MY_PASSPORT_DATA'!B:AR,18,FALSE)</f>
        <v>•</v>
      </c>
      <c r="P75" s="347" t="str">
        <f>VLOOKUP(B75,'26MY_PASSPORT_DATA'!B:AR,19,FALSE)</f>
        <v>•</v>
      </c>
      <c r="Q75" s="350" t="str">
        <f>IF(VLOOKUP(B75,'26MY_PASSPORT_DATA'!B:AR,20,FALSE)="","",VLOOKUP(B75,'26MY_PASSPORT_DATA'!B:AR,20,FALSE))</f>
        <v/>
      </c>
    </row>
    <row r="76" spans="2:17" s="135" customFormat="1" ht="15" customHeight="1">
      <c r="B76" s="332" t="s">
        <v>431</v>
      </c>
      <c r="C76" s="175" t="str">
        <f>VLOOKUP(B76,'26MY_PASSPORT_DATA'!B:AR,3,FALSE)</f>
        <v>Hatch Tent</v>
      </c>
      <c r="D76" s="79" t="str">
        <f t="shared" ref="D76" si="21">B76</f>
        <v>08Z04-SCV-110B</v>
      </c>
      <c r="E76" s="343">
        <f>VLOOKUP(B76,'26MY_PASSPORT_DATA'!B:AR,9,FALSE)</f>
        <v>490</v>
      </c>
      <c r="F76" s="343">
        <f>VLOOKUP(B76,'26MY_PASSPORT_DATA'!B:AR,10,FALSE)</f>
        <v>700</v>
      </c>
      <c r="G76" s="344">
        <f>VLOOKUP(B76,'26MY_PASSPORT_DATA'!B:AR,7,FALSE)</f>
        <v>0</v>
      </c>
      <c r="H76" s="345">
        <f>VLOOKUP(B76,'26MY_PASSPORT_DATA'!B:AR,11,FALSE)</f>
        <v>700</v>
      </c>
      <c r="I76" s="347">
        <f>VLOOKUP($B76,'26MY_PASSPORT_DATA'!$B:$AR,12,FALSE)</f>
        <v>0</v>
      </c>
      <c r="J76" s="347">
        <f>VLOOKUP($B76,'26MY_PASSPORT_DATA'!$B:$AR,13,FALSE)</f>
        <v>0</v>
      </c>
      <c r="K76" s="347" t="str">
        <f>VLOOKUP(B76,'26MY_PASSPORT_DATA'!B:AR,14,FALSE)</f>
        <v>•</v>
      </c>
      <c r="L76" s="347" t="str">
        <f>VLOOKUP(B76,'26MY_PASSPORT_DATA'!B:AR,15,FALSE)</f>
        <v>•</v>
      </c>
      <c r="M76" s="347">
        <f>VLOOKUP($B76,'26MY_PASSPORT_DATA'!$B:$AR,16,FALSE)</f>
        <v>0</v>
      </c>
      <c r="N76" s="347">
        <f>VLOOKUP(B76,'26MY_PASSPORT_DATA'!B:AR,17,FALSE)</f>
        <v>0</v>
      </c>
      <c r="O76" s="347" t="str">
        <f>VLOOKUP(B76,'26MY_PASSPORT_DATA'!B:AR,18,FALSE)</f>
        <v>•</v>
      </c>
      <c r="P76" s="347" t="str">
        <f>VLOOKUP(B76,'26MY_PASSPORT_DATA'!B:AR,19,FALSE)</f>
        <v>•</v>
      </c>
      <c r="Q76" s="350" t="str">
        <f>IF(VLOOKUP(B76,'26MY_PASSPORT_DATA'!B:AR,20,FALSE)="","",VLOOKUP(B76,'26MY_PASSPORT_DATA'!B:AR,20,FALSE))</f>
        <v/>
      </c>
    </row>
    <row r="77" spans="2:17" s="135" customFormat="1" ht="15" customHeight="1">
      <c r="B77" s="332" t="s">
        <v>225</v>
      </c>
      <c r="C77" s="175" t="str">
        <f>VLOOKUP(B77,'26MY_PASSPORT_DATA'!B:AR,3,FALSE)</f>
        <v>Crossbars</v>
      </c>
      <c r="D77" s="79" t="str">
        <f t="shared" ref="D77" si="22">B77</f>
        <v>08L04-3BM-300</v>
      </c>
      <c r="E77" s="343">
        <f>VLOOKUP(B77,'26MY_PASSPORT_DATA'!B:AR,9,FALSE)</f>
        <v>265</v>
      </c>
      <c r="F77" s="343">
        <f>VLOOKUP(B77,'26MY_PASSPORT_DATA'!B:AR,10,FALSE)</f>
        <v>442</v>
      </c>
      <c r="G77" s="344">
        <f>VLOOKUP(B77,'26MY_PASSPORT_DATA'!B:AR,7,FALSE)</f>
        <v>0.3</v>
      </c>
      <c r="H77" s="345">
        <f>VLOOKUP(B77,'26MY_PASSPORT_DATA'!B:AR,11,FALSE)</f>
        <v>493.3</v>
      </c>
      <c r="I77" s="347">
        <f>VLOOKUP($B77,'26MY_PASSPORT_DATA'!$B:$AR,12,FALSE)</f>
        <v>0</v>
      </c>
      <c r="J77" s="347">
        <f>VLOOKUP($B77,'26MY_PASSPORT_DATA'!$B:$AR,13,FALSE)</f>
        <v>0</v>
      </c>
      <c r="K77" s="347" t="str">
        <f>VLOOKUP(B77,'26MY_PASSPORT_DATA'!B:AR,14,FALSE)</f>
        <v>•</v>
      </c>
      <c r="L77" s="347" t="str">
        <f>VLOOKUP(B77,'26MY_PASSPORT_DATA'!B:AR,15,FALSE)</f>
        <v>•</v>
      </c>
      <c r="M77" s="347">
        <f>VLOOKUP($B77,'26MY_PASSPORT_DATA'!$B:$AR,16,FALSE)</f>
        <v>0</v>
      </c>
      <c r="N77" s="347">
        <f>VLOOKUP(B77,'26MY_PASSPORT_DATA'!B:AR,17,FALSE)</f>
        <v>0</v>
      </c>
      <c r="O77" s="347" t="str">
        <f>VLOOKUP(B77,'26MY_PASSPORT_DATA'!B:AR,18,FALSE)</f>
        <v>•</v>
      </c>
      <c r="P77" s="347" t="str">
        <f>VLOOKUP(B77,'26MY_PASSPORT_DATA'!B:AR,19,FALSE)</f>
        <v>•</v>
      </c>
      <c r="Q77" s="350" t="str">
        <f>IF(VLOOKUP(B77,'26MY_PASSPORT_DATA'!B:AR,20,FALSE)="","",VLOOKUP(B77,'26MY_PASSPORT_DATA'!B:AR,20,FALSE))</f>
        <v/>
      </c>
    </row>
    <row r="78" spans="2:17" s="135" customFormat="1" ht="15.6" customHeight="1">
      <c r="B78" s="332" t="s">
        <v>175</v>
      </c>
      <c r="C78" s="199" t="str">
        <f>VLOOKUP(B78,'26MY_PASSPORT_DATA'!B:AR,3,FALSE)</f>
        <v xml:space="preserve">Roof Attachments </v>
      </c>
      <c r="D78" s="189"/>
      <c r="E78" s="189"/>
      <c r="F78" s="189"/>
      <c r="G78" s="189"/>
      <c r="H78" s="189"/>
      <c r="I78" s="189"/>
      <c r="J78" s="189"/>
      <c r="K78" s="189"/>
      <c r="L78" s="189"/>
      <c r="M78" s="189"/>
      <c r="N78" s="189"/>
      <c r="O78" s="189"/>
      <c r="P78" s="189"/>
      <c r="Q78" s="180"/>
    </row>
    <row r="79" spans="2:17" s="135" customFormat="1" ht="15.6" customHeight="1">
      <c r="B79" s="332" t="s">
        <v>226</v>
      </c>
      <c r="C79" s="198" t="str">
        <f>VLOOKUP(B79,'26MY_PASSPORT_DATA'!B:AR,3,FALSE)</f>
        <v>Roof Platform</v>
      </c>
      <c r="D79" s="79" t="str">
        <f t="shared" ref="D79" si="23">B79</f>
        <v>08L08-3BM-100</v>
      </c>
      <c r="E79" s="343">
        <f>VLOOKUP(B79,'26MY_PASSPORT_DATA'!B:AR,9,FALSE)</f>
        <v>957</v>
      </c>
      <c r="F79" s="343">
        <f>VLOOKUP(B79,'26MY_PASSPORT_DATA'!B:AR,10,FALSE)</f>
        <v>1367</v>
      </c>
      <c r="G79" s="344">
        <f>VLOOKUP(B79,'26MY_PASSPORT_DATA'!B:AR,7,FALSE)</f>
        <v>0.6</v>
      </c>
      <c r="H79" s="345">
        <f>VLOOKUP(B79,'26MY_PASSPORT_DATA'!B:AR,11,FALSE)</f>
        <v>1469.6</v>
      </c>
      <c r="I79" s="347">
        <f>VLOOKUP($B79,'26MY_PASSPORT_DATA'!$B:$AR,12,FALSE)</f>
        <v>0</v>
      </c>
      <c r="J79" s="347">
        <f>VLOOKUP($B79,'26MY_PASSPORT_DATA'!$B:$AR,13,FALSE)</f>
        <v>0</v>
      </c>
      <c r="K79" s="347" t="str">
        <f>VLOOKUP(B79,'26MY_PASSPORT_DATA'!B:AR,14,FALSE)</f>
        <v>•</v>
      </c>
      <c r="L79" s="347" t="str">
        <f>VLOOKUP(B79,'26MY_PASSPORT_DATA'!B:AR,15,FALSE)</f>
        <v>•</v>
      </c>
      <c r="M79" s="347">
        <f>VLOOKUP($B79,'26MY_PASSPORT_DATA'!$B:$AR,16,FALSE)</f>
        <v>0</v>
      </c>
      <c r="N79" s="347">
        <f>VLOOKUP(B79,'26MY_PASSPORT_DATA'!B:AR,17,FALSE)</f>
        <v>0</v>
      </c>
      <c r="O79" s="347" t="str">
        <f>VLOOKUP(B79,'26MY_PASSPORT_DATA'!B:AR,18,FALSE)</f>
        <v>•</v>
      </c>
      <c r="P79" s="347" t="str">
        <f>VLOOKUP(B79,'26MY_PASSPORT_DATA'!B:AR,19,FALSE)</f>
        <v>•</v>
      </c>
      <c r="Q79" s="348" t="str">
        <f>IF(VLOOKUP(B79,'26MY_PASSPORT_DATA'!B:AR,20,FALSE)="","",VLOOKUP(B79,'26MY_PASSPORT_DATA'!B:AR,20,FALSE))</f>
        <v/>
      </c>
    </row>
    <row r="80" spans="2:17" s="135" customFormat="1" ht="14.4">
      <c r="B80" s="332" t="s">
        <v>430</v>
      </c>
      <c r="C80" s="198" t="str">
        <f>VLOOKUP(B80,'26MY_PASSPORT_DATA'!B:AR,3,FALSE)</f>
        <v>Roof Bicycle Attachment - Frame mount</v>
      </c>
      <c r="D80" s="79" t="str">
        <f t="shared" ref="D80:D83" si="24">B80</f>
        <v>08L07-E09-101</v>
      </c>
      <c r="E80" s="343">
        <f>VLOOKUP(B80,'26MY_PASSPORT_DATA'!B:AR,9,FALSE)</f>
        <v>393</v>
      </c>
      <c r="F80" s="343">
        <f>VLOOKUP(B80,'26MY_PASSPORT_DATA'!B:AR,10,FALSE)</f>
        <v>561</v>
      </c>
      <c r="G80" s="344">
        <f>VLOOKUP(B80,'26MY_PASSPORT_DATA'!B:AR,7,FALSE)</f>
        <v>0.4</v>
      </c>
      <c r="H80" s="345">
        <f>VLOOKUP(B80,'26MY_PASSPORT_DATA'!B:AR,11,FALSE)</f>
        <v>629.4</v>
      </c>
      <c r="I80" s="347">
        <f>VLOOKUP($B80,'26MY_PASSPORT_DATA'!$B:$AR,12,FALSE)</f>
        <v>0</v>
      </c>
      <c r="J80" s="347">
        <f>VLOOKUP($B80,'26MY_PASSPORT_DATA'!$B:$AR,13,FALSE)</f>
        <v>0</v>
      </c>
      <c r="K80" s="347" t="str">
        <f>VLOOKUP(B80,'26MY_PASSPORT_DATA'!B:AR,14,FALSE)</f>
        <v>•</v>
      </c>
      <c r="L80" s="347" t="str">
        <f>VLOOKUP(B80,'26MY_PASSPORT_DATA'!B:AR,15,FALSE)</f>
        <v>•</v>
      </c>
      <c r="M80" s="347">
        <f>VLOOKUP($B80,'26MY_PASSPORT_DATA'!$B:$AR,16,FALSE)</f>
        <v>0</v>
      </c>
      <c r="N80" s="347">
        <f>VLOOKUP(B80,'26MY_PASSPORT_DATA'!B:AR,17,FALSE)</f>
        <v>0</v>
      </c>
      <c r="O80" s="347" t="str">
        <f>VLOOKUP(B80,'26MY_PASSPORT_DATA'!B:AR,18,FALSE)</f>
        <v>•</v>
      </c>
      <c r="P80" s="347" t="str">
        <f>VLOOKUP(B80,'26MY_PASSPORT_DATA'!B:AR,19,FALSE)</f>
        <v>•</v>
      </c>
      <c r="Q80" s="372" t="str">
        <f>IF(VLOOKUP(B80,'26MY_PASSPORT_DATA'!B:AR,20,FALSE)="","",VLOOKUP(B80,'26MY_PASSPORT_DATA'!B:AR,20,FALSE))</f>
        <v>Requires Roof Rails &amp; Crossbars.</v>
      </c>
    </row>
    <row r="81" spans="2:17" s="135" customFormat="1" ht="15" customHeight="1">
      <c r="B81" s="332" t="s">
        <v>195</v>
      </c>
      <c r="C81" s="198" t="str">
        <f>VLOOKUP(B81,'26MY_PASSPORT_DATA'!B:AR,3,FALSE)</f>
        <v>Bicycle Attachment - Fork Mount</v>
      </c>
      <c r="D81" s="79" t="str">
        <f t="shared" si="24"/>
        <v>08L07-E09-300A</v>
      </c>
      <c r="E81" s="343">
        <f>VLOOKUP(B81,'26MY_PASSPORT_DATA'!B:AR,9,FALSE)</f>
        <v>300</v>
      </c>
      <c r="F81" s="343">
        <f>VLOOKUP(B81,'26MY_PASSPORT_DATA'!B:AR,10,FALSE)</f>
        <v>500</v>
      </c>
      <c r="G81" s="344">
        <f>VLOOKUP(B81,'26MY_PASSPORT_DATA'!B:AR,7,FALSE)</f>
        <v>0.4</v>
      </c>
      <c r="H81" s="345">
        <f>VLOOKUP(B81,'26MY_PASSPORT_DATA'!B:AR,11,FALSE)</f>
        <v>568.4</v>
      </c>
      <c r="I81" s="347">
        <f>VLOOKUP($B81,'26MY_PASSPORT_DATA'!$B:$AR,12,FALSE)</f>
        <v>0</v>
      </c>
      <c r="J81" s="347">
        <f>VLOOKUP($B81,'26MY_PASSPORT_DATA'!$B:$AR,13,FALSE)</f>
        <v>0</v>
      </c>
      <c r="K81" s="347" t="str">
        <f>VLOOKUP(B81,'26MY_PASSPORT_DATA'!B:AR,14,FALSE)</f>
        <v>•</v>
      </c>
      <c r="L81" s="347" t="str">
        <f>VLOOKUP(B81,'26MY_PASSPORT_DATA'!B:AR,15,FALSE)</f>
        <v>•</v>
      </c>
      <c r="M81" s="347">
        <f>VLOOKUP($B81,'26MY_PASSPORT_DATA'!$B:$AR,16,FALSE)</f>
        <v>0</v>
      </c>
      <c r="N81" s="347">
        <f>VLOOKUP(B81,'26MY_PASSPORT_DATA'!B:AR,17,FALSE)</f>
        <v>0</v>
      </c>
      <c r="O81" s="347" t="str">
        <f>VLOOKUP(B81,'26MY_PASSPORT_DATA'!B:AR,18,FALSE)</f>
        <v>•</v>
      </c>
      <c r="P81" s="347" t="str">
        <f>VLOOKUP(B81,'26MY_PASSPORT_DATA'!B:AR,19,FALSE)</f>
        <v>•</v>
      </c>
      <c r="Q81" s="373"/>
    </row>
    <row r="82" spans="2:17" s="135" customFormat="1" ht="15" customHeight="1">
      <c r="B82" s="332" t="s">
        <v>170</v>
      </c>
      <c r="C82" s="198" t="str">
        <f>VLOOKUP(B82,'26MY_PASSPORT_DATA'!B:AR,3,FALSE)</f>
        <v>Roof Ski/Snowboard Attachment</v>
      </c>
      <c r="D82" s="79" t="str">
        <f t="shared" si="24"/>
        <v>08L03-E09-300C</v>
      </c>
      <c r="E82" s="343">
        <f>VLOOKUP(B82,'26MY_PASSPORT_DATA'!B:AR,9,FALSE)</f>
        <v>426</v>
      </c>
      <c r="F82" s="343">
        <f>VLOOKUP(B82,'26MY_PASSPORT_DATA'!B:AR,10,FALSE)</f>
        <v>710</v>
      </c>
      <c r="G82" s="344">
        <f>VLOOKUP(B82,'26MY_PASSPORT_DATA'!B:AR,7,FALSE)</f>
        <v>0.2</v>
      </c>
      <c r="H82" s="345">
        <f>VLOOKUP(B82,'26MY_PASSPORT_DATA'!B:AR,11,FALSE)</f>
        <v>744.2</v>
      </c>
      <c r="I82" s="347">
        <f>VLOOKUP($B82,'26MY_PASSPORT_DATA'!$B:$AR,12,FALSE)</f>
        <v>0</v>
      </c>
      <c r="J82" s="347">
        <f>VLOOKUP($B82,'26MY_PASSPORT_DATA'!$B:$AR,13,FALSE)</f>
        <v>0</v>
      </c>
      <c r="K82" s="347" t="str">
        <f>VLOOKUP(B82,'26MY_PASSPORT_DATA'!B:AR,14,FALSE)</f>
        <v>•</v>
      </c>
      <c r="L82" s="347" t="str">
        <f>VLOOKUP(B82,'26MY_PASSPORT_DATA'!B:AR,15,FALSE)</f>
        <v>•</v>
      </c>
      <c r="M82" s="347">
        <f>VLOOKUP($B82,'26MY_PASSPORT_DATA'!$B:$AR,16,FALSE)</f>
        <v>0</v>
      </c>
      <c r="N82" s="347">
        <f>VLOOKUP(B82,'26MY_PASSPORT_DATA'!B:AR,17,FALSE)</f>
        <v>0</v>
      </c>
      <c r="O82" s="347" t="str">
        <f>VLOOKUP(B82,'26MY_PASSPORT_DATA'!B:AR,18,FALSE)</f>
        <v>•</v>
      </c>
      <c r="P82" s="347" t="str">
        <f>VLOOKUP(B82,'26MY_PASSPORT_DATA'!B:AR,19,FALSE)</f>
        <v>•</v>
      </c>
      <c r="Q82" s="373"/>
    </row>
    <row r="83" spans="2:17" s="135" customFormat="1" ht="15" customHeight="1">
      <c r="B83" s="332" t="s">
        <v>428</v>
      </c>
      <c r="C83" s="198" t="str">
        <f>VLOOKUP(B83,'26MY_PASSPORT_DATA'!B:AR,3,FALSE)</f>
        <v>Roof Surfboard Attachment</v>
      </c>
      <c r="D83" s="79" t="str">
        <f t="shared" si="24"/>
        <v>08L05-E09-100</v>
      </c>
      <c r="E83" s="343">
        <f>VLOOKUP(B83,'26MY_PASSPORT_DATA'!B:AR,9,FALSE)</f>
        <v>213</v>
      </c>
      <c r="F83" s="343">
        <f>VLOOKUP(B83,'26MY_PASSPORT_DATA'!B:AR,10,FALSE)</f>
        <v>355</v>
      </c>
      <c r="G83" s="344">
        <f>VLOOKUP(B83,'26MY_PASSPORT_DATA'!B:AR,7,FALSE)</f>
        <v>0.4</v>
      </c>
      <c r="H83" s="345">
        <f>VLOOKUP(B83,'26MY_PASSPORT_DATA'!B:AR,11,FALSE)</f>
        <v>423.4</v>
      </c>
      <c r="I83" s="347">
        <f>VLOOKUP($B83,'26MY_PASSPORT_DATA'!$B:$AR,12,FALSE)</f>
        <v>0</v>
      </c>
      <c r="J83" s="347">
        <f>VLOOKUP($B83,'26MY_PASSPORT_DATA'!$B:$AR,13,FALSE)</f>
        <v>0</v>
      </c>
      <c r="K83" s="347" t="str">
        <f>VLOOKUP(B83,'26MY_PASSPORT_DATA'!B:AR,14,FALSE)</f>
        <v>•</v>
      </c>
      <c r="L83" s="347" t="str">
        <f>VLOOKUP(B83,'26MY_PASSPORT_DATA'!B:AR,15,FALSE)</f>
        <v>•</v>
      </c>
      <c r="M83" s="347">
        <f>VLOOKUP($B83,'26MY_PASSPORT_DATA'!$B:$AR,16,FALSE)</f>
        <v>0</v>
      </c>
      <c r="N83" s="347">
        <f>VLOOKUP(B83,'26MY_PASSPORT_DATA'!B:AR,17,FALSE)</f>
        <v>0</v>
      </c>
      <c r="O83" s="347" t="str">
        <f>VLOOKUP(B83,'26MY_PASSPORT_DATA'!B:AR,18,FALSE)</f>
        <v>•</v>
      </c>
      <c r="P83" s="347" t="str">
        <f>VLOOKUP(B83,'26MY_PASSPORT_DATA'!B:AR,19,FALSE)</f>
        <v>•</v>
      </c>
      <c r="Q83" s="373"/>
    </row>
    <row r="84" spans="2:17" s="135" customFormat="1" ht="15" customHeight="1">
      <c r="B84" s="332" t="s">
        <v>429</v>
      </c>
      <c r="C84" s="198" t="str">
        <f>VLOOKUP(B84,'26MY_PASSPORT_DATA'!B:AR,3,FALSE)</f>
        <v>Roof Kayak Attachment</v>
      </c>
      <c r="D84" s="79" t="str">
        <f t="shared" si="18"/>
        <v>08L09-E09-101</v>
      </c>
      <c r="E84" s="343">
        <f>VLOOKUP(B84,'26MY_PASSPORT_DATA'!B:AR,9,FALSE)</f>
        <v>442</v>
      </c>
      <c r="F84" s="343">
        <f>VLOOKUP(B84,'26MY_PASSPORT_DATA'!B:AR,10,FALSE)</f>
        <v>737</v>
      </c>
      <c r="G84" s="344">
        <f>VLOOKUP(B84,'26MY_PASSPORT_DATA'!B:AR,7,FALSE)</f>
        <v>0.4</v>
      </c>
      <c r="H84" s="345">
        <f>VLOOKUP(B84,'26MY_PASSPORT_DATA'!B:AR,11,FALSE)</f>
        <v>805.4</v>
      </c>
      <c r="I84" s="347">
        <f>VLOOKUP($B84,'26MY_PASSPORT_DATA'!$B:$AR,12,FALSE)</f>
        <v>0</v>
      </c>
      <c r="J84" s="347">
        <f>VLOOKUP($B84,'26MY_PASSPORT_DATA'!$B:$AR,13,FALSE)</f>
        <v>0</v>
      </c>
      <c r="K84" s="347" t="str">
        <f>VLOOKUP(B84,'26MY_PASSPORT_DATA'!B:AR,14,FALSE)</f>
        <v>•</v>
      </c>
      <c r="L84" s="347" t="str">
        <f>VLOOKUP(B84,'26MY_PASSPORT_DATA'!B:AR,15,FALSE)</f>
        <v>•</v>
      </c>
      <c r="M84" s="347">
        <f>VLOOKUP($B84,'26MY_PASSPORT_DATA'!$B:$AR,16,FALSE)</f>
        <v>0</v>
      </c>
      <c r="N84" s="347">
        <f>VLOOKUP(B84,'26MY_PASSPORT_DATA'!B:AR,17,FALSE)</f>
        <v>0</v>
      </c>
      <c r="O84" s="347" t="str">
        <f>VLOOKUP(B84,'26MY_PASSPORT_DATA'!B:AR,18,FALSE)</f>
        <v>•</v>
      </c>
      <c r="P84" s="347" t="str">
        <f>VLOOKUP(B84,'26MY_PASSPORT_DATA'!B:AR,19,FALSE)</f>
        <v>•</v>
      </c>
      <c r="Q84" s="373"/>
    </row>
    <row r="85" spans="2:17" s="135" customFormat="1" ht="15" customHeight="1">
      <c r="B85" s="332" t="s">
        <v>169</v>
      </c>
      <c r="C85" s="198" t="str">
        <f>VLOOKUP(B85,'26MY_PASSPORT_DATA'!B:AR,3,FALSE)</f>
        <v>Roof Box Short</v>
      </c>
      <c r="D85" s="79" t="str">
        <f t="shared" ref="D85:D87" si="25">B85</f>
        <v>08L20-E09-300B</v>
      </c>
      <c r="E85" s="343">
        <f>VLOOKUP(B85,'26MY_PASSPORT_DATA'!B:AR,9,FALSE)</f>
        <v>820</v>
      </c>
      <c r="F85" s="343">
        <f>VLOOKUP(B85,'26MY_PASSPORT_DATA'!B:AR,10,FALSE)</f>
        <v>1367</v>
      </c>
      <c r="G85" s="344">
        <f>VLOOKUP(B85,'26MY_PASSPORT_DATA'!B:AR,7,FALSE)</f>
        <v>0.2</v>
      </c>
      <c r="H85" s="345">
        <f>VLOOKUP(B85,'26MY_PASSPORT_DATA'!B:AR,11,FALSE)</f>
        <v>1401.2</v>
      </c>
      <c r="I85" s="347">
        <f>VLOOKUP($B85,'26MY_PASSPORT_DATA'!$B:$AR,12,FALSE)</f>
        <v>0</v>
      </c>
      <c r="J85" s="347">
        <f>VLOOKUP($B85,'26MY_PASSPORT_DATA'!$B:$AR,13,FALSE)</f>
        <v>0</v>
      </c>
      <c r="K85" s="347" t="str">
        <f>VLOOKUP(B85,'26MY_PASSPORT_DATA'!B:AR,14,FALSE)</f>
        <v>•</v>
      </c>
      <c r="L85" s="347" t="str">
        <f>VLOOKUP(B85,'26MY_PASSPORT_DATA'!B:AR,15,FALSE)</f>
        <v>•</v>
      </c>
      <c r="M85" s="347">
        <f>VLOOKUP($B85,'26MY_PASSPORT_DATA'!$B:$AR,16,FALSE)</f>
        <v>0</v>
      </c>
      <c r="N85" s="347">
        <f>VLOOKUP(B85,'26MY_PASSPORT_DATA'!B:AR,17,FALSE)</f>
        <v>0</v>
      </c>
      <c r="O85" s="347" t="str">
        <f>VLOOKUP(B85,'26MY_PASSPORT_DATA'!B:AR,18,FALSE)</f>
        <v>•</v>
      </c>
      <c r="P85" s="347" t="str">
        <f>VLOOKUP(B85,'26MY_PASSPORT_DATA'!B:AR,19,FALSE)</f>
        <v>•</v>
      </c>
      <c r="Q85" s="373"/>
    </row>
    <row r="86" spans="2:17" s="135" customFormat="1" ht="15" customHeight="1">
      <c r="B86" s="332" t="s">
        <v>194</v>
      </c>
      <c r="C86" s="198" t="str">
        <f>VLOOKUP(B86,'26MY_PASSPORT_DATA'!B:AR,3,FALSE)</f>
        <v>Roof Box, Long</v>
      </c>
      <c r="D86" s="79" t="str">
        <f t="shared" si="25"/>
        <v>08L20-E09-300A</v>
      </c>
      <c r="E86" s="343">
        <f>VLOOKUP(B86,'26MY_PASSPORT_DATA'!B:AR,9,FALSE)</f>
        <v>898</v>
      </c>
      <c r="F86" s="343">
        <f>VLOOKUP(B86,'26MY_PASSPORT_DATA'!B:AR,10,FALSE)</f>
        <v>1497</v>
      </c>
      <c r="G86" s="344">
        <f>VLOOKUP(B86,'26MY_PASSPORT_DATA'!B:AR,7,FALSE)</f>
        <v>0.2</v>
      </c>
      <c r="H86" s="345">
        <f>VLOOKUP(B86,'26MY_PASSPORT_DATA'!B:AR,11,FALSE)</f>
        <v>1531.2</v>
      </c>
      <c r="I86" s="347">
        <f>VLOOKUP($B86,'26MY_PASSPORT_DATA'!$B:$AR,12,FALSE)</f>
        <v>0</v>
      </c>
      <c r="J86" s="347">
        <f>VLOOKUP($B86,'26MY_PASSPORT_DATA'!$B:$AR,13,FALSE)</f>
        <v>0</v>
      </c>
      <c r="K86" s="347" t="str">
        <f>VLOOKUP(B86,'26MY_PASSPORT_DATA'!B:AR,14,FALSE)</f>
        <v>•</v>
      </c>
      <c r="L86" s="347" t="str">
        <f>VLOOKUP(B86,'26MY_PASSPORT_DATA'!B:AR,15,FALSE)</f>
        <v>•</v>
      </c>
      <c r="M86" s="347">
        <f>VLOOKUP($B86,'26MY_PASSPORT_DATA'!$B:$AR,16,FALSE)</f>
        <v>0</v>
      </c>
      <c r="N86" s="347">
        <f>VLOOKUP(B86,'26MY_PASSPORT_DATA'!B:AR,17,FALSE)</f>
        <v>0</v>
      </c>
      <c r="O86" s="347" t="str">
        <f>VLOOKUP(B86,'26MY_PASSPORT_DATA'!B:AR,18,FALSE)</f>
        <v>•</v>
      </c>
      <c r="P86" s="347" t="str">
        <f>VLOOKUP(B86,'26MY_PASSPORT_DATA'!B:AR,19,FALSE)</f>
        <v>•</v>
      </c>
      <c r="Q86" s="373"/>
    </row>
    <row r="87" spans="2:17" s="135" customFormat="1" ht="15" customHeight="1">
      <c r="B87" s="332" t="s">
        <v>427</v>
      </c>
      <c r="C87" s="198" t="str">
        <f>VLOOKUP(B87,'26MY_PASSPORT_DATA'!B:AR,3,FALSE)</f>
        <v>Roof Basket</v>
      </c>
      <c r="D87" s="79" t="str">
        <f t="shared" si="25"/>
        <v>08L20-E09-101C</v>
      </c>
      <c r="E87" s="343">
        <f>VLOOKUP(B87,'26MY_PASSPORT_DATA'!B:AR,9,FALSE)</f>
        <v>586</v>
      </c>
      <c r="F87" s="343">
        <f>VLOOKUP(B87,'26MY_PASSPORT_DATA'!B:AR,10,FALSE)</f>
        <v>977</v>
      </c>
      <c r="G87" s="344">
        <f>VLOOKUP(B87,'26MY_PASSPORT_DATA'!B:AR,7,FALSE)</f>
        <v>0.4</v>
      </c>
      <c r="H87" s="345">
        <f>VLOOKUP(B87,'26MY_PASSPORT_DATA'!B:AR,11,FALSE)</f>
        <v>1045.4000000000001</v>
      </c>
      <c r="I87" s="347">
        <f>VLOOKUP($B87,'26MY_PASSPORT_DATA'!$B:$AR,12,FALSE)</f>
        <v>0</v>
      </c>
      <c r="J87" s="347">
        <f>VLOOKUP($B87,'26MY_PASSPORT_DATA'!$B:$AR,13,FALSE)</f>
        <v>0</v>
      </c>
      <c r="K87" s="347" t="str">
        <f>VLOOKUP(B87,'26MY_PASSPORT_DATA'!B:AR,14,FALSE)</f>
        <v>•</v>
      </c>
      <c r="L87" s="347" t="str">
        <f>VLOOKUP(B87,'26MY_PASSPORT_DATA'!B:AR,15,FALSE)</f>
        <v>•</v>
      </c>
      <c r="M87" s="347">
        <f>VLOOKUP($B87,'26MY_PASSPORT_DATA'!$B:$AR,16,FALSE)</f>
        <v>0</v>
      </c>
      <c r="N87" s="347">
        <f>VLOOKUP(B87,'26MY_PASSPORT_DATA'!B:AR,17,FALSE)</f>
        <v>0</v>
      </c>
      <c r="O87" s="347" t="str">
        <f>VLOOKUP(B87,'26MY_PASSPORT_DATA'!B:AR,18,FALSE)</f>
        <v>•</v>
      </c>
      <c r="P87" s="347" t="str">
        <f>VLOOKUP(B87,'26MY_PASSPORT_DATA'!B:AR,19,FALSE)</f>
        <v>•</v>
      </c>
      <c r="Q87" s="374"/>
    </row>
    <row r="88" spans="2:17" s="135" customFormat="1" ht="15" customHeight="1">
      <c r="B88" s="332"/>
      <c r="C88" s="130"/>
      <c r="D88" s="130"/>
      <c r="E88" s="140"/>
      <c r="F88" s="140"/>
      <c r="G88" s="193"/>
      <c r="H88" s="140"/>
      <c r="I88" s="140"/>
      <c r="J88" s="140"/>
      <c r="K88" s="140"/>
      <c r="L88" s="140"/>
      <c r="M88" s="140"/>
      <c r="N88" s="140"/>
      <c r="O88" s="140"/>
      <c r="P88" s="140"/>
      <c r="Q88" s="140"/>
    </row>
    <row r="89" spans="2:17" s="133" customFormat="1" ht="18">
      <c r="B89" s="333"/>
      <c r="C89" s="152" t="s">
        <v>61</v>
      </c>
      <c r="D89" s="152"/>
      <c r="E89" s="194"/>
      <c r="F89" s="194"/>
      <c r="G89" s="194"/>
      <c r="H89" s="194"/>
      <c r="I89" s="194"/>
      <c r="J89" s="194"/>
      <c r="K89" s="194"/>
      <c r="L89" s="194"/>
      <c r="M89" s="194"/>
      <c r="N89" s="194"/>
      <c r="O89" s="194"/>
      <c r="P89" s="194"/>
      <c r="Q89" s="194"/>
    </row>
    <row r="90" spans="2:17" s="134" customFormat="1" ht="15" customHeight="1">
      <c r="B90" s="332"/>
      <c r="C90" s="387" t="s">
        <v>55</v>
      </c>
      <c r="D90" s="387" t="s">
        <v>10</v>
      </c>
      <c r="E90" s="387" t="s">
        <v>17</v>
      </c>
      <c r="F90" s="387" t="s">
        <v>11</v>
      </c>
      <c r="G90" s="387" t="s">
        <v>12</v>
      </c>
      <c r="H90" s="388" t="s">
        <v>13</v>
      </c>
      <c r="I90" s="387" t="s">
        <v>23</v>
      </c>
      <c r="J90" s="387"/>
      <c r="K90" s="387"/>
      <c r="L90" s="387"/>
      <c r="M90" s="387"/>
      <c r="N90" s="387"/>
      <c r="O90" s="387"/>
      <c r="P90" s="387"/>
      <c r="Q90" s="387" t="s">
        <v>14</v>
      </c>
    </row>
    <row r="91" spans="2:17" s="134" customFormat="1" ht="43.2">
      <c r="B91" s="332"/>
      <c r="C91" s="387"/>
      <c r="D91" s="387"/>
      <c r="E91" s="387"/>
      <c r="F91" s="387"/>
      <c r="G91" s="387"/>
      <c r="H91" s="388"/>
      <c r="I91" s="174">
        <f>'26MY_PASSPORT_DATA'!$M$7</f>
        <v>0</v>
      </c>
      <c r="J91" s="174">
        <f>'26MY_PASSPORT_DATA'!$M$7</f>
        <v>0</v>
      </c>
      <c r="K91" s="174" t="str">
        <f>'26MY_PASSPORT_DATA'!$O$7</f>
        <v>TrailSport</v>
      </c>
      <c r="L91" s="174" t="str">
        <f>'26MY_PASSPORT_DATA'!$P$7</f>
        <v>TrailSport Blackout</v>
      </c>
      <c r="M91" s="174">
        <f>'26MY_PASSPORT_DATA'!$R$7</f>
        <v>0</v>
      </c>
      <c r="N91" s="174">
        <f>'26MY_PASSPORT_DATA'!$R$7</f>
        <v>0</v>
      </c>
      <c r="O91" s="174" t="str">
        <f>'26MY_PASSPORT_DATA'!$S$7</f>
        <v>TrailSport Touring</v>
      </c>
      <c r="P91" s="174" t="str">
        <f>'26MY_PASSPORT_DATA'!$T$7</f>
        <v>Trailsport Touring Blackout</v>
      </c>
      <c r="Q91" s="387"/>
    </row>
    <row r="92" spans="2:17" s="135" customFormat="1" ht="15" customHeight="1">
      <c r="B92" s="332" t="s">
        <v>240</v>
      </c>
      <c r="C92" s="175" t="str">
        <f>VLOOKUP(B92,'26MY_PASSPORT_DATA'!B:AR,3,FALSE)</f>
        <v>All Season Mats (TrailSport logo)</v>
      </c>
      <c r="D92" s="79" t="str">
        <f t="shared" ref="D92" si="26">B92</f>
        <v>08P17-3BM-120A</v>
      </c>
      <c r="E92" s="343">
        <f>VLOOKUP(B92,'26MY_PASSPORT_DATA'!B:AR,9,FALSE)</f>
        <v>216</v>
      </c>
      <c r="F92" s="343">
        <f>VLOOKUP(B92,'26MY_PASSPORT_DATA'!B:AR,10,FALSE)</f>
        <v>360</v>
      </c>
      <c r="G92" s="344">
        <f>VLOOKUP(B92,'26MY_PASSPORT_DATA'!B:AR,7,FALSE)</f>
        <v>0.1</v>
      </c>
      <c r="H92" s="345">
        <f>VLOOKUP(B92,'26MY_PASSPORT_DATA'!B:AR,11,FALSE)</f>
        <v>377.1</v>
      </c>
      <c r="I92" s="347">
        <f>VLOOKUP($B92,'26MY_PASSPORT_DATA'!$B:$AR,12,FALSE)</f>
        <v>0</v>
      </c>
      <c r="J92" s="347">
        <f>VLOOKUP($B92,'26MY_PASSPORT_DATA'!$B:$AR,13,FALSE)</f>
        <v>0</v>
      </c>
      <c r="K92" s="347" t="str">
        <f>VLOOKUP(B92,'26MY_PASSPORT_DATA'!B:AR,14,FALSE)</f>
        <v>•</v>
      </c>
      <c r="L92" s="347" t="str">
        <f>VLOOKUP(B92,'26MY_PASSPORT_DATA'!B:AR,15,FALSE)</f>
        <v>•</v>
      </c>
      <c r="M92" s="347">
        <f>VLOOKUP($B92,'26MY_PASSPORT_DATA'!$B:$AR,16,FALSE)</f>
        <v>0</v>
      </c>
      <c r="N92" s="347">
        <f>VLOOKUP(B92,'26MY_PASSPORT_DATA'!B:AR,17,FALSE)</f>
        <v>0</v>
      </c>
      <c r="O92" s="347" t="str">
        <f>VLOOKUP(B92,'26MY_PASSPORT_DATA'!B:AR,18,FALSE)</f>
        <v>•</v>
      </c>
      <c r="P92" s="347" t="str">
        <f>VLOOKUP(B92,'26MY_PASSPORT_DATA'!B:AR,19,FALSE)</f>
        <v>•</v>
      </c>
      <c r="Q92" s="346" t="str">
        <f>IF(VLOOKUP(B92,'26MY_PASSPORT_DATA'!B:AR,20,FALSE)="","",VLOOKUP(B92,'26MY_PASSPORT_DATA'!B:AR,20,FALSE))</f>
        <v/>
      </c>
    </row>
    <row r="93" spans="2:17" s="135" customFormat="1" ht="15" customHeight="1">
      <c r="B93" s="332" t="s">
        <v>244</v>
      </c>
      <c r="C93" s="175" t="str">
        <f>VLOOKUP(B93,'26MY_PASSPORT_DATA'!B:AR,3,FALSE)</f>
        <v>Cargo Tray</v>
      </c>
      <c r="D93" s="79" t="str">
        <f t="shared" ref="D93:D95" si="27">B93</f>
        <v>08U45-3BM-100</v>
      </c>
      <c r="E93" s="343">
        <f>VLOOKUP(B93,'26MY_PASSPORT_DATA'!B:AR,9,FALSE)</f>
        <v>124</v>
      </c>
      <c r="F93" s="343">
        <f>VLOOKUP(B93,'26MY_PASSPORT_DATA'!B:AR,10,FALSE)</f>
        <v>207</v>
      </c>
      <c r="G93" s="344">
        <f>VLOOKUP(B93,'26MY_PASSPORT_DATA'!B:AR,7,FALSE)</f>
        <v>0.1</v>
      </c>
      <c r="H93" s="345">
        <f>VLOOKUP(B93,'26MY_PASSPORT_DATA'!B:AR,11,FALSE)</f>
        <v>224.1</v>
      </c>
      <c r="I93" s="347">
        <f>VLOOKUP($B93,'26MY_PASSPORT_DATA'!$B:$AR,12,FALSE)</f>
        <v>0</v>
      </c>
      <c r="J93" s="347">
        <f>VLOOKUP($B93,'26MY_PASSPORT_DATA'!$B:$AR,13,FALSE)</f>
        <v>0</v>
      </c>
      <c r="K93" s="347" t="str">
        <f>VLOOKUP(B93,'26MY_PASSPORT_DATA'!B:AR,14,FALSE)</f>
        <v>•</v>
      </c>
      <c r="L93" s="347" t="str">
        <f>VLOOKUP(B93,'26MY_PASSPORT_DATA'!B:AR,15,FALSE)</f>
        <v>•</v>
      </c>
      <c r="M93" s="347">
        <f>VLOOKUP($B93,'26MY_PASSPORT_DATA'!$B:$AR,16,FALSE)</f>
        <v>0</v>
      </c>
      <c r="N93" s="347">
        <f>VLOOKUP(B93,'26MY_PASSPORT_DATA'!B:AR,17,FALSE)</f>
        <v>0</v>
      </c>
      <c r="O93" s="347" t="str">
        <f>VLOOKUP(B93,'26MY_PASSPORT_DATA'!B:AR,18,FALSE)</f>
        <v>•</v>
      </c>
      <c r="P93" s="347" t="str">
        <f>VLOOKUP(B93,'26MY_PASSPORT_DATA'!B:AR,19,FALSE)</f>
        <v>•</v>
      </c>
      <c r="Q93" s="346" t="str">
        <f>IF(VLOOKUP(B93,'26MY_PASSPORT_DATA'!B:AR,20,FALSE)="","",VLOOKUP(B93,'26MY_PASSPORT_DATA'!B:AR,20,FALSE))</f>
        <v/>
      </c>
    </row>
    <row r="94" spans="2:17" s="135" customFormat="1" ht="15" customHeight="1">
      <c r="B94" s="332" t="s">
        <v>250</v>
      </c>
      <c r="C94" s="175" t="str">
        <f>VLOOKUP(B94,'26MY_PASSPORT_DATA'!B:AR,3,FALSE)</f>
        <v>Cargo Cover</v>
      </c>
      <c r="D94" s="79" t="str">
        <f t="shared" si="27"/>
        <v>08U35-3BM-310</v>
      </c>
      <c r="E94" s="343">
        <f>VLOOKUP(B94,'26MY_PASSPORT_DATA'!B:AR,9,FALSE)</f>
        <v>281</v>
      </c>
      <c r="F94" s="343">
        <f>VLOOKUP(B94,'26MY_PASSPORT_DATA'!B:AR,10,FALSE)</f>
        <v>468</v>
      </c>
      <c r="G94" s="344">
        <f>VLOOKUP(B94,'26MY_PASSPORT_DATA'!B:AR,7,FALSE)</f>
        <v>0.1</v>
      </c>
      <c r="H94" s="345">
        <f>VLOOKUP(B94,'26MY_PASSPORT_DATA'!B:AR,11,FALSE)</f>
        <v>485.1</v>
      </c>
      <c r="I94" s="347">
        <f>VLOOKUP($B94,'26MY_PASSPORT_DATA'!$B:$AR,12,FALSE)</f>
        <v>0</v>
      </c>
      <c r="J94" s="347">
        <f>VLOOKUP($B94,'26MY_PASSPORT_DATA'!$B:$AR,13,FALSE)</f>
        <v>0</v>
      </c>
      <c r="K94" s="347" t="str">
        <f>VLOOKUP(B94,'26MY_PASSPORT_DATA'!B:AR,14,FALSE)</f>
        <v>•</v>
      </c>
      <c r="L94" s="347" t="str">
        <f>VLOOKUP(B94,'26MY_PASSPORT_DATA'!B:AR,15,FALSE)</f>
        <v>•</v>
      </c>
      <c r="M94" s="347">
        <f>VLOOKUP($B94,'26MY_PASSPORT_DATA'!$B:$AR,16,FALSE)</f>
        <v>0</v>
      </c>
      <c r="N94" s="347">
        <f>VLOOKUP(B94,'26MY_PASSPORT_DATA'!B:AR,17,FALSE)</f>
        <v>0</v>
      </c>
      <c r="O94" s="347" t="str">
        <f>VLOOKUP(B94,'26MY_PASSPORT_DATA'!B:AR,18,FALSE)</f>
        <v>•</v>
      </c>
      <c r="P94" s="347" t="str">
        <f>VLOOKUP(B94,'26MY_PASSPORT_DATA'!B:AR,19,FALSE)</f>
        <v>•</v>
      </c>
      <c r="Q94" s="346" t="str">
        <f>IF(VLOOKUP(B94,'26MY_PASSPORT_DATA'!B:AR,20,FALSE)="","",VLOOKUP(B94,'26MY_PASSPORT_DATA'!B:AR,20,FALSE))</f>
        <v>Cannot be used in conjunction with Cargo Shelf / Table</v>
      </c>
    </row>
    <row r="95" spans="2:17" s="135" customFormat="1" ht="15" customHeight="1">
      <c r="B95" s="332" t="s">
        <v>241</v>
      </c>
      <c r="C95" s="175" t="str">
        <f>VLOOKUP(B95,'26MY_PASSPORT_DATA'!B:AR,3,FALSE)</f>
        <v>Seat Back Protector</v>
      </c>
      <c r="D95" s="79" t="str">
        <f t="shared" si="27"/>
        <v>08P42-3BM-100</v>
      </c>
      <c r="E95" s="343">
        <f>VLOOKUP(B95,'26MY_PASSPORT_DATA'!B:AR,9,FALSE)</f>
        <v>127</v>
      </c>
      <c r="F95" s="343">
        <f>VLOOKUP(B95,'26MY_PASSPORT_DATA'!B:AR,10,FALSE)</f>
        <v>212</v>
      </c>
      <c r="G95" s="344">
        <f>VLOOKUP(B95,'26MY_PASSPORT_DATA'!B:AR,7,FALSE)</f>
        <v>0.2</v>
      </c>
      <c r="H95" s="345">
        <f>VLOOKUP(B95,'26MY_PASSPORT_DATA'!B:AR,11,FALSE)</f>
        <v>246.2</v>
      </c>
      <c r="I95" s="347">
        <f>VLOOKUP($B95,'26MY_PASSPORT_DATA'!$B:$AR,12,FALSE)</f>
        <v>0</v>
      </c>
      <c r="J95" s="347">
        <f>VLOOKUP($B95,'26MY_PASSPORT_DATA'!$B:$AR,13,FALSE)</f>
        <v>0</v>
      </c>
      <c r="K95" s="347" t="str">
        <f>VLOOKUP(B95,'26MY_PASSPORT_DATA'!B:AR,14,FALSE)</f>
        <v>•</v>
      </c>
      <c r="L95" s="347" t="str">
        <f>VLOOKUP(B95,'26MY_PASSPORT_DATA'!B:AR,15,FALSE)</f>
        <v>•</v>
      </c>
      <c r="M95" s="347">
        <f>VLOOKUP($B95,'26MY_PASSPORT_DATA'!$B:$AR,16,FALSE)</f>
        <v>0</v>
      </c>
      <c r="N95" s="347">
        <f>VLOOKUP(B95,'26MY_PASSPORT_DATA'!B:AR,17,FALSE)</f>
        <v>0</v>
      </c>
      <c r="O95" s="347" t="str">
        <f>VLOOKUP(B95,'26MY_PASSPORT_DATA'!B:AR,18,FALSE)</f>
        <v>•</v>
      </c>
      <c r="P95" s="347" t="str">
        <f>VLOOKUP(B95,'26MY_PASSPORT_DATA'!B:AR,19,FALSE)</f>
        <v>•</v>
      </c>
      <c r="Q95" s="346" t="str">
        <f>IF(VLOOKUP(B95,'26MY_PASSPORT_DATA'!B:AR,20,FALSE)="","",VLOOKUP(B95,'26MY_PASSPORT_DATA'!B:AR,20,FALSE))</f>
        <v/>
      </c>
    </row>
    <row r="96" spans="2:17" s="135" customFormat="1" ht="15" customHeight="1">
      <c r="B96" s="332" t="s">
        <v>249</v>
      </c>
      <c r="C96" s="175" t="str">
        <f>VLOOKUP(B96,'26MY_PASSPORT_DATA'!B:AR,3,FALSE)</f>
        <v>Separation Barrier</v>
      </c>
      <c r="D96" s="79" t="str">
        <f t="shared" ref="D96:D97" si="28">B96</f>
        <v>08U35-3BM-300A</v>
      </c>
      <c r="E96" s="343">
        <f>VLOOKUP(B96,'26MY_PASSPORT_DATA'!B:AR,9,FALSE)</f>
        <v>638</v>
      </c>
      <c r="F96" s="343">
        <f>VLOOKUP(B96,'26MY_PASSPORT_DATA'!B:AR,10,FALSE)</f>
        <v>1063</v>
      </c>
      <c r="G96" s="344">
        <f>VLOOKUP(B96,'26MY_PASSPORT_DATA'!B:AR,7,FALSE)</f>
        <v>0.4</v>
      </c>
      <c r="H96" s="345">
        <f>VLOOKUP(B96,'26MY_PASSPORT_DATA'!B:AR,11,FALSE)</f>
        <v>1131.4000000000001</v>
      </c>
      <c r="I96" s="347">
        <f>VLOOKUP($B96,'26MY_PASSPORT_DATA'!$B:$AR,12,FALSE)</f>
        <v>0</v>
      </c>
      <c r="J96" s="347">
        <f>VLOOKUP($B96,'26MY_PASSPORT_DATA'!$B:$AR,13,FALSE)</f>
        <v>0</v>
      </c>
      <c r="K96" s="347" t="str">
        <f>VLOOKUP(B96,'26MY_PASSPORT_DATA'!B:AR,14,FALSE)</f>
        <v>•</v>
      </c>
      <c r="L96" s="347" t="str">
        <f>VLOOKUP(B96,'26MY_PASSPORT_DATA'!B:AR,15,FALSE)</f>
        <v>•</v>
      </c>
      <c r="M96" s="347">
        <f>VLOOKUP($B96,'26MY_PASSPORT_DATA'!$B:$AR,16,FALSE)</f>
        <v>0</v>
      </c>
      <c r="N96" s="347">
        <f>VLOOKUP(B96,'26MY_PASSPORT_DATA'!B:AR,17,FALSE)</f>
        <v>0</v>
      </c>
      <c r="O96" s="347" t="str">
        <f>VLOOKUP(B96,'26MY_PASSPORT_DATA'!B:AR,18,FALSE)</f>
        <v>•</v>
      </c>
      <c r="P96" s="347" t="str">
        <f>VLOOKUP(B96,'26MY_PASSPORT_DATA'!B:AR,19,FALSE)</f>
        <v>•</v>
      </c>
      <c r="Q96" s="346" t="str">
        <f>IF(VLOOKUP(B96,'26MY_PASSPORT_DATA'!B:AR,20,FALSE)="","",VLOOKUP(B96,'26MY_PASSPORT_DATA'!B:AR,20,FALSE))</f>
        <v/>
      </c>
    </row>
    <row r="97" spans="2:17" s="135" customFormat="1" ht="15" customHeight="1">
      <c r="B97" s="332" t="s">
        <v>253</v>
      </c>
      <c r="C97" s="175" t="str">
        <f>VLOOKUP(B97,'26MY_PASSPORT_DATA'!B:AR,3,FALSE)</f>
        <v xml:space="preserve">Utility Panel </v>
      </c>
      <c r="D97" s="79" t="str">
        <f t="shared" si="28"/>
        <v>08Z03-3BM-300</v>
      </c>
      <c r="E97" s="343">
        <f>VLOOKUP(B97,'26MY_PASSPORT_DATA'!B:AR,9,FALSE)</f>
        <v>170</v>
      </c>
      <c r="F97" s="343">
        <f>VLOOKUP(B97,'26MY_PASSPORT_DATA'!B:AR,10,FALSE)</f>
        <v>283</v>
      </c>
      <c r="G97" s="344">
        <f>VLOOKUP(B97,'26MY_PASSPORT_DATA'!B:AR,7,FALSE)</f>
        <v>0.3</v>
      </c>
      <c r="H97" s="345">
        <f>VLOOKUP(B97,'26MY_PASSPORT_DATA'!B:AR,11,FALSE)</f>
        <v>334.3</v>
      </c>
      <c r="I97" s="347">
        <f>VLOOKUP($B97,'26MY_PASSPORT_DATA'!$B:$AR,12,FALSE)</f>
        <v>0</v>
      </c>
      <c r="J97" s="347">
        <f>VLOOKUP($B97,'26MY_PASSPORT_DATA'!$B:$AR,13,FALSE)</f>
        <v>0</v>
      </c>
      <c r="K97" s="347" t="str">
        <f>VLOOKUP(B97,'26MY_PASSPORT_DATA'!B:AR,14,FALSE)</f>
        <v>•</v>
      </c>
      <c r="L97" s="347" t="str">
        <f>VLOOKUP(B97,'26MY_PASSPORT_DATA'!B:AR,15,FALSE)</f>
        <v>•</v>
      </c>
      <c r="M97" s="347">
        <f>VLOOKUP($B97,'26MY_PASSPORT_DATA'!$B:$AR,16,FALSE)</f>
        <v>0</v>
      </c>
      <c r="N97" s="347">
        <f>VLOOKUP(B97,'26MY_PASSPORT_DATA'!B:AR,17,FALSE)</f>
        <v>0</v>
      </c>
      <c r="O97" s="347" t="str">
        <f>VLOOKUP(B97,'26MY_PASSPORT_DATA'!B:AR,18,FALSE)</f>
        <v>•</v>
      </c>
      <c r="P97" s="347" t="str">
        <f>VLOOKUP(B97,'26MY_PASSPORT_DATA'!B:AR,19,FALSE)</f>
        <v>•</v>
      </c>
      <c r="Q97" s="346" t="str">
        <f>IF(VLOOKUP(B97,'26MY_PASSPORT_DATA'!B:AR,20,FALSE)="","",VLOOKUP(B97,'26MY_PASSPORT_DATA'!B:AR,20,FALSE))</f>
        <v/>
      </c>
    </row>
    <row r="98" spans="2:17" s="135" customFormat="1" ht="15" customHeight="1">
      <c r="B98" s="332" t="s">
        <v>248</v>
      </c>
      <c r="C98" s="175" t="str">
        <f>VLOOKUP(B98,'26MY_PASSPORT_DATA'!B:AR,3,FALSE)</f>
        <v>Cargo Net</v>
      </c>
      <c r="D98" s="79" t="str">
        <f t="shared" ref="D98:D103" si="29">B98</f>
        <v>08L96-3BM-300</v>
      </c>
      <c r="E98" s="343">
        <f>VLOOKUP(B98,'26MY_PASSPORT_DATA'!B:AR,9,FALSE)</f>
        <v>60</v>
      </c>
      <c r="F98" s="343">
        <f>VLOOKUP(B98,'26MY_PASSPORT_DATA'!B:AR,10,FALSE)</f>
        <v>100</v>
      </c>
      <c r="G98" s="344">
        <f>VLOOKUP(B98,'26MY_PASSPORT_DATA'!B:AR,7,FALSE)</f>
        <v>0.1</v>
      </c>
      <c r="H98" s="345">
        <f>VLOOKUP(B98,'26MY_PASSPORT_DATA'!B:AR,11,FALSE)</f>
        <v>117.1</v>
      </c>
      <c r="I98" s="347">
        <f>VLOOKUP($B98,'26MY_PASSPORT_DATA'!$B:$AR,12,FALSE)</f>
        <v>0</v>
      </c>
      <c r="J98" s="347">
        <f>VLOOKUP($B98,'26MY_PASSPORT_DATA'!$B:$AR,13,FALSE)</f>
        <v>0</v>
      </c>
      <c r="K98" s="347" t="str">
        <f>VLOOKUP(B98,'26MY_PASSPORT_DATA'!B:AR,14,FALSE)</f>
        <v>•</v>
      </c>
      <c r="L98" s="347" t="str">
        <f>VLOOKUP(B98,'26MY_PASSPORT_DATA'!B:AR,15,FALSE)</f>
        <v>•</v>
      </c>
      <c r="M98" s="347">
        <f>VLOOKUP($B98,'26MY_PASSPORT_DATA'!$B:$AR,16,FALSE)</f>
        <v>0</v>
      </c>
      <c r="N98" s="347">
        <f>VLOOKUP(B98,'26MY_PASSPORT_DATA'!B:AR,17,FALSE)</f>
        <v>0</v>
      </c>
      <c r="O98" s="347" t="str">
        <f>VLOOKUP(B98,'26MY_PASSPORT_DATA'!B:AR,18,FALSE)</f>
        <v>•</v>
      </c>
      <c r="P98" s="347" t="str">
        <f>VLOOKUP(B98,'26MY_PASSPORT_DATA'!B:AR,19,FALSE)</f>
        <v>•</v>
      </c>
      <c r="Q98" s="346" t="str">
        <f>IF(VLOOKUP(B98,'26MY_PASSPORT_DATA'!B:AR,20,FALSE)="","",VLOOKUP(B98,'26MY_PASSPORT_DATA'!B:AR,20,FALSE))</f>
        <v/>
      </c>
    </row>
    <row r="99" spans="2:17" s="135" customFormat="1" ht="15" customHeight="1">
      <c r="B99" s="332" t="s">
        <v>265</v>
      </c>
      <c r="C99" s="175" t="str">
        <f>VLOOKUP(B99,'26MY_PASSPORT_DATA'!B:AR,3,FALSE)</f>
        <v>Cargo Shelf / Table</v>
      </c>
      <c r="D99" s="79" t="str">
        <f t="shared" si="29"/>
        <v>08Z05-3BM-100</v>
      </c>
      <c r="E99" s="343">
        <f>VLOOKUP(B99,'26MY_PASSPORT_DATA'!B:AR,9,FALSE)</f>
        <v>590</v>
      </c>
      <c r="F99" s="343">
        <f>VLOOKUP(B99,'26MY_PASSPORT_DATA'!B:AR,10,FALSE)</f>
        <v>983</v>
      </c>
      <c r="G99" s="344">
        <f>VLOOKUP(B99,'26MY_PASSPORT_DATA'!B:AR,7,FALSE)</f>
        <v>0.5</v>
      </c>
      <c r="H99" s="345">
        <f>VLOOKUP(B99,'26MY_PASSPORT_DATA'!B:AR,11,FALSE)</f>
        <v>1068.5</v>
      </c>
      <c r="I99" s="347">
        <f>VLOOKUP($B99,'26MY_PASSPORT_DATA'!$B:$AR,12,FALSE)</f>
        <v>0</v>
      </c>
      <c r="J99" s="347">
        <f>VLOOKUP($B99,'26MY_PASSPORT_DATA'!$B:$AR,13,FALSE)</f>
        <v>0</v>
      </c>
      <c r="K99" s="347" t="str">
        <f>VLOOKUP(B99,'26MY_PASSPORT_DATA'!B:AR,14,FALSE)</f>
        <v>•</v>
      </c>
      <c r="L99" s="347" t="str">
        <f>VLOOKUP(B99,'26MY_PASSPORT_DATA'!B:AR,15,FALSE)</f>
        <v>•</v>
      </c>
      <c r="M99" s="347">
        <f>VLOOKUP($B99,'26MY_PASSPORT_DATA'!$B:$AR,16,FALSE)</f>
        <v>0</v>
      </c>
      <c r="N99" s="347">
        <f>VLOOKUP(B99,'26MY_PASSPORT_DATA'!B:AR,17,FALSE)</f>
        <v>0</v>
      </c>
      <c r="O99" s="347" t="str">
        <f>VLOOKUP(B99,'26MY_PASSPORT_DATA'!B:AR,18,FALSE)</f>
        <v>•</v>
      </c>
      <c r="P99" s="347" t="str">
        <f>VLOOKUP(B99,'26MY_PASSPORT_DATA'!B:AR,19,FALSE)</f>
        <v>•</v>
      </c>
      <c r="Q99" s="346" t="str">
        <f>IF(VLOOKUP(B99,'26MY_PASSPORT_DATA'!B:AR,20,FALSE)="","",VLOOKUP(B99,'26MY_PASSPORT_DATA'!B:AR,20,FALSE))</f>
        <v>Cannot be used in conjunction with Cargo Cover.</v>
      </c>
    </row>
    <row r="100" spans="2:17" s="135" customFormat="1" ht="15" customHeight="1">
      <c r="B100" s="332" t="s">
        <v>238</v>
      </c>
      <c r="C100" s="175" t="str">
        <f>VLOOKUP(B100,'26MY_PASSPORT_DATA'!B:AR,3,FALSE)</f>
        <v>Door Sill Protection Film</v>
      </c>
      <c r="D100" s="79" t="str">
        <f t="shared" si="29"/>
        <v>08P04-3BM-100</v>
      </c>
      <c r="E100" s="343">
        <f>VLOOKUP(B100,'26MY_PASSPORT_DATA'!B:AR,9,FALSE)</f>
        <v>118</v>
      </c>
      <c r="F100" s="343">
        <f>VLOOKUP(B100,'26MY_PASSPORT_DATA'!B:AR,10,FALSE)</f>
        <v>197</v>
      </c>
      <c r="G100" s="344">
        <f>VLOOKUP(B100,'26MY_PASSPORT_DATA'!B:AR,7,FALSE)</f>
        <v>0.4</v>
      </c>
      <c r="H100" s="345">
        <f>VLOOKUP(B100,'26MY_PASSPORT_DATA'!B:AR,11,FALSE)</f>
        <v>265.39999999999998</v>
      </c>
      <c r="I100" s="347">
        <f>VLOOKUP($B100,'26MY_PASSPORT_DATA'!$B:$AR,12,FALSE)</f>
        <v>0</v>
      </c>
      <c r="J100" s="347">
        <f>VLOOKUP($B100,'26MY_PASSPORT_DATA'!$B:$AR,13,FALSE)</f>
        <v>0</v>
      </c>
      <c r="K100" s="347" t="str">
        <f>VLOOKUP(B100,'26MY_PASSPORT_DATA'!B:AR,14,FALSE)</f>
        <v>•</v>
      </c>
      <c r="L100" s="347" t="str">
        <f>VLOOKUP(B100,'26MY_PASSPORT_DATA'!B:AR,15,FALSE)</f>
        <v>•</v>
      </c>
      <c r="M100" s="347">
        <f>VLOOKUP($B100,'26MY_PASSPORT_DATA'!$B:$AR,16,FALSE)</f>
        <v>0</v>
      </c>
      <c r="N100" s="347">
        <f>VLOOKUP(B100,'26MY_PASSPORT_DATA'!B:AR,17,FALSE)</f>
        <v>0</v>
      </c>
      <c r="O100" s="347" t="str">
        <f>VLOOKUP(B100,'26MY_PASSPORT_DATA'!B:AR,18,FALSE)</f>
        <v>•</v>
      </c>
      <c r="P100" s="347" t="str">
        <f>VLOOKUP(B100,'26MY_PASSPORT_DATA'!B:AR,19,FALSE)</f>
        <v>•</v>
      </c>
      <c r="Q100" s="346" t="str">
        <f>IF(VLOOKUP(B100,'26MY_PASSPORT_DATA'!B:AR,20,FALSE)="","",VLOOKUP(B100,'26MY_PASSPORT_DATA'!B:AR,20,FALSE))</f>
        <v/>
      </c>
    </row>
    <row r="101" spans="2:17" s="135" customFormat="1" ht="15" customHeight="1">
      <c r="B101" s="332" t="s">
        <v>271</v>
      </c>
      <c r="C101" s="175" t="str">
        <f>VLOOKUP(B101,'26MY_PASSPORT_DATA'!B:AR,3,FALSE)</f>
        <v>Soft Cargo Organizer</v>
      </c>
      <c r="D101" s="79" t="str">
        <f t="shared" si="29"/>
        <v>08U20-S9V-101</v>
      </c>
      <c r="E101" s="343">
        <f>VLOOKUP(B101,'26MY_PASSPORT_DATA'!B:AR,9,FALSE)</f>
        <v>89</v>
      </c>
      <c r="F101" s="343">
        <f>VLOOKUP(B101,'26MY_PASSPORT_DATA'!B:AR,10,FALSE)</f>
        <v>148</v>
      </c>
      <c r="G101" s="344">
        <f>VLOOKUP(B101,'26MY_PASSPORT_DATA'!B:AR,7,FALSE)</f>
        <v>0</v>
      </c>
      <c r="H101" s="345">
        <f>VLOOKUP(B101,'26MY_PASSPORT_DATA'!B:AR,11,FALSE)</f>
        <v>148</v>
      </c>
      <c r="I101" s="347">
        <f>VLOOKUP($B101,'26MY_PASSPORT_DATA'!$B:$AR,12,FALSE)</f>
        <v>0</v>
      </c>
      <c r="J101" s="347">
        <f>VLOOKUP($B101,'26MY_PASSPORT_DATA'!$B:$AR,13,FALSE)</f>
        <v>0</v>
      </c>
      <c r="K101" s="347" t="str">
        <f>VLOOKUP(B101,'26MY_PASSPORT_DATA'!B:AR,14,FALSE)</f>
        <v>•</v>
      </c>
      <c r="L101" s="347" t="str">
        <f>VLOOKUP(B101,'26MY_PASSPORT_DATA'!B:AR,15,FALSE)</f>
        <v>•</v>
      </c>
      <c r="M101" s="347">
        <f>VLOOKUP($B101,'26MY_PASSPORT_DATA'!$B:$AR,16,FALSE)</f>
        <v>0</v>
      </c>
      <c r="N101" s="347">
        <f>VLOOKUP(B101,'26MY_PASSPORT_DATA'!B:AR,17,FALSE)</f>
        <v>0</v>
      </c>
      <c r="O101" s="347" t="str">
        <f>VLOOKUP(B101,'26MY_PASSPORT_DATA'!B:AR,18,FALSE)</f>
        <v>•</v>
      </c>
      <c r="P101" s="347" t="str">
        <f>VLOOKUP(B101,'26MY_PASSPORT_DATA'!B:AR,19,FALSE)</f>
        <v>•</v>
      </c>
      <c r="Q101" s="346" t="str">
        <f>IF(VLOOKUP(B101,'26MY_PASSPORT_DATA'!B:AR,20,FALSE)="","",VLOOKUP(B101,'26MY_PASSPORT_DATA'!B:AR,20,FALSE))</f>
        <v/>
      </c>
    </row>
    <row r="102" spans="2:17" s="135" customFormat="1" ht="15" customHeight="1">
      <c r="B102" s="332" t="s">
        <v>272</v>
      </c>
      <c r="C102" s="175" t="str">
        <f>VLOOKUP(B102,'26MY_PASSPORT_DATA'!B:AR,3,FALSE)</f>
        <v>Ashtray</v>
      </c>
      <c r="D102" s="79" t="str">
        <f t="shared" si="29"/>
        <v>08U25-S5D-106</v>
      </c>
      <c r="E102" s="343">
        <f>VLOOKUP(B102,'26MY_PASSPORT_DATA'!B:AR,9,FALSE)</f>
        <v>41</v>
      </c>
      <c r="F102" s="343">
        <f>VLOOKUP(B102,'26MY_PASSPORT_DATA'!B:AR,10,FALSE)</f>
        <v>68</v>
      </c>
      <c r="G102" s="344">
        <f>VLOOKUP(B102,'26MY_PASSPORT_DATA'!B:AR,7,FALSE)</f>
        <v>0</v>
      </c>
      <c r="H102" s="345">
        <f>VLOOKUP(B102,'26MY_PASSPORT_DATA'!B:AR,11,FALSE)</f>
        <v>68</v>
      </c>
      <c r="I102" s="347">
        <f>VLOOKUP($B102,'26MY_PASSPORT_DATA'!$B:$AR,12,FALSE)</f>
        <v>0</v>
      </c>
      <c r="J102" s="347">
        <f>VLOOKUP($B102,'26MY_PASSPORT_DATA'!$B:$AR,13,FALSE)</f>
        <v>0</v>
      </c>
      <c r="K102" s="347" t="str">
        <f>VLOOKUP(B102,'26MY_PASSPORT_DATA'!B:AR,14,FALSE)</f>
        <v>•</v>
      </c>
      <c r="L102" s="347" t="str">
        <f>VLOOKUP(B102,'26MY_PASSPORT_DATA'!B:AR,15,FALSE)</f>
        <v>•</v>
      </c>
      <c r="M102" s="347">
        <f>VLOOKUP($B102,'26MY_PASSPORT_DATA'!$B:$AR,16,FALSE)</f>
        <v>0</v>
      </c>
      <c r="N102" s="347">
        <f>VLOOKUP(B102,'26MY_PASSPORT_DATA'!B:AR,17,FALSE)</f>
        <v>0</v>
      </c>
      <c r="O102" s="347" t="str">
        <f>VLOOKUP(B102,'26MY_PASSPORT_DATA'!B:AR,18,FALSE)</f>
        <v>•</v>
      </c>
      <c r="P102" s="347" t="str">
        <f>VLOOKUP(B102,'26MY_PASSPORT_DATA'!B:AR,19,FALSE)</f>
        <v>•</v>
      </c>
      <c r="Q102" s="346" t="str">
        <f>IF(VLOOKUP(B102,'26MY_PASSPORT_DATA'!B:AR,20,FALSE)="","",VLOOKUP(B102,'26MY_PASSPORT_DATA'!B:AR,20,FALSE))</f>
        <v/>
      </c>
    </row>
    <row r="103" spans="2:17" s="135" customFormat="1" ht="15" customHeight="1">
      <c r="B103" s="332" t="s">
        <v>280</v>
      </c>
      <c r="C103" s="175" t="str">
        <f>VLOOKUP(B103,'26MY_PASSPORT_DATA'!B:AR,3,FALSE)</f>
        <v>Tool Organizer</v>
      </c>
      <c r="D103" s="79" t="str">
        <f t="shared" si="29"/>
        <v>08U08-3BM-100</v>
      </c>
      <c r="E103" s="343">
        <f>VLOOKUP(B103,'26MY_PASSPORT_DATA'!B:AR,9,FALSE)</f>
        <v>108</v>
      </c>
      <c r="F103" s="343">
        <f>VLOOKUP(B103,'26MY_PASSPORT_DATA'!B:AR,10,FALSE)</f>
        <v>180</v>
      </c>
      <c r="G103" s="344">
        <f>VLOOKUP(B103,'26MY_PASSPORT_DATA'!B:AR,7,FALSE)</f>
        <v>0</v>
      </c>
      <c r="H103" s="345">
        <f>VLOOKUP(B103,'26MY_PASSPORT_DATA'!B:AR,11,FALSE)</f>
        <v>180</v>
      </c>
      <c r="I103" s="347">
        <f>VLOOKUP($B103,'26MY_PASSPORT_DATA'!$B:$AR,12,FALSE)</f>
        <v>0</v>
      </c>
      <c r="J103" s="347">
        <f>VLOOKUP($B103,'26MY_PASSPORT_DATA'!$B:$AR,13,FALSE)</f>
        <v>0</v>
      </c>
      <c r="K103" s="347" t="str">
        <f>VLOOKUP(B103,'26MY_PASSPORT_DATA'!B:AR,14,FALSE)</f>
        <v>•</v>
      </c>
      <c r="L103" s="347" t="str">
        <f>VLOOKUP(B103,'26MY_PASSPORT_DATA'!B:AR,15,FALSE)</f>
        <v>•</v>
      </c>
      <c r="M103" s="347">
        <f>VLOOKUP($B103,'26MY_PASSPORT_DATA'!$B:$AR,16,FALSE)</f>
        <v>0</v>
      </c>
      <c r="N103" s="347">
        <f>VLOOKUP(B103,'26MY_PASSPORT_DATA'!B:AR,17,FALSE)</f>
        <v>0</v>
      </c>
      <c r="O103" s="347" t="str">
        <f>VLOOKUP(B103,'26MY_PASSPORT_DATA'!B:AR,18,FALSE)</f>
        <v>•</v>
      </c>
      <c r="P103" s="347" t="str">
        <f>VLOOKUP(B103,'26MY_PASSPORT_DATA'!B:AR,19,FALSE)</f>
        <v>•</v>
      </c>
      <c r="Q103" s="346" t="str">
        <f>IF(VLOOKUP(B103,'26MY_PASSPORT_DATA'!B:AR,20,FALSE)="","",VLOOKUP(B103,'26MY_PASSPORT_DATA'!B:AR,20,FALSE))</f>
        <v/>
      </c>
    </row>
    <row r="104" spans="2:17" s="135" customFormat="1" ht="12" customHeight="1">
      <c r="B104" s="332"/>
      <c r="C104" s="19"/>
      <c r="D104" s="27"/>
      <c r="E104" s="21"/>
      <c r="F104" s="21"/>
      <c r="G104" s="22"/>
      <c r="H104" s="23"/>
      <c r="I104" s="24"/>
      <c r="J104" s="24"/>
      <c r="K104" s="24"/>
      <c r="L104" s="24"/>
      <c r="M104" s="24"/>
      <c r="N104" s="24"/>
      <c r="O104" s="24"/>
      <c r="P104" s="24"/>
      <c r="Q104" s="25"/>
    </row>
    <row r="105" spans="2:17" s="133" customFormat="1" ht="18">
      <c r="B105" s="333"/>
      <c r="C105" s="152" t="s">
        <v>60</v>
      </c>
      <c r="D105" s="152"/>
      <c r="E105" s="48"/>
      <c r="F105" s="49"/>
      <c r="G105" s="49"/>
      <c r="H105" s="49"/>
      <c r="I105" s="49"/>
      <c r="J105" s="49"/>
      <c r="K105" s="49"/>
      <c r="L105" s="49"/>
      <c r="M105" s="49"/>
      <c r="N105" s="49"/>
      <c r="O105" s="49"/>
      <c r="P105" s="49"/>
      <c r="Q105" s="49"/>
    </row>
    <row r="106" spans="2:17" s="134" customFormat="1" ht="15" customHeight="1">
      <c r="B106" s="332"/>
      <c r="C106" s="387" t="s">
        <v>55</v>
      </c>
      <c r="D106" s="387" t="s">
        <v>10</v>
      </c>
      <c r="E106" s="387" t="s">
        <v>17</v>
      </c>
      <c r="F106" s="387" t="s">
        <v>11</v>
      </c>
      <c r="G106" s="387" t="s">
        <v>12</v>
      </c>
      <c r="H106" s="388" t="s">
        <v>13</v>
      </c>
      <c r="I106" s="387" t="s">
        <v>23</v>
      </c>
      <c r="J106" s="387"/>
      <c r="K106" s="387"/>
      <c r="L106" s="387"/>
      <c r="M106" s="387"/>
      <c r="N106" s="387"/>
      <c r="O106" s="387"/>
      <c r="P106" s="387"/>
      <c r="Q106" s="387" t="s">
        <v>14</v>
      </c>
    </row>
    <row r="107" spans="2:17" s="134" customFormat="1" ht="43.2">
      <c r="B107" s="332"/>
      <c r="C107" s="387"/>
      <c r="D107" s="387"/>
      <c r="E107" s="387"/>
      <c r="F107" s="387"/>
      <c r="G107" s="387"/>
      <c r="H107" s="388"/>
      <c r="I107" s="174">
        <f>'26MY_PASSPORT_DATA'!$M$7</f>
        <v>0</v>
      </c>
      <c r="J107" s="174">
        <f>'26MY_PASSPORT_DATA'!$M$7</f>
        <v>0</v>
      </c>
      <c r="K107" s="174" t="str">
        <f>'26MY_PASSPORT_DATA'!$O$7</f>
        <v>TrailSport</v>
      </c>
      <c r="L107" s="174" t="str">
        <f>'26MY_PASSPORT_DATA'!$P$7</f>
        <v>TrailSport Blackout</v>
      </c>
      <c r="M107" s="174">
        <f>'26MY_PASSPORT_DATA'!$R$7</f>
        <v>0</v>
      </c>
      <c r="N107" s="174">
        <f>'26MY_PASSPORT_DATA'!$R$7</f>
        <v>0</v>
      </c>
      <c r="O107" s="174" t="str">
        <f>'26MY_PASSPORT_DATA'!$S$7</f>
        <v>TrailSport Touring</v>
      </c>
      <c r="P107" s="174" t="str">
        <f>'26MY_PASSPORT_DATA'!$T$7</f>
        <v>Trailsport Touring Blackout</v>
      </c>
      <c r="Q107" s="387"/>
    </row>
    <row r="108" spans="2:17" s="135" customFormat="1" ht="14.4">
      <c r="B108" s="332" t="s">
        <v>251</v>
      </c>
      <c r="C108" s="175" t="str">
        <f>VLOOKUP(B108,'26MY_PASSPORT_DATA'!B:AR,3,FALSE)</f>
        <v>Cargo Light</v>
      </c>
      <c r="D108" s="79" t="str">
        <f t="shared" ref="D108" si="30">B108</f>
        <v>08V30-3BM-300</v>
      </c>
      <c r="E108" s="343">
        <f>VLOOKUP(B108,'26MY_PASSPORT_DATA'!B:AR,9,FALSE)</f>
        <v>86</v>
      </c>
      <c r="F108" s="343">
        <f>VLOOKUP(B108,'26MY_PASSPORT_DATA'!B:AR,10,FALSE)</f>
        <v>143</v>
      </c>
      <c r="G108" s="344">
        <f>VLOOKUP(B108,'26MY_PASSPORT_DATA'!B:AR,7,FALSE)</f>
        <v>0.1</v>
      </c>
      <c r="H108" s="345">
        <f>VLOOKUP(B108,'26MY_PASSPORT_DATA'!B:AR,11,FALSE)</f>
        <v>160.1</v>
      </c>
      <c r="I108" s="347">
        <f>VLOOKUP($B108,'26MY_PASSPORT_DATA'!$B:$AR,12,FALSE)</f>
        <v>0</v>
      </c>
      <c r="J108" s="347">
        <f>VLOOKUP($B108,'26MY_PASSPORT_DATA'!$B:$AR,13,FALSE)</f>
        <v>0</v>
      </c>
      <c r="K108" s="347" t="str">
        <f>VLOOKUP(B108,'26MY_PASSPORT_DATA'!B:AR,14,FALSE)</f>
        <v>•</v>
      </c>
      <c r="L108" s="347" t="str">
        <f>VLOOKUP(B108,'26MY_PASSPORT_DATA'!B:AR,15,FALSE)</f>
        <v>•</v>
      </c>
      <c r="M108" s="347">
        <f>VLOOKUP($B108,'26MY_PASSPORT_DATA'!$B:$AR,16,FALSE)</f>
        <v>0</v>
      </c>
      <c r="N108" s="347">
        <f>VLOOKUP(B108,'26MY_PASSPORT_DATA'!B:AR,17,FALSE)</f>
        <v>0</v>
      </c>
      <c r="O108" s="347" t="str">
        <f>VLOOKUP(B108,'26MY_PASSPORT_DATA'!B:AR,18,FALSE)</f>
        <v>•</v>
      </c>
      <c r="P108" s="347" t="str">
        <f>VLOOKUP(B108,'26MY_PASSPORT_DATA'!B:AR,19,FALSE)</f>
        <v>•</v>
      </c>
      <c r="Q108" s="346" t="str">
        <f>IF(VLOOKUP(B108,'26MY_PASSPORT_DATA'!B:AR,20,FALSE)="","",VLOOKUP(B108,'26MY_PASSPORT_DATA'!B:AR,20,FALSE))</f>
        <v/>
      </c>
    </row>
    <row r="109" spans="2:17" s="135" customFormat="1" ht="14.4" hidden="1">
      <c r="B109" s="332" t="s">
        <v>282</v>
      </c>
      <c r="C109" s="175" t="e">
        <f>VLOOKUP(B109,'26MY_PASSPORT_DATA'!B:AR,3,FALSE)</f>
        <v>#N/A</v>
      </c>
      <c r="D109" s="79" t="str">
        <f t="shared" ref="D109:D111" si="31">B109</f>
        <v>08V03-3BM-100</v>
      </c>
      <c r="E109" s="343" t="e">
        <f>VLOOKUP(B109,'26MY_PASSPORT_DATA'!B:AR,9,FALSE)</f>
        <v>#N/A</v>
      </c>
      <c r="F109" s="343" t="e">
        <f>VLOOKUP(B109,'26MY_PASSPORT_DATA'!B:AR,10,FALSE)</f>
        <v>#N/A</v>
      </c>
      <c r="G109" s="344" t="e">
        <f>VLOOKUP(B109,'26MY_PASSPORT_DATA'!B:AR,7,FALSE)</f>
        <v>#N/A</v>
      </c>
      <c r="H109" s="345" t="e">
        <f>VLOOKUP(B109,'26MY_PASSPORT_DATA'!B:AR,11,FALSE)</f>
        <v>#N/A</v>
      </c>
      <c r="I109" s="347" t="e">
        <f>VLOOKUP($B109,'26MY_PASSPORT_DATA'!$B:$AR,12,FALSE)</f>
        <v>#N/A</v>
      </c>
      <c r="J109" s="347" t="e">
        <f>VLOOKUP($B109,'26MY_PASSPORT_DATA'!$B:$AR,13,FALSE)</f>
        <v>#N/A</v>
      </c>
      <c r="K109" s="347" t="e">
        <f>VLOOKUP(B109,'26MY_PASSPORT_DATA'!B:AR,14,FALSE)</f>
        <v>#N/A</v>
      </c>
      <c r="L109" s="347" t="e">
        <f>VLOOKUP(B109,'26MY_PASSPORT_DATA'!B:AR,15,FALSE)</f>
        <v>#N/A</v>
      </c>
      <c r="M109" s="347" t="e">
        <f>VLOOKUP($B109,'26MY_PASSPORT_DATA'!$B:$AR,16,FALSE)</f>
        <v>#N/A</v>
      </c>
      <c r="N109" s="347" t="e">
        <f>VLOOKUP(B109,'26MY_PASSPORT_DATA'!B:AR,17,FALSE)</f>
        <v>#N/A</v>
      </c>
      <c r="O109" s="347" t="e">
        <f>VLOOKUP(B109,'26MY_PASSPORT_DATA'!B:AR,18,FALSE)</f>
        <v>#N/A</v>
      </c>
      <c r="P109" s="347" t="e">
        <f>VLOOKUP(B109,'26MY_PASSPORT_DATA'!B:AR,19,FALSE)</f>
        <v>#N/A</v>
      </c>
      <c r="Q109" s="346" t="e">
        <f>IF(VLOOKUP(B109,'26MY_PASSPORT_DATA'!B:AR,20,FALSE)="","",VLOOKUP(B109,'26MY_PASSPORT_DATA'!B:AR,20,FALSE))</f>
        <v>#N/A</v>
      </c>
    </row>
    <row r="110" spans="2:17" s="135" customFormat="1" ht="15" customHeight="1">
      <c r="B110" s="332" t="s">
        <v>531</v>
      </c>
      <c r="C110" s="175" t="str">
        <f>VLOOKUP(B110,'26MY_PASSPORT_DATA'!B:AR,3,FALSE)</f>
        <v>Homelink Rearview Mirror</v>
      </c>
      <c r="D110" s="79" t="str">
        <f>B110</f>
        <v>76400-T90-A01</v>
      </c>
      <c r="E110" s="343">
        <f>VLOOKUP(B110,'26MY_PASSPORT_DATA'!B:AR,9,FALSE)</f>
        <v>353.98</v>
      </c>
      <c r="F110" s="343">
        <f>VLOOKUP(B110,'26MY_PASSPORT_DATA'!B:AR,10,FALSE)</f>
        <v>588.59</v>
      </c>
      <c r="G110" s="344">
        <f>VLOOKUP(B110,'26MY_PASSPORT_DATA'!B:AR,7,FALSE)</f>
        <v>1</v>
      </c>
      <c r="H110" s="345">
        <f>VLOOKUP(B110,'26MY_PASSPORT_DATA'!B:AR,11,FALSE)</f>
        <v>759.59</v>
      </c>
      <c r="I110" s="347">
        <f>VLOOKUP($B110,'26MY_PASSPORT_DATA'!$B:$AR,12,FALSE)</f>
        <v>0</v>
      </c>
      <c r="J110" s="347">
        <f>VLOOKUP($B110,'26MY_PASSPORT_DATA'!$B:$AR,13,FALSE)</f>
        <v>0</v>
      </c>
      <c r="K110" s="347" t="str">
        <f>VLOOKUP(B110,'26MY_PASSPORT_DATA'!B:AR,14,FALSE)</f>
        <v>•</v>
      </c>
      <c r="L110" s="347" t="str">
        <f>VLOOKUP(B110,'26MY_PASSPORT_DATA'!B:AR,15,FALSE)</f>
        <v>•</v>
      </c>
      <c r="M110" s="347">
        <f>VLOOKUP($B110,'26MY_PASSPORT_DATA'!$B:$AR,16,FALSE)</f>
        <v>0</v>
      </c>
      <c r="N110" s="347">
        <f>VLOOKUP(B110,'26MY_PASSPORT_DATA'!B:AR,17,FALSE)</f>
        <v>0</v>
      </c>
      <c r="O110" s="347" t="str">
        <f>VLOOKUP(B110,'26MY_PASSPORT_DATA'!B:AR,18,FALSE)</f>
        <v>•</v>
      </c>
      <c r="P110" s="347" t="str">
        <f>VLOOKUP(B110,'26MY_PASSPORT_DATA'!B:AR,19,FALSE)</f>
        <v>•</v>
      </c>
      <c r="Q110" s="346" t="str">
        <f>IF(VLOOKUP(B110,'26MY_PASSPORT_DATA'!B:AR,20,FALSE)="","",VLOOKUP(B110,'26MY_PASSPORT_DATA'!B:AR,20,FALSE))</f>
        <v/>
      </c>
    </row>
    <row r="111" spans="2:17" s="135" customFormat="1" ht="14.4">
      <c r="B111" s="332" t="s">
        <v>426</v>
      </c>
      <c r="C111" s="175" t="str">
        <f>VLOOKUP(B111,'26MY_PASSPORT_DATA'!B:AR,3,FALSE)</f>
        <v>Engine Block Heater</v>
      </c>
      <c r="D111" s="79" t="str">
        <f t="shared" si="31"/>
        <v>08T44-SNA-302</v>
      </c>
      <c r="E111" s="343">
        <f>VLOOKUP(B111,'26MY_PASSPORT_DATA'!B:AR,9,FALSE)</f>
        <v>149</v>
      </c>
      <c r="F111" s="343">
        <f>VLOOKUP(B111,'26MY_PASSPORT_DATA'!B:AR,10,FALSE)</f>
        <v>248</v>
      </c>
      <c r="G111" s="344">
        <f>VLOOKUP(B111,'26MY_PASSPORT_DATA'!B:AR,7,FALSE)</f>
        <v>1.2</v>
      </c>
      <c r="H111" s="345">
        <f>VLOOKUP(B111,'26MY_PASSPORT_DATA'!B:AR,11,FALSE)</f>
        <v>453.2</v>
      </c>
      <c r="I111" s="347">
        <f>VLOOKUP($B111,'26MY_PASSPORT_DATA'!$B:$AR,12,FALSE)</f>
        <v>0</v>
      </c>
      <c r="J111" s="347">
        <f>VLOOKUP($B111,'26MY_PASSPORT_DATA'!$B:$AR,13,FALSE)</f>
        <v>0</v>
      </c>
      <c r="K111" s="347" t="str">
        <f>VLOOKUP(B111,'26MY_PASSPORT_DATA'!B:AR,14,FALSE)</f>
        <v>•</v>
      </c>
      <c r="L111" s="347" t="str">
        <f>VLOOKUP(B111,'26MY_PASSPORT_DATA'!B:AR,15,FALSE)</f>
        <v>•</v>
      </c>
      <c r="M111" s="347">
        <f>VLOOKUP($B111,'26MY_PASSPORT_DATA'!$B:$AR,16,FALSE)</f>
        <v>0</v>
      </c>
      <c r="N111" s="347">
        <f>VLOOKUP(B111,'26MY_PASSPORT_DATA'!B:AR,17,FALSE)</f>
        <v>0</v>
      </c>
      <c r="O111" s="347" t="str">
        <f>VLOOKUP(B111,'26MY_PASSPORT_DATA'!B:AR,18,FALSE)</f>
        <v>•</v>
      </c>
      <c r="P111" s="347" t="str">
        <f>VLOOKUP(B111,'26MY_PASSPORT_DATA'!B:AR,19,FALSE)</f>
        <v>•</v>
      </c>
      <c r="Q111" s="346" t="str">
        <f>IF(VLOOKUP(B111,'26MY_PASSPORT_DATA'!B:AR,20,FALSE)="","",VLOOKUP(B111,'26MY_PASSPORT_DATA'!B:AR,20,FALSE))</f>
        <v/>
      </c>
    </row>
    <row r="112" spans="2:17" s="135" customFormat="1" ht="14.4">
      <c r="B112" s="332" t="s">
        <v>258</v>
      </c>
      <c r="C112" s="175" t="str">
        <f>VLOOKUP(B112,'26MY_PASSPORT_DATA'!B:AR,3,FALSE)</f>
        <v>Optimate 12V Auto Battery Charger/Maintainer</v>
      </c>
      <c r="D112" s="79" t="str">
        <f t="shared" ref="D112:D113" si="32">B112</f>
        <v>31670-BMS-004H</v>
      </c>
      <c r="E112" s="343">
        <f>VLOOKUP(B112,'26MY_PASSPORT_DATA'!B:AR,9,FALSE)</f>
        <v>94</v>
      </c>
      <c r="F112" s="343">
        <f>VLOOKUP(B112,'26MY_PASSPORT_DATA'!B:AR,10,FALSE)</f>
        <v>157</v>
      </c>
      <c r="G112" s="344">
        <f>VLOOKUP(B112,'26MY_PASSPORT_DATA'!B:AR,7,FALSE)</f>
        <v>0</v>
      </c>
      <c r="H112" s="345">
        <f>VLOOKUP(B112,'26MY_PASSPORT_DATA'!B:AR,11,FALSE)</f>
        <v>157</v>
      </c>
      <c r="I112" s="347">
        <f>VLOOKUP($B112,'26MY_PASSPORT_DATA'!$B:$AR,12,FALSE)</f>
        <v>0</v>
      </c>
      <c r="J112" s="347">
        <f>VLOOKUP($B112,'26MY_PASSPORT_DATA'!$B:$AR,13,FALSE)</f>
        <v>0</v>
      </c>
      <c r="K112" s="347" t="str">
        <f>VLOOKUP(B112,'26MY_PASSPORT_DATA'!B:AR,14,FALSE)</f>
        <v>•</v>
      </c>
      <c r="L112" s="347" t="str">
        <f>VLOOKUP(B112,'26MY_PASSPORT_DATA'!B:AR,15,FALSE)</f>
        <v>•</v>
      </c>
      <c r="M112" s="347">
        <f>VLOOKUP($B112,'26MY_PASSPORT_DATA'!$B:$AR,16,FALSE)</f>
        <v>0</v>
      </c>
      <c r="N112" s="347">
        <f>VLOOKUP(B112,'26MY_PASSPORT_DATA'!B:AR,17,FALSE)</f>
        <v>0</v>
      </c>
      <c r="O112" s="347" t="str">
        <f>VLOOKUP(B112,'26MY_PASSPORT_DATA'!B:AR,18,FALSE)</f>
        <v>•</v>
      </c>
      <c r="P112" s="347" t="str">
        <f>VLOOKUP(B112,'26MY_PASSPORT_DATA'!B:AR,19,FALSE)</f>
        <v>•</v>
      </c>
      <c r="Q112" s="346" t="str">
        <f>IF(VLOOKUP(B112,'26MY_PASSPORT_DATA'!B:AR,20,FALSE)="","",VLOOKUP(B112,'26MY_PASSPORT_DATA'!B:AR,20,FALSE))</f>
        <v/>
      </c>
    </row>
    <row r="113" spans="2:20" s="135" customFormat="1" ht="14.4">
      <c r="B113" s="332" t="s">
        <v>262</v>
      </c>
      <c r="C113" s="175" t="str">
        <f>VLOOKUP(B113,'26MY_PASSPORT_DATA'!B:AR,3,FALSE)</f>
        <v>Optimate Battery Lead</v>
      </c>
      <c r="D113" s="79" t="str">
        <f t="shared" si="32"/>
        <v>31670-BMS-LEAD</v>
      </c>
      <c r="E113" s="343">
        <f>VLOOKUP(B113,'26MY_PASSPORT_DATA'!B:AR,9,FALSE)</f>
        <v>20</v>
      </c>
      <c r="F113" s="343">
        <f>VLOOKUP(B113,'26MY_PASSPORT_DATA'!B:AR,10,FALSE)</f>
        <v>28</v>
      </c>
      <c r="G113" s="344">
        <f>VLOOKUP(B113,'26MY_PASSPORT_DATA'!B:AR,7,FALSE)</f>
        <v>0</v>
      </c>
      <c r="H113" s="345">
        <f>VLOOKUP(B113,'26MY_PASSPORT_DATA'!B:AR,11,FALSE)</f>
        <v>28</v>
      </c>
      <c r="I113" s="347">
        <f>VLOOKUP($B113,'26MY_PASSPORT_DATA'!$B:$AR,12,FALSE)</f>
        <v>0</v>
      </c>
      <c r="J113" s="347">
        <f>VLOOKUP($B113,'26MY_PASSPORT_DATA'!$B:$AR,13,FALSE)</f>
        <v>0</v>
      </c>
      <c r="K113" s="347" t="str">
        <f>VLOOKUP(B113,'26MY_PASSPORT_DATA'!B:AR,14,FALSE)</f>
        <v>•</v>
      </c>
      <c r="L113" s="347" t="str">
        <f>VLOOKUP(B113,'26MY_PASSPORT_DATA'!B:AR,15,FALSE)</f>
        <v>•</v>
      </c>
      <c r="M113" s="347">
        <f>VLOOKUP($B113,'26MY_PASSPORT_DATA'!$B:$AR,16,FALSE)</f>
        <v>0</v>
      </c>
      <c r="N113" s="347">
        <f>VLOOKUP(B113,'26MY_PASSPORT_DATA'!B:AR,17,FALSE)</f>
        <v>0</v>
      </c>
      <c r="O113" s="347" t="str">
        <f>VLOOKUP(B113,'26MY_PASSPORT_DATA'!B:AR,18,FALSE)</f>
        <v>•</v>
      </c>
      <c r="P113" s="347" t="str">
        <f>VLOOKUP(B113,'26MY_PASSPORT_DATA'!B:AR,19,FALSE)</f>
        <v>•</v>
      </c>
      <c r="Q113" s="346" t="str">
        <f>IF(VLOOKUP(B113,'26MY_PASSPORT_DATA'!B:AR,20,FALSE)="","",VLOOKUP(B113,'26MY_PASSPORT_DATA'!B:AR,20,FALSE))</f>
        <v/>
      </c>
    </row>
    <row r="114" spans="2:20" s="135" customFormat="1" ht="15" customHeight="1">
      <c r="B114" s="332"/>
      <c r="C114" s="136"/>
      <c r="D114" s="200"/>
      <c r="E114" s="132"/>
      <c r="F114" s="132"/>
      <c r="G114" s="201"/>
      <c r="H114" s="132"/>
      <c r="I114" s="132"/>
      <c r="J114" s="132"/>
      <c r="K114" s="132"/>
      <c r="L114" s="132"/>
      <c r="M114" s="132"/>
      <c r="N114" s="132"/>
      <c r="O114" s="132"/>
      <c r="P114" s="132"/>
      <c r="Q114" s="132"/>
    </row>
    <row r="115" spans="2:20" s="133" customFormat="1" ht="18">
      <c r="B115" s="332"/>
      <c r="C115" s="152" t="s">
        <v>59</v>
      </c>
      <c r="D115" s="152"/>
      <c r="E115" s="143"/>
      <c r="F115" s="143"/>
      <c r="G115" s="143"/>
      <c r="H115" s="143"/>
      <c r="I115" s="143"/>
      <c r="J115" s="143"/>
      <c r="K115" s="143"/>
      <c r="L115" s="143"/>
      <c r="M115" s="143"/>
      <c r="N115" s="143"/>
      <c r="O115" s="143"/>
      <c r="P115" s="143"/>
      <c r="Q115" s="143"/>
      <c r="T115" s="135"/>
    </row>
    <row r="116" spans="2:20" s="134" customFormat="1" ht="15" customHeight="1">
      <c r="B116" s="332"/>
      <c r="C116" s="387" t="s">
        <v>55</v>
      </c>
      <c r="D116" s="387" t="s">
        <v>10</v>
      </c>
      <c r="E116" s="387" t="s">
        <v>17</v>
      </c>
      <c r="F116" s="387" t="s">
        <v>11</v>
      </c>
      <c r="G116" s="387" t="s">
        <v>12</v>
      </c>
      <c r="H116" s="388" t="s">
        <v>13</v>
      </c>
      <c r="I116" s="387" t="s">
        <v>23</v>
      </c>
      <c r="J116" s="387"/>
      <c r="K116" s="387"/>
      <c r="L116" s="387"/>
      <c r="M116" s="387"/>
      <c r="N116" s="387"/>
      <c r="O116" s="387"/>
      <c r="P116" s="387"/>
      <c r="Q116" s="387" t="s">
        <v>14</v>
      </c>
      <c r="T116" s="133"/>
    </row>
    <row r="117" spans="2:20" s="134" customFormat="1" ht="43.2">
      <c r="B117" s="332"/>
      <c r="C117" s="387"/>
      <c r="D117" s="387"/>
      <c r="E117" s="387"/>
      <c r="F117" s="387"/>
      <c r="G117" s="387"/>
      <c r="H117" s="388"/>
      <c r="I117" s="174">
        <f>'26MY_PASSPORT_DATA'!$M$7</f>
        <v>0</v>
      </c>
      <c r="J117" s="174">
        <f>'26MY_PASSPORT_DATA'!$M$7</f>
        <v>0</v>
      </c>
      <c r="K117" s="174" t="str">
        <f>'26MY_PASSPORT_DATA'!$O$7</f>
        <v>TrailSport</v>
      </c>
      <c r="L117" s="174" t="str">
        <f>'26MY_PASSPORT_DATA'!$P$7</f>
        <v>TrailSport Blackout</v>
      </c>
      <c r="M117" s="174">
        <f>'26MY_PASSPORT_DATA'!$R$7</f>
        <v>0</v>
      </c>
      <c r="N117" s="174">
        <f>'26MY_PASSPORT_DATA'!$R$7</f>
        <v>0</v>
      </c>
      <c r="O117" s="174" t="str">
        <f>'26MY_PASSPORT_DATA'!$S$7</f>
        <v>TrailSport Touring</v>
      </c>
      <c r="P117" s="174" t="str">
        <f>'26MY_PASSPORT_DATA'!$T$7</f>
        <v>Trailsport Touring Blackout</v>
      </c>
      <c r="Q117" s="387"/>
    </row>
    <row r="118" spans="2:20" s="135" customFormat="1" ht="15" customHeight="1">
      <c r="B118" s="332" t="s">
        <v>160</v>
      </c>
      <c r="C118" s="175" t="str">
        <f>VLOOKUP(B118,'26MY_PASSPORT_DATA'!B:AR,3,FALSE)</f>
        <v>Platinum White Pearl (NH-883P)</v>
      </c>
      <c r="D118" s="79" t="str">
        <f t="shared" ref="D118" si="33">B118</f>
        <v>TUCH-NH883P-A1</v>
      </c>
      <c r="E118" s="378">
        <f>VLOOKUP(B118,'26MY_PASSPORT_DATA'!B:AR,9,FALSE)</f>
        <v>13.25</v>
      </c>
      <c r="F118" s="378">
        <f>VLOOKUP(B118,'26MY_PASSPORT_DATA'!B:AR,10,FALSE)</f>
        <v>22</v>
      </c>
      <c r="G118" s="381">
        <f>VLOOKUP(B118,'26MY_PASSPORT_DATA'!B:AR,7,FALSE)</f>
        <v>0</v>
      </c>
      <c r="H118" s="384">
        <f>VLOOKUP(B118,'26MY_PASSPORT_DATA'!B:AR,11,FALSE)</f>
        <v>22</v>
      </c>
      <c r="I118" s="347">
        <f>VLOOKUP($B118,'26MY_PASSPORT_DATA'!$B:$AR,12,FALSE)</f>
        <v>0</v>
      </c>
      <c r="J118" s="347">
        <f>VLOOKUP($B118,'26MY_PASSPORT_DATA'!$B:$AR,13,FALSE)</f>
        <v>0</v>
      </c>
      <c r="K118" s="347" t="str">
        <f>VLOOKUP(B118,'26MY_PASSPORT_DATA'!B:AR,14,FALSE)</f>
        <v>•</v>
      </c>
      <c r="L118" s="347" t="str">
        <f>VLOOKUP(B118,'26MY_PASSPORT_DATA'!B:AR,15,FALSE)</f>
        <v>•</v>
      </c>
      <c r="M118" s="347">
        <f>VLOOKUP($B118,'26MY_PASSPORT_DATA'!$B:$AR,16,FALSE)</f>
        <v>0</v>
      </c>
      <c r="N118" s="347">
        <f>VLOOKUP(B118,'26MY_PASSPORT_DATA'!B:AR,17,FALSE)</f>
        <v>0</v>
      </c>
      <c r="O118" s="347" t="str">
        <f>VLOOKUP(B118,'26MY_PASSPORT_DATA'!B:AR,18,FALSE)</f>
        <v>•</v>
      </c>
      <c r="P118" s="347" t="str">
        <f>VLOOKUP(B118,'26MY_PASSPORT_DATA'!B:AR,19,FALSE)</f>
        <v>•</v>
      </c>
      <c r="Q118" s="346" t="str">
        <f>IF(VLOOKUP(B118,'26MY_PASSPORT_DATA'!B:AR,20,FALSE)="","",VLOOKUP(B118,'26MY_PASSPORT_DATA'!B:AR,20,FALSE))</f>
        <v/>
      </c>
      <c r="T118" s="134"/>
    </row>
    <row r="119" spans="2:20" s="135" customFormat="1" ht="15" customHeight="1">
      <c r="B119" s="332" t="s">
        <v>213</v>
      </c>
      <c r="C119" s="175" t="str">
        <f>VLOOKUP(B119,'26MY_PASSPORT_DATA'!B:AR,3,FALSE)</f>
        <v>Modern Steel Metallic (NH-797M)</v>
      </c>
      <c r="D119" s="79" t="str">
        <f t="shared" ref="D119:D123" si="34">B119</f>
        <v>TUCH-NH797M-A1</v>
      </c>
      <c r="E119" s="379"/>
      <c r="F119" s="379"/>
      <c r="G119" s="382"/>
      <c r="H119" s="385"/>
      <c r="I119" s="347">
        <f>VLOOKUP($B119,'26MY_PASSPORT_DATA'!$B:$AR,12,FALSE)</f>
        <v>0</v>
      </c>
      <c r="J119" s="347">
        <f>VLOOKUP($B119,'26MY_PASSPORT_DATA'!$B:$AR,13,FALSE)</f>
        <v>0</v>
      </c>
      <c r="K119" s="347" t="str">
        <f>VLOOKUP(B119,'26MY_PASSPORT_DATA'!B:AR,14,FALSE)</f>
        <v>•</v>
      </c>
      <c r="L119" s="347" t="str">
        <f>VLOOKUP(B119,'26MY_PASSPORT_DATA'!B:AR,15,FALSE)</f>
        <v>N/A</v>
      </c>
      <c r="M119" s="347">
        <f>VLOOKUP($B119,'26MY_PASSPORT_DATA'!$B:$AR,16,FALSE)</f>
        <v>0</v>
      </c>
      <c r="N119" s="347">
        <f>VLOOKUP(B119,'26MY_PASSPORT_DATA'!B:AR,17,FALSE)</f>
        <v>0</v>
      </c>
      <c r="O119" s="347" t="str">
        <f>VLOOKUP(B119,'26MY_PASSPORT_DATA'!B:AR,18,FALSE)</f>
        <v>•</v>
      </c>
      <c r="P119" s="347" t="str">
        <f>VLOOKUP(B119,'26MY_PASSPORT_DATA'!B:AR,19,FALSE)</f>
        <v>N/A</v>
      </c>
      <c r="Q119" s="346" t="str">
        <f>IF(VLOOKUP(B119,'26MY_PASSPORT_DATA'!B:AR,20,FALSE)="","",VLOOKUP(B119,'26MY_PASSPORT_DATA'!B:AR,20,FALSE))</f>
        <v/>
      </c>
    </row>
    <row r="120" spans="2:20" s="135" customFormat="1" ht="15" customHeight="1">
      <c r="B120" s="332" t="s">
        <v>216</v>
      </c>
      <c r="C120" s="175" t="str">
        <f>VLOOKUP(B120,'26MY_PASSPORT_DATA'!B:AR,3,FALSE)</f>
        <v>Crystal Black Pearl (NH-731P)</v>
      </c>
      <c r="D120" s="79" t="str">
        <f t="shared" si="34"/>
        <v>TUCH-NH731P-A1</v>
      </c>
      <c r="E120" s="379"/>
      <c r="F120" s="379"/>
      <c r="G120" s="382"/>
      <c r="H120" s="385"/>
      <c r="I120" s="347">
        <f>VLOOKUP($B120,'26MY_PASSPORT_DATA'!$B:$AR,12,FALSE)</f>
        <v>0</v>
      </c>
      <c r="J120" s="347">
        <f>VLOOKUP($B120,'26MY_PASSPORT_DATA'!$B:$AR,13,FALSE)</f>
        <v>0</v>
      </c>
      <c r="K120" s="347" t="str">
        <f>VLOOKUP(B120,'26MY_PASSPORT_DATA'!B:AR,14,FALSE)</f>
        <v>•</v>
      </c>
      <c r="L120" s="347" t="str">
        <f>VLOOKUP(B120,'26MY_PASSPORT_DATA'!B:AR,15,FALSE)</f>
        <v>•</v>
      </c>
      <c r="M120" s="347">
        <f>VLOOKUP($B120,'26MY_PASSPORT_DATA'!$B:$AR,16,FALSE)</f>
        <v>0</v>
      </c>
      <c r="N120" s="347">
        <f>VLOOKUP(B120,'26MY_PASSPORT_DATA'!B:AR,17,FALSE)</f>
        <v>0</v>
      </c>
      <c r="O120" s="347" t="str">
        <f>VLOOKUP(B120,'26MY_PASSPORT_DATA'!B:AR,18,FALSE)</f>
        <v>•</v>
      </c>
      <c r="P120" s="347" t="str">
        <f>VLOOKUP(B120,'26MY_PASSPORT_DATA'!B:AR,19,FALSE)</f>
        <v>•</v>
      </c>
      <c r="Q120" s="346" t="str">
        <f>IF(VLOOKUP(B120,'26MY_PASSPORT_DATA'!B:AR,20,FALSE)="","",VLOOKUP(B120,'26MY_PASSPORT_DATA'!B:AR,20,FALSE))</f>
        <v/>
      </c>
    </row>
    <row r="121" spans="2:20" s="135" customFormat="1" ht="15" customHeight="1">
      <c r="B121" s="332" t="s">
        <v>218</v>
      </c>
      <c r="C121" s="175" t="str">
        <f>VLOOKUP(B121,'26MY_PASSPORT_DATA'!B:AR,3,FALSE)</f>
        <v>Radiant Red Metallic II (R-580M)</v>
      </c>
      <c r="D121" s="79" t="str">
        <f t="shared" si="34"/>
        <v>TUCH-R580M-A1</v>
      </c>
      <c r="E121" s="379"/>
      <c r="F121" s="379"/>
      <c r="G121" s="382"/>
      <c r="H121" s="385"/>
      <c r="I121" s="347">
        <f>VLOOKUP($B121,'26MY_PASSPORT_DATA'!$B:$AR,12,FALSE)</f>
        <v>0</v>
      </c>
      <c r="J121" s="347">
        <f>VLOOKUP($B121,'26MY_PASSPORT_DATA'!$B:$AR,13,FALSE)</f>
        <v>0</v>
      </c>
      <c r="K121" s="347" t="str">
        <f>VLOOKUP(B121,'26MY_PASSPORT_DATA'!B:AR,14,FALSE)</f>
        <v>•</v>
      </c>
      <c r="L121" s="347" t="str">
        <f>VLOOKUP(B121,'26MY_PASSPORT_DATA'!B:AR,15,FALSE)</f>
        <v>•</v>
      </c>
      <c r="M121" s="347">
        <f>VLOOKUP($B121,'26MY_PASSPORT_DATA'!$B:$AR,16,FALSE)</f>
        <v>0</v>
      </c>
      <c r="N121" s="347">
        <f>VLOOKUP(B121,'26MY_PASSPORT_DATA'!B:AR,17,FALSE)</f>
        <v>0</v>
      </c>
      <c r="O121" s="347" t="str">
        <f>VLOOKUP(B121,'26MY_PASSPORT_DATA'!B:AR,18,FALSE)</f>
        <v>•</v>
      </c>
      <c r="P121" s="347" t="str">
        <f>VLOOKUP(B121,'26MY_PASSPORT_DATA'!B:AR,19,FALSE)</f>
        <v>•</v>
      </c>
      <c r="Q121" s="346" t="str">
        <f>IF(VLOOKUP(B121,'26MY_PASSPORT_DATA'!B:AR,20,FALSE)="","",VLOOKUP(B121,'26MY_PASSPORT_DATA'!B:AR,20,FALSE))</f>
        <v/>
      </c>
    </row>
    <row r="122" spans="2:20" s="135" customFormat="1" ht="15" customHeight="1">
      <c r="B122" s="332" t="s">
        <v>221</v>
      </c>
      <c r="C122" s="175" t="str">
        <f>VLOOKUP(B122,'26MY_PASSPORT_DATA'!B:AR,3,FALSE)</f>
        <v>Sunset Orange (YR-585)</v>
      </c>
      <c r="D122" s="79" t="str">
        <f t="shared" si="34"/>
        <v>TUCH-YR585-A1</v>
      </c>
      <c r="E122" s="379"/>
      <c r="F122" s="379"/>
      <c r="G122" s="382"/>
      <c r="H122" s="385"/>
      <c r="I122" s="347">
        <f>VLOOKUP($B122,'26MY_PASSPORT_DATA'!$B:$AR,12,FALSE)</f>
        <v>0</v>
      </c>
      <c r="J122" s="347">
        <f>VLOOKUP($B122,'26MY_PASSPORT_DATA'!$B:$AR,13,FALSE)</f>
        <v>0</v>
      </c>
      <c r="K122" s="347" t="str">
        <f>VLOOKUP(B122,'26MY_PASSPORT_DATA'!B:AR,14,FALSE)</f>
        <v>N/A</v>
      </c>
      <c r="L122" s="347" t="str">
        <f>VLOOKUP(B122,'26MY_PASSPORT_DATA'!B:AR,15,FALSE)</f>
        <v>N/A</v>
      </c>
      <c r="M122" s="347">
        <f>VLOOKUP($B122,'26MY_PASSPORT_DATA'!$B:$AR,16,FALSE)</f>
        <v>0</v>
      </c>
      <c r="N122" s="347">
        <f>VLOOKUP(B122,'26MY_PASSPORT_DATA'!B:AR,17,FALSE)</f>
        <v>0</v>
      </c>
      <c r="O122" s="347" t="str">
        <f>VLOOKUP(B122,'26MY_PASSPORT_DATA'!B:AR,18,FALSE)</f>
        <v>•</v>
      </c>
      <c r="P122" s="347" t="str">
        <f>VLOOKUP(B122,'26MY_PASSPORT_DATA'!B:AR,19,FALSE)</f>
        <v>•</v>
      </c>
      <c r="Q122" s="346" t="str">
        <f>IF(VLOOKUP(B122,'26MY_PASSPORT_DATA'!B:AR,20,FALSE)="","",VLOOKUP(B122,'26MY_PASSPORT_DATA'!B:AR,20,FALSE))</f>
        <v/>
      </c>
    </row>
    <row r="123" spans="2:20" s="135" customFormat="1" ht="15" customHeight="1">
      <c r="B123" s="332" t="s">
        <v>223</v>
      </c>
      <c r="C123" s="175" t="str">
        <f>VLOOKUP(B123,'26MY_PASSPORT_DATA'!B:AR,3,FALSE)</f>
        <v>Ash Green Metallic (G-545M)</v>
      </c>
      <c r="D123" s="79" t="str">
        <f t="shared" si="34"/>
        <v>TUCH-G545M-A1</v>
      </c>
      <c r="E123" s="380"/>
      <c r="F123" s="380"/>
      <c r="G123" s="383"/>
      <c r="H123" s="386"/>
      <c r="I123" s="347">
        <f>VLOOKUP($B123,'26MY_PASSPORT_DATA'!$B:$AR,12,FALSE)</f>
        <v>0</v>
      </c>
      <c r="J123" s="347">
        <f>VLOOKUP($B123,'26MY_PASSPORT_DATA'!$B:$AR,13,FALSE)</f>
        <v>0</v>
      </c>
      <c r="K123" s="347" t="str">
        <f>VLOOKUP(B123,'26MY_PASSPORT_DATA'!B:AR,14,FALSE)</f>
        <v>N/A</v>
      </c>
      <c r="L123" s="347" t="str">
        <f>VLOOKUP(B123,'26MY_PASSPORT_DATA'!B:AR,15,FALSE)</f>
        <v>N/A</v>
      </c>
      <c r="M123" s="347">
        <f>VLOOKUP($B123,'26MY_PASSPORT_DATA'!$B:$AR,16,FALSE)</f>
        <v>0</v>
      </c>
      <c r="N123" s="347">
        <f>VLOOKUP(B123,'26MY_PASSPORT_DATA'!B:AR,17,FALSE)</f>
        <v>0</v>
      </c>
      <c r="O123" s="347" t="str">
        <f>VLOOKUP(B123,'26MY_PASSPORT_DATA'!B:AR,18,FALSE)</f>
        <v>•</v>
      </c>
      <c r="P123" s="347" t="str">
        <f>VLOOKUP(B123,'26MY_PASSPORT_DATA'!B:AR,19,FALSE)</f>
        <v>•</v>
      </c>
      <c r="Q123" s="346" t="str">
        <f>IF(VLOOKUP(B123,'26MY_PASSPORT_DATA'!B:AR,20,FALSE)="","",VLOOKUP(B123,'26MY_PASSPORT_DATA'!B:AR,20,FALSE))</f>
        <v/>
      </c>
    </row>
    <row r="124" spans="2:20" s="134" customFormat="1" ht="6.9" customHeight="1">
      <c r="B124" s="332"/>
      <c r="C124" s="199"/>
      <c r="D124" s="189"/>
      <c r="E124" s="189"/>
      <c r="F124" s="189"/>
      <c r="G124" s="189"/>
      <c r="H124" s="189"/>
      <c r="I124" s="189"/>
      <c r="J124" s="189"/>
      <c r="K124" s="189"/>
      <c r="L124" s="189"/>
      <c r="M124" s="189"/>
      <c r="N124" s="189"/>
      <c r="O124" s="189"/>
      <c r="P124" s="189"/>
      <c r="Q124" s="195"/>
    </row>
    <row r="125" spans="2:20" s="135" customFormat="1" ht="15" customHeight="1">
      <c r="B125" s="332" t="s">
        <v>58</v>
      </c>
      <c r="C125" s="175" t="str">
        <f>VLOOKUP(B125,'26MY_PASSPORT_DATA'!B:AR,3,FALSE)</f>
        <v>Find Sanding Needles</v>
      </c>
      <c r="D125" s="79" t="str">
        <f t="shared" ref="D125" si="35">B125</f>
        <v>TUCH-NEEDLES</v>
      </c>
      <c r="E125" s="343">
        <f>VLOOKUP(B125,'26MY_PASSPORT_DATA'!B:AR,9,FALSE)</f>
        <v>9.5</v>
      </c>
      <c r="F125" s="343">
        <f>VLOOKUP(B125,'26MY_PASSPORT_DATA'!B:AR,10,FALSE)</f>
        <v>15.75</v>
      </c>
      <c r="G125" s="344">
        <f>VLOOKUP(B125,'26MY_PASSPORT_DATA'!B:AR,7,FALSE)</f>
        <v>0</v>
      </c>
      <c r="H125" s="345">
        <f>VLOOKUP(B125,'26MY_PASSPORT_DATA'!B:AR,11,FALSE)</f>
        <v>15.75</v>
      </c>
      <c r="I125" s="347">
        <f>VLOOKUP($B125,'26MY_PASSPORT_DATA'!$B:$AR,12,FALSE)</f>
        <v>0</v>
      </c>
      <c r="J125" s="347">
        <f>VLOOKUP($B125,'26MY_PASSPORT_DATA'!$B:$AR,13,FALSE)</f>
        <v>0</v>
      </c>
      <c r="K125" s="347" t="str">
        <f>VLOOKUP(B125,'26MY_PASSPORT_DATA'!B:AR,14,FALSE)</f>
        <v>•</v>
      </c>
      <c r="L125" s="347" t="str">
        <f>VLOOKUP(B125,'26MY_PASSPORT_DATA'!B:AR,15,FALSE)</f>
        <v>•</v>
      </c>
      <c r="M125" s="347">
        <f>VLOOKUP($B125,'26MY_PASSPORT_DATA'!$B:$AR,16,FALSE)</f>
        <v>0</v>
      </c>
      <c r="N125" s="347">
        <f>VLOOKUP(B125,'26MY_PASSPORT_DATA'!B:AR,17,FALSE)</f>
        <v>0</v>
      </c>
      <c r="O125" s="347" t="str">
        <f>VLOOKUP(B125,'26MY_PASSPORT_DATA'!B:AR,18,FALSE)</f>
        <v>•</v>
      </c>
      <c r="P125" s="347" t="str">
        <f>VLOOKUP(B125,'26MY_PASSPORT_DATA'!B:AR,19,FALSE)</f>
        <v>•</v>
      </c>
      <c r="Q125" s="346" t="str">
        <f>IF(VLOOKUP(B125,'26MY_PASSPORT_DATA'!B:AR,20,FALSE)="","",VLOOKUP(B125,'26MY_PASSPORT_DATA'!B:AR,20,FALSE))</f>
        <v>Quantity of 5.</v>
      </c>
    </row>
    <row r="126" spans="2:20" s="135" customFormat="1" ht="15" customHeight="1">
      <c r="B126" s="332" t="s">
        <v>57</v>
      </c>
      <c r="C126" s="175" t="str">
        <f>VLOOKUP(B126,'26MY_PASSPORT_DATA'!B:AR,3,FALSE)</f>
        <v>Fine Sanding Sticks</v>
      </c>
      <c r="D126" s="79" t="str">
        <f t="shared" ref="D126:D127" si="36">B126</f>
        <v>TUCH-STICKS</v>
      </c>
      <c r="E126" s="343">
        <f>VLOOKUP(B126,'26MY_PASSPORT_DATA'!B:AR,9,FALSE)</f>
        <v>2.4500000000000002</v>
      </c>
      <c r="F126" s="343">
        <f>VLOOKUP(B126,'26MY_PASSPORT_DATA'!B:AR,10,FALSE)</f>
        <v>4</v>
      </c>
      <c r="G126" s="344">
        <f>VLOOKUP(B126,'26MY_PASSPORT_DATA'!B:AR,7,FALSE)</f>
        <v>0</v>
      </c>
      <c r="H126" s="345">
        <f>VLOOKUP(B126,'26MY_PASSPORT_DATA'!B:AR,11,FALSE)</f>
        <v>4</v>
      </c>
      <c r="I126" s="347">
        <f>VLOOKUP($B126,'26MY_PASSPORT_DATA'!$B:$AR,12,FALSE)</f>
        <v>0</v>
      </c>
      <c r="J126" s="347">
        <f>VLOOKUP($B126,'26MY_PASSPORT_DATA'!$B:$AR,13,FALSE)</f>
        <v>0</v>
      </c>
      <c r="K126" s="347" t="str">
        <f>VLOOKUP(B126,'26MY_PASSPORT_DATA'!B:AR,14,FALSE)</f>
        <v>•</v>
      </c>
      <c r="L126" s="347" t="str">
        <f>VLOOKUP(B126,'26MY_PASSPORT_DATA'!B:AR,15,FALSE)</f>
        <v>•</v>
      </c>
      <c r="M126" s="347">
        <f>VLOOKUP($B126,'26MY_PASSPORT_DATA'!$B:$AR,16,FALSE)</f>
        <v>0</v>
      </c>
      <c r="N126" s="347">
        <f>VLOOKUP(B126,'26MY_PASSPORT_DATA'!B:AR,17,FALSE)</f>
        <v>0</v>
      </c>
      <c r="O126" s="347" t="str">
        <f>VLOOKUP(B126,'26MY_PASSPORT_DATA'!B:AR,18,FALSE)</f>
        <v>•</v>
      </c>
      <c r="P126" s="347" t="str">
        <f>VLOOKUP(B126,'26MY_PASSPORT_DATA'!B:AR,19,FALSE)</f>
        <v>•</v>
      </c>
      <c r="Q126" s="346" t="str">
        <f>IF(VLOOKUP(B126,'26MY_PASSPORT_DATA'!B:AR,20,FALSE)="","",VLOOKUP(B126,'26MY_PASSPORT_DATA'!B:AR,20,FALSE))</f>
        <v>Quantity of 5.</v>
      </c>
    </row>
    <row r="127" spans="2:20" s="135" customFormat="1" ht="15" customHeight="1">
      <c r="B127" s="332" t="s">
        <v>56</v>
      </c>
      <c r="C127" s="175" t="str">
        <f>VLOOKUP(B127,'26MY_PASSPORT_DATA'!B:AR,3,FALSE)</f>
        <v>Paint Pen Replacement Tips</v>
      </c>
      <c r="D127" s="79" t="str">
        <f t="shared" si="36"/>
        <v>TUCH-TIPS</v>
      </c>
      <c r="E127" s="343">
        <f>VLOOKUP(B127,'26MY_PASSPORT_DATA'!B:AR,9,FALSE)</f>
        <v>6.25</v>
      </c>
      <c r="F127" s="343">
        <f>VLOOKUP(B127,'26MY_PASSPORT_DATA'!B:AR,10,FALSE)</f>
        <v>13.75</v>
      </c>
      <c r="G127" s="344">
        <f>VLOOKUP(B127,'26MY_PASSPORT_DATA'!B:AR,7,FALSE)</f>
        <v>0</v>
      </c>
      <c r="H127" s="345">
        <f>VLOOKUP(B127,'26MY_PASSPORT_DATA'!B:AR,11,FALSE)</f>
        <v>13.75</v>
      </c>
      <c r="I127" s="347">
        <f>VLOOKUP($B127,'26MY_PASSPORT_DATA'!$B:$AR,12,FALSE)</f>
        <v>0</v>
      </c>
      <c r="J127" s="347">
        <f>VLOOKUP($B127,'26MY_PASSPORT_DATA'!$B:$AR,13,FALSE)</f>
        <v>0</v>
      </c>
      <c r="K127" s="347" t="str">
        <f>VLOOKUP(B127,'26MY_PASSPORT_DATA'!B:AR,14,FALSE)</f>
        <v>•</v>
      </c>
      <c r="L127" s="347" t="str">
        <f>VLOOKUP(B127,'26MY_PASSPORT_DATA'!B:AR,15,FALSE)</f>
        <v>•</v>
      </c>
      <c r="M127" s="347">
        <f>VLOOKUP($B127,'26MY_PASSPORT_DATA'!$B:$AR,16,FALSE)</f>
        <v>0</v>
      </c>
      <c r="N127" s="347">
        <f>VLOOKUP(B127,'26MY_PASSPORT_DATA'!B:AR,17,FALSE)</f>
        <v>0</v>
      </c>
      <c r="O127" s="347" t="str">
        <f>VLOOKUP(B127,'26MY_PASSPORT_DATA'!B:AR,18,FALSE)</f>
        <v>•</v>
      </c>
      <c r="P127" s="347" t="str">
        <f>VLOOKUP(B127,'26MY_PASSPORT_DATA'!B:AR,19,FALSE)</f>
        <v>•</v>
      </c>
      <c r="Q127" s="346" t="str">
        <f>IF(VLOOKUP(B127,'26MY_PASSPORT_DATA'!B:AR,20,FALSE)="","",VLOOKUP(B127,'26MY_PASSPORT_DATA'!B:AR,20,FALSE))</f>
        <v>Quantity of 25.</v>
      </c>
    </row>
    <row r="128" spans="2:20" s="135" customFormat="1" ht="15" customHeight="1">
      <c r="B128" s="332"/>
      <c r="C128" s="20"/>
      <c r="D128" s="26"/>
      <c r="E128" s="18"/>
      <c r="F128" s="18"/>
      <c r="G128" s="16"/>
      <c r="H128" s="17"/>
      <c r="I128" s="16"/>
      <c r="J128" s="16"/>
      <c r="K128" s="16"/>
      <c r="L128" s="16"/>
      <c r="M128" s="16"/>
      <c r="N128" s="16"/>
      <c r="O128" s="16"/>
      <c r="P128" s="16"/>
      <c r="Q128" s="16"/>
    </row>
    <row r="129" spans="2:17" s="135" customFormat="1" ht="15" customHeight="1">
      <c r="B129" s="334"/>
      <c r="C129" s="44" t="s">
        <v>102</v>
      </c>
      <c r="D129" s="43" t="s">
        <v>26</v>
      </c>
      <c r="E129" s="129"/>
      <c r="F129" s="129"/>
      <c r="G129" s="129"/>
      <c r="H129" s="129"/>
      <c r="I129" s="129"/>
      <c r="J129" s="129"/>
      <c r="K129" s="129"/>
      <c r="L129" s="129"/>
      <c r="M129" s="129"/>
      <c r="N129" s="129"/>
      <c r="O129" s="129"/>
      <c r="P129" s="129"/>
      <c r="Q129" s="129"/>
    </row>
    <row r="130" spans="2:17" ht="14.25" customHeight="1">
      <c r="C130" s="137">
        <f>'26MY_PASSPORT_DATA'!$C$4</f>
        <v>46113</v>
      </c>
      <c r="D130" s="43" t="s">
        <v>157</v>
      </c>
      <c r="E130" s="51"/>
      <c r="F130" s="51"/>
      <c r="G130" s="51"/>
      <c r="H130" s="51"/>
      <c r="I130" s="51"/>
      <c r="J130" s="51"/>
      <c r="K130" s="51"/>
      <c r="L130" s="51"/>
      <c r="M130" s="51"/>
      <c r="N130" s="51"/>
      <c r="O130" s="51"/>
      <c r="P130" s="51"/>
      <c r="Q130" s="51"/>
    </row>
    <row r="131" spans="2:17" ht="14.25" customHeight="1">
      <c r="C131" s="51"/>
      <c r="D131" s="51"/>
      <c r="E131" s="51"/>
      <c r="F131" s="51"/>
      <c r="G131" s="51"/>
      <c r="H131" s="51"/>
      <c r="I131" s="51"/>
      <c r="J131" s="51"/>
      <c r="K131" s="51"/>
      <c r="L131" s="51"/>
      <c r="M131" s="51"/>
      <c r="N131" s="51"/>
      <c r="O131" s="51"/>
      <c r="P131" s="51"/>
      <c r="Q131" s="51"/>
    </row>
    <row r="132" spans="2:17" ht="14.25" customHeight="1">
      <c r="C132" s="51"/>
      <c r="D132" s="51"/>
      <c r="E132" s="51"/>
      <c r="F132" s="51"/>
      <c r="G132" s="51"/>
      <c r="H132" s="51"/>
      <c r="I132" s="51"/>
      <c r="J132" s="51"/>
      <c r="K132" s="51"/>
      <c r="L132" s="51"/>
      <c r="M132" s="51"/>
      <c r="N132" s="51"/>
      <c r="O132" s="51"/>
      <c r="P132" s="51"/>
      <c r="Q132" s="51"/>
    </row>
    <row r="133" spans="2:17" ht="14.25" customHeight="1">
      <c r="C133" s="51"/>
      <c r="D133" s="51"/>
      <c r="E133" s="51"/>
      <c r="F133" s="51"/>
      <c r="G133" s="51"/>
      <c r="H133" s="51"/>
      <c r="I133" s="51"/>
      <c r="J133" s="51"/>
      <c r="K133" s="51"/>
      <c r="L133" s="51"/>
      <c r="M133" s="51"/>
      <c r="N133" s="51"/>
      <c r="O133" s="51"/>
      <c r="P133" s="51"/>
      <c r="Q133" s="51"/>
    </row>
    <row r="134" spans="2:17" ht="14.25" customHeight="1">
      <c r="C134" s="51"/>
      <c r="D134" s="51"/>
      <c r="E134" s="51"/>
      <c r="F134" s="51"/>
      <c r="G134" s="51"/>
      <c r="H134" s="51"/>
      <c r="I134" s="51"/>
      <c r="J134" s="51"/>
      <c r="K134" s="51"/>
      <c r="L134" s="51"/>
      <c r="M134" s="51"/>
      <c r="N134" s="51"/>
      <c r="O134" s="51"/>
      <c r="P134" s="51"/>
      <c r="Q134" s="51"/>
    </row>
    <row r="135" spans="2:17" ht="14.25" customHeight="1">
      <c r="C135" s="51"/>
      <c r="D135" s="51"/>
      <c r="E135" s="51"/>
      <c r="F135" s="51"/>
      <c r="G135" s="51"/>
      <c r="H135" s="51"/>
      <c r="I135" s="51"/>
      <c r="J135" s="51"/>
      <c r="K135" s="51"/>
      <c r="L135" s="51"/>
      <c r="M135" s="51"/>
      <c r="N135" s="51"/>
      <c r="O135" s="51"/>
      <c r="P135" s="51"/>
      <c r="Q135" s="51"/>
    </row>
    <row r="136" spans="2:17" ht="14.25" customHeight="1">
      <c r="C136" s="51"/>
      <c r="D136" s="51"/>
      <c r="E136" s="51"/>
      <c r="F136" s="51"/>
      <c r="G136" s="51"/>
      <c r="H136" s="51"/>
      <c r="I136" s="51"/>
      <c r="J136" s="51"/>
      <c r="K136" s="51"/>
      <c r="L136" s="51"/>
      <c r="M136" s="51"/>
      <c r="N136" s="51"/>
      <c r="O136" s="51"/>
      <c r="P136" s="51"/>
      <c r="Q136" s="51"/>
    </row>
    <row r="137" spans="2:17" ht="14.25" customHeight="1">
      <c r="C137" s="51"/>
      <c r="D137" s="51"/>
      <c r="E137" s="51"/>
      <c r="F137" s="51"/>
      <c r="G137" s="51"/>
      <c r="H137" s="51"/>
      <c r="I137" s="51"/>
      <c r="J137" s="51"/>
      <c r="K137" s="51"/>
      <c r="L137" s="51"/>
      <c r="M137" s="51"/>
      <c r="N137" s="51"/>
      <c r="O137" s="51"/>
      <c r="P137" s="51"/>
      <c r="Q137" s="51"/>
    </row>
    <row r="138" spans="2:17" ht="14.25" customHeight="1">
      <c r="C138" s="51"/>
      <c r="D138" s="51"/>
      <c r="E138" s="51"/>
      <c r="F138" s="51"/>
      <c r="G138" s="51"/>
      <c r="H138" s="51"/>
      <c r="I138" s="51"/>
      <c r="J138" s="51"/>
      <c r="K138" s="51"/>
      <c r="L138" s="51"/>
      <c r="M138" s="51"/>
      <c r="N138" s="51"/>
      <c r="O138" s="51"/>
      <c r="P138" s="51"/>
      <c r="Q138" s="51"/>
    </row>
    <row r="139" spans="2:17" ht="14.25" customHeight="1">
      <c r="C139" s="51"/>
      <c r="D139" s="51"/>
      <c r="E139" s="51"/>
      <c r="F139" s="51"/>
      <c r="G139" s="51"/>
      <c r="H139" s="51"/>
      <c r="I139" s="51"/>
      <c r="J139" s="51"/>
      <c r="K139" s="51"/>
      <c r="L139" s="51"/>
      <c r="M139" s="51"/>
      <c r="N139" s="51"/>
      <c r="O139" s="51"/>
      <c r="P139" s="51"/>
      <c r="Q139" s="51"/>
    </row>
    <row r="140" spans="2:17" ht="14.25" customHeight="1">
      <c r="C140" s="51"/>
      <c r="D140" s="51"/>
      <c r="E140" s="51"/>
      <c r="F140" s="51"/>
      <c r="G140" s="51"/>
      <c r="H140" s="51"/>
      <c r="I140" s="51"/>
      <c r="J140" s="51"/>
      <c r="K140" s="51"/>
      <c r="L140" s="51"/>
      <c r="M140" s="51"/>
      <c r="N140" s="51"/>
      <c r="O140" s="51"/>
      <c r="P140" s="51"/>
      <c r="Q140" s="51"/>
    </row>
    <row r="141" spans="2:17" ht="14.25" customHeight="1">
      <c r="C141" s="51"/>
      <c r="D141" s="51"/>
      <c r="E141" s="51"/>
      <c r="F141" s="51"/>
      <c r="G141" s="51"/>
      <c r="H141" s="51"/>
      <c r="I141" s="51"/>
      <c r="J141" s="51"/>
      <c r="K141" s="51"/>
      <c r="L141" s="51"/>
      <c r="M141" s="51"/>
      <c r="N141" s="51"/>
      <c r="O141" s="51"/>
      <c r="P141" s="51"/>
      <c r="Q141" s="51"/>
    </row>
    <row r="142" spans="2:17" ht="14.25" customHeight="1">
      <c r="C142" s="51"/>
      <c r="D142" s="51"/>
      <c r="E142" s="51"/>
      <c r="F142" s="51"/>
      <c r="G142" s="51"/>
      <c r="H142" s="51"/>
      <c r="I142" s="51"/>
      <c r="J142" s="51"/>
      <c r="K142" s="51"/>
      <c r="L142" s="51"/>
      <c r="M142" s="51"/>
      <c r="N142" s="51"/>
      <c r="O142" s="51"/>
      <c r="P142" s="51"/>
      <c r="Q142" s="51"/>
    </row>
    <row r="143" spans="2:17" ht="14.25" customHeight="1">
      <c r="C143" s="51"/>
      <c r="D143" s="51"/>
      <c r="E143" s="51"/>
      <c r="F143" s="51"/>
      <c r="G143" s="51"/>
      <c r="H143" s="51"/>
      <c r="I143" s="51"/>
      <c r="J143" s="51"/>
      <c r="K143" s="51"/>
      <c r="L143" s="51"/>
      <c r="M143" s="51"/>
      <c r="N143" s="51"/>
      <c r="O143" s="51"/>
      <c r="P143" s="51"/>
      <c r="Q143" s="51"/>
    </row>
    <row r="144" spans="2:17" ht="14.25" customHeight="1">
      <c r="C144" s="51"/>
      <c r="D144" s="51"/>
      <c r="E144" s="51"/>
      <c r="F144" s="51"/>
      <c r="G144" s="51"/>
      <c r="H144" s="51"/>
      <c r="I144" s="51"/>
      <c r="J144" s="51"/>
      <c r="K144" s="51"/>
      <c r="L144" s="51"/>
      <c r="M144" s="51"/>
      <c r="N144" s="51"/>
      <c r="O144" s="51"/>
      <c r="P144" s="51"/>
      <c r="Q144" s="51"/>
    </row>
    <row r="145" spans="3:17" ht="14.25" customHeight="1">
      <c r="C145" s="51"/>
      <c r="D145" s="51"/>
      <c r="E145" s="51"/>
      <c r="F145" s="51"/>
      <c r="G145" s="51"/>
      <c r="H145" s="51"/>
      <c r="I145" s="51"/>
      <c r="J145" s="51"/>
      <c r="K145" s="51"/>
      <c r="L145" s="51"/>
      <c r="M145" s="51"/>
      <c r="N145" s="51"/>
      <c r="O145" s="51"/>
      <c r="P145" s="51"/>
      <c r="Q145" s="51"/>
    </row>
    <row r="146" spans="3:17" ht="14.25" customHeight="1">
      <c r="C146" s="51"/>
      <c r="D146" s="51"/>
      <c r="E146" s="51"/>
      <c r="F146" s="51"/>
      <c r="G146" s="51"/>
      <c r="H146" s="51"/>
      <c r="I146" s="51"/>
      <c r="J146" s="51"/>
      <c r="K146" s="51"/>
      <c r="L146" s="51"/>
      <c r="M146" s="51"/>
      <c r="N146" s="51"/>
      <c r="O146" s="51"/>
      <c r="P146" s="51"/>
      <c r="Q146" s="51"/>
    </row>
    <row r="147" spans="3:17" ht="14.25" customHeight="1">
      <c r="C147" s="51"/>
      <c r="D147" s="51"/>
      <c r="E147" s="51"/>
      <c r="F147" s="51"/>
      <c r="G147" s="51"/>
      <c r="H147" s="51"/>
      <c r="I147" s="51"/>
      <c r="J147" s="51"/>
      <c r="K147" s="51"/>
      <c r="L147" s="51"/>
      <c r="M147" s="51"/>
      <c r="N147" s="51"/>
      <c r="O147" s="51"/>
      <c r="P147" s="51"/>
      <c r="Q147" s="51"/>
    </row>
    <row r="148" spans="3:17" ht="14.25" customHeight="1">
      <c r="C148" s="51"/>
      <c r="D148" s="51"/>
      <c r="E148" s="51"/>
      <c r="F148" s="51"/>
      <c r="G148" s="51"/>
      <c r="H148" s="51"/>
      <c r="I148" s="51"/>
      <c r="J148" s="51"/>
      <c r="K148" s="51"/>
      <c r="L148" s="51"/>
      <c r="M148" s="51"/>
      <c r="N148" s="51"/>
      <c r="O148" s="51"/>
      <c r="P148" s="51"/>
      <c r="Q148" s="51"/>
    </row>
    <row r="149" spans="3:17" ht="14.25" customHeight="1">
      <c r="C149" s="51"/>
      <c r="D149" s="51"/>
      <c r="E149" s="51"/>
      <c r="F149" s="51"/>
      <c r="G149" s="51"/>
      <c r="H149" s="51"/>
      <c r="I149" s="51"/>
      <c r="J149" s="51"/>
      <c r="K149" s="51"/>
      <c r="L149" s="51"/>
      <c r="M149" s="51"/>
      <c r="N149" s="51"/>
      <c r="O149" s="51"/>
      <c r="P149" s="51"/>
      <c r="Q149" s="51"/>
    </row>
    <row r="150" spans="3:17">
      <c r="C150" s="51"/>
      <c r="D150" s="51"/>
      <c r="E150" s="51"/>
      <c r="F150" s="51"/>
      <c r="G150" s="51"/>
      <c r="H150" s="51"/>
      <c r="I150" s="51"/>
      <c r="J150" s="51"/>
      <c r="K150" s="51"/>
      <c r="L150" s="51"/>
      <c r="M150" s="51"/>
      <c r="N150" s="51"/>
      <c r="O150" s="51"/>
      <c r="P150" s="51"/>
      <c r="Q150" s="51"/>
    </row>
  </sheetData>
  <mergeCells count="144">
    <mergeCell ref="M33:M36"/>
    <mergeCell ref="M38:M43"/>
    <mergeCell ref="M45:M47"/>
    <mergeCell ref="J14:J16"/>
    <mergeCell ref="J18:J22"/>
    <mergeCell ref="J24:J26"/>
    <mergeCell ref="J28:J31"/>
    <mergeCell ref="J33:J36"/>
    <mergeCell ref="J38:J43"/>
    <mergeCell ref="J45:J47"/>
    <mergeCell ref="P45:P47"/>
    <mergeCell ref="Q45:Q47"/>
    <mergeCell ref="E45:E47"/>
    <mergeCell ref="F45:F47"/>
    <mergeCell ref="G45:G47"/>
    <mergeCell ref="H45:H47"/>
    <mergeCell ref="I45:I47"/>
    <mergeCell ref="K45:K47"/>
    <mergeCell ref="L45:L47"/>
    <mergeCell ref="N45:N47"/>
    <mergeCell ref="O45:O47"/>
    <mergeCell ref="Q24:Q26"/>
    <mergeCell ref="E28:E31"/>
    <mergeCell ref="F28:F31"/>
    <mergeCell ref="G28:G31"/>
    <mergeCell ref="H28:H31"/>
    <mergeCell ref="I28:I31"/>
    <mergeCell ref="K28:K31"/>
    <mergeCell ref="L28:L31"/>
    <mergeCell ref="N28:N31"/>
    <mergeCell ref="O28:O31"/>
    <mergeCell ref="P28:P31"/>
    <mergeCell ref="Q28:Q31"/>
    <mergeCell ref="F24:F26"/>
    <mergeCell ref="G24:G26"/>
    <mergeCell ref="H24:H26"/>
    <mergeCell ref="I24:I26"/>
    <mergeCell ref="K24:K26"/>
    <mergeCell ref="L24:L26"/>
    <mergeCell ref="N24:N26"/>
    <mergeCell ref="O24:O26"/>
    <mergeCell ref="P24:P26"/>
    <mergeCell ref="E24:E26"/>
    <mergeCell ref="M24:M26"/>
    <mergeCell ref="M28:M31"/>
    <mergeCell ref="E14:E16"/>
    <mergeCell ref="F14:F16"/>
    <mergeCell ref="G14:G16"/>
    <mergeCell ref="H12:H13"/>
    <mergeCell ref="Q12:Q13"/>
    <mergeCell ref="G12:G13"/>
    <mergeCell ref="I12:P12"/>
    <mergeCell ref="C12:C13"/>
    <mergeCell ref="D12:D13"/>
    <mergeCell ref="E12:E13"/>
    <mergeCell ref="F12:F13"/>
    <mergeCell ref="H14:H16"/>
    <mergeCell ref="I14:I16"/>
    <mergeCell ref="K14:K16"/>
    <mergeCell ref="L14:L16"/>
    <mergeCell ref="N14:N16"/>
    <mergeCell ref="O14:O16"/>
    <mergeCell ref="P14:P16"/>
    <mergeCell ref="Q14:Q16"/>
    <mergeCell ref="M14:M16"/>
    <mergeCell ref="Q50:Q51"/>
    <mergeCell ref="C59:C60"/>
    <mergeCell ref="D59:D60"/>
    <mergeCell ref="E59:E60"/>
    <mergeCell ref="F59:F60"/>
    <mergeCell ref="G59:G60"/>
    <mergeCell ref="H59:H60"/>
    <mergeCell ref="I59:P59"/>
    <mergeCell ref="Q59:Q60"/>
    <mergeCell ref="C50:C51"/>
    <mergeCell ref="D50:D51"/>
    <mergeCell ref="E50:E51"/>
    <mergeCell ref="F50:F51"/>
    <mergeCell ref="G50:G51"/>
    <mergeCell ref="H50:H51"/>
    <mergeCell ref="I90:P90"/>
    <mergeCell ref="Q90:Q91"/>
    <mergeCell ref="C106:C107"/>
    <mergeCell ref="D106:D107"/>
    <mergeCell ref="E106:E107"/>
    <mergeCell ref="F106:F107"/>
    <mergeCell ref="G106:G107"/>
    <mergeCell ref="H106:H107"/>
    <mergeCell ref="I106:P106"/>
    <mergeCell ref="Q106:Q107"/>
    <mergeCell ref="C90:C91"/>
    <mergeCell ref="D90:D91"/>
    <mergeCell ref="E90:E91"/>
    <mergeCell ref="F90:F91"/>
    <mergeCell ref="G90:G91"/>
    <mergeCell ref="H90:H91"/>
    <mergeCell ref="I116:P116"/>
    <mergeCell ref="Q116:Q117"/>
    <mergeCell ref="E118:E123"/>
    <mergeCell ref="F118:F123"/>
    <mergeCell ref="G118:G123"/>
    <mergeCell ref="H118:H123"/>
    <mergeCell ref="C116:C117"/>
    <mergeCell ref="D116:D117"/>
    <mergeCell ref="E116:E117"/>
    <mergeCell ref="F116:F117"/>
    <mergeCell ref="G116:G117"/>
    <mergeCell ref="H116:H117"/>
    <mergeCell ref="P18:P22"/>
    <mergeCell ref="Q18:Q22"/>
    <mergeCell ref="E18:E22"/>
    <mergeCell ref="F18:F22"/>
    <mergeCell ref="G18:G22"/>
    <mergeCell ref="H18:H22"/>
    <mergeCell ref="I18:I22"/>
    <mergeCell ref="K18:K22"/>
    <mergeCell ref="L18:L22"/>
    <mergeCell ref="N18:N22"/>
    <mergeCell ref="O18:O22"/>
    <mergeCell ref="M18:M22"/>
    <mergeCell ref="Q80:Q87"/>
    <mergeCell ref="P33:P36"/>
    <mergeCell ref="Q33:Q36"/>
    <mergeCell ref="E33:E36"/>
    <mergeCell ref="F33:F36"/>
    <mergeCell ref="G33:G36"/>
    <mergeCell ref="H33:H36"/>
    <mergeCell ref="I33:I36"/>
    <mergeCell ref="K33:K36"/>
    <mergeCell ref="L33:L36"/>
    <mergeCell ref="N33:N36"/>
    <mergeCell ref="O33:O36"/>
    <mergeCell ref="P38:P43"/>
    <mergeCell ref="Q38:Q43"/>
    <mergeCell ref="E38:E43"/>
    <mergeCell ref="F38:F43"/>
    <mergeCell ref="G38:G43"/>
    <mergeCell ref="H38:H43"/>
    <mergeCell ref="I38:I43"/>
    <mergeCell ref="K38:K43"/>
    <mergeCell ref="L38:L43"/>
    <mergeCell ref="N38:N43"/>
    <mergeCell ref="O38:O43"/>
    <mergeCell ref="I50:P50"/>
  </mergeCells>
  <phoneticPr fontId="48" type="noConversion"/>
  <conditionalFormatting sqref="E1:F14 E124:F1048576 E17:F18 E27:F28 E23:F24 E44:F45 E37:F38 E32:F33 E48:F118">
    <cfRule type="containsText" dxfId="10"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0" fitToHeight="0" orientation="portrait" horizontalDpi="1200" verticalDpi="1200" r:id="rId1"/>
  <headerFooter>
    <oddFooter>&amp;CPage &amp;P of &amp;N</oddFooter>
  </headerFooter>
  <rowBreaks count="1" manualBreakCount="1">
    <brk id="88" min="2" max="1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Normal="100" zoomScaleSheetLayoutView="100" workbookViewId="0"/>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18" customHeight="1">
      <c r="B2" s="50"/>
      <c r="C2" s="51"/>
      <c r="D2" s="51"/>
      <c r="E2" s="51"/>
      <c r="F2" s="51"/>
      <c r="G2" s="51"/>
      <c r="H2" s="51"/>
      <c r="I2" s="51"/>
      <c r="J2" s="51"/>
      <c r="K2" s="51"/>
      <c r="L2" s="51"/>
      <c r="M2" s="51"/>
      <c r="N2" s="51"/>
      <c r="O2" s="51"/>
      <c r="R2" s="47"/>
    </row>
    <row r="3" spans="2:22" ht="24.9" customHeight="1">
      <c r="B3" s="392" t="s">
        <v>300</v>
      </c>
      <c r="C3" s="392"/>
      <c r="D3" s="392"/>
      <c r="E3" s="392"/>
      <c r="F3" s="392"/>
      <c r="G3" s="392"/>
      <c r="H3" s="392"/>
      <c r="I3" s="392"/>
      <c r="J3" s="392"/>
      <c r="K3" s="392"/>
      <c r="L3" s="392"/>
      <c r="M3" s="392"/>
      <c r="N3" s="392"/>
      <c r="O3" s="392"/>
      <c r="P3" s="392"/>
      <c r="Q3" s="392"/>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3" t="s">
        <v>27</v>
      </c>
      <c r="C6" s="393"/>
      <c r="D6" s="393"/>
      <c r="E6" s="393"/>
      <c r="F6" s="393"/>
      <c r="G6" s="393"/>
      <c r="H6" s="393"/>
      <c r="I6" s="393"/>
      <c r="J6" s="393"/>
      <c r="K6" s="393"/>
      <c r="L6" s="393"/>
      <c r="M6" s="393"/>
      <c r="N6" s="393"/>
      <c r="O6" s="393"/>
      <c r="P6" s="393"/>
      <c r="Q6" s="393"/>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4"/>
      <c r="D8" s="394"/>
      <c r="E8" s="394"/>
      <c r="F8" s="394"/>
      <c r="G8" s="51"/>
      <c r="H8" s="394"/>
      <c r="I8" s="394"/>
      <c r="J8" s="394"/>
      <c r="K8" s="394"/>
      <c r="L8" s="51"/>
      <c r="M8" s="394"/>
      <c r="N8" s="394"/>
      <c r="O8" s="394"/>
      <c r="P8" s="394"/>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89" t="str">
        <f>'26MY_Passport_APP_EN'!$C$92</f>
        <v>All Season Mats (TrailSport logo)</v>
      </c>
      <c r="D10" s="390"/>
      <c r="E10" s="390"/>
      <c r="F10" s="391"/>
      <c r="G10" s="55"/>
      <c r="H10" s="389" t="str">
        <f>'26MY_Passport_APP_EN'!$C$93</f>
        <v>Cargo Tray</v>
      </c>
      <c r="I10" s="390"/>
      <c r="J10" s="390"/>
      <c r="K10" s="391"/>
      <c r="L10" s="55"/>
      <c r="M10" s="389" t="str">
        <f>'26MY_Passport_APP_EN'!$C$94</f>
        <v>Cargo Cover</v>
      </c>
      <c r="N10" s="390"/>
      <c r="O10" s="390"/>
      <c r="P10" s="391"/>
      <c r="Q10" s="51"/>
      <c r="R10" s="47"/>
    </row>
    <row r="11" spans="2:22" ht="15" customHeight="1">
      <c r="B11" s="53">
        <v>20</v>
      </c>
      <c r="C11" s="73">
        <f>'26MY_Passport_APP_EN'!$H$92</f>
        <v>377.1</v>
      </c>
      <c r="D11" s="57">
        <f>-PMT($D$29/52,5*52,C11)</f>
        <v>1.7195378481777173</v>
      </c>
      <c r="E11" s="58" t="s">
        <v>28</v>
      </c>
      <c r="F11" s="75" t="str">
        <f>$C$29</f>
        <v>(6.99%)</v>
      </c>
      <c r="G11" s="51"/>
      <c r="H11" s="73">
        <f>'26MY_Passport_APP_EN'!$H$93</f>
        <v>224.1</v>
      </c>
      <c r="I11" s="57">
        <f>-PMT($D$29/52,5*52,H11)</f>
        <v>1.0218733274373546</v>
      </c>
      <c r="J11" s="58" t="s">
        <v>28</v>
      </c>
      <c r="K11" s="75" t="str">
        <f>$C$29</f>
        <v>(6.99%)</v>
      </c>
      <c r="L11" s="51"/>
      <c r="M11" s="73">
        <f>'26MY_Passport_APP_EN'!$H$94</f>
        <v>485.1</v>
      </c>
      <c r="N11" s="57">
        <f>-PMT($D$29/52,5*52,M11)</f>
        <v>2.2120069216415028</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94"/>
      <c r="D13" s="394"/>
      <c r="E13" s="394"/>
      <c r="F13" s="394"/>
      <c r="G13" s="51"/>
      <c r="H13" s="394"/>
      <c r="I13" s="394"/>
      <c r="J13" s="394"/>
      <c r="K13" s="394"/>
      <c r="L13" s="51"/>
      <c r="M13" s="394"/>
      <c r="N13" s="394"/>
      <c r="O13" s="394"/>
      <c r="P13" s="394"/>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389" t="str">
        <f>'26MY_Passport_APP_EN'!$C$79</f>
        <v>Roof Platform</v>
      </c>
      <c r="D15" s="390"/>
      <c r="E15" s="390"/>
      <c r="F15" s="391"/>
      <c r="G15" s="64"/>
      <c r="H15" s="389" t="str">
        <f>'26MY_Passport_APP_EN'!$C$63</f>
        <v>Running Boards</v>
      </c>
      <c r="I15" s="390"/>
      <c r="J15" s="390"/>
      <c r="K15" s="391"/>
      <c r="L15" s="64"/>
      <c r="M15" s="389" t="str">
        <f>'26MY_Passport_APP_EN'!$C$68</f>
        <v>Door Visor</v>
      </c>
      <c r="N15" s="390"/>
      <c r="O15" s="390"/>
      <c r="P15" s="391"/>
      <c r="Q15" s="51"/>
      <c r="R15" s="47"/>
    </row>
    <row r="16" spans="2:22" s="63" customFormat="1" ht="15.6">
      <c r="B16" s="56">
        <v>50</v>
      </c>
      <c r="C16" s="73">
        <f>'26MY_Passport_APP_EN'!$H$79</f>
        <v>1469.6</v>
      </c>
      <c r="D16" s="57">
        <f>-PMT($D$29/52,5*52,C16)</f>
        <v>6.7012273181701758</v>
      </c>
      <c r="E16" s="58" t="s">
        <v>28</v>
      </c>
      <c r="F16" s="75" t="str">
        <f>$C$29</f>
        <v>(6.99%)</v>
      </c>
      <c r="G16" s="60"/>
      <c r="H16" s="73">
        <f>'26MY_Passport_APP_EN'!$H$63</f>
        <v>1475.6</v>
      </c>
      <c r="I16" s="57">
        <f>-PMT($D$29/52,5*52,H16)</f>
        <v>6.7285867111403848</v>
      </c>
      <c r="J16" s="58" t="s">
        <v>28</v>
      </c>
      <c r="K16" s="75" t="str">
        <f>$C$29</f>
        <v>(6.99%)</v>
      </c>
      <c r="L16" s="60"/>
      <c r="M16" s="73">
        <f>'26MY_Passport_APP_EN'!$H$68</f>
        <v>544.6</v>
      </c>
      <c r="N16" s="57">
        <f>-PMT($D$29/52,5*52,M16)</f>
        <v>2.4833209019294213</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4"/>
      <c r="D18" s="394"/>
      <c r="E18" s="394"/>
      <c r="F18" s="394"/>
      <c r="G18" s="51"/>
      <c r="H18" s="394"/>
      <c r="I18" s="394"/>
      <c r="J18" s="394"/>
      <c r="K18" s="394"/>
      <c r="L18" s="51"/>
      <c r="M18" s="394"/>
      <c r="N18" s="394"/>
      <c r="O18" s="394"/>
      <c r="P18" s="394"/>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389" t="s">
        <v>328</v>
      </c>
      <c r="D20" s="390"/>
      <c r="E20" s="390"/>
      <c r="F20" s="391"/>
      <c r="G20" s="64"/>
      <c r="H20" s="397" t="str">
        <f>'26MY_Passport_APP_EN'!$C$108</f>
        <v>Cargo Light</v>
      </c>
      <c r="I20" s="390"/>
      <c r="J20" s="390"/>
      <c r="K20" s="391"/>
      <c r="L20" s="64"/>
      <c r="M20" s="398" t="str">
        <f>'26MY_Passport_APP_EN'!$C$97</f>
        <v xml:space="preserve">Utility Panel </v>
      </c>
      <c r="N20" s="399"/>
      <c r="O20" s="399"/>
      <c r="P20" s="400"/>
      <c r="Q20" s="51"/>
    </row>
    <row r="21" spans="1:20" ht="15.6">
      <c r="B21" s="52">
        <v>50</v>
      </c>
      <c r="C21" s="73">
        <f>'26MY_Passport_APP_EN'!$H$28</f>
        <v>354.34999999999997</v>
      </c>
      <c r="D21" s="57">
        <f>-PMT($D$29/52,5*52,C21)</f>
        <v>1.6158001498323362</v>
      </c>
      <c r="E21" s="58" t="s">
        <v>28</v>
      </c>
      <c r="F21" s="76" t="str">
        <f>$C$29</f>
        <v>(6.99%)</v>
      </c>
      <c r="G21" s="60"/>
      <c r="H21" s="73">
        <f>'26MY_Passport_APP_EN'!$H$108</f>
        <v>160.1</v>
      </c>
      <c r="I21" s="57">
        <f>-PMT($D$29/52,5*52,H21)</f>
        <v>0.73003980242177813</v>
      </c>
      <c r="J21" s="58" t="s">
        <v>28</v>
      </c>
      <c r="K21" s="76" t="str">
        <f>$C$29</f>
        <v>(6.99%)</v>
      </c>
      <c r="L21" s="60"/>
      <c r="M21" s="73">
        <f>'26MY_Passport_APP_EN'!$H$97</f>
        <v>334.3</v>
      </c>
      <c r="N21" s="57">
        <f>-PMT($D$29/52,5*52,M21)</f>
        <v>1.5243741783235505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30</v>
      </c>
      <c r="D23" s="51"/>
      <c r="E23" s="51"/>
      <c r="F23" s="51"/>
      <c r="G23" s="51"/>
      <c r="H23" s="51"/>
      <c r="I23" s="51"/>
      <c r="J23" s="51"/>
      <c r="K23" s="51"/>
      <c r="L23" s="51"/>
      <c r="M23" s="51"/>
      <c r="N23" s="51"/>
      <c r="O23" s="51"/>
      <c r="P23" s="51"/>
      <c r="Q23" s="51"/>
    </row>
    <row r="24" spans="1:20" ht="15" customHeight="1">
      <c r="B24" s="65"/>
      <c r="C24" s="66" t="s">
        <v>31</v>
      </c>
      <c r="D24" s="51"/>
      <c r="E24" s="51"/>
      <c r="F24" s="51"/>
      <c r="G24" s="67"/>
      <c r="H24" s="67"/>
      <c r="I24" s="67"/>
      <c r="J24" s="67"/>
      <c r="K24" s="67"/>
      <c r="L24" s="67"/>
      <c r="M24" s="67"/>
      <c r="N24" s="67"/>
      <c r="O24" s="67"/>
      <c r="P24" s="67"/>
      <c r="Q24" s="51"/>
    </row>
    <row r="25" spans="1:20" ht="15" customHeight="1">
      <c r="B25" s="65">
        <v>20</v>
      </c>
      <c r="C25" s="66" t="s">
        <v>44</v>
      </c>
      <c r="D25" s="51"/>
      <c r="E25" s="51"/>
      <c r="F25" s="51"/>
      <c r="G25" s="67"/>
      <c r="H25" s="67"/>
      <c r="I25" s="67"/>
      <c r="J25" s="67"/>
      <c r="K25" s="67"/>
      <c r="L25" s="67"/>
      <c r="M25" s="67"/>
      <c r="N25" s="67"/>
      <c r="O25" s="67"/>
      <c r="P25" s="67"/>
      <c r="Q25" s="51"/>
    </row>
    <row r="26" spans="1:20" ht="60" customHeight="1">
      <c r="B26" s="52">
        <v>60</v>
      </c>
      <c r="C26" s="395" t="s">
        <v>103</v>
      </c>
      <c r="D26" s="395"/>
      <c r="E26" s="395"/>
      <c r="F26" s="395"/>
      <c r="G26" s="395"/>
      <c r="H26" s="395"/>
      <c r="I26" s="395"/>
      <c r="J26" s="395"/>
      <c r="K26" s="395"/>
      <c r="L26" s="395"/>
      <c r="M26" s="395"/>
      <c r="N26" s="395"/>
      <c r="O26" s="395"/>
      <c r="P26" s="395"/>
      <c r="Q26" s="51"/>
    </row>
    <row r="27" spans="1:20" ht="20.25" customHeight="1" thickBot="1">
      <c r="B27" s="236"/>
      <c r="C27" s="237" t="s">
        <v>29</v>
      </c>
      <c r="D27" s="238"/>
      <c r="E27" s="239"/>
      <c r="F27" s="238"/>
      <c r="G27" s="240"/>
      <c r="H27" s="240"/>
      <c r="I27" s="240"/>
      <c r="J27" s="240"/>
      <c r="K27" s="241"/>
      <c r="L27" s="241"/>
      <c r="M27" s="241"/>
      <c r="N27" s="242"/>
      <c r="O27" s="396"/>
      <c r="P27" s="396"/>
      <c r="Q27" s="243"/>
    </row>
    <row r="28" spans="1:20" ht="20.25" customHeight="1">
      <c r="A28" s="68"/>
      <c r="B28" s="231">
        <v>20</v>
      </c>
      <c r="C28" s="233"/>
      <c r="D28" s="231"/>
      <c r="E28" s="230"/>
      <c r="F28" s="231"/>
      <c r="G28" s="232"/>
      <c r="H28" s="232"/>
      <c r="I28" s="232"/>
      <c r="J28" s="232"/>
      <c r="K28" s="233"/>
      <c r="L28" s="233"/>
      <c r="M28" s="233"/>
      <c r="N28" s="233"/>
      <c r="O28" s="233"/>
      <c r="P28" s="77"/>
      <c r="Q28" s="51"/>
    </row>
    <row r="29" spans="1:20" ht="18" customHeight="1">
      <c r="A29" s="68"/>
      <c r="B29" s="231">
        <v>18</v>
      </c>
      <c r="C29" s="229" t="s">
        <v>106</v>
      </c>
      <c r="D29" s="230">
        <v>6.9900000000000004E-2</v>
      </c>
      <c r="E29" s="230"/>
      <c r="F29" s="231"/>
      <c r="G29" s="232"/>
      <c r="H29" s="232"/>
      <c r="I29" s="232"/>
      <c r="J29" s="232"/>
      <c r="K29" s="233"/>
      <c r="L29" s="233"/>
      <c r="M29" s="233"/>
      <c r="N29" s="233"/>
      <c r="O29" s="233"/>
      <c r="P29" s="77"/>
      <c r="Q29" s="51"/>
    </row>
    <row r="30" spans="1:20" s="51" customFormat="1" ht="15" customHeight="1">
      <c r="A30" s="69"/>
      <c r="B30" s="234">
        <v>7.5</v>
      </c>
      <c r="C30" s="234">
        <v>12</v>
      </c>
      <c r="D30" s="234">
        <v>8</v>
      </c>
      <c r="E30" s="234">
        <v>8</v>
      </c>
      <c r="F30" s="234">
        <v>10</v>
      </c>
      <c r="G30" s="234">
        <v>8.5</v>
      </c>
      <c r="H30" s="234">
        <v>12</v>
      </c>
      <c r="I30" s="234">
        <v>8</v>
      </c>
      <c r="J30" s="234">
        <v>8</v>
      </c>
      <c r="K30" s="234">
        <v>10</v>
      </c>
      <c r="L30" s="234">
        <v>8.5</v>
      </c>
      <c r="M30" s="234">
        <v>12</v>
      </c>
      <c r="N30" s="234">
        <v>8</v>
      </c>
      <c r="O30" s="234">
        <v>8</v>
      </c>
      <c r="P30" s="52">
        <v>10</v>
      </c>
      <c r="Q30" s="52">
        <v>7.5</v>
      </c>
    </row>
    <row r="31" spans="1:20" s="51" customFormat="1" ht="21.9" customHeight="1">
      <c r="A31" s="69"/>
      <c r="B31" s="235" t="s">
        <v>159</v>
      </c>
      <c r="C31" s="228">
        <f>'26MY_PASSPORT_DATA'!$C$4</f>
        <v>46113</v>
      </c>
      <c r="D31" s="67" t="str">
        <f>'SELECT PROVINCE'!$A$23</f>
        <v>All published prices, trim specifications, and availability are subject to change without prior notice.</v>
      </c>
      <c r="E31" s="225"/>
      <c r="F31" s="225"/>
      <c r="G31" s="225"/>
      <c r="H31" s="225"/>
      <c r="I31" s="225"/>
      <c r="J31" s="225"/>
      <c r="K31" s="225"/>
      <c r="L31" s="225"/>
      <c r="M31" s="225"/>
      <c r="N31" s="225"/>
      <c r="O31" s="65"/>
      <c r="P31" s="227" t="s">
        <v>54</v>
      </c>
      <c r="Q31" s="226" t="str">
        <f>'26MY_PASSPORT_DATA'!L6</f>
        <v>AB</v>
      </c>
    </row>
    <row r="32" spans="1:20" ht="15.6">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49"/>
  <sheetViews>
    <sheetView view="pageBreakPreview" topLeftCell="A99" zoomScale="80" zoomScaleNormal="60" zoomScaleSheetLayoutView="80" workbookViewId="0">
      <selection activeCell="C73" sqref="C73"/>
    </sheetView>
  </sheetViews>
  <sheetFormatPr defaultColWidth="9.109375" defaultRowHeight="13.8" outlineLevelCol="1"/>
  <cols>
    <col min="1" max="1" width="6.88671875" style="46" customWidth="1"/>
    <col min="2" max="2" width="16.33203125" style="302" hidden="1" customWidth="1"/>
    <col min="3" max="3" width="47.44140625" style="46" customWidth="1"/>
    <col min="4" max="4" width="22" style="46" customWidth="1"/>
    <col min="5" max="5" width="12.109375" style="46" customWidth="1" outlineLevel="1"/>
    <col min="6" max="6" width="13.5546875" style="46" customWidth="1"/>
    <col min="7" max="7" width="8.5546875" style="46" customWidth="1"/>
    <col min="8" max="8" width="13.5546875" style="46" customWidth="1"/>
    <col min="9" max="10" width="10.5546875" style="46" hidden="1" customWidth="1"/>
    <col min="11" max="12" width="10.5546875" style="46" customWidth="1"/>
    <col min="13" max="14" width="10.5546875" style="46" hidden="1" customWidth="1"/>
    <col min="15" max="16" width="10.5546875" style="46" customWidth="1"/>
    <col min="17" max="17" width="56.109375" style="46" customWidth="1"/>
    <col min="18" max="16384" width="9.109375" style="46"/>
  </cols>
  <sheetData>
    <row r="2" spans="2:20" ht="35.25" customHeight="1">
      <c r="B2" s="296" t="s">
        <v>149</v>
      </c>
      <c r="C2" s="157" t="s">
        <v>66</v>
      </c>
      <c r="D2" s="157"/>
      <c r="E2" s="154"/>
      <c r="F2" s="15"/>
      <c r="G2" s="128"/>
      <c r="H2" s="129"/>
      <c r="I2" s="129"/>
      <c r="J2" s="129"/>
      <c r="K2" s="129"/>
      <c r="L2" s="144"/>
      <c r="M2" s="145"/>
      <c r="N2" s="145"/>
      <c r="O2" s="144"/>
      <c r="P2" s="144"/>
      <c r="Q2" s="144"/>
    </row>
    <row r="3" spans="2:20" ht="25.8">
      <c r="B3" s="296"/>
      <c r="C3" s="158" t="s">
        <v>67</v>
      </c>
      <c r="D3" s="267" t="str">
        <f>'26MY_PASSPORT_DATA'!$C$2</f>
        <v>Passport</v>
      </c>
      <c r="E3" s="155"/>
      <c r="F3" s="2"/>
      <c r="G3" s="128"/>
      <c r="H3" s="129"/>
      <c r="I3" s="129"/>
      <c r="J3" s="129"/>
      <c r="K3" s="129"/>
      <c r="L3" s="146"/>
      <c r="O3" s="147"/>
      <c r="P3" s="144"/>
      <c r="Q3" s="144"/>
    </row>
    <row r="4" spans="2:20" ht="25.8">
      <c r="B4" s="296"/>
      <c r="C4" s="158" t="s">
        <v>68</v>
      </c>
      <c r="D4" s="270">
        <f>'26MY_PASSPORT_DATA'!$C$3</f>
        <v>2026</v>
      </c>
      <c r="E4" s="155"/>
      <c r="F4" s="2"/>
      <c r="G4" s="128"/>
      <c r="H4" s="129"/>
      <c r="I4" s="129"/>
      <c r="J4" s="129"/>
      <c r="K4" s="129"/>
      <c r="L4" s="144"/>
      <c r="M4" s="148"/>
      <c r="N4" s="148"/>
      <c r="O4" s="144"/>
      <c r="P4" s="144"/>
      <c r="Q4" s="144"/>
    </row>
    <row r="5" spans="2:20">
      <c r="B5" s="296"/>
      <c r="C5" s="401" t="s">
        <v>69</v>
      </c>
      <c r="D5" s="402"/>
      <c r="E5" s="402"/>
      <c r="F5" s="402"/>
      <c r="G5" s="402"/>
      <c r="H5" s="402"/>
      <c r="I5" s="402"/>
      <c r="J5" s="402"/>
      <c r="K5" s="402"/>
      <c r="L5" s="402"/>
      <c r="M5" s="402"/>
      <c r="N5" s="402"/>
      <c r="O5" s="403"/>
      <c r="P5" s="118"/>
      <c r="Q5" s="149"/>
    </row>
    <row r="6" spans="2:20">
      <c r="B6" s="296"/>
      <c r="C6" s="404" t="s">
        <v>70</v>
      </c>
      <c r="D6" s="405"/>
      <c r="E6" s="405"/>
      <c r="F6" s="405"/>
      <c r="G6" s="405"/>
      <c r="H6" s="405"/>
      <c r="I6" s="405"/>
      <c r="J6" s="405"/>
      <c r="K6" s="405"/>
      <c r="L6" s="405"/>
      <c r="M6" s="405"/>
      <c r="N6" s="405"/>
      <c r="O6" s="406"/>
      <c r="P6" s="118"/>
      <c r="Q6" s="149"/>
    </row>
    <row r="7" spans="2:20">
      <c r="B7" s="296"/>
      <c r="C7" s="404" t="s">
        <v>71</v>
      </c>
      <c r="D7" s="405"/>
      <c r="E7" s="405"/>
      <c r="F7" s="405"/>
      <c r="G7" s="405"/>
      <c r="H7" s="405"/>
      <c r="I7" s="405"/>
      <c r="J7" s="405"/>
      <c r="K7" s="405"/>
      <c r="L7" s="405"/>
      <c r="M7" s="405"/>
      <c r="N7" s="405"/>
      <c r="O7" s="406"/>
      <c r="P7" s="118"/>
      <c r="Q7" s="149"/>
    </row>
    <row r="8" spans="2:20">
      <c r="B8" s="296"/>
      <c r="C8" s="407" t="s">
        <v>72</v>
      </c>
      <c r="D8" s="408"/>
      <c r="E8" s="408"/>
      <c r="F8" s="408"/>
      <c r="G8" s="408"/>
      <c r="H8" s="408"/>
      <c r="I8" s="408"/>
      <c r="J8" s="408"/>
      <c r="K8" s="408"/>
      <c r="L8" s="408"/>
      <c r="M8" s="408"/>
      <c r="N8" s="408"/>
      <c r="O8" s="409"/>
      <c r="P8" s="118"/>
      <c r="Q8" s="149"/>
    </row>
    <row r="9" spans="2:20">
      <c r="B9" s="296"/>
      <c r="C9" s="141"/>
      <c r="D9" s="141"/>
      <c r="E9" s="141"/>
      <c r="F9" s="141"/>
      <c r="G9" s="141"/>
      <c r="H9" s="141"/>
      <c r="I9" s="141"/>
      <c r="J9" s="141"/>
      <c r="K9" s="141"/>
      <c r="L9" s="141"/>
      <c r="M9" s="141"/>
      <c r="N9" s="141"/>
      <c r="O9" s="141"/>
      <c r="P9" s="142"/>
      <c r="Q9" s="159"/>
    </row>
    <row r="10" spans="2:20" ht="14.4">
      <c r="B10" s="296"/>
      <c r="C10" s="51"/>
      <c r="D10" s="51"/>
      <c r="E10" s="51"/>
      <c r="F10" s="51"/>
      <c r="G10" s="51"/>
      <c r="H10" s="151" t="s">
        <v>54</v>
      </c>
      <c r="I10" s="51"/>
      <c r="J10" s="51"/>
      <c r="K10" s="51"/>
      <c r="L10" s="51"/>
      <c r="M10" s="51"/>
      <c r="N10" s="51"/>
      <c r="O10" s="51"/>
      <c r="P10" s="51"/>
      <c r="Q10" s="150"/>
    </row>
    <row r="11" spans="2:20" ht="18">
      <c r="B11" s="296"/>
      <c r="C11" s="152" t="s">
        <v>73</v>
      </c>
      <c r="D11" s="153"/>
      <c r="E11" s="132"/>
      <c r="F11" s="132"/>
      <c r="G11" s="131"/>
      <c r="H11" s="182" t="str">
        <f>prov_cd</f>
        <v>AB</v>
      </c>
      <c r="I11" s="181"/>
      <c r="J11" s="181"/>
      <c r="K11" s="51"/>
      <c r="L11" s="51"/>
      <c r="M11" s="51"/>
      <c r="N11" s="51"/>
      <c r="O11" s="51"/>
      <c r="P11" s="51"/>
      <c r="Q11" s="51"/>
    </row>
    <row r="12" spans="2:20" ht="14.4">
      <c r="B12" s="296"/>
      <c r="C12" s="387" t="s">
        <v>74</v>
      </c>
      <c r="D12" s="387" t="s">
        <v>75</v>
      </c>
      <c r="E12" s="387" t="s">
        <v>76</v>
      </c>
      <c r="F12" s="387" t="s">
        <v>77</v>
      </c>
      <c r="G12" s="387" t="s">
        <v>78</v>
      </c>
      <c r="H12" s="388" t="s">
        <v>79</v>
      </c>
      <c r="I12" s="387" t="s">
        <v>23</v>
      </c>
      <c r="J12" s="387"/>
      <c r="K12" s="387"/>
      <c r="L12" s="387"/>
      <c r="M12" s="387"/>
      <c r="N12" s="387"/>
      <c r="O12" s="387"/>
      <c r="P12" s="387"/>
      <c r="Q12" s="387" t="s">
        <v>80</v>
      </c>
    </row>
    <row r="13" spans="2:20" ht="43.2">
      <c r="B13" s="296"/>
      <c r="C13" s="387"/>
      <c r="D13" s="387"/>
      <c r="E13" s="387"/>
      <c r="F13" s="387"/>
      <c r="G13" s="387"/>
      <c r="H13" s="388"/>
      <c r="I13" s="174">
        <f>'26MY_PASSPORT_DATA'!$M$6</f>
        <v>0</v>
      </c>
      <c r="J13" s="174">
        <f>'26MY_PASSPORT_DATA'!$M$6</f>
        <v>0</v>
      </c>
      <c r="K13" s="174" t="str">
        <f>'26MY_PASSPORT_DATA'!$O$6</f>
        <v>TrailSport</v>
      </c>
      <c r="L13" s="174" t="str">
        <f>'26MY_PASSPORT_DATA'!$P$6</f>
        <v>TrailSport Blackout</v>
      </c>
      <c r="M13" s="174">
        <f>'26MY_PASSPORT_DATA'!$R$6</f>
        <v>0</v>
      </c>
      <c r="N13" s="174">
        <f>'26MY_PASSPORT_DATA'!$R$6</f>
        <v>0</v>
      </c>
      <c r="O13" s="174" t="str">
        <f>'26MY_PASSPORT_DATA'!$S$6</f>
        <v>TrailSport Touring</v>
      </c>
      <c r="P13" s="174" t="str">
        <f>'26MY_PASSPORT_DATA'!$T$6</f>
        <v>Trailsport Touring Blackout</v>
      </c>
      <c r="Q13" s="387"/>
    </row>
    <row r="14" spans="2:20" s="133" customFormat="1" ht="18">
      <c r="B14" s="297" t="s">
        <v>286</v>
      </c>
      <c r="C14" s="196" t="str">
        <f>VLOOKUP(B14,'26MY_PASSPORT_DATA'!B:AR,4,FALSE)</f>
        <v>Ensemble de protection</v>
      </c>
      <c r="D14" s="78" t="str">
        <f>B14</f>
        <v>26PAS-PROPK</v>
      </c>
      <c r="E14" s="378">
        <f>VLOOKUP(B14,'26MY_PASSPORT_DATA'!B:AR,9,FALSE)</f>
        <v>306</v>
      </c>
      <c r="F14" s="378">
        <f>VLOOKUP(B14,'26MY_PASSPORT_DATA'!B:AR,10,FALSE)</f>
        <v>567</v>
      </c>
      <c r="G14" s="381">
        <f>VLOOKUP(B14,'26MY_PASSPORT_DATA'!B:AR,7,FALSE)</f>
        <v>0.2</v>
      </c>
      <c r="H14" s="384">
        <f>VLOOKUP(B14,'26MY_PASSPORT_DATA'!B:AR,11,FALSE)</f>
        <v>601.20000000000005</v>
      </c>
      <c r="I14" s="375">
        <f>VLOOKUP($B14,'26MY_PASSPORT_DATA'!$B:$AR,12,FALSE)</f>
        <v>0</v>
      </c>
      <c r="J14" s="375">
        <f>VLOOKUP($B14,'26MY_PASSPORT_DATA'!$B:$AR,13,FALSE)</f>
        <v>0</v>
      </c>
      <c r="K14" s="375" t="str">
        <f>VLOOKUP(B14,'26MY_PASSPORT_DATA'!B:AR,14,FALSE)</f>
        <v>•</v>
      </c>
      <c r="L14" s="375" t="str">
        <f>VLOOKUP(B14,'26MY_PASSPORT_DATA'!B:AR,15,FALSE)</f>
        <v>•</v>
      </c>
      <c r="M14" s="375">
        <f>VLOOKUP($B14,'26MY_PASSPORT_DATA'!$B:$AR,16,FALSE)</f>
        <v>0</v>
      </c>
      <c r="N14" s="375">
        <f>VLOOKUP(B14,'26MY_PASSPORT_DATA'!B:AR,17,FALSE)</f>
        <v>0</v>
      </c>
      <c r="O14" s="375" t="str">
        <f>VLOOKUP(B14,'26MY_PASSPORT_DATA'!B:AR,18,FALSE)</f>
        <v>•</v>
      </c>
      <c r="P14" s="375" t="str">
        <f>VLOOKUP(B14,'26MY_PASSPORT_DATA'!B:AR,19,FALSE)</f>
        <v>•</v>
      </c>
      <c r="Q14" s="372" t="str">
        <f>IF(VLOOKUP(B14,'26MY_PASSPORT_DATA'!B:AR,21,FALSE)="","",VLOOKUP(B14,'26MY_PASSPORT_DATA'!B:AR,21,FALSE))</f>
        <v/>
      </c>
      <c r="R14" s="95"/>
      <c r="S14" s="95"/>
      <c r="T14" s="95"/>
    </row>
    <row r="15" spans="2:20" s="134" customFormat="1" ht="14.4">
      <c r="B15" s="297" t="s">
        <v>240</v>
      </c>
      <c r="C15" s="192" t="str">
        <f>VLOOKUP(B15,'26MY_PASSPORT_DATA'!B:AR,4,FALSE)</f>
        <v>Tapis toutes saisons (logo TrailSport)</v>
      </c>
      <c r="D15" s="220" t="str">
        <f t="shared" ref="D15" si="0">B15</f>
        <v>08P17-3BM-120A</v>
      </c>
      <c r="E15" s="379"/>
      <c r="F15" s="379"/>
      <c r="G15" s="382"/>
      <c r="H15" s="385"/>
      <c r="I15" s="376"/>
      <c r="J15" s="376"/>
      <c r="K15" s="376"/>
      <c r="L15" s="376"/>
      <c r="M15" s="376"/>
      <c r="N15" s="376"/>
      <c r="O15" s="376"/>
      <c r="P15" s="376"/>
      <c r="Q15" s="373"/>
      <c r="R15" s="97"/>
      <c r="S15" s="97"/>
      <c r="T15" s="97"/>
    </row>
    <row r="16" spans="2:20" s="134" customFormat="1" ht="15" customHeight="1">
      <c r="B16" s="297" t="s">
        <v>244</v>
      </c>
      <c r="C16" s="192" t="str">
        <f>VLOOKUP(B16,'26MY_PASSPORT_DATA'!B:AR,4,FALSE)</f>
        <v>Plateau pour compartiment utilitaire</v>
      </c>
      <c r="D16" s="202" t="str">
        <f t="shared" ref="D16" si="1">B16</f>
        <v>08U45-3BM-100</v>
      </c>
      <c r="E16" s="380"/>
      <c r="F16" s="380"/>
      <c r="G16" s="383"/>
      <c r="H16" s="386"/>
      <c r="I16" s="377"/>
      <c r="J16" s="377"/>
      <c r="K16" s="377"/>
      <c r="L16" s="377"/>
      <c r="M16" s="377"/>
      <c r="N16" s="377"/>
      <c r="O16" s="377"/>
      <c r="P16" s="377"/>
      <c r="Q16" s="374"/>
      <c r="R16" s="97"/>
      <c r="S16" s="97"/>
      <c r="T16" s="97"/>
    </row>
    <row r="17" spans="2:20" s="134" customFormat="1" ht="6.9" customHeight="1">
      <c r="B17" s="297"/>
      <c r="C17" s="203"/>
      <c r="D17" s="204"/>
      <c r="E17" s="204"/>
      <c r="F17" s="204"/>
      <c r="G17" s="204"/>
      <c r="H17" s="204"/>
      <c r="I17" s="204"/>
      <c r="J17" s="204"/>
      <c r="K17" s="204"/>
      <c r="L17" s="204"/>
      <c r="M17" s="204"/>
      <c r="N17" s="204"/>
      <c r="O17" s="204"/>
      <c r="P17" s="204"/>
      <c r="Q17" s="349"/>
      <c r="R17" s="97"/>
      <c r="S17" s="97"/>
      <c r="T17" s="97"/>
    </row>
    <row r="18" spans="2:20" s="134" customFormat="1" ht="15" customHeight="1">
      <c r="B18" s="297" t="s">
        <v>287</v>
      </c>
      <c r="C18" s="196" t="str">
        <f>VLOOKUP(B18,'26MY_PASSPORT_DATA'!B:AR,4,FALSE)</f>
        <v>Ensemble de protection Avance</v>
      </c>
      <c r="D18" s="78" t="str">
        <f>B18</f>
        <v>26PAS-PROPKA</v>
      </c>
      <c r="E18" s="378">
        <f>VLOOKUP(B18,'26MY_PASSPORT_DATA'!B:AR,9,FALSE)</f>
        <v>664.2</v>
      </c>
      <c r="F18" s="378">
        <f>VLOOKUP(B18,'26MY_PASSPORT_DATA'!B:AR,10,FALSE)</f>
        <v>1107</v>
      </c>
      <c r="G18" s="381">
        <f>VLOOKUP(B18,'26MY_PASSPORT_DATA'!B:AR,7,FALSE)</f>
        <v>0.79999999999999993</v>
      </c>
      <c r="H18" s="384">
        <f>VLOOKUP(B18,'26MY_PASSPORT_DATA'!B:AR,11,FALSE)</f>
        <v>1243.8</v>
      </c>
      <c r="I18" s="375">
        <f>VLOOKUP($B18,'26MY_PASSPORT_DATA'!$B:$AR,12,FALSE)</f>
        <v>0</v>
      </c>
      <c r="J18" s="375">
        <f>VLOOKUP($B18,'26MY_PASSPORT_DATA'!$B:$AR,13,FALSE)</f>
        <v>0</v>
      </c>
      <c r="K18" s="375" t="str">
        <f>VLOOKUP(B18,'26MY_PASSPORT_DATA'!B:AR,14,FALSE)</f>
        <v>•</v>
      </c>
      <c r="L18" s="375" t="str">
        <f>VLOOKUP(B18,'26MY_PASSPORT_DATA'!B:AR,15,FALSE)</f>
        <v>•</v>
      </c>
      <c r="M18" s="375">
        <f>VLOOKUP($B18,'26MY_PASSPORT_DATA'!$B:$AR,16,FALSE)</f>
        <v>0</v>
      </c>
      <c r="N18" s="375">
        <f>VLOOKUP(B18,'26MY_PASSPORT_DATA'!B:AR,17,FALSE)</f>
        <v>0</v>
      </c>
      <c r="O18" s="375" t="str">
        <f>VLOOKUP(B18,'26MY_PASSPORT_DATA'!B:AR,18,FALSE)</f>
        <v>•</v>
      </c>
      <c r="P18" s="375" t="str">
        <f>VLOOKUP(B18,'26MY_PASSPORT_DATA'!B:AR,19,FALSE)</f>
        <v>•</v>
      </c>
      <c r="Q18" s="372" t="str">
        <f>IF(VLOOKUP(B18,'26MY_PASSPORT_DATA'!B:AR,21,FALSE)="","",VLOOKUP(B18,'26MY_PASSPORT_DATA'!B:AR,21,FALSE))</f>
        <v>Rabais de 10 % est appliqué</v>
      </c>
      <c r="R18" s="97"/>
      <c r="S18" s="97"/>
      <c r="T18" s="97"/>
    </row>
    <row r="19" spans="2:20" s="134" customFormat="1" ht="15" customHeight="1">
      <c r="B19" s="297" t="s">
        <v>240</v>
      </c>
      <c r="C19" s="192" t="str">
        <f>VLOOKUP(B19,'26MY_PASSPORT_DATA'!B:AR,4,FALSE)</f>
        <v>Tapis toutes saisons (logo TrailSport)</v>
      </c>
      <c r="D19" s="202" t="str">
        <f t="shared" ref="D19" si="2">B19</f>
        <v>08P17-3BM-120A</v>
      </c>
      <c r="E19" s="379"/>
      <c r="F19" s="379"/>
      <c r="G19" s="382"/>
      <c r="H19" s="385"/>
      <c r="I19" s="376"/>
      <c r="J19" s="376"/>
      <c r="K19" s="376"/>
      <c r="L19" s="376"/>
      <c r="M19" s="376"/>
      <c r="N19" s="376"/>
      <c r="O19" s="376"/>
      <c r="P19" s="376"/>
      <c r="Q19" s="373"/>
      <c r="R19" s="97"/>
      <c r="S19" s="97"/>
      <c r="T19" s="97"/>
    </row>
    <row r="20" spans="2:20" s="134" customFormat="1" ht="15" customHeight="1">
      <c r="B20" s="297" t="s">
        <v>244</v>
      </c>
      <c r="C20" s="192" t="str">
        <f>VLOOKUP(B20,'26MY_PASSPORT_DATA'!B:AR,4,FALSE)</f>
        <v>Plateau pour compartiment utilitaire</v>
      </c>
      <c r="D20" s="202" t="str">
        <f t="shared" ref="D20" si="3">B20</f>
        <v>08U45-3BM-100</v>
      </c>
      <c r="E20" s="379"/>
      <c r="F20" s="379"/>
      <c r="G20" s="382"/>
      <c r="H20" s="385"/>
      <c r="I20" s="376"/>
      <c r="J20" s="376"/>
      <c r="K20" s="376"/>
      <c r="L20" s="376"/>
      <c r="M20" s="376"/>
      <c r="N20" s="376"/>
      <c r="O20" s="376"/>
      <c r="P20" s="376"/>
      <c r="Q20" s="373"/>
      <c r="R20" s="97"/>
      <c r="S20" s="97"/>
      <c r="T20" s="97"/>
    </row>
    <row r="21" spans="2:20" s="134" customFormat="1" ht="14.4">
      <c r="B21" s="297" t="s">
        <v>250</v>
      </c>
      <c r="C21" s="192" t="str">
        <f>VLOOKUP(B21,'26MY_PASSPORT_DATA'!B:AR,4,FALSE)</f>
        <v>Couvre-bagages</v>
      </c>
      <c r="D21" s="202" t="str">
        <f t="shared" ref="D21:D22" si="4">B21</f>
        <v>08U35-3BM-310</v>
      </c>
      <c r="E21" s="379"/>
      <c r="F21" s="379"/>
      <c r="G21" s="382"/>
      <c r="H21" s="385"/>
      <c r="I21" s="376"/>
      <c r="J21" s="376"/>
      <c r="K21" s="376"/>
      <c r="L21" s="376"/>
      <c r="M21" s="376"/>
      <c r="N21" s="376"/>
      <c r="O21" s="376"/>
      <c r="P21" s="376"/>
      <c r="Q21" s="373"/>
      <c r="R21" s="97"/>
      <c r="S21" s="97"/>
      <c r="T21" s="97"/>
    </row>
    <row r="22" spans="2:20" s="134" customFormat="1" ht="14.4">
      <c r="B22" s="297" t="s">
        <v>232</v>
      </c>
      <c r="C22" s="192" t="str">
        <f>VLOOKUP(B22,'26MY_PASSPORT_DATA'!B:AR,4,FALSE)</f>
        <v>Garde-boue</v>
      </c>
      <c r="D22" s="202" t="str">
        <f t="shared" si="4"/>
        <v>08P00-3BM-100</v>
      </c>
      <c r="E22" s="380"/>
      <c r="F22" s="380"/>
      <c r="G22" s="383"/>
      <c r="H22" s="386"/>
      <c r="I22" s="377"/>
      <c r="J22" s="377"/>
      <c r="K22" s="377"/>
      <c r="L22" s="377"/>
      <c r="M22" s="377"/>
      <c r="N22" s="377"/>
      <c r="O22" s="377"/>
      <c r="P22" s="377"/>
      <c r="Q22" s="374"/>
      <c r="R22" s="97"/>
      <c r="S22" s="97"/>
      <c r="T22" s="97"/>
    </row>
    <row r="23" spans="2:20" s="134" customFormat="1" ht="6.9" customHeight="1">
      <c r="B23" s="297"/>
      <c r="C23" s="203"/>
      <c r="D23" s="204"/>
      <c r="E23" s="204"/>
      <c r="F23" s="204"/>
      <c r="G23" s="204"/>
      <c r="H23" s="204"/>
      <c r="I23" s="204"/>
      <c r="J23" s="204"/>
      <c r="K23" s="204"/>
      <c r="L23" s="204"/>
      <c r="M23" s="204"/>
      <c r="N23" s="204"/>
      <c r="O23" s="204"/>
      <c r="P23" s="204"/>
      <c r="Q23" s="349"/>
      <c r="R23" s="97"/>
      <c r="S23" s="97"/>
      <c r="T23" s="97"/>
    </row>
    <row r="24" spans="2:20" s="134" customFormat="1" ht="14.4">
      <c r="B24" s="297" t="s">
        <v>291</v>
      </c>
      <c r="C24" s="196" t="str">
        <f>VLOOKUP(B24,'26MY_PASSPORT_DATA'!B:AR,4,FALSE)</f>
        <v xml:space="preserve">Ensemble d’emblèmes noirs </v>
      </c>
      <c r="D24" s="284" t="str">
        <f>B24</f>
        <v>26PAS-BLK-EMB</v>
      </c>
      <c r="E24" s="378">
        <f>VLOOKUP(B24,'26MY_PASSPORT_DATA'!B:AR,9,FALSE)</f>
        <v>192.6</v>
      </c>
      <c r="F24" s="378">
        <f>VLOOKUP(B24,'26MY_PASSPORT_DATA'!B:AR,10,FALSE)</f>
        <v>320.40000000000003</v>
      </c>
      <c r="G24" s="381">
        <f>VLOOKUP(B24,'26MY_PASSPORT_DATA'!B:AR,7,FALSE)</f>
        <v>0.89999999999999991</v>
      </c>
      <c r="H24" s="384">
        <f>VLOOKUP(B24,'26MY_PASSPORT_DATA'!B:AR,11,FALSE)</f>
        <v>474.3</v>
      </c>
      <c r="I24" s="375">
        <f>VLOOKUP($B24,'26MY_PASSPORT_DATA'!$B:$AR,12,FALSE)</f>
        <v>0</v>
      </c>
      <c r="J24" s="375">
        <f>VLOOKUP($B24,'26MY_PASSPORT_DATA'!$B:$AR,13,FALSE)</f>
        <v>0</v>
      </c>
      <c r="K24" s="375" t="str">
        <f>VLOOKUP(B24,'26MY_PASSPORT_DATA'!B:AR,14,FALSE)</f>
        <v>•</v>
      </c>
      <c r="L24" s="375" t="str">
        <f>VLOOKUP(B24,'26MY_PASSPORT_DATA'!B:AR,15,FALSE)</f>
        <v>S</v>
      </c>
      <c r="M24" s="375">
        <f>VLOOKUP($B24,'26MY_PASSPORT_DATA'!$B:$AR,16,FALSE)</f>
        <v>0</v>
      </c>
      <c r="N24" s="375">
        <f>VLOOKUP(B24,'26MY_PASSPORT_DATA'!B:AR,17,FALSE)</f>
        <v>0</v>
      </c>
      <c r="O24" s="375" t="str">
        <f>VLOOKUP(B24,'26MY_PASSPORT_DATA'!B:AR,18,FALSE)</f>
        <v>•</v>
      </c>
      <c r="P24" s="375" t="str">
        <f>VLOOKUP(B24,'26MY_PASSPORT_DATA'!B:AR,19,FALSE)</f>
        <v>S</v>
      </c>
      <c r="Q24" s="372" t="str">
        <f>IF(VLOOKUP(B24,'26MY_PASSPORT_DATA'!B:AR,21,FALSE)="","",VLOOKUP(B24,'26MY_PASSPORT_DATA'!B:AR,21,FALSE))</f>
        <v>Rabais de 10 % est appliqué</v>
      </c>
      <c r="R24" s="97"/>
      <c r="S24" s="97"/>
      <c r="T24" s="97"/>
    </row>
    <row r="25" spans="2:20" s="134" customFormat="1" ht="14.4">
      <c r="B25" s="297" t="s">
        <v>236</v>
      </c>
      <c r="C25" s="293" t="str">
        <f>VLOOKUP(B25,'26MY_PASSPORT_DATA'!B:AR,4,FALSE)</f>
        <v>Emblème Passport noir</v>
      </c>
      <c r="D25" s="202" t="str">
        <f t="shared" ref="D25" si="5">B25</f>
        <v>08F20-3BM-100</v>
      </c>
      <c r="E25" s="379"/>
      <c r="F25" s="379"/>
      <c r="G25" s="382"/>
      <c r="H25" s="385"/>
      <c r="I25" s="376"/>
      <c r="J25" s="376"/>
      <c r="K25" s="376"/>
      <c r="L25" s="376"/>
      <c r="M25" s="376"/>
      <c r="N25" s="376"/>
      <c r="O25" s="376"/>
      <c r="P25" s="376"/>
      <c r="Q25" s="373"/>
      <c r="R25" s="97"/>
      <c r="S25" s="97"/>
      <c r="T25" s="97"/>
    </row>
    <row r="26" spans="2:20" s="134" customFormat="1" ht="14.1" customHeight="1">
      <c r="B26" s="297" t="s">
        <v>234</v>
      </c>
      <c r="C26" s="192" t="str">
        <f>VLOOKUP(B26,'26MY_PASSPORT_DATA'!B:AR,4,FALSE)</f>
        <v>Emblèmes noirs – Logo « H » à l’avant et à l’arrière</v>
      </c>
      <c r="D26" s="202" t="str">
        <f t="shared" ref="D26" si="6">B26</f>
        <v>08F20-3BM-100B</v>
      </c>
      <c r="E26" s="380"/>
      <c r="F26" s="380"/>
      <c r="G26" s="383"/>
      <c r="H26" s="386"/>
      <c r="I26" s="377"/>
      <c r="J26" s="377"/>
      <c r="K26" s="377"/>
      <c r="L26" s="377"/>
      <c r="M26" s="377"/>
      <c r="N26" s="377"/>
      <c r="O26" s="377"/>
      <c r="P26" s="377"/>
      <c r="Q26" s="374"/>
      <c r="R26" s="97"/>
      <c r="S26" s="97"/>
      <c r="T26" s="97"/>
    </row>
    <row r="27" spans="2:20" s="134" customFormat="1" ht="6.9" customHeight="1">
      <c r="B27" s="297"/>
      <c r="C27" s="203"/>
      <c r="D27" s="204"/>
      <c r="E27" s="204"/>
      <c r="F27" s="204"/>
      <c r="G27" s="204"/>
      <c r="H27" s="204"/>
      <c r="I27" s="204"/>
      <c r="J27" s="204"/>
      <c r="K27" s="204"/>
      <c r="L27" s="204"/>
      <c r="M27" s="204"/>
      <c r="N27" s="204"/>
      <c r="O27" s="204"/>
      <c r="P27" s="204"/>
      <c r="Q27" s="349"/>
      <c r="R27" s="97"/>
      <c r="S27" s="97"/>
      <c r="T27" s="97"/>
    </row>
    <row r="28" spans="2:20" s="134" customFormat="1" ht="14.4">
      <c r="B28" s="297" t="s">
        <v>296</v>
      </c>
      <c r="C28" s="196" t="str">
        <f>VLOOKUP(B28,'26MY_PASSPORT_DATA'!B:AR,4,FALSE)</f>
        <v>Ensemble de remorquage 1</v>
      </c>
      <c r="D28" s="78" t="str">
        <f>B28</f>
        <v>26PAS-TOW-PK1</v>
      </c>
      <c r="E28" s="378">
        <f>VLOOKUP(B28,'26MY_PASSPORT_DATA'!B:AR,9,FALSE)</f>
        <v>220.39999999999998</v>
      </c>
      <c r="F28" s="378">
        <f>VLOOKUP(B28,'26MY_PASSPORT_DATA'!B:AR,10,FALSE)</f>
        <v>354.34999999999997</v>
      </c>
      <c r="G28" s="381">
        <f>VLOOKUP(B28,'26MY_PASSPORT_DATA'!B:AR,7,FALSE)</f>
        <v>0</v>
      </c>
      <c r="H28" s="384">
        <f>VLOOKUP(B28,'26MY_PASSPORT_DATA'!B:AR,11,FALSE)</f>
        <v>354.34999999999997</v>
      </c>
      <c r="I28" s="375">
        <f>VLOOKUP($B28,'26MY_PASSPORT_DATA'!$B:$AR,12,FALSE)</f>
        <v>0</v>
      </c>
      <c r="J28" s="375">
        <f>VLOOKUP($B28,'26MY_PASSPORT_DATA'!$B:$AR,13,FALSE)</f>
        <v>0</v>
      </c>
      <c r="K28" s="375" t="str">
        <f>VLOOKUP(B28,'26MY_PASSPORT_DATA'!B:AR,14,FALSE)</f>
        <v>•</v>
      </c>
      <c r="L28" s="375" t="str">
        <f>VLOOKUP(B28,'26MY_PASSPORT_DATA'!B:AR,15,FALSE)</f>
        <v>•</v>
      </c>
      <c r="M28" s="375">
        <f>VLOOKUP($B28,'26MY_PASSPORT_DATA'!$B:$AR,16,FALSE)</f>
        <v>0</v>
      </c>
      <c r="N28" s="375">
        <f>VLOOKUP(B28,'26MY_PASSPORT_DATA'!B:AR,17,FALSE)</f>
        <v>0</v>
      </c>
      <c r="O28" s="375" t="str">
        <f>VLOOKUP(B28,'26MY_PASSPORT_DATA'!B:AR,18,FALSE)</f>
        <v>•</v>
      </c>
      <c r="P28" s="375" t="str">
        <f>VLOOKUP(B28,'26MY_PASSPORT_DATA'!B:AR,19,FALSE)</f>
        <v>•</v>
      </c>
      <c r="Q28" s="372" t="str">
        <f>IF(VLOOKUP(B28,'26MY_PASSPORT_DATA'!B:AR,21,FALSE)="","",VLOOKUP(B28,'26MY_PASSPORT_DATA'!B:AR,21,FALSE))</f>
        <v>Rabais de 5 % est appliqué</v>
      </c>
      <c r="R28" s="97"/>
      <c r="S28" s="97"/>
      <c r="T28" s="97"/>
    </row>
    <row r="29" spans="2:20" s="134" customFormat="1" ht="14.4">
      <c r="B29" s="297" t="s">
        <v>231</v>
      </c>
      <c r="C29" s="192" t="str">
        <f>VLOOKUP(B29,'26MY_PASSPORT_DATA'!B:AR,4,FALSE)</f>
        <v>Attelage de remorque – Monture de rotule</v>
      </c>
      <c r="D29" s="202" t="str">
        <f t="shared" ref="D29" si="7">B29</f>
        <v>08L92-3BM-100A</v>
      </c>
      <c r="E29" s="379"/>
      <c r="F29" s="379"/>
      <c r="G29" s="382"/>
      <c r="H29" s="385"/>
      <c r="I29" s="376"/>
      <c r="J29" s="376"/>
      <c r="K29" s="376"/>
      <c r="L29" s="376"/>
      <c r="M29" s="376"/>
      <c r="N29" s="376"/>
      <c r="O29" s="376"/>
      <c r="P29" s="376"/>
      <c r="Q29" s="373"/>
      <c r="R29" s="97"/>
      <c r="S29" s="97"/>
      <c r="T29" s="97"/>
    </row>
    <row r="30" spans="2:20" s="134" customFormat="1" ht="14.4">
      <c r="B30" s="297" t="s">
        <v>196</v>
      </c>
      <c r="C30" s="192" t="str">
        <f>VLOOKUP(B30,'26MY_PASSPORT_DATA'!B:AR,4,FALSE)</f>
        <v>Attelage de remorque – Rotule d'attelage de 1 7/8 po</v>
      </c>
      <c r="D30" s="202" t="str">
        <f t="shared" ref="D30" si="8">B30</f>
        <v>08L92-S9V-300G</v>
      </c>
      <c r="E30" s="379"/>
      <c r="F30" s="379"/>
      <c r="G30" s="382"/>
      <c r="H30" s="385"/>
      <c r="I30" s="376"/>
      <c r="J30" s="376"/>
      <c r="K30" s="376"/>
      <c r="L30" s="376"/>
      <c r="M30" s="376"/>
      <c r="N30" s="376"/>
      <c r="O30" s="376"/>
      <c r="P30" s="376"/>
      <c r="Q30" s="373"/>
      <c r="R30" s="97"/>
      <c r="S30" s="97"/>
      <c r="T30" s="97"/>
    </row>
    <row r="31" spans="2:20" s="134" customFormat="1" ht="14.4">
      <c r="B31" s="297" t="s">
        <v>198</v>
      </c>
      <c r="C31" s="192" t="str">
        <f>VLOOKUP(B31,'26MY_PASSPORT_DATA'!B:AR,4,FALSE)</f>
        <v>Attelage de remorque – Goupille de verrouillage</v>
      </c>
      <c r="D31" s="220" t="str">
        <f t="shared" ref="D31" si="9">B31</f>
        <v>08L92-SJC-300A</v>
      </c>
      <c r="E31" s="380"/>
      <c r="F31" s="380"/>
      <c r="G31" s="383"/>
      <c r="H31" s="386"/>
      <c r="I31" s="377"/>
      <c r="J31" s="377"/>
      <c r="K31" s="377"/>
      <c r="L31" s="377"/>
      <c r="M31" s="377"/>
      <c r="N31" s="377"/>
      <c r="O31" s="377"/>
      <c r="P31" s="377"/>
      <c r="Q31" s="374"/>
      <c r="R31" s="97"/>
      <c r="S31" s="97"/>
      <c r="T31" s="97"/>
    </row>
    <row r="32" spans="2:20" s="134" customFormat="1" ht="6.9" customHeight="1">
      <c r="B32" s="297"/>
      <c r="C32" s="203"/>
      <c r="D32" s="204"/>
      <c r="E32" s="204"/>
      <c r="F32" s="204"/>
      <c r="G32" s="204"/>
      <c r="H32" s="204"/>
      <c r="I32" s="204"/>
      <c r="J32" s="204"/>
      <c r="K32" s="204"/>
      <c r="L32" s="204"/>
      <c r="M32" s="204"/>
      <c r="N32" s="204"/>
      <c r="O32" s="204"/>
      <c r="P32" s="204"/>
      <c r="Q32" s="349"/>
      <c r="R32" s="97"/>
      <c r="S32" s="97"/>
      <c r="T32" s="97"/>
    </row>
    <row r="33" spans="2:20" s="134" customFormat="1" ht="14.4">
      <c r="B33" s="297" t="s">
        <v>297</v>
      </c>
      <c r="C33" s="196" t="str">
        <f>VLOOKUP(B33,'26MY_PASSPORT_DATA'!B:AR,4,FALSE)</f>
        <v>Ensemble de remorquage 2</v>
      </c>
      <c r="D33" s="78" t="str">
        <f>B33</f>
        <v>26PAS-TOW-PK2</v>
      </c>
      <c r="E33" s="378">
        <f>VLOOKUP(B33,'26MY_PASSPORT_DATA'!B:AR,9,FALSE)</f>
        <v>220.39999999999998</v>
      </c>
      <c r="F33" s="378">
        <f>VLOOKUP(B33,'26MY_PASSPORT_DATA'!B:AR,10,FALSE)</f>
        <v>354.34999999999997</v>
      </c>
      <c r="G33" s="381">
        <f>VLOOKUP(B33,'26MY_PASSPORT_DATA'!B:AR,7,FALSE)</f>
        <v>0</v>
      </c>
      <c r="H33" s="384">
        <f>VLOOKUP(B33,'26MY_PASSPORT_DATA'!B:AR,11,FALSE)</f>
        <v>354.34999999999997</v>
      </c>
      <c r="I33" s="375">
        <f>VLOOKUP($B33,'26MY_PASSPORT_DATA'!$B:$AR,12,FALSE)</f>
        <v>0</v>
      </c>
      <c r="J33" s="375">
        <f>VLOOKUP($B33,'26MY_PASSPORT_DATA'!$B:$AR,13,FALSE)</f>
        <v>0</v>
      </c>
      <c r="K33" s="375" t="str">
        <f>VLOOKUP(B33,'26MY_PASSPORT_DATA'!B:AR,14,FALSE)</f>
        <v>•</v>
      </c>
      <c r="L33" s="375" t="str">
        <f>VLOOKUP(B33,'26MY_PASSPORT_DATA'!B:AR,15,FALSE)</f>
        <v>•</v>
      </c>
      <c r="M33" s="375">
        <f>VLOOKUP($B33,'26MY_PASSPORT_DATA'!$B:$AR,16,FALSE)</f>
        <v>0</v>
      </c>
      <c r="N33" s="375">
        <f>VLOOKUP(B33,'26MY_PASSPORT_DATA'!B:AR,17,FALSE)</f>
        <v>0</v>
      </c>
      <c r="O33" s="375" t="str">
        <f>VLOOKUP(B33,'26MY_PASSPORT_DATA'!B:AR,18,FALSE)</f>
        <v>•</v>
      </c>
      <c r="P33" s="375" t="str">
        <f>VLOOKUP(B33,'26MY_PASSPORT_DATA'!B:AR,19,FALSE)</f>
        <v>•</v>
      </c>
      <c r="Q33" s="372" t="str">
        <f>IF(VLOOKUP(B33,'26MY_PASSPORT_DATA'!B:AR,21,FALSE)="","",VLOOKUP(B33,'26MY_PASSPORT_DATA'!B:AR,21,FALSE))</f>
        <v>Rabais de 5 % est appliqué</v>
      </c>
      <c r="R33" s="97"/>
      <c r="S33" s="97"/>
      <c r="T33" s="97"/>
    </row>
    <row r="34" spans="2:20" s="134" customFormat="1" ht="14.4">
      <c r="B34" s="297" t="s">
        <v>231</v>
      </c>
      <c r="C34" s="192" t="str">
        <f>VLOOKUP(B34,'26MY_PASSPORT_DATA'!B:AR,4,FALSE)</f>
        <v>Attelage de remorque – Monture de rotule</v>
      </c>
      <c r="D34" s="202" t="str">
        <f t="shared" ref="D34:D36" si="10">B34</f>
        <v>08L92-3BM-100A</v>
      </c>
      <c r="E34" s="379"/>
      <c r="F34" s="379"/>
      <c r="G34" s="382"/>
      <c r="H34" s="385"/>
      <c r="I34" s="376"/>
      <c r="J34" s="376"/>
      <c r="K34" s="376"/>
      <c r="L34" s="376"/>
      <c r="M34" s="376"/>
      <c r="N34" s="376"/>
      <c r="O34" s="376"/>
      <c r="P34" s="376"/>
      <c r="Q34" s="373"/>
      <c r="R34" s="97"/>
      <c r="S34" s="97"/>
      <c r="T34" s="97"/>
    </row>
    <row r="35" spans="2:20" s="134" customFormat="1" ht="14.4">
      <c r="B35" s="297" t="s">
        <v>197</v>
      </c>
      <c r="C35" s="192" t="str">
        <f>VLOOKUP(B35,'26MY_PASSPORT_DATA'!B:AR,4,FALSE)</f>
        <v>Attelage de remorque – Rotule d'attelage de 2 po</v>
      </c>
      <c r="D35" s="202" t="str">
        <f t="shared" si="10"/>
        <v>08L92-S9V-300H</v>
      </c>
      <c r="E35" s="379"/>
      <c r="F35" s="379"/>
      <c r="G35" s="382"/>
      <c r="H35" s="385"/>
      <c r="I35" s="376"/>
      <c r="J35" s="376"/>
      <c r="K35" s="376"/>
      <c r="L35" s="376"/>
      <c r="M35" s="376"/>
      <c r="N35" s="376"/>
      <c r="O35" s="376"/>
      <c r="P35" s="376"/>
      <c r="Q35" s="373"/>
      <c r="R35" s="97"/>
      <c r="S35" s="97"/>
      <c r="T35" s="97"/>
    </row>
    <row r="36" spans="2:20" s="134" customFormat="1" ht="14.4">
      <c r="B36" s="297" t="s">
        <v>198</v>
      </c>
      <c r="C36" s="192" t="str">
        <f>VLOOKUP(B36,'26MY_PASSPORT_DATA'!B:AR,4,FALSE)</f>
        <v>Attelage de remorque – Goupille de verrouillage</v>
      </c>
      <c r="D36" s="220" t="str">
        <f t="shared" si="10"/>
        <v>08L92-SJC-300A</v>
      </c>
      <c r="E36" s="380"/>
      <c r="F36" s="380"/>
      <c r="G36" s="383"/>
      <c r="H36" s="386"/>
      <c r="I36" s="377"/>
      <c r="J36" s="377"/>
      <c r="K36" s="377"/>
      <c r="L36" s="377"/>
      <c r="M36" s="377"/>
      <c r="N36" s="377"/>
      <c r="O36" s="377"/>
      <c r="P36" s="377"/>
      <c r="Q36" s="374"/>
      <c r="R36" s="97"/>
      <c r="S36" s="97"/>
      <c r="T36" s="97"/>
    </row>
    <row r="37" spans="2:20" s="134" customFormat="1" ht="6.9" customHeight="1">
      <c r="B37" s="297"/>
      <c r="C37" s="203"/>
      <c r="D37" s="204"/>
      <c r="E37" s="204"/>
      <c r="F37" s="204"/>
      <c r="G37" s="204"/>
      <c r="H37" s="204"/>
      <c r="I37" s="204"/>
      <c r="J37" s="204"/>
      <c r="K37" s="204"/>
      <c r="L37" s="204"/>
      <c r="M37" s="204"/>
      <c r="N37" s="204"/>
      <c r="O37" s="204"/>
      <c r="P37" s="204"/>
      <c r="Q37" s="349"/>
      <c r="R37" s="97"/>
      <c r="S37" s="97"/>
      <c r="T37" s="97"/>
    </row>
    <row r="38" spans="2:20" s="134" customFormat="1" ht="14.4">
      <c r="B38" s="297" t="s">
        <v>292</v>
      </c>
      <c r="C38" s="196" t="str">
        <f>VLOOKUP(B38,'26MY_PASSPORT_DATA'!B:AR,4,FALSE)</f>
        <v>Ensemble robuste</v>
      </c>
      <c r="D38" s="284" t="str">
        <f>B38</f>
        <v>26PAS-RUGPK</v>
      </c>
      <c r="E38" s="378">
        <f>VLOOKUP(B38,'26MY_PASSPORT_DATA'!B:AR,9,FALSE)</f>
        <v>1664</v>
      </c>
      <c r="F38" s="378">
        <f>VLOOKUP(B38,'26MY_PASSPORT_DATA'!B:AR,10,FALSE)</f>
        <v>2606</v>
      </c>
      <c r="G38" s="381">
        <f>VLOOKUP(B38,'26MY_PASSPORT_DATA'!B:AR,7,FALSE)</f>
        <v>1.9</v>
      </c>
      <c r="H38" s="384">
        <f>VLOOKUP(B38,'26MY_PASSPORT_DATA'!B:AR,11,FALSE)</f>
        <v>2930.9</v>
      </c>
      <c r="I38" s="375">
        <f>VLOOKUP($B38,'26MY_PASSPORT_DATA'!$B:$AR,12,FALSE)</f>
        <v>0</v>
      </c>
      <c r="J38" s="375">
        <f>VLOOKUP($B38,'26MY_PASSPORT_DATA'!$B:$AR,13,FALSE)</f>
        <v>0</v>
      </c>
      <c r="K38" s="375" t="str">
        <f>VLOOKUP(B38,'26MY_PASSPORT_DATA'!B:AR,14,FALSE)</f>
        <v>•</v>
      </c>
      <c r="L38" s="375" t="str">
        <f>VLOOKUP(B38,'26MY_PASSPORT_DATA'!B:AR,15,FALSE)</f>
        <v>•</v>
      </c>
      <c r="M38" s="375">
        <f>VLOOKUP($B38,'26MY_PASSPORT_DATA'!$B:$AR,16,FALSE)</f>
        <v>0</v>
      </c>
      <c r="N38" s="375">
        <f>VLOOKUP(B38,'26MY_PASSPORT_DATA'!B:AR,17,FALSE)</f>
        <v>0</v>
      </c>
      <c r="O38" s="375" t="str">
        <f>VLOOKUP(B38,'26MY_PASSPORT_DATA'!B:AR,18,FALSE)</f>
        <v>•</v>
      </c>
      <c r="P38" s="375" t="str">
        <f>VLOOKUP(B38,'26MY_PASSPORT_DATA'!B:AR,19,FALSE)</f>
        <v>•</v>
      </c>
      <c r="Q38" s="372" t="str">
        <f>IF(VLOOKUP(B38,'26MY_PASSPORT_DATA'!B:AR,21,FALSE)="","",VLOOKUP(B38,'26MY_PASSPORT_DATA'!B:AR,21,FALSE))</f>
        <v>Remise promotionnelle de 20 % disponible pour une durée limitée.</v>
      </c>
      <c r="R38" s="97"/>
      <c r="S38" s="97"/>
      <c r="T38" s="97"/>
    </row>
    <row r="39" spans="2:20" s="134" customFormat="1" ht="14.4">
      <c r="B39" s="297" t="s">
        <v>240</v>
      </c>
      <c r="C39" s="192" t="str">
        <f>VLOOKUP(B39,'26MY_PASSPORT_DATA'!B:AR,4,FALSE)</f>
        <v>Tapis toutes saisons (logo TrailSport)</v>
      </c>
      <c r="D39" s="202" t="str">
        <f t="shared" ref="D39" si="11">B39</f>
        <v>08P17-3BM-120A</v>
      </c>
      <c r="E39" s="379"/>
      <c r="F39" s="379"/>
      <c r="G39" s="382"/>
      <c r="H39" s="385"/>
      <c r="I39" s="376"/>
      <c r="J39" s="376"/>
      <c r="K39" s="376"/>
      <c r="L39" s="376"/>
      <c r="M39" s="376"/>
      <c r="N39" s="376"/>
      <c r="O39" s="376"/>
      <c r="P39" s="376"/>
      <c r="Q39" s="373"/>
      <c r="R39" s="97"/>
      <c r="S39" s="97"/>
      <c r="T39" s="97"/>
    </row>
    <row r="40" spans="2:20" s="134" customFormat="1" ht="14.4">
      <c r="B40" s="297" t="s">
        <v>244</v>
      </c>
      <c r="C40" s="192" t="str">
        <f>VLOOKUP(B40,'26MY_PASSPORT_DATA'!B:AR,4,FALSE)</f>
        <v>Plateau pour compartiment utilitaire</v>
      </c>
      <c r="D40" s="202" t="str">
        <f t="shared" ref="D40:D43" si="12">B40</f>
        <v>08U45-3BM-100</v>
      </c>
      <c r="E40" s="379"/>
      <c r="F40" s="379"/>
      <c r="G40" s="382"/>
      <c r="H40" s="385"/>
      <c r="I40" s="376"/>
      <c r="J40" s="376"/>
      <c r="K40" s="376"/>
      <c r="L40" s="376"/>
      <c r="M40" s="376"/>
      <c r="N40" s="376"/>
      <c r="O40" s="376"/>
      <c r="P40" s="376"/>
      <c r="Q40" s="373"/>
      <c r="R40" s="97"/>
      <c r="S40" s="97"/>
      <c r="T40" s="97"/>
    </row>
    <row r="41" spans="2:20" s="134" customFormat="1" ht="14.4">
      <c r="B41" s="297" t="s">
        <v>232</v>
      </c>
      <c r="C41" s="192" t="str">
        <f>VLOOKUP(B41,'26MY_PASSPORT_DATA'!B:AR,4,FALSE)</f>
        <v>Garde-boue</v>
      </c>
      <c r="D41" s="202" t="str">
        <f t="shared" si="12"/>
        <v>08P00-3BM-100</v>
      </c>
      <c r="E41" s="379"/>
      <c r="F41" s="379"/>
      <c r="G41" s="382"/>
      <c r="H41" s="385"/>
      <c r="I41" s="376"/>
      <c r="J41" s="376"/>
      <c r="K41" s="376"/>
      <c r="L41" s="376"/>
      <c r="M41" s="376"/>
      <c r="N41" s="376"/>
      <c r="O41" s="376"/>
      <c r="P41" s="376"/>
      <c r="Q41" s="373"/>
      <c r="R41" s="97"/>
      <c r="S41" s="97"/>
      <c r="T41" s="97"/>
    </row>
    <row r="42" spans="2:20" s="134" customFormat="1" ht="14.4">
      <c r="B42" s="297" t="s">
        <v>242</v>
      </c>
      <c r="C42" s="192" t="str">
        <f>VLOOKUP(B42,'26MY_PASSPORT_DATA'!B:AR,4,FALSE)</f>
        <v>Plaque de protection avant</v>
      </c>
      <c r="D42" s="202" t="str">
        <f t="shared" si="12"/>
        <v>08P46-3BM-100</v>
      </c>
      <c r="E42" s="379"/>
      <c r="F42" s="379"/>
      <c r="G42" s="382"/>
      <c r="H42" s="385"/>
      <c r="I42" s="376"/>
      <c r="J42" s="376"/>
      <c r="K42" s="376"/>
      <c r="L42" s="376"/>
      <c r="M42" s="376"/>
      <c r="N42" s="376"/>
      <c r="O42" s="376"/>
      <c r="P42" s="376"/>
      <c r="Q42" s="373"/>
      <c r="R42" s="97"/>
      <c r="S42" s="97"/>
      <c r="T42" s="97"/>
    </row>
    <row r="43" spans="2:20" s="134" customFormat="1" ht="14.4">
      <c r="B43" s="297" t="s">
        <v>229</v>
      </c>
      <c r="C43" s="192" t="str">
        <f>VLOOKUP(B43,'26MY_PASSPORT_DATA'!B:AR,4,FALSE)</f>
        <v>Barre de protection latérale</v>
      </c>
      <c r="D43" s="220" t="str">
        <f t="shared" si="12"/>
        <v>08L33-3BM-100A</v>
      </c>
      <c r="E43" s="380"/>
      <c r="F43" s="380"/>
      <c r="G43" s="383"/>
      <c r="H43" s="386"/>
      <c r="I43" s="377"/>
      <c r="J43" s="377"/>
      <c r="K43" s="377"/>
      <c r="L43" s="377"/>
      <c r="M43" s="377"/>
      <c r="N43" s="377"/>
      <c r="O43" s="377"/>
      <c r="P43" s="377"/>
      <c r="Q43" s="374"/>
      <c r="R43" s="97"/>
      <c r="S43" s="97"/>
      <c r="T43" s="97"/>
    </row>
    <row r="44" spans="2:20" s="134" customFormat="1" ht="6.9" customHeight="1">
      <c r="B44" s="297"/>
      <c r="C44" s="203"/>
      <c r="D44" s="204"/>
      <c r="E44" s="204"/>
      <c r="F44" s="204"/>
      <c r="G44" s="204"/>
      <c r="H44" s="204"/>
      <c r="I44" s="204"/>
      <c r="J44" s="204"/>
      <c r="K44" s="204"/>
      <c r="L44" s="204"/>
      <c r="M44" s="204"/>
      <c r="N44" s="204"/>
      <c r="O44" s="204"/>
      <c r="P44" s="204"/>
      <c r="Q44" s="349"/>
      <c r="R44" s="97"/>
      <c r="S44" s="97"/>
      <c r="T44" s="97"/>
    </row>
    <row r="45" spans="2:20" s="133" customFormat="1" ht="18">
      <c r="B45" s="297" t="s">
        <v>497</v>
      </c>
      <c r="C45" s="196" t="str">
        <f>VLOOKUP(B45,'26MY_PASSPORT_DATA'!B:AR,4,FALSE)</f>
        <v>Ensemble de temps froid</v>
      </c>
      <c r="D45" s="78" t="str">
        <f>B45</f>
        <v>26PAS-COLD</v>
      </c>
      <c r="E45" s="378">
        <f>VLOOKUP(B45,'26MY_PASSPORT_DATA'!B:AR,9,FALSE)</f>
        <v>230.85</v>
      </c>
      <c r="F45" s="378">
        <f>VLOOKUP(B45,'26MY_PASSPORT_DATA'!B:AR,10,FALSE)</f>
        <v>405</v>
      </c>
      <c r="G45" s="381">
        <f>VLOOKUP(B45,'26MY_PASSPORT_DATA'!B:AR,7,FALSE)</f>
        <v>1.2</v>
      </c>
      <c r="H45" s="384">
        <f>VLOOKUP(B45,'26MY_PASSPORT_DATA'!B:AR,11,FALSE)</f>
        <v>610.20000000000005</v>
      </c>
      <c r="I45" s="375">
        <f>VLOOKUP($B45,'26MY_PASSPORT_DATA'!$B:$AR,12,FALSE)</f>
        <v>0</v>
      </c>
      <c r="J45" s="375">
        <f>VLOOKUP($B45,'26MY_PASSPORT_DATA'!$B:$AR,13,FALSE)</f>
        <v>0</v>
      </c>
      <c r="K45" s="375" t="str">
        <f>VLOOKUP(B45,'26MY_PASSPORT_DATA'!B:AR,14,FALSE)</f>
        <v>•</v>
      </c>
      <c r="L45" s="375" t="str">
        <f>VLOOKUP(B45,'26MY_PASSPORT_DATA'!B:AR,15,FALSE)</f>
        <v>•</v>
      </c>
      <c r="M45" s="375">
        <f>VLOOKUP($B45,'26MY_PASSPORT_DATA'!$B:$AR,16,FALSE)</f>
        <v>0</v>
      </c>
      <c r="N45" s="375">
        <f>VLOOKUP(B45,'26MY_PASSPORT_DATA'!B:AR,17,FALSE)</f>
        <v>0</v>
      </c>
      <c r="O45" s="375" t="str">
        <f>VLOOKUP(B45,'26MY_PASSPORT_DATA'!B:AR,18,FALSE)</f>
        <v>•</v>
      </c>
      <c r="P45" s="375" t="str">
        <f>VLOOKUP(B45,'26MY_PASSPORT_DATA'!B:AR,19,FALSE)</f>
        <v>•</v>
      </c>
      <c r="Q45" s="372" t="str">
        <f>IF(VLOOKUP(B45,'26MY_PASSPORT_DATA'!B:AR,21,FALSE)="","",VLOOKUP(B45,'26MY_PASSPORT_DATA'!B:AR,21,FALSE))</f>
        <v>Rabais de 5 % est appliqué</v>
      </c>
      <c r="R45" s="95"/>
      <c r="S45" s="95"/>
      <c r="T45" s="95"/>
    </row>
    <row r="46" spans="2:20" s="134" customFormat="1" ht="14.4">
      <c r="B46" s="297" t="s">
        <v>426</v>
      </c>
      <c r="C46" s="192" t="str">
        <f>VLOOKUP(B46,'26MY_PASSPORT_DATA'!B:AR,4,FALSE)</f>
        <v xml:space="preserve">Chauffe-moteur   </v>
      </c>
      <c r="D46" s="220" t="str">
        <f t="shared" ref="D46:D47" si="13">B46</f>
        <v>08T44-SNA-302</v>
      </c>
      <c r="E46" s="379"/>
      <c r="F46" s="379"/>
      <c r="G46" s="382"/>
      <c r="H46" s="385"/>
      <c r="I46" s="376"/>
      <c r="J46" s="376"/>
      <c r="K46" s="376"/>
      <c r="L46" s="376"/>
      <c r="M46" s="376"/>
      <c r="N46" s="376"/>
      <c r="O46" s="376"/>
      <c r="P46" s="376"/>
      <c r="Q46" s="373"/>
      <c r="R46" s="97"/>
      <c r="S46" s="97"/>
      <c r="T46" s="97"/>
    </row>
    <row r="47" spans="2:20" s="134" customFormat="1" ht="28.8">
      <c r="B47" s="297" t="s">
        <v>258</v>
      </c>
      <c r="C47" s="293" t="str">
        <f>VLOOKUP(B47,'26MY_PASSPORT_DATA'!B:AR,4,FALSE)</f>
        <v>Chargeur/mainteneur de batterie automobile 12 V Optimate</v>
      </c>
      <c r="D47" s="202" t="str">
        <f t="shared" si="13"/>
        <v>31670-BMS-004H</v>
      </c>
      <c r="E47" s="380"/>
      <c r="F47" s="380"/>
      <c r="G47" s="383"/>
      <c r="H47" s="386"/>
      <c r="I47" s="377"/>
      <c r="J47" s="377"/>
      <c r="K47" s="377"/>
      <c r="L47" s="377"/>
      <c r="M47" s="377"/>
      <c r="N47" s="377"/>
      <c r="O47" s="377"/>
      <c r="P47" s="377"/>
      <c r="Q47" s="374"/>
      <c r="R47" s="97"/>
      <c r="S47" s="97"/>
      <c r="T47" s="97"/>
    </row>
    <row r="48" spans="2:20" s="135" customFormat="1" ht="15" customHeight="1">
      <c r="B48" s="298"/>
      <c r="C48" s="132"/>
      <c r="D48" s="132"/>
      <c r="E48" s="132"/>
      <c r="F48" s="132"/>
      <c r="G48" s="131"/>
      <c r="H48" s="132"/>
      <c r="I48" s="132"/>
      <c r="J48" s="132"/>
      <c r="K48" s="132"/>
      <c r="L48" s="132"/>
      <c r="M48" s="132"/>
      <c r="N48" s="132"/>
      <c r="O48" s="132"/>
      <c r="P48" s="132"/>
      <c r="Q48" s="132"/>
    </row>
    <row r="49" spans="2:17" s="133" customFormat="1" ht="18">
      <c r="B49" s="297"/>
      <c r="C49" s="152" t="s">
        <v>81</v>
      </c>
      <c r="D49" s="152"/>
      <c r="E49" s="143"/>
      <c r="F49" s="143"/>
      <c r="G49" s="143"/>
      <c r="H49" s="143"/>
      <c r="I49" s="143"/>
      <c r="J49" s="143"/>
      <c r="K49" s="143"/>
      <c r="L49" s="143"/>
      <c r="M49" s="143"/>
      <c r="N49" s="143"/>
      <c r="O49" s="143"/>
      <c r="P49" s="143"/>
      <c r="Q49" s="143"/>
    </row>
    <row r="50" spans="2:17" s="134" customFormat="1" ht="15" customHeight="1">
      <c r="B50" s="297"/>
      <c r="C50" s="387" t="s">
        <v>74</v>
      </c>
      <c r="D50" s="387" t="s">
        <v>75</v>
      </c>
      <c r="E50" s="387" t="s">
        <v>76</v>
      </c>
      <c r="F50" s="387" t="s">
        <v>77</v>
      </c>
      <c r="G50" s="387" t="s">
        <v>78</v>
      </c>
      <c r="H50" s="388" t="s">
        <v>79</v>
      </c>
      <c r="I50" s="387" t="s">
        <v>23</v>
      </c>
      <c r="J50" s="387"/>
      <c r="K50" s="387"/>
      <c r="L50" s="387"/>
      <c r="M50" s="387"/>
      <c r="N50" s="387"/>
      <c r="O50" s="387"/>
      <c r="P50" s="387"/>
      <c r="Q50" s="387" t="s">
        <v>80</v>
      </c>
    </row>
    <row r="51" spans="2:17" s="134" customFormat="1" ht="43.2">
      <c r="B51" s="299"/>
      <c r="C51" s="387"/>
      <c r="D51" s="387"/>
      <c r="E51" s="387"/>
      <c r="F51" s="387"/>
      <c r="G51" s="387"/>
      <c r="H51" s="388"/>
      <c r="I51" s="174">
        <f>'26MY_PASSPORT_DATA'!$M$6</f>
        <v>0</v>
      </c>
      <c r="J51" s="174">
        <f>'26MY_PASSPORT_DATA'!$M$6</f>
        <v>0</v>
      </c>
      <c r="K51" s="174" t="str">
        <f>'26MY_PASSPORT_DATA'!$O$6</f>
        <v>TrailSport</v>
      </c>
      <c r="L51" s="174" t="str">
        <f>'26MY_PASSPORT_DATA'!$P$6</f>
        <v>TrailSport Blackout</v>
      </c>
      <c r="M51" s="174">
        <f>'26MY_PASSPORT_DATA'!$R$6</f>
        <v>0</v>
      </c>
      <c r="N51" s="174">
        <f>'26MY_PASSPORT_DATA'!$R$6</f>
        <v>0</v>
      </c>
      <c r="O51" s="174" t="str">
        <f>'26MY_PASSPORT_DATA'!$S$6</f>
        <v>TrailSport Touring</v>
      </c>
      <c r="P51" s="174" t="str">
        <f>'26MY_PASSPORT_DATA'!$T$6</f>
        <v>Trailsport Touring Blackout</v>
      </c>
      <c r="Q51" s="387"/>
    </row>
    <row r="52" spans="2:17" s="135" customFormat="1" ht="15" customHeight="1">
      <c r="B52" s="298" t="s">
        <v>247</v>
      </c>
      <c r="C52" s="224" t="str">
        <f>VLOOKUP(B52,'26MY_PASSPORT_DATA'!B:AR,4,FALSE)</f>
        <v>Jantes rétro blanches de 18 pouces en alliage</v>
      </c>
      <c r="D52" s="79" t="str">
        <f>B52</f>
        <v>08W18-3BM-100</v>
      </c>
      <c r="E52" s="343">
        <f>VLOOKUP(B52,'26MY_PASSPORT_DATA'!B:AR,9,FALSE)</f>
        <v>2128</v>
      </c>
      <c r="F52" s="343">
        <f>VLOOKUP(B52,'26MY_PASSPORT_DATA'!B:AR,10,FALSE)</f>
        <v>3272</v>
      </c>
      <c r="G52" s="344">
        <f>VLOOKUP(B52,'26MY_PASSPORT_DATA'!B:AR,7,FALSE)</f>
        <v>1.6</v>
      </c>
      <c r="H52" s="345">
        <f>VLOOKUP(B52,'26MY_PASSPORT_DATA'!B:AR,11,FALSE)</f>
        <v>3545.6</v>
      </c>
      <c r="I52" s="347">
        <f>VLOOKUP($B52,'26MY_PASSPORT_DATA'!$B:$AR,12,FALSE)</f>
        <v>0</v>
      </c>
      <c r="J52" s="347">
        <f>VLOOKUP($B52,'26MY_PASSPORT_DATA'!$B:$AR,13,FALSE)</f>
        <v>0</v>
      </c>
      <c r="K52" s="347" t="str">
        <f>VLOOKUP(B52,'26MY_PASSPORT_DATA'!B:AR,14,FALSE)</f>
        <v>•</v>
      </c>
      <c r="L52" s="347" t="str">
        <f>VLOOKUP(B52,'26MY_PASSPORT_DATA'!B:AR,15,FALSE)</f>
        <v>•</v>
      </c>
      <c r="M52" s="347">
        <f>VLOOKUP($B52,'26MY_PASSPORT_DATA'!$B:$AR,16,FALSE)</f>
        <v>0</v>
      </c>
      <c r="N52" s="347">
        <f>VLOOKUP(B52,'26MY_PASSPORT_DATA'!B:AR,17,FALSE)</f>
        <v>0</v>
      </c>
      <c r="O52" s="347" t="str">
        <f>VLOOKUP(B52,'26MY_PASSPORT_DATA'!B:AR,18,FALSE)</f>
        <v>•</v>
      </c>
      <c r="P52" s="347" t="str">
        <f>VLOOKUP(B52,'26MY_PASSPORT_DATA'!B:AR,19,FALSE)</f>
        <v>•</v>
      </c>
      <c r="Q52" s="350" t="str">
        <f>IF(VLOOKUP(B52,'26MY_PASSPORT_DATA'!B:AR,21,FALSE)="","",VLOOKUP(B52,'26MY_PASSPORT_DATA'!B:AR,21,FALSE))</f>
        <v>Prix établi pour ensemble de 4 pneus. Pneus vendus séparément.</v>
      </c>
    </row>
    <row r="53" spans="2:17" s="134" customFormat="1" ht="14.4">
      <c r="B53" s="299" t="s">
        <v>289</v>
      </c>
      <c r="C53" s="224" t="str">
        <f>VLOOKUP(B53,'26MY_PASSPORT_DATA'!B:AR,4,FALSE)</f>
        <v>Écrous de roue antivol chromés</v>
      </c>
      <c r="D53" s="291" t="str">
        <f t="shared" ref="D53:D55" si="14">B53</f>
        <v>08W42-TK4-301</v>
      </c>
      <c r="E53" s="343">
        <f>VLOOKUP(B53,'26MY_PASSPORT_DATA'!B:AR,9,FALSE)</f>
        <v>94</v>
      </c>
      <c r="F53" s="343">
        <f>VLOOKUP(B53,'26MY_PASSPORT_DATA'!B:AR,10,FALSE)</f>
        <v>157</v>
      </c>
      <c r="G53" s="344">
        <f>VLOOKUP(B53,'26MY_PASSPORT_DATA'!B:AR,7,FALSE)</f>
        <v>0.2</v>
      </c>
      <c r="H53" s="345">
        <f>VLOOKUP(B53,'26MY_PASSPORT_DATA'!B:AR,11,FALSE)</f>
        <v>191.2</v>
      </c>
      <c r="I53" s="347">
        <f>VLOOKUP($B53,'26MY_PASSPORT_DATA'!$B:$AR,12,FALSE)</f>
        <v>0</v>
      </c>
      <c r="J53" s="347">
        <f>VLOOKUP($B53,'26MY_PASSPORT_DATA'!$B:$AR,13,FALSE)</f>
        <v>0</v>
      </c>
      <c r="K53" s="347" t="str">
        <f>VLOOKUP(B53,'26MY_PASSPORT_DATA'!B:AR,14,FALSE)</f>
        <v>•</v>
      </c>
      <c r="L53" s="347" t="str">
        <f>VLOOKUP(B53,'26MY_PASSPORT_DATA'!B:AR,15,FALSE)</f>
        <v>•</v>
      </c>
      <c r="M53" s="347">
        <f>VLOOKUP($B53,'26MY_PASSPORT_DATA'!$B:$AR,16,FALSE)</f>
        <v>0</v>
      </c>
      <c r="N53" s="347">
        <f>VLOOKUP(B53,'26MY_PASSPORT_DATA'!B:AR,17,FALSE)</f>
        <v>0</v>
      </c>
      <c r="O53" s="347" t="str">
        <f>VLOOKUP(B53,'26MY_PASSPORT_DATA'!B:AR,18,FALSE)</f>
        <v>•</v>
      </c>
      <c r="P53" s="347" t="str">
        <f>VLOOKUP(B53,'26MY_PASSPORT_DATA'!B:AR,19,FALSE)</f>
        <v>•</v>
      </c>
      <c r="Q53" s="350" t="str">
        <f>IF(VLOOKUP(B53,'26MY_PASSPORT_DATA'!B:AR,21,FALSE)="","",VLOOKUP(B53,'26MY_PASSPORT_DATA'!B:AR,21,FALSE))</f>
        <v/>
      </c>
    </row>
    <row r="54" spans="2:17" s="134" customFormat="1" ht="14.4">
      <c r="B54" s="299" t="s">
        <v>288</v>
      </c>
      <c r="C54" s="224" t="str">
        <f>VLOOKUP(B54,'26MY_PASSPORT_DATA'!B:AR,4,FALSE)</f>
        <v>Écrous de roue antivol noirs</v>
      </c>
      <c r="D54" s="291" t="str">
        <f t="shared" si="14"/>
        <v>08W42-TG7-301A</v>
      </c>
      <c r="E54" s="343">
        <f>VLOOKUP(B54,'26MY_PASSPORT_DATA'!B:AR,9,FALSE)</f>
        <v>88</v>
      </c>
      <c r="F54" s="343">
        <f>VLOOKUP(B54,'26MY_PASSPORT_DATA'!B:AR,10,FALSE)</f>
        <v>147</v>
      </c>
      <c r="G54" s="344">
        <f>VLOOKUP(B54,'26MY_PASSPORT_DATA'!B:AR,7,FALSE)</f>
        <v>0.2</v>
      </c>
      <c r="H54" s="345">
        <f>VLOOKUP(B54,'26MY_PASSPORT_DATA'!B:AR,11,FALSE)</f>
        <v>181.2</v>
      </c>
      <c r="I54" s="347">
        <f>VLOOKUP($B54,'26MY_PASSPORT_DATA'!$B:$AR,12,FALSE)</f>
        <v>0</v>
      </c>
      <c r="J54" s="347">
        <f>VLOOKUP($B54,'26MY_PASSPORT_DATA'!$B:$AR,13,FALSE)</f>
        <v>0</v>
      </c>
      <c r="K54" s="347" t="str">
        <f>VLOOKUP(B54,'26MY_PASSPORT_DATA'!B:AR,14,FALSE)</f>
        <v>•</v>
      </c>
      <c r="L54" s="347" t="str">
        <f>VLOOKUP(B54,'26MY_PASSPORT_DATA'!B:AR,15,FALSE)</f>
        <v>•</v>
      </c>
      <c r="M54" s="347">
        <f>VLOOKUP($B54,'26MY_PASSPORT_DATA'!$B:$AR,16,FALSE)</f>
        <v>0</v>
      </c>
      <c r="N54" s="347">
        <f>VLOOKUP(B54,'26MY_PASSPORT_DATA'!B:AR,17,FALSE)</f>
        <v>0</v>
      </c>
      <c r="O54" s="347" t="str">
        <f>VLOOKUP(B54,'26MY_PASSPORT_DATA'!B:AR,18,FALSE)</f>
        <v>•</v>
      </c>
      <c r="P54" s="347" t="str">
        <f>VLOOKUP(B54,'26MY_PASSPORT_DATA'!B:AR,19,FALSE)</f>
        <v>•</v>
      </c>
      <c r="Q54" s="350" t="str">
        <f>IF(VLOOKUP(B54,'26MY_PASSPORT_DATA'!B:AR,21,FALSE)="","",VLOOKUP(B54,'26MY_PASSPORT_DATA'!B:AR,21,FALSE))</f>
        <v/>
      </c>
    </row>
    <row r="55" spans="2:17" s="134" customFormat="1" ht="14.4">
      <c r="B55" s="299" t="s">
        <v>432</v>
      </c>
      <c r="C55" s="224" t="str">
        <f>VLOOKUP(B55,'26MY_PASSPORT_DATA'!B:AR,4,FALSE)</f>
        <v>Écrous de roue noirs</v>
      </c>
      <c r="D55" s="291" t="str">
        <f t="shared" si="14"/>
        <v>08W42-PL4-100A</v>
      </c>
      <c r="E55" s="343">
        <f>VLOOKUP(B55,'26MY_PASSPORT_DATA'!B:AR,9,FALSE)</f>
        <v>170</v>
      </c>
      <c r="F55" s="343">
        <f>VLOOKUP(B55,'26MY_PASSPORT_DATA'!B:AR,10,FALSE)</f>
        <v>283</v>
      </c>
      <c r="G55" s="344">
        <f>VLOOKUP(B55,'26MY_PASSPORT_DATA'!B:AR,7,FALSE)</f>
        <v>0.3</v>
      </c>
      <c r="H55" s="345">
        <f>VLOOKUP(B55,'26MY_PASSPORT_DATA'!B:AR,11,FALSE)</f>
        <v>334.3</v>
      </c>
      <c r="I55" s="347">
        <f>VLOOKUP($B55,'26MY_PASSPORT_DATA'!$B:$AR,12,FALSE)</f>
        <v>0</v>
      </c>
      <c r="J55" s="347">
        <f>VLOOKUP($B55,'26MY_PASSPORT_DATA'!$B:$AR,13,FALSE)</f>
        <v>0</v>
      </c>
      <c r="K55" s="347" t="str">
        <f>VLOOKUP(B55,'26MY_PASSPORT_DATA'!B:AR,14,FALSE)</f>
        <v>•</v>
      </c>
      <c r="L55" s="347" t="str">
        <f>VLOOKUP(B55,'26MY_PASSPORT_DATA'!B:AR,15,FALSE)</f>
        <v>•</v>
      </c>
      <c r="M55" s="347">
        <f>VLOOKUP($B55,'26MY_PASSPORT_DATA'!$B:$AR,16,FALSE)</f>
        <v>0</v>
      </c>
      <c r="N55" s="347">
        <f>VLOOKUP(B55,'26MY_PASSPORT_DATA'!B:AR,17,FALSE)</f>
        <v>0</v>
      </c>
      <c r="O55" s="347" t="str">
        <f>VLOOKUP(B55,'26MY_PASSPORT_DATA'!B:AR,18,FALSE)</f>
        <v>•</v>
      </c>
      <c r="P55" s="347" t="str">
        <f>VLOOKUP(B55,'26MY_PASSPORT_DATA'!B:AR,19,FALSE)</f>
        <v>•</v>
      </c>
      <c r="Q55" s="350" t="str">
        <f>IF(VLOOKUP(B55,'26MY_PASSPORT_DATA'!B:AR,21,FALSE)="","",VLOOKUP(B55,'26MY_PASSPORT_DATA'!B:AR,21,FALSE))</f>
        <v/>
      </c>
    </row>
    <row r="56" spans="2:17" s="134" customFormat="1" ht="21" hidden="1" customHeight="1">
      <c r="B56" s="299" t="s">
        <v>284</v>
      </c>
      <c r="C56" s="224" t="str">
        <f>VLOOKUP(B56,'26MY_PASSPORT_DATA'!B:AR,4,FALSE)</f>
        <v xml:space="preserve">ENSEMBLE DE ROUE DE SECOURS PLEINE GRANDEUR </v>
      </c>
      <c r="D56" s="291" t="str">
        <f t="shared" ref="D56" si="15">B56</f>
        <v>08U02-3BM-100</v>
      </c>
      <c r="E56" s="222">
        <f>VLOOKUP(B56,'26MY_PASSPORT_DATA'!B:AR,25,FALSE)</f>
        <v>0</v>
      </c>
      <c r="F56" s="222">
        <f>VLOOKUP(B56,'26MY_PASSPORT_DATA'!B:AR,26,FALSE)</f>
        <v>0</v>
      </c>
      <c r="G56" s="177">
        <f>VLOOKUP(B56,'26MY_PASSPORT_DATA'!B:AR,23,FALSE)</f>
        <v>0</v>
      </c>
      <c r="H56" s="223">
        <f>VLOOKUP(B56,'26MY_PASSPORT_DATA'!B:AR,27,FALSE)</f>
        <v>0</v>
      </c>
      <c r="I56" s="179">
        <f>VLOOKUP(B56,'26MY_PASSPORT_DATA'!B:AR,28,FALSE)</f>
        <v>0</v>
      </c>
      <c r="J56" s="179" t="e">
        <f>VLOOKUP(C56,'26MY_PASSPORT_DATA'!C:AS,28,FALSE)</f>
        <v>#N/A</v>
      </c>
      <c r="K56" s="179">
        <f>VLOOKUP(B56,'26MY_PASSPORT_DATA'!B:AR,29,FALSE)</f>
        <v>0</v>
      </c>
      <c r="L56" s="179">
        <f>VLOOKUP(B56,'26MY_PASSPORT_DATA'!B:AR,30,FALSE)</f>
        <v>0</v>
      </c>
      <c r="M56" s="179">
        <f>VLOOKUP(B56,'26MY_PASSPORT_DATA'!B:AR,31,FALSE)</f>
        <v>0</v>
      </c>
      <c r="N56" s="179" t="e">
        <f>VLOOKUP(C56,'26MY_PASSPORT_DATA'!C:AS,31,FALSE)</f>
        <v>#N/A</v>
      </c>
      <c r="O56" s="179">
        <f>VLOOKUP(B56,'26MY_PASSPORT_DATA'!B:AR,32,FALSE)</f>
        <v>0</v>
      </c>
      <c r="P56" s="179">
        <f>VLOOKUP(B56,'26MY_PASSPORT_DATA'!B:AR,33,FALSE)</f>
        <v>0</v>
      </c>
      <c r="Q56" s="180" t="str">
        <f>IF(VLOOKUP(B56,'26MY_PASSPORT_DATA'!B:AR,35,FALSE)="","",VLOOKUP(B56,'26MY_PASSPORT_DATA'!B:AR,35,FALSE))</f>
        <v/>
      </c>
    </row>
    <row r="57" spans="2:17" s="135" customFormat="1" ht="10.5" customHeight="1">
      <c r="B57" s="298"/>
      <c r="C57" s="20"/>
      <c r="D57" s="183"/>
      <c r="E57" s="184"/>
      <c r="F57" s="184"/>
      <c r="G57" s="185"/>
      <c r="H57" s="186"/>
      <c r="I57" s="91"/>
      <c r="J57" s="91"/>
      <c r="K57" s="97"/>
      <c r="L57" s="91"/>
      <c r="M57" s="91"/>
      <c r="N57" s="91"/>
      <c r="O57" s="91"/>
      <c r="P57" s="91"/>
      <c r="Q57" s="187"/>
    </row>
    <row r="58" spans="2:17" s="133" customFormat="1" ht="18">
      <c r="B58" s="300"/>
      <c r="C58" s="152" t="s">
        <v>82</v>
      </c>
      <c r="D58" s="152"/>
      <c r="E58" s="143"/>
      <c r="F58" s="143"/>
      <c r="G58" s="143"/>
      <c r="H58" s="143"/>
      <c r="I58" s="143"/>
      <c r="J58" s="143"/>
      <c r="K58" s="91"/>
      <c r="L58" s="143"/>
      <c r="M58" s="143"/>
      <c r="N58" s="143"/>
      <c r="O58" s="143"/>
      <c r="P58" s="143"/>
      <c r="Q58" s="143"/>
    </row>
    <row r="59" spans="2:17" s="134" customFormat="1" ht="15" customHeight="1">
      <c r="B59" s="299"/>
      <c r="C59" s="387" t="s">
        <v>74</v>
      </c>
      <c r="D59" s="387" t="s">
        <v>75</v>
      </c>
      <c r="E59" s="387" t="s">
        <v>76</v>
      </c>
      <c r="F59" s="387" t="s">
        <v>77</v>
      </c>
      <c r="G59" s="387" t="s">
        <v>78</v>
      </c>
      <c r="H59" s="388" t="s">
        <v>79</v>
      </c>
      <c r="I59" s="387" t="s">
        <v>23</v>
      </c>
      <c r="J59" s="387"/>
      <c r="K59" s="387"/>
      <c r="L59" s="387"/>
      <c r="M59" s="387"/>
      <c r="N59" s="387"/>
      <c r="O59" s="387"/>
      <c r="P59" s="387"/>
      <c r="Q59" s="387" t="s">
        <v>80</v>
      </c>
    </row>
    <row r="60" spans="2:17" s="134" customFormat="1" ht="43.2">
      <c r="B60" s="299"/>
      <c r="C60" s="387"/>
      <c r="D60" s="387"/>
      <c r="E60" s="387"/>
      <c r="F60" s="387"/>
      <c r="G60" s="387"/>
      <c r="H60" s="388"/>
      <c r="I60" s="174">
        <f>'26MY_PASSPORT_DATA'!$M$6</f>
        <v>0</v>
      </c>
      <c r="J60" s="174">
        <f>'26MY_PASSPORT_DATA'!$M$6</f>
        <v>0</v>
      </c>
      <c r="K60" s="174" t="str">
        <f>'26MY_PASSPORT_DATA'!$O$6</f>
        <v>TrailSport</v>
      </c>
      <c r="L60" s="174" t="str">
        <f>'26MY_PASSPORT_DATA'!$P$6</f>
        <v>TrailSport Blackout</v>
      </c>
      <c r="M60" s="174">
        <f>'26MY_PASSPORT_DATA'!$R$6</f>
        <v>0</v>
      </c>
      <c r="N60" s="174">
        <f>'26MY_PASSPORT_DATA'!$R$6</f>
        <v>0</v>
      </c>
      <c r="O60" s="174" t="str">
        <f>'26MY_PASSPORT_DATA'!$S$6</f>
        <v>TrailSport Touring</v>
      </c>
      <c r="P60" s="174" t="str">
        <f>'26MY_PASSPORT_DATA'!$T$6</f>
        <v>Trailsport Touring Blackout</v>
      </c>
      <c r="Q60" s="387"/>
    </row>
    <row r="61" spans="2:17" s="135" customFormat="1" ht="15" customHeight="1">
      <c r="B61" s="298" t="s">
        <v>242</v>
      </c>
      <c r="C61" s="224" t="str">
        <f>VLOOKUP(B61,'26MY_PASSPORT_DATA'!B:AR,4,FALSE)</f>
        <v>Plaque de protection avant</v>
      </c>
      <c r="D61" s="79" t="str">
        <f>B61</f>
        <v>08P46-3BM-100</v>
      </c>
      <c r="E61" s="343">
        <f>VLOOKUP(B61,'26MY_PASSPORT_DATA'!B:AR,9,FALSE)</f>
        <v>400</v>
      </c>
      <c r="F61" s="343">
        <f>VLOOKUP(B61,'26MY_PASSPORT_DATA'!B:AR,10,FALSE)</f>
        <v>615</v>
      </c>
      <c r="G61" s="344">
        <f>VLOOKUP(B61,'26MY_PASSPORT_DATA'!B:AR,7,FALSE)</f>
        <v>0.6</v>
      </c>
      <c r="H61" s="345">
        <f>VLOOKUP(B61,'26MY_PASSPORT_DATA'!B:AR,11,FALSE)</f>
        <v>717.6</v>
      </c>
      <c r="I61" s="347">
        <f>VLOOKUP($B61,'26MY_PASSPORT_DATA'!$B:$AR,12,FALSE)</f>
        <v>0</v>
      </c>
      <c r="J61" s="347">
        <f>VLOOKUP($B61,'26MY_PASSPORT_DATA'!$B:$AR,13,FALSE)</f>
        <v>0</v>
      </c>
      <c r="K61" s="347" t="str">
        <f>VLOOKUP(B61,'26MY_PASSPORT_DATA'!B:AR,14,FALSE)</f>
        <v>•</v>
      </c>
      <c r="L61" s="347" t="str">
        <f>VLOOKUP(B61,'26MY_PASSPORT_DATA'!B:AR,15,FALSE)</f>
        <v>•</v>
      </c>
      <c r="M61" s="347">
        <f>VLOOKUP($B61,'26MY_PASSPORT_DATA'!$B:$AR,16,FALSE)</f>
        <v>0</v>
      </c>
      <c r="N61" s="347">
        <f>VLOOKUP(B61,'26MY_PASSPORT_DATA'!B:AR,17,FALSE)</f>
        <v>0</v>
      </c>
      <c r="O61" s="347" t="str">
        <f>VLOOKUP(B61,'26MY_PASSPORT_DATA'!B:AR,18,FALSE)</f>
        <v>•</v>
      </c>
      <c r="P61" s="347" t="str">
        <f>VLOOKUP(B61,'26MY_PASSPORT_DATA'!B:AR,19,FALSE)</f>
        <v>•</v>
      </c>
      <c r="Q61" s="350" t="str">
        <f>IF(VLOOKUP(B61,'26MY_PASSPORT_DATA'!B:AR,21,FALSE)="","",VLOOKUP(B61,'26MY_PASSPORT_DATA'!B:AR,21,FALSE))</f>
        <v/>
      </c>
    </row>
    <row r="62" spans="2:17" s="135" customFormat="1" ht="15" customHeight="1">
      <c r="B62" s="299" t="s">
        <v>229</v>
      </c>
      <c r="C62" s="224" t="str">
        <f>VLOOKUP(B62,'26MY_PASSPORT_DATA'!B:AR,4,FALSE)</f>
        <v>Barre de protection latérale</v>
      </c>
      <c r="D62" s="79" t="str">
        <f t="shared" ref="D62:D82" si="16">B62</f>
        <v>08L33-3BM-100A</v>
      </c>
      <c r="E62" s="343">
        <f>VLOOKUP(B62,'26MY_PASSPORT_DATA'!B:AR,9,FALSE)</f>
        <v>1222</v>
      </c>
      <c r="F62" s="343">
        <f>VLOOKUP(B62,'26MY_PASSPORT_DATA'!B:AR,10,FALSE)</f>
        <v>1880</v>
      </c>
      <c r="G62" s="344">
        <f>VLOOKUP(B62,'26MY_PASSPORT_DATA'!B:AR,7,FALSE)</f>
        <v>0.6</v>
      </c>
      <c r="H62" s="345">
        <f>VLOOKUP(B62,'26MY_PASSPORT_DATA'!B:AR,11,FALSE)</f>
        <v>1982.6</v>
      </c>
      <c r="I62" s="347">
        <f>VLOOKUP($B62,'26MY_PASSPORT_DATA'!$B:$AR,12,FALSE)</f>
        <v>0</v>
      </c>
      <c r="J62" s="347">
        <f>VLOOKUP($B62,'26MY_PASSPORT_DATA'!$B:$AR,13,FALSE)</f>
        <v>0</v>
      </c>
      <c r="K62" s="347" t="str">
        <f>VLOOKUP(B62,'26MY_PASSPORT_DATA'!B:AR,14,FALSE)</f>
        <v>•</v>
      </c>
      <c r="L62" s="347" t="str">
        <f>VLOOKUP(B62,'26MY_PASSPORT_DATA'!B:AR,15,FALSE)</f>
        <v>•</v>
      </c>
      <c r="M62" s="347">
        <f>VLOOKUP($B62,'26MY_PASSPORT_DATA'!$B:$AR,16,FALSE)</f>
        <v>0</v>
      </c>
      <c r="N62" s="347">
        <f>VLOOKUP(B62,'26MY_PASSPORT_DATA'!B:AR,17,FALSE)</f>
        <v>0</v>
      </c>
      <c r="O62" s="347" t="str">
        <f>VLOOKUP(B62,'26MY_PASSPORT_DATA'!B:AR,18,FALSE)</f>
        <v>•</v>
      </c>
      <c r="P62" s="347" t="str">
        <f>VLOOKUP(B62,'26MY_PASSPORT_DATA'!B:AR,19,FALSE)</f>
        <v>•</v>
      </c>
      <c r="Q62" s="350" t="str">
        <f>IF(VLOOKUP(B62,'26MY_PASSPORT_DATA'!B:AR,21,FALSE)="","",VLOOKUP(B62,'26MY_PASSPORT_DATA'!B:AR,21,FALSE))</f>
        <v/>
      </c>
    </row>
    <row r="63" spans="2:17" s="135" customFormat="1" ht="15" customHeight="1">
      <c r="B63" s="299" t="s">
        <v>228</v>
      </c>
      <c r="C63" s="224" t="str">
        <f>VLOOKUP(B63,'26MY_PASSPORT_DATA'!B:AR,4,FALSE)</f>
        <v>Marchepieds</v>
      </c>
      <c r="D63" s="79" t="str">
        <f t="shared" ref="D63:D66" si="17">B63</f>
        <v>08L33-3BM-100</v>
      </c>
      <c r="E63" s="343">
        <f>VLOOKUP(B63,'26MY_PASSPORT_DATA'!B:AR,9,FALSE)</f>
        <v>961</v>
      </c>
      <c r="F63" s="343">
        <f>VLOOKUP(B63,'26MY_PASSPORT_DATA'!B:AR,10,FALSE)</f>
        <v>1373</v>
      </c>
      <c r="G63" s="344">
        <f>VLOOKUP(B63,'26MY_PASSPORT_DATA'!B:AR,7,FALSE)</f>
        <v>0.6</v>
      </c>
      <c r="H63" s="345">
        <f>VLOOKUP(B63,'26MY_PASSPORT_DATA'!B:AR,11,FALSE)</f>
        <v>1475.6</v>
      </c>
      <c r="I63" s="347">
        <f>VLOOKUP($B63,'26MY_PASSPORT_DATA'!$B:$AR,12,FALSE)</f>
        <v>0</v>
      </c>
      <c r="J63" s="347">
        <f>VLOOKUP($B63,'26MY_PASSPORT_DATA'!$B:$AR,13,FALSE)</f>
        <v>0</v>
      </c>
      <c r="K63" s="347" t="str">
        <f>VLOOKUP(B63,'26MY_PASSPORT_DATA'!B:AR,14,FALSE)</f>
        <v>•</v>
      </c>
      <c r="L63" s="347" t="str">
        <f>VLOOKUP(B63,'26MY_PASSPORT_DATA'!B:AR,15,FALSE)</f>
        <v>•</v>
      </c>
      <c r="M63" s="347">
        <f>VLOOKUP($B63,'26MY_PASSPORT_DATA'!$B:$AR,16,FALSE)</f>
        <v>0</v>
      </c>
      <c r="N63" s="347">
        <f>VLOOKUP(B63,'26MY_PASSPORT_DATA'!B:AR,17,FALSE)</f>
        <v>0</v>
      </c>
      <c r="O63" s="347" t="str">
        <f>VLOOKUP(B63,'26MY_PASSPORT_DATA'!B:AR,18,FALSE)</f>
        <v>•</v>
      </c>
      <c r="P63" s="347" t="str">
        <f>VLOOKUP(B63,'26MY_PASSPORT_DATA'!B:AR,19,FALSE)</f>
        <v>•</v>
      </c>
      <c r="Q63" s="350" t="str">
        <f>IF(VLOOKUP(B63,'26MY_PASSPORT_DATA'!B:AR,21,FALSE)="","",VLOOKUP(B63,'26MY_PASSPORT_DATA'!B:AR,21,FALSE))</f>
        <v/>
      </c>
    </row>
    <row r="64" spans="2:17" s="135" customFormat="1" ht="15" customHeight="1">
      <c r="B64" s="299" t="s">
        <v>232</v>
      </c>
      <c r="C64" s="224" t="str">
        <f>VLOOKUP(B64,'26MY_PASSPORT_DATA'!B:AR,4,FALSE)</f>
        <v>Garde-boue</v>
      </c>
      <c r="D64" s="79" t="str">
        <f t="shared" si="17"/>
        <v>08P00-3BM-100</v>
      </c>
      <c r="E64" s="343">
        <f>VLOOKUP(B64,'26MY_PASSPORT_DATA'!B:AR,9,FALSE)</f>
        <v>117</v>
      </c>
      <c r="F64" s="343">
        <f>VLOOKUP(B64,'26MY_PASSPORT_DATA'!B:AR,10,FALSE)</f>
        <v>195</v>
      </c>
      <c r="G64" s="344">
        <f>VLOOKUP(B64,'26MY_PASSPORT_DATA'!B:AR,7,FALSE)</f>
        <v>0.5</v>
      </c>
      <c r="H64" s="345">
        <f>VLOOKUP(B64,'26MY_PASSPORT_DATA'!B:AR,11,FALSE)</f>
        <v>280.5</v>
      </c>
      <c r="I64" s="347">
        <f>VLOOKUP($B64,'26MY_PASSPORT_DATA'!$B:$AR,12,FALSE)</f>
        <v>0</v>
      </c>
      <c r="J64" s="347">
        <f>VLOOKUP($B64,'26MY_PASSPORT_DATA'!$B:$AR,13,FALSE)</f>
        <v>0</v>
      </c>
      <c r="K64" s="347" t="str">
        <f>VLOOKUP(B64,'26MY_PASSPORT_DATA'!B:AR,14,FALSE)</f>
        <v>•</v>
      </c>
      <c r="L64" s="347" t="str">
        <f>VLOOKUP(B64,'26MY_PASSPORT_DATA'!B:AR,15,FALSE)</f>
        <v>•</v>
      </c>
      <c r="M64" s="347">
        <f>VLOOKUP($B64,'26MY_PASSPORT_DATA'!$B:$AR,16,FALSE)</f>
        <v>0</v>
      </c>
      <c r="N64" s="347">
        <f>VLOOKUP(B64,'26MY_PASSPORT_DATA'!B:AR,17,FALSE)</f>
        <v>0</v>
      </c>
      <c r="O64" s="347" t="str">
        <f>VLOOKUP(B64,'26MY_PASSPORT_DATA'!B:AR,18,FALSE)</f>
        <v>•</v>
      </c>
      <c r="P64" s="347" t="str">
        <f>VLOOKUP(B64,'26MY_PASSPORT_DATA'!B:AR,19,FALSE)</f>
        <v>•</v>
      </c>
      <c r="Q64" s="350" t="str">
        <f>IF(VLOOKUP(B64,'26MY_PASSPORT_DATA'!B:AR,21,FALSE)="","",VLOOKUP(B64,'26MY_PASSPORT_DATA'!B:AR,21,FALSE))</f>
        <v/>
      </c>
    </row>
    <row r="65" spans="2:17" s="135" customFormat="1" ht="15" customHeight="1">
      <c r="B65" s="299" t="s">
        <v>239</v>
      </c>
      <c r="C65" s="224" t="str">
        <f>VLOOKUP(B65,'26MY_PASSPORT_DATA'!B:AR,4,FALSE)</f>
        <v>Moulure latérale de carrosserie</v>
      </c>
      <c r="D65" s="79" t="str">
        <f t="shared" si="17"/>
        <v>08P05-3BM-100</v>
      </c>
      <c r="E65" s="343">
        <f>VLOOKUP(B65,'26MY_PASSPORT_DATA'!B:AR,9,FALSE)</f>
        <v>128</v>
      </c>
      <c r="F65" s="343">
        <f>VLOOKUP(B65,'26MY_PASSPORT_DATA'!B:AR,10,FALSE)</f>
        <v>213</v>
      </c>
      <c r="G65" s="344">
        <f>VLOOKUP(B65,'26MY_PASSPORT_DATA'!B:AR,7,FALSE)</f>
        <v>0.4</v>
      </c>
      <c r="H65" s="345">
        <f>VLOOKUP(B65,'26MY_PASSPORT_DATA'!B:AR,11,FALSE)</f>
        <v>281.39999999999998</v>
      </c>
      <c r="I65" s="347">
        <f>VLOOKUP($B65,'26MY_PASSPORT_DATA'!$B:$AR,12,FALSE)</f>
        <v>0</v>
      </c>
      <c r="J65" s="347">
        <f>VLOOKUP($B65,'26MY_PASSPORT_DATA'!$B:$AR,13,FALSE)</f>
        <v>0</v>
      </c>
      <c r="K65" s="347" t="str">
        <f>VLOOKUP(B65,'26MY_PASSPORT_DATA'!B:AR,14,FALSE)</f>
        <v>•</v>
      </c>
      <c r="L65" s="347" t="str">
        <f>VLOOKUP(B65,'26MY_PASSPORT_DATA'!B:AR,15,FALSE)</f>
        <v>•</v>
      </c>
      <c r="M65" s="347">
        <f>VLOOKUP($B65,'26MY_PASSPORT_DATA'!$B:$AR,16,FALSE)</f>
        <v>0</v>
      </c>
      <c r="N65" s="347">
        <f>VLOOKUP(B65,'26MY_PASSPORT_DATA'!B:AR,17,FALSE)</f>
        <v>0</v>
      </c>
      <c r="O65" s="347" t="str">
        <f>VLOOKUP(B65,'26MY_PASSPORT_DATA'!B:AR,18,FALSE)</f>
        <v>•</v>
      </c>
      <c r="P65" s="347" t="str">
        <f>VLOOKUP(B65,'26MY_PASSPORT_DATA'!B:AR,19,FALSE)</f>
        <v>•</v>
      </c>
      <c r="Q65" s="350" t="str">
        <f>IF(VLOOKUP(B65,'26MY_PASSPORT_DATA'!B:AR,21,FALSE)="","",VLOOKUP(B65,'26MY_PASSPORT_DATA'!B:AR,21,FALSE))</f>
        <v/>
      </c>
    </row>
    <row r="66" spans="2:17" s="135" customFormat="1" ht="14.4">
      <c r="B66" s="299" t="s">
        <v>269</v>
      </c>
      <c r="C66" s="224" t="str">
        <f>VLOOKUP(B66,'26MY_PASSPORT_DATA'!B:AR,4,FALSE)</f>
        <v>Pellicule pour poignée de portière</v>
      </c>
      <c r="D66" s="79" t="str">
        <f t="shared" si="17"/>
        <v>08P48-T90-100A</v>
      </c>
      <c r="E66" s="343">
        <f>VLOOKUP(B66,'26MY_PASSPORT_DATA'!B:AR,9,FALSE)</f>
        <v>41</v>
      </c>
      <c r="F66" s="343">
        <f>VLOOKUP(B66,'26MY_PASSPORT_DATA'!B:AR,10,FALSE)</f>
        <v>68</v>
      </c>
      <c r="G66" s="344">
        <f>VLOOKUP(B66,'26MY_PASSPORT_DATA'!B:AR,7,FALSE)</f>
        <v>0.4</v>
      </c>
      <c r="H66" s="345">
        <f>VLOOKUP(B66,'26MY_PASSPORT_DATA'!B:AR,11,FALSE)</f>
        <v>136.4</v>
      </c>
      <c r="I66" s="347">
        <f>VLOOKUP($B66,'26MY_PASSPORT_DATA'!$B:$AR,12,FALSE)</f>
        <v>0</v>
      </c>
      <c r="J66" s="347">
        <f>VLOOKUP($B66,'26MY_PASSPORT_DATA'!$B:$AR,13,FALSE)</f>
        <v>0</v>
      </c>
      <c r="K66" s="347" t="str">
        <f>VLOOKUP(B66,'26MY_PASSPORT_DATA'!B:AR,14,FALSE)</f>
        <v>•</v>
      </c>
      <c r="L66" s="347" t="str">
        <f>VLOOKUP(B66,'26MY_PASSPORT_DATA'!B:AR,15,FALSE)</f>
        <v>•</v>
      </c>
      <c r="M66" s="347">
        <f>VLOOKUP($B66,'26MY_PASSPORT_DATA'!$B:$AR,16,FALSE)</f>
        <v>0</v>
      </c>
      <c r="N66" s="347">
        <f>VLOOKUP(B66,'26MY_PASSPORT_DATA'!B:AR,17,FALSE)</f>
        <v>0</v>
      </c>
      <c r="O66" s="347" t="str">
        <f>VLOOKUP(B66,'26MY_PASSPORT_DATA'!B:AR,18,FALSE)</f>
        <v>•</v>
      </c>
      <c r="P66" s="347" t="str">
        <f>VLOOKUP(B66,'26MY_PASSPORT_DATA'!B:AR,19,FALSE)</f>
        <v>•</v>
      </c>
      <c r="Q66" s="350" t="str">
        <f>IF(VLOOKUP(B66,'26MY_PASSPORT_DATA'!B:AR,21,FALSE)="","",VLOOKUP(B66,'26MY_PASSPORT_DATA'!B:AR,21,FALSE))</f>
        <v/>
      </c>
    </row>
    <row r="67" spans="2:17" s="135" customFormat="1" ht="14.4">
      <c r="B67" s="298" t="s">
        <v>268</v>
      </c>
      <c r="C67" s="224" t="str">
        <f>VLOOKUP(B67,'26MY_PASSPORT_DATA'!B:AR,4,FALSE)</f>
        <v>Pellicule pour rebord de portière</v>
      </c>
      <c r="D67" s="79" t="str">
        <f t="shared" ref="D67:D68" si="18">B67</f>
        <v>08P20-T90-100</v>
      </c>
      <c r="E67" s="343">
        <f>VLOOKUP(B67,'26MY_PASSPORT_DATA'!B:AR,9,FALSE)</f>
        <v>54</v>
      </c>
      <c r="F67" s="343">
        <f>VLOOKUP(B67,'26MY_PASSPORT_DATA'!B:AR,10,FALSE)</f>
        <v>90</v>
      </c>
      <c r="G67" s="344">
        <f>VLOOKUP(B67,'26MY_PASSPORT_DATA'!B:AR,7,FALSE)</f>
        <v>0.4</v>
      </c>
      <c r="H67" s="345">
        <f>VLOOKUP(B67,'26MY_PASSPORT_DATA'!B:AR,11,FALSE)</f>
        <v>158.4</v>
      </c>
      <c r="I67" s="347">
        <f>VLOOKUP($B67,'26MY_PASSPORT_DATA'!$B:$AR,12,FALSE)</f>
        <v>0</v>
      </c>
      <c r="J67" s="347">
        <f>VLOOKUP($B67,'26MY_PASSPORT_DATA'!$B:$AR,13,FALSE)</f>
        <v>0</v>
      </c>
      <c r="K67" s="347" t="str">
        <f>VLOOKUP(B67,'26MY_PASSPORT_DATA'!B:AR,14,FALSE)</f>
        <v>•</v>
      </c>
      <c r="L67" s="347" t="str">
        <f>VLOOKUP(B67,'26MY_PASSPORT_DATA'!B:AR,15,FALSE)</f>
        <v>•</v>
      </c>
      <c r="M67" s="347">
        <f>VLOOKUP($B67,'26MY_PASSPORT_DATA'!$B:$AR,16,FALSE)</f>
        <v>0</v>
      </c>
      <c r="N67" s="347">
        <f>VLOOKUP(B67,'26MY_PASSPORT_DATA'!B:AR,17,FALSE)</f>
        <v>0</v>
      </c>
      <c r="O67" s="347" t="str">
        <f>VLOOKUP(B67,'26MY_PASSPORT_DATA'!B:AR,18,FALSE)</f>
        <v>•</v>
      </c>
      <c r="P67" s="347" t="str">
        <f>VLOOKUP(B67,'26MY_PASSPORT_DATA'!B:AR,19,FALSE)</f>
        <v>•</v>
      </c>
      <c r="Q67" s="350" t="str">
        <f>IF(VLOOKUP(B67,'26MY_PASSPORT_DATA'!B:AR,21,FALSE)="","",VLOOKUP(B67,'26MY_PASSPORT_DATA'!B:AR,21,FALSE))</f>
        <v/>
      </c>
    </row>
    <row r="68" spans="2:17" s="135" customFormat="1" ht="14.4">
      <c r="B68" s="298" t="s">
        <v>278</v>
      </c>
      <c r="C68" s="224" t="str">
        <f>VLOOKUP(B68,'26MY_PASSPORT_DATA'!B:AR,4,FALSE)</f>
        <v>Visière de portière</v>
      </c>
      <c r="D68" s="79" t="str">
        <f t="shared" si="18"/>
        <v>08R04-T90-100</v>
      </c>
      <c r="E68" s="343">
        <f>VLOOKUP(B68,'26MY_PASSPORT_DATA'!B:AR,9,FALSE)</f>
        <v>265</v>
      </c>
      <c r="F68" s="343">
        <f>VLOOKUP(B68,'26MY_PASSPORT_DATA'!B:AR,10,FALSE)</f>
        <v>442</v>
      </c>
      <c r="G68" s="344">
        <f>VLOOKUP(B68,'26MY_PASSPORT_DATA'!B:AR,7,FALSE)</f>
        <v>0.6</v>
      </c>
      <c r="H68" s="345">
        <f>VLOOKUP(B68,'26MY_PASSPORT_DATA'!B:AR,11,FALSE)</f>
        <v>544.6</v>
      </c>
      <c r="I68" s="347">
        <f>VLOOKUP($B68,'26MY_PASSPORT_DATA'!$B:$AR,12,FALSE)</f>
        <v>0</v>
      </c>
      <c r="J68" s="347">
        <f>VLOOKUP($B68,'26MY_PASSPORT_DATA'!$B:$AR,13,FALSE)</f>
        <v>0</v>
      </c>
      <c r="K68" s="347" t="str">
        <f>VLOOKUP(B68,'26MY_PASSPORT_DATA'!B:AR,14,FALSE)</f>
        <v>•</v>
      </c>
      <c r="L68" s="347" t="str">
        <f>VLOOKUP(B68,'26MY_PASSPORT_DATA'!B:AR,15,FALSE)</f>
        <v>•</v>
      </c>
      <c r="M68" s="347">
        <f>VLOOKUP($B68,'26MY_PASSPORT_DATA'!$B:$AR,16,FALSE)</f>
        <v>0</v>
      </c>
      <c r="N68" s="347">
        <f>VLOOKUP(B68,'26MY_PASSPORT_DATA'!B:AR,17,FALSE)</f>
        <v>0</v>
      </c>
      <c r="O68" s="347" t="str">
        <f>VLOOKUP(B68,'26MY_PASSPORT_DATA'!B:AR,18,FALSE)</f>
        <v>•</v>
      </c>
      <c r="P68" s="347" t="str">
        <f>VLOOKUP(B68,'26MY_PASSPORT_DATA'!B:AR,19,FALSE)</f>
        <v>•</v>
      </c>
      <c r="Q68" s="350" t="str">
        <f>IF(VLOOKUP(B68,'26MY_PASSPORT_DATA'!B:AR,21,FALSE)="","",VLOOKUP(B68,'26MY_PASSPORT_DATA'!B:AR,21,FALSE))</f>
        <v/>
      </c>
    </row>
    <row r="69" spans="2:17" s="135" customFormat="1" ht="15" customHeight="1">
      <c r="B69" s="298" t="s">
        <v>294</v>
      </c>
      <c r="C69" s="199" t="str">
        <f>VLOOKUP(B69,'26MY_PASSPORT_DATA'!B:AR,4,FALSE)</f>
        <v>Emblèmes</v>
      </c>
      <c r="D69" s="189"/>
      <c r="E69" s="189"/>
      <c r="F69" s="189"/>
      <c r="G69" s="189"/>
      <c r="H69" s="189"/>
      <c r="I69" s="189"/>
      <c r="J69" s="189"/>
      <c r="K69" s="189"/>
      <c r="L69" s="189"/>
      <c r="M69" s="189"/>
      <c r="N69" s="189"/>
      <c r="O69" s="189"/>
      <c r="P69" s="189"/>
      <c r="Q69" s="180"/>
    </row>
    <row r="70" spans="2:17" s="135" customFormat="1" ht="14.4">
      <c r="B70" s="298" t="s">
        <v>236</v>
      </c>
      <c r="C70" s="293" t="str">
        <f>VLOOKUP(B70,'26MY_PASSPORT_DATA'!B:AR,4,FALSE)</f>
        <v>Emblème Passport noir</v>
      </c>
      <c r="D70" s="79" t="str">
        <f t="shared" si="16"/>
        <v>08F20-3BM-100</v>
      </c>
      <c r="E70" s="343">
        <f>VLOOKUP(B70,'26MY_PASSPORT_DATA'!B:AR,9,FALSE)</f>
        <v>149</v>
      </c>
      <c r="F70" s="343">
        <f>VLOOKUP(B70,'26MY_PASSPORT_DATA'!B:AR,10,FALSE)</f>
        <v>248</v>
      </c>
      <c r="G70" s="344">
        <f>VLOOKUP(B70,'26MY_PASSPORT_DATA'!B:AR,7,FALSE)</f>
        <v>0.3</v>
      </c>
      <c r="H70" s="345">
        <f>VLOOKUP(B70,'26MY_PASSPORT_DATA'!B:AR,11,FALSE)</f>
        <v>299.3</v>
      </c>
      <c r="I70" s="347">
        <f>VLOOKUP($B70,'26MY_PASSPORT_DATA'!$B:$AR,12,FALSE)</f>
        <v>0</v>
      </c>
      <c r="J70" s="347">
        <f>VLOOKUP($B70,'26MY_PASSPORT_DATA'!$B:$AR,13,FALSE)</f>
        <v>0</v>
      </c>
      <c r="K70" s="347" t="str">
        <f>VLOOKUP(B70,'26MY_PASSPORT_DATA'!B:AR,14,FALSE)</f>
        <v>•</v>
      </c>
      <c r="L70" s="347" t="str">
        <f>VLOOKUP(B70,'26MY_PASSPORT_DATA'!B:AR,15,FALSE)</f>
        <v>•</v>
      </c>
      <c r="M70" s="347">
        <f>VLOOKUP($B70,'26MY_PASSPORT_DATA'!$B:$AR,16,FALSE)</f>
        <v>0</v>
      </c>
      <c r="N70" s="347">
        <f>VLOOKUP(B70,'26MY_PASSPORT_DATA'!B:AR,17,FALSE)</f>
        <v>0</v>
      </c>
      <c r="O70" s="347" t="str">
        <f>VLOOKUP(B70,'26MY_PASSPORT_DATA'!B:AR,18,FALSE)</f>
        <v>•</v>
      </c>
      <c r="P70" s="347" t="str">
        <f>VLOOKUP(B70,'26MY_PASSPORT_DATA'!B:AR,19,FALSE)</f>
        <v>•</v>
      </c>
      <c r="Q70" s="350" t="str">
        <f>IF(VLOOKUP(B70,'26MY_PASSPORT_DATA'!B:AR,21,FALSE)="","",VLOOKUP(B70,'26MY_PASSPORT_DATA'!B:AR,21,FALSE))</f>
        <v/>
      </c>
    </row>
    <row r="71" spans="2:17" s="135" customFormat="1" ht="15" customHeight="1">
      <c r="B71" s="298" t="s">
        <v>234</v>
      </c>
      <c r="C71" s="192" t="str">
        <f>VLOOKUP(B71,'26MY_PASSPORT_DATA'!B:AR,4,FALSE)</f>
        <v>Emblèmes noirs – Logo « H » à l’avant et à l’arrière</v>
      </c>
      <c r="D71" s="79" t="str">
        <f t="shared" si="16"/>
        <v>08F20-3BM-100B</v>
      </c>
      <c r="E71" s="343">
        <f>VLOOKUP(B71,'26MY_PASSPORT_DATA'!B:AR,9,FALSE)</f>
        <v>65</v>
      </c>
      <c r="F71" s="343">
        <f>VLOOKUP(B71,'26MY_PASSPORT_DATA'!B:AR,10,FALSE)</f>
        <v>108</v>
      </c>
      <c r="G71" s="344">
        <f>VLOOKUP(B71,'26MY_PASSPORT_DATA'!B:AR,7,FALSE)</f>
        <v>0.6</v>
      </c>
      <c r="H71" s="345">
        <f>VLOOKUP(B71,'26MY_PASSPORT_DATA'!B:AR,11,FALSE)</f>
        <v>210.6</v>
      </c>
      <c r="I71" s="347">
        <f>VLOOKUP($B71,'26MY_PASSPORT_DATA'!$B:$AR,12,FALSE)</f>
        <v>0</v>
      </c>
      <c r="J71" s="347">
        <f>VLOOKUP($B71,'26MY_PASSPORT_DATA'!$B:$AR,13,FALSE)</f>
        <v>0</v>
      </c>
      <c r="K71" s="347" t="str">
        <f>VLOOKUP(B71,'26MY_PASSPORT_DATA'!B:AR,14,FALSE)</f>
        <v>•</v>
      </c>
      <c r="L71" s="347" t="str">
        <f>VLOOKUP(B71,'26MY_PASSPORT_DATA'!B:AR,15,FALSE)</f>
        <v>S</v>
      </c>
      <c r="M71" s="347">
        <f>VLOOKUP($B71,'26MY_PASSPORT_DATA'!$B:$AR,16,FALSE)</f>
        <v>0</v>
      </c>
      <c r="N71" s="347">
        <f>VLOOKUP(B71,'26MY_PASSPORT_DATA'!B:AR,17,FALSE)</f>
        <v>0</v>
      </c>
      <c r="O71" s="347" t="str">
        <f>VLOOKUP(B71,'26MY_PASSPORT_DATA'!B:AR,18,FALSE)</f>
        <v>•</v>
      </c>
      <c r="P71" s="347" t="str">
        <f>VLOOKUP(B71,'26MY_PASSPORT_DATA'!B:AR,19,FALSE)</f>
        <v>S</v>
      </c>
      <c r="Q71" s="350" t="str">
        <f>IF(VLOOKUP(B71,'26MY_PASSPORT_DATA'!B:AR,21,FALSE)="","",VLOOKUP(B71,'26MY_PASSPORT_DATA'!B:AR,21,FALSE))</f>
        <v/>
      </c>
    </row>
    <row r="72" spans="2:17" s="135" customFormat="1" ht="14.4">
      <c r="B72" s="298" t="s">
        <v>231</v>
      </c>
      <c r="C72" s="224" t="str">
        <f>VLOOKUP(B72,'26MY_PASSPORT_DATA'!B:AR,4,FALSE)</f>
        <v>Attelage de remorque – Monture de rotule</v>
      </c>
      <c r="D72" s="79" t="str">
        <f t="shared" ref="D72:D77" si="19">B72</f>
        <v>08L92-3BM-100A</v>
      </c>
      <c r="E72" s="343">
        <f>VLOOKUP(B72,'26MY_PASSPORT_DATA'!B:AR,9,FALSE)</f>
        <v>94</v>
      </c>
      <c r="F72" s="343">
        <f>VLOOKUP(B72,'26MY_PASSPORT_DATA'!B:AR,10,FALSE)</f>
        <v>157</v>
      </c>
      <c r="G72" s="344">
        <f>VLOOKUP(B72,'26MY_PASSPORT_DATA'!B:AR,7,FALSE)</f>
        <v>0</v>
      </c>
      <c r="H72" s="345">
        <f>VLOOKUP(B72,'26MY_PASSPORT_DATA'!B:AR,11,FALSE)</f>
        <v>157</v>
      </c>
      <c r="I72" s="347">
        <f>VLOOKUP($B72,'26MY_PASSPORT_DATA'!$B:$AR,12,FALSE)</f>
        <v>0</v>
      </c>
      <c r="J72" s="347">
        <f>VLOOKUP($B72,'26MY_PASSPORT_DATA'!$B:$AR,13,FALSE)</f>
        <v>0</v>
      </c>
      <c r="K72" s="347" t="str">
        <f>VLOOKUP(B72,'26MY_PASSPORT_DATA'!B:AR,14,FALSE)</f>
        <v>•</v>
      </c>
      <c r="L72" s="347" t="str">
        <f>VLOOKUP(B72,'26MY_PASSPORT_DATA'!B:AR,15,FALSE)</f>
        <v>•</v>
      </c>
      <c r="M72" s="347">
        <f>VLOOKUP($B72,'26MY_PASSPORT_DATA'!$B:$AR,16,FALSE)</f>
        <v>0</v>
      </c>
      <c r="N72" s="347">
        <f>VLOOKUP(B72,'26MY_PASSPORT_DATA'!B:AR,17,FALSE)</f>
        <v>0</v>
      </c>
      <c r="O72" s="347" t="str">
        <f>VLOOKUP(B72,'26MY_PASSPORT_DATA'!B:AR,18,FALSE)</f>
        <v>•</v>
      </c>
      <c r="P72" s="347" t="str">
        <f>VLOOKUP(B72,'26MY_PASSPORT_DATA'!B:AR,19,FALSE)</f>
        <v>•</v>
      </c>
      <c r="Q72" s="350" t="str">
        <f>IF(VLOOKUP(B72,'26MY_PASSPORT_DATA'!B:AR,21,FALSE)="","",VLOOKUP(B72,'26MY_PASSPORT_DATA'!B:AR,21,FALSE))</f>
        <v/>
      </c>
    </row>
    <row r="73" spans="2:17" s="135" customFormat="1" ht="14.4">
      <c r="B73" s="298" t="s">
        <v>198</v>
      </c>
      <c r="C73" s="268" t="str">
        <f>VLOOKUP(B73,'26MY_PASSPORT_DATA'!B:AR,4,FALSE)</f>
        <v>Attelage de remorque – Goupille de verrouillage</v>
      </c>
      <c r="D73" s="79" t="str">
        <f t="shared" si="19"/>
        <v>08L92-SJC-300A</v>
      </c>
      <c r="E73" s="343">
        <f>VLOOKUP(B73,'26MY_PASSPORT_DATA'!B:AR,9,FALSE)</f>
        <v>109</v>
      </c>
      <c r="F73" s="343">
        <f>VLOOKUP(B73,'26MY_PASSPORT_DATA'!B:AR,10,FALSE)</f>
        <v>168</v>
      </c>
      <c r="G73" s="344">
        <f>VLOOKUP(B73,'26MY_PASSPORT_DATA'!B:AR,7,FALSE)</f>
        <v>0</v>
      </c>
      <c r="H73" s="345">
        <f>VLOOKUP(B73,'26MY_PASSPORT_DATA'!B:AR,11,FALSE)</f>
        <v>168</v>
      </c>
      <c r="I73" s="347">
        <f>VLOOKUP($B73,'26MY_PASSPORT_DATA'!$B:$AR,12,FALSE)</f>
        <v>0</v>
      </c>
      <c r="J73" s="347">
        <f>VLOOKUP($B73,'26MY_PASSPORT_DATA'!$B:$AR,13,FALSE)</f>
        <v>0</v>
      </c>
      <c r="K73" s="347" t="str">
        <f>VLOOKUP(B73,'26MY_PASSPORT_DATA'!B:AR,14,FALSE)</f>
        <v>•</v>
      </c>
      <c r="L73" s="347" t="str">
        <f>VLOOKUP(B73,'26MY_PASSPORT_DATA'!B:AR,15,FALSE)</f>
        <v>•</v>
      </c>
      <c r="M73" s="347">
        <f>VLOOKUP($B73,'26MY_PASSPORT_DATA'!$B:$AR,16,FALSE)</f>
        <v>0</v>
      </c>
      <c r="N73" s="347">
        <f>VLOOKUP(B73,'26MY_PASSPORT_DATA'!B:AR,17,FALSE)</f>
        <v>0</v>
      </c>
      <c r="O73" s="347" t="str">
        <f>VLOOKUP(B73,'26MY_PASSPORT_DATA'!B:AR,18,FALSE)</f>
        <v>•</v>
      </c>
      <c r="P73" s="347" t="str">
        <f>VLOOKUP(B73,'26MY_PASSPORT_DATA'!B:AR,19,FALSE)</f>
        <v>•</v>
      </c>
      <c r="Q73" s="350" t="str">
        <f>IF(VLOOKUP(B73,'26MY_PASSPORT_DATA'!B:AR,21,FALSE)="","",VLOOKUP(B73,'26MY_PASSPORT_DATA'!B:AR,21,FALSE))</f>
        <v/>
      </c>
    </row>
    <row r="74" spans="2:17" s="135" customFormat="1" ht="14.4">
      <c r="B74" s="298" t="s">
        <v>196</v>
      </c>
      <c r="C74" s="224" t="str">
        <f>VLOOKUP(B74,'26MY_PASSPORT_DATA'!B:AR,4,FALSE)</f>
        <v>Attelage de remorque – Rotule d'attelage de 1 7/8 po</v>
      </c>
      <c r="D74" s="79" t="str">
        <f t="shared" si="19"/>
        <v>08L92-S9V-300G</v>
      </c>
      <c r="E74" s="343">
        <f>VLOOKUP(B74,'26MY_PASSPORT_DATA'!B:AR,9,FALSE)</f>
        <v>29</v>
      </c>
      <c r="F74" s="343">
        <f>VLOOKUP(B74,'26MY_PASSPORT_DATA'!B:AR,10,FALSE)</f>
        <v>48</v>
      </c>
      <c r="G74" s="344">
        <f>VLOOKUP(B74,'26MY_PASSPORT_DATA'!B:AR,7,FALSE)</f>
        <v>0</v>
      </c>
      <c r="H74" s="345">
        <f>VLOOKUP(B74,'26MY_PASSPORT_DATA'!B:AR,11,FALSE)</f>
        <v>48</v>
      </c>
      <c r="I74" s="347">
        <f>VLOOKUP($B74,'26MY_PASSPORT_DATA'!$B:$AR,12,FALSE)</f>
        <v>0</v>
      </c>
      <c r="J74" s="347">
        <f>VLOOKUP($B74,'26MY_PASSPORT_DATA'!$B:$AR,13,FALSE)</f>
        <v>0</v>
      </c>
      <c r="K74" s="347" t="str">
        <f>VLOOKUP(B74,'26MY_PASSPORT_DATA'!B:AR,14,FALSE)</f>
        <v>•</v>
      </c>
      <c r="L74" s="347" t="str">
        <f>VLOOKUP(B74,'26MY_PASSPORT_DATA'!B:AR,15,FALSE)</f>
        <v>•</v>
      </c>
      <c r="M74" s="347">
        <f>VLOOKUP($B74,'26MY_PASSPORT_DATA'!$B:$AR,16,FALSE)</f>
        <v>0</v>
      </c>
      <c r="N74" s="347">
        <f>VLOOKUP(B74,'26MY_PASSPORT_DATA'!B:AR,17,FALSE)</f>
        <v>0</v>
      </c>
      <c r="O74" s="347" t="str">
        <f>VLOOKUP(B74,'26MY_PASSPORT_DATA'!B:AR,18,FALSE)</f>
        <v>•</v>
      </c>
      <c r="P74" s="347" t="str">
        <f>VLOOKUP(B74,'26MY_PASSPORT_DATA'!B:AR,19,FALSE)</f>
        <v>•</v>
      </c>
      <c r="Q74" s="350" t="str">
        <f>IF(VLOOKUP(B74,'26MY_PASSPORT_DATA'!B:AR,21,FALSE)="","",VLOOKUP(B74,'26MY_PASSPORT_DATA'!B:AR,21,FALSE))</f>
        <v/>
      </c>
    </row>
    <row r="75" spans="2:17" s="135" customFormat="1" ht="14.4">
      <c r="B75" s="298" t="s">
        <v>197</v>
      </c>
      <c r="C75" s="224" t="str">
        <f>VLOOKUP(B75,'26MY_PASSPORT_DATA'!B:AR,4,FALSE)</f>
        <v>Attelage de remorque – Rotule d'attelage de 2 po</v>
      </c>
      <c r="D75" s="291" t="str">
        <f t="shared" si="19"/>
        <v>08L92-S9V-300H</v>
      </c>
      <c r="E75" s="343">
        <f>VLOOKUP(B75,'26MY_PASSPORT_DATA'!B:AR,9,FALSE)</f>
        <v>29</v>
      </c>
      <c r="F75" s="343">
        <f>VLOOKUP(B75,'26MY_PASSPORT_DATA'!B:AR,10,FALSE)</f>
        <v>48</v>
      </c>
      <c r="G75" s="344">
        <f>VLOOKUP(B75,'26MY_PASSPORT_DATA'!B:AR,7,FALSE)</f>
        <v>0</v>
      </c>
      <c r="H75" s="345">
        <f>VLOOKUP(B75,'26MY_PASSPORT_DATA'!B:AR,11,FALSE)</f>
        <v>48</v>
      </c>
      <c r="I75" s="347">
        <f>VLOOKUP($B75,'26MY_PASSPORT_DATA'!$B:$AR,12,FALSE)</f>
        <v>0</v>
      </c>
      <c r="J75" s="347">
        <f>VLOOKUP($B75,'26MY_PASSPORT_DATA'!$B:$AR,13,FALSE)</f>
        <v>0</v>
      </c>
      <c r="K75" s="347" t="str">
        <f>VLOOKUP(B75,'26MY_PASSPORT_DATA'!B:AR,14,FALSE)</f>
        <v>•</v>
      </c>
      <c r="L75" s="347" t="str">
        <f>VLOOKUP(B75,'26MY_PASSPORT_DATA'!B:AR,15,FALSE)</f>
        <v>•</v>
      </c>
      <c r="M75" s="347">
        <f>VLOOKUP($B75,'26MY_PASSPORT_DATA'!$B:$AR,16,FALSE)</f>
        <v>0</v>
      </c>
      <c r="N75" s="347">
        <f>VLOOKUP(B75,'26MY_PASSPORT_DATA'!B:AR,17,FALSE)</f>
        <v>0</v>
      </c>
      <c r="O75" s="347" t="str">
        <f>VLOOKUP(B75,'26MY_PASSPORT_DATA'!B:AR,18,FALSE)</f>
        <v>•</v>
      </c>
      <c r="P75" s="347" t="str">
        <f>VLOOKUP(B75,'26MY_PASSPORT_DATA'!B:AR,19,FALSE)</f>
        <v>•</v>
      </c>
      <c r="Q75" s="350" t="str">
        <f>IF(VLOOKUP(B75,'26MY_PASSPORT_DATA'!B:AR,21,FALSE)="","",VLOOKUP(B75,'26MY_PASSPORT_DATA'!B:AR,21,FALSE))</f>
        <v/>
      </c>
    </row>
    <row r="76" spans="2:17" s="135" customFormat="1" ht="14.4">
      <c r="B76" s="298" t="s">
        <v>431</v>
      </c>
      <c r="C76" s="224" t="str">
        <f>VLOOKUP(B76,'26MY_PASSPORT_DATA'!B:AR,4,FALSE)</f>
        <v>Tente pour hayon</v>
      </c>
      <c r="D76" s="79" t="str">
        <f t="shared" si="19"/>
        <v>08Z04-SCV-110B</v>
      </c>
      <c r="E76" s="343">
        <f>VLOOKUP(B76,'26MY_PASSPORT_DATA'!B:AR,9,FALSE)</f>
        <v>490</v>
      </c>
      <c r="F76" s="343">
        <f>VLOOKUP(B76,'26MY_PASSPORT_DATA'!B:AR,10,FALSE)</f>
        <v>700</v>
      </c>
      <c r="G76" s="344">
        <f>VLOOKUP(B76,'26MY_PASSPORT_DATA'!B:AR,7,FALSE)</f>
        <v>0</v>
      </c>
      <c r="H76" s="345">
        <f>VLOOKUP(B76,'26MY_PASSPORT_DATA'!B:AR,11,FALSE)</f>
        <v>700</v>
      </c>
      <c r="I76" s="347">
        <f>VLOOKUP($B76,'26MY_PASSPORT_DATA'!$B:$AR,12,FALSE)</f>
        <v>0</v>
      </c>
      <c r="J76" s="347">
        <f>VLOOKUP($B76,'26MY_PASSPORT_DATA'!$B:$AR,13,FALSE)</f>
        <v>0</v>
      </c>
      <c r="K76" s="347" t="str">
        <f>VLOOKUP(B76,'26MY_PASSPORT_DATA'!B:AR,14,FALSE)</f>
        <v>•</v>
      </c>
      <c r="L76" s="347" t="str">
        <f>VLOOKUP(B76,'26MY_PASSPORT_DATA'!B:AR,15,FALSE)</f>
        <v>•</v>
      </c>
      <c r="M76" s="347">
        <f>VLOOKUP($B76,'26MY_PASSPORT_DATA'!$B:$AR,16,FALSE)</f>
        <v>0</v>
      </c>
      <c r="N76" s="347">
        <f>VLOOKUP(B76,'26MY_PASSPORT_DATA'!B:AR,17,FALSE)</f>
        <v>0</v>
      </c>
      <c r="O76" s="347" t="str">
        <f>VLOOKUP(B76,'26MY_PASSPORT_DATA'!B:AR,18,FALSE)</f>
        <v>•</v>
      </c>
      <c r="P76" s="347" t="str">
        <f>VLOOKUP(B76,'26MY_PASSPORT_DATA'!B:AR,19,FALSE)</f>
        <v>•</v>
      </c>
      <c r="Q76" s="350" t="str">
        <f>IF(VLOOKUP(B76,'26MY_PASSPORT_DATA'!B:AR,21,FALSE)="","",VLOOKUP(B76,'26MY_PASSPORT_DATA'!B:AR,21,FALSE))</f>
        <v/>
      </c>
    </row>
    <row r="77" spans="2:17" s="135" customFormat="1" ht="14.4">
      <c r="B77" s="298" t="s">
        <v>225</v>
      </c>
      <c r="C77" s="224" t="str">
        <f>VLOOKUP(B77,'26MY_PASSPORT_DATA'!B:AR,4,FALSE)</f>
        <v>Barres transversales</v>
      </c>
      <c r="D77" s="79" t="str">
        <f t="shared" si="19"/>
        <v>08L04-3BM-300</v>
      </c>
      <c r="E77" s="343">
        <f>VLOOKUP(B77,'26MY_PASSPORT_DATA'!B:AR,9,FALSE)</f>
        <v>265</v>
      </c>
      <c r="F77" s="343">
        <f>VLOOKUP(B77,'26MY_PASSPORT_DATA'!B:AR,10,FALSE)</f>
        <v>442</v>
      </c>
      <c r="G77" s="344">
        <f>VLOOKUP(B77,'26MY_PASSPORT_DATA'!B:AR,7,FALSE)</f>
        <v>0.3</v>
      </c>
      <c r="H77" s="345">
        <f>VLOOKUP(B77,'26MY_PASSPORT_DATA'!B:AR,11,FALSE)</f>
        <v>493.3</v>
      </c>
      <c r="I77" s="347">
        <f>VLOOKUP($B77,'26MY_PASSPORT_DATA'!$B:$AR,12,FALSE)</f>
        <v>0</v>
      </c>
      <c r="J77" s="347">
        <f>VLOOKUP($B77,'26MY_PASSPORT_DATA'!$B:$AR,13,FALSE)</f>
        <v>0</v>
      </c>
      <c r="K77" s="347" t="str">
        <f>VLOOKUP(B77,'26MY_PASSPORT_DATA'!B:AR,14,FALSE)</f>
        <v>•</v>
      </c>
      <c r="L77" s="347" t="str">
        <f>VLOOKUP(B77,'26MY_PASSPORT_DATA'!B:AR,15,FALSE)</f>
        <v>•</v>
      </c>
      <c r="M77" s="347">
        <f>VLOOKUP($B77,'26MY_PASSPORT_DATA'!$B:$AR,16,FALSE)</f>
        <v>0</v>
      </c>
      <c r="N77" s="347">
        <f>VLOOKUP(B77,'26MY_PASSPORT_DATA'!B:AR,17,FALSE)</f>
        <v>0</v>
      </c>
      <c r="O77" s="347" t="str">
        <f>VLOOKUP(B77,'26MY_PASSPORT_DATA'!B:AR,18,FALSE)</f>
        <v>•</v>
      </c>
      <c r="P77" s="347" t="str">
        <f>VLOOKUP(B77,'26MY_PASSPORT_DATA'!B:AR,19,FALSE)</f>
        <v>•</v>
      </c>
      <c r="Q77" s="350" t="str">
        <f>IF(VLOOKUP(B77,'26MY_PASSPORT_DATA'!B:AR,21,FALSE)="","",VLOOKUP(B77,'26MY_PASSPORT_DATA'!B:AR,21,FALSE))</f>
        <v/>
      </c>
    </row>
    <row r="78" spans="2:17" s="135" customFormat="1" ht="15" customHeight="1">
      <c r="B78" s="298" t="s">
        <v>175</v>
      </c>
      <c r="C78" s="199" t="str">
        <f>VLOOKUP(B78,'26MY_PASSPORT_DATA'!B:AR,4,FALSE)</f>
        <v>Accessoires de toit</v>
      </c>
      <c r="D78" s="189"/>
      <c r="E78" s="189"/>
      <c r="F78" s="189"/>
      <c r="G78" s="189"/>
      <c r="H78" s="189"/>
      <c r="I78" s="189"/>
      <c r="J78" s="189"/>
      <c r="K78" s="189"/>
      <c r="L78" s="189"/>
      <c r="M78" s="189"/>
      <c r="N78" s="189"/>
      <c r="O78" s="189"/>
      <c r="P78" s="189"/>
      <c r="Q78" s="180"/>
    </row>
    <row r="79" spans="2:17" s="135" customFormat="1" ht="15" customHeight="1">
      <c r="B79" s="298" t="s">
        <v>226</v>
      </c>
      <c r="C79" s="192" t="str">
        <f>VLOOKUP(B79,'26MY_PASSPORT_DATA'!B:AR,4,FALSE)</f>
        <v>Plateforme de toit</v>
      </c>
      <c r="D79" s="79" t="str">
        <f t="shared" si="16"/>
        <v>08L08-3BM-100</v>
      </c>
      <c r="E79" s="343">
        <f>VLOOKUP(B79,'26MY_PASSPORT_DATA'!B:AR,9,FALSE)</f>
        <v>957</v>
      </c>
      <c r="F79" s="343">
        <f>VLOOKUP(B79,'26MY_PASSPORT_DATA'!B:AR,10,FALSE)</f>
        <v>1367</v>
      </c>
      <c r="G79" s="344">
        <f>VLOOKUP(B79,'26MY_PASSPORT_DATA'!B:AR,7,FALSE)</f>
        <v>0.6</v>
      </c>
      <c r="H79" s="345">
        <f>VLOOKUP(B79,'26MY_PASSPORT_DATA'!B:AR,11,FALSE)</f>
        <v>1469.6</v>
      </c>
      <c r="I79" s="347">
        <f>VLOOKUP($B79,'26MY_PASSPORT_DATA'!$B:$AR,12,FALSE)</f>
        <v>0</v>
      </c>
      <c r="J79" s="347">
        <f>VLOOKUP($B79,'26MY_PASSPORT_DATA'!$B:$AR,13,FALSE)</f>
        <v>0</v>
      </c>
      <c r="K79" s="347" t="str">
        <f>VLOOKUP(B79,'26MY_PASSPORT_DATA'!B:AR,14,FALSE)</f>
        <v>•</v>
      </c>
      <c r="L79" s="347" t="str">
        <f>VLOOKUP(B79,'26MY_PASSPORT_DATA'!B:AR,15,FALSE)</f>
        <v>•</v>
      </c>
      <c r="M79" s="347">
        <f>VLOOKUP($B79,'26MY_PASSPORT_DATA'!$B:$AR,16,FALSE)</f>
        <v>0</v>
      </c>
      <c r="N79" s="347">
        <f>VLOOKUP(B79,'26MY_PASSPORT_DATA'!B:AR,17,FALSE)</f>
        <v>0</v>
      </c>
      <c r="O79" s="347" t="str">
        <f>VLOOKUP(B79,'26MY_PASSPORT_DATA'!B:AR,18,FALSE)</f>
        <v>•</v>
      </c>
      <c r="P79" s="347" t="str">
        <f>VLOOKUP(B79,'26MY_PASSPORT_DATA'!B:AR,19,FALSE)</f>
        <v>•</v>
      </c>
      <c r="Q79" s="348" t="str">
        <f>IF(VLOOKUP(B79,'26MY_PASSPORT_DATA'!B:AR,21,FALSE)="","",VLOOKUP(B79,'26MY_PASSPORT_DATA'!B:AR,21,FALSE))</f>
        <v/>
      </c>
    </row>
    <row r="80" spans="2:17" s="135" customFormat="1" ht="15" customHeight="1">
      <c r="B80" s="298" t="s">
        <v>430</v>
      </c>
      <c r="C80" s="192" t="str">
        <f>VLOOKUP(B80,'26MY_PASSPORT_DATA'!B:AR,4,FALSE)</f>
        <v>Porte-vélo de toit – Fixation au cadre</v>
      </c>
      <c r="D80" s="79" t="str">
        <f t="shared" si="16"/>
        <v>08L07-E09-101</v>
      </c>
      <c r="E80" s="343">
        <f>VLOOKUP(B80,'26MY_PASSPORT_DATA'!B:AR,9,FALSE)</f>
        <v>393</v>
      </c>
      <c r="F80" s="343">
        <f>VLOOKUP(B80,'26MY_PASSPORT_DATA'!B:AR,10,FALSE)</f>
        <v>561</v>
      </c>
      <c r="G80" s="344">
        <f>VLOOKUP(B80,'26MY_PASSPORT_DATA'!B:AR,7,FALSE)</f>
        <v>0.4</v>
      </c>
      <c r="H80" s="345">
        <f>VLOOKUP(B80,'26MY_PASSPORT_DATA'!B:AR,11,FALSE)</f>
        <v>629.4</v>
      </c>
      <c r="I80" s="347">
        <f>VLOOKUP($B80,'26MY_PASSPORT_DATA'!$B:$AR,12,FALSE)</f>
        <v>0</v>
      </c>
      <c r="J80" s="347">
        <f>VLOOKUP($B80,'26MY_PASSPORT_DATA'!$B:$AR,13,FALSE)</f>
        <v>0</v>
      </c>
      <c r="K80" s="347" t="str">
        <f>VLOOKUP(B80,'26MY_PASSPORT_DATA'!B:AR,14,FALSE)</f>
        <v>•</v>
      </c>
      <c r="L80" s="347" t="str">
        <f>VLOOKUP(B80,'26MY_PASSPORT_DATA'!B:AR,15,FALSE)</f>
        <v>•</v>
      </c>
      <c r="M80" s="347">
        <f>VLOOKUP($B80,'26MY_PASSPORT_DATA'!$B:$AR,16,FALSE)</f>
        <v>0</v>
      </c>
      <c r="N80" s="347">
        <f>VLOOKUP(B80,'26MY_PASSPORT_DATA'!B:AR,17,FALSE)</f>
        <v>0</v>
      </c>
      <c r="O80" s="347" t="str">
        <f>VLOOKUP(B80,'26MY_PASSPORT_DATA'!B:AR,18,FALSE)</f>
        <v>•</v>
      </c>
      <c r="P80" s="347" t="str">
        <f>VLOOKUP(B80,'26MY_PASSPORT_DATA'!B:AR,19,FALSE)</f>
        <v>•</v>
      </c>
      <c r="Q80" s="372" t="str">
        <f>IF(VLOOKUP(B80,'26MY_PASSPORT_DATA'!B:AR,21,FALSE)="","",VLOOKUP(B80,'26MY_PASSPORT_DATA'!B:AR,21,FALSE))</f>
        <v>Nécessite des barres de toit et des barres transversales.</v>
      </c>
    </row>
    <row r="81" spans="2:17" s="135" customFormat="1" ht="15" customHeight="1">
      <c r="B81" s="298" t="s">
        <v>195</v>
      </c>
      <c r="C81" s="192" t="str">
        <f>VLOOKUP(B81,'26MY_PASSPORT_DATA'!B:AR,4,FALSE)</f>
        <v>Porte-vélo de toit – Fixation à la fourche</v>
      </c>
      <c r="D81" s="79" t="str">
        <f t="shared" si="16"/>
        <v>08L07-E09-300A</v>
      </c>
      <c r="E81" s="343">
        <f>VLOOKUP(B81,'26MY_PASSPORT_DATA'!B:AR,9,FALSE)</f>
        <v>300</v>
      </c>
      <c r="F81" s="343">
        <f>VLOOKUP(B81,'26MY_PASSPORT_DATA'!B:AR,10,FALSE)</f>
        <v>500</v>
      </c>
      <c r="G81" s="344">
        <f>VLOOKUP(B81,'26MY_PASSPORT_DATA'!B:AR,7,FALSE)</f>
        <v>0.4</v>
      </c>
      <c r="H81" s="345">
        <f>VLOOKUP(B81,'26MY_PASSPORT_DATA'!B:AR,11,FALSE)</f>
        <v>568.4</v>
      </c>
      <c r="I81" s="347">
        <f>VLOOKUP($B81,'26MY_PASSPORT_DATA'!$B:$AR,12,FALSE)</f>
        <v>0</v>
      </c>
      <c r="J81" s="347">
        <f>VLOOKUP($B81,'26MY_PASSPORT_DATA'!$B:$AR,13,FALSE)</f>
        <v>0</v>
      </c>
      <c r="K81" s="347" t="str">
        <f>VLOOKUP(B81,'26MY_PASSPORT_DATA'!B:AR,14,FALSE)</f>
        <v>•</v>
      </c>
      <c r="L81" s="347" t="str">
        <f>VLOOKUP(B81,'26MY_PASSPORT_DATA'!B:AR,15,FALSE)</f>
        <v>•</v>
      </c>
      <c r="M81" s="347">
        <f>VLOOKUP($B81,'26MY_PASSPORT_DATA'!$B:$AR,16,FALSE)</f>
        <v>0</v>
      </c>
      <c r="N81" s="347">
        <f>VLOOKUP(B81,'26MY_PASSPORT_DATA'!B:AR,17,FALSE)</f>
        <v>0</v>
      </c>
      <c r="O81" s="347" t="str">
        <f>VLOOKUP(B81,'26MY_PASSPORT_DATA'!B:AR,18,FALSE)</f>
        <v>•</v>
      </c>
      <c r="P81" s="347" t="str">
        <f>VLOOKUP(B81,'26MY_PASSPORT_DATA'!B:AR,19,FALSE)</f>
        <v>•</v>
      </c>
      <c r="Q81" s="373"/>
    </row>
    <row r="82" spans="2:17" s="135" customFormat="1" ht="15" customHeight="1">
      <c r="B82" s="298" t="s">
        <v>170</v>
      </c>
      <c r="C82" s="192" t="str">
        <f>VLOOKUP(B82,'26MY_PASSPORT_DATA'!B:AR,4,FALSE)</f>
        <v>Porte-ski/planche à neige de toit</v>
      </c>
      <c r="D82" s="79" t="str">
        <f t="shared" si="16"/>
        <v>08L03-E09-300C</v>
      </c>
      <c r="E82" s="343">
        <f>VLOOKUP(B82,'26MY_PASSPORT_DATA'!B:AR,9,FALSE)</f>
        <v>426</v>
      </c>
      <c r="F82" s="343">
        <f>VLOOKUP(B82,'26MY_PASSPORT_DATA'!B:AR,10,FALSE)</f>
        <v>710</v>
      </c>
      <c r="G82" s="344">
        <f>VLOOKUP(B82,'26MY_PASSPORT_DATA'!B:AR,7,FALSE)</f>
        <v>0.2</v>
      </c>
      <c r="H82" s="345">
        <f>VLOOKUP(B82,'26MY_PASSPORT_DATA'!B:AR,11,FALSE)</f>
        <v>744.2</v>
      </c>
      <c r="I82" s="347">
        <f>VLOOKUP($B82,'26MY_PASSPORT_DATA'!$B:$AR,12,FALSE)</f>
        <v>0</v>
      </c>
      <c r="J82" s="347">
        <f>VLOOKUP($B82,'26MY_PASSPORT_DATA'!$B:$AR,13,FALSE)</f>
        <v>0</v>
      </c>
      <c r="K82" s="347" t="str">
        <f>VLOOKUP(B82,'26MY_PASSPORT_DATA'!B:AR,14,FALSE)</f>
        <v>•</v>
      </c>
      <c r="L82" s="347" t="str">
        <f>VLOOKUP(B82,'26MY_PASSPORT_DATA'!B:AR,15,FALSE)</f>
        <v>•</v>
      </c>
      <c r="M82" s="347">
        <f>VLOOKUP($B82,'26MY_PASSPORT_DATA'!$B:$AR,16,FALSE)</f>
        <v>0</v>
      </c>
      <c r="N82" s="347">
        <f>VLOOKUP(B82,'26MY_PASSPORT_DATA'!B:AR,17,FALSE)</f>
        <v>0</v>
      </c>
      <c r="O82" s="347" t="str">
        <f>VLOOKUP(B82,'26MY_PASSPORT_DATA'!B:AR,18,FALSE)</f>
        <v>•</v>
      </c>
      <c r="P82" s="347" t="str">
        <f>VLOOKUP(B82,'26MY_PASSPORT_DATA'!B:AR,19,FALSE)</f>
        <v>•</v>
      </c>
      <c r="Q82" s="373"/>
    </row>
    <row r="83" spans="2:17" s="135" customFormat="1" ht="14.4">
      <c r="B83" s="298" t="s">
        <v>428</v>
      </c>
      <c r="C83" s="192" t="str">
        <f>VLOOKUP(B83,'26MY_PASSPORT_DATA'!B:AR,4,FALSE)</f>
        <v>Porte-planche de surf de toit</v>
      </c>
      <c r="D83" s="79" t="str">
        <f t="shared" ref="D83" si="20">B83</f>
        <v>08L05-E09-100</v>
      </c>
      <c r="E83" s="343">
        <f>VLOOKUP(B83,'26MY_PASSPORT_DATA'!B:AR,9,FALSE)</f>
        <v>213</v>
      </c>
      <c r="F83" s="343">
        <f>VLOOKUP(B83,'26MY_PASSPORT_DATA'!B:AR,10,FALSE)</f>
        <v>355</v>
      </c>
      <c r="G83" s="344">
        <f>VLOOKUP(B83,'26MY_PASSPORT_DATA'!B:AR,7,FALSE)</f>
        <v>0.4</v>
      </c>
      <c r="H83" s="345">
        <f>VLOOKUP(B83,'26MY_PASSPORT_DATA'!B:AR,11,FALSE)</f>
        <v>423.4</v>
      </c>
      <c r="I83" s="347">
        <f>VLOOKUP($B83,'26MY_PASSPORT_DATA'!$B:$AR,12,FALSE)</f>
        <v>0</v>
      </c>
      <c r="J83" s="347">
        <f>VLOOKUP($B83,'26MY_PASSPORT_DATA'!$B:$AR,13,FALSE)</f>
        <v>0</v>
      </c>
      <c r="K83" s="347" t="str">
        <f>VLOOKUP(B83,'26MY_PASSPORT_DATA'!B:AR,14,FALSE)</f>
        <v>•</v>
      </c>
      <c r="L83" s="347" t="str">
        <f>VLOOKUP(B83,'26MY_PASSPORT_DATA'!B:AR,15,FALSE)</f>
        <v>•</v>
      </c>
      <c r="M83" s="347">
        <f>VLOOKUP($B83,'26MY_PASSPORT_DATA'!$B:$AR,16,FALSE)</f>
        <v>0</v>
      </c>
      <c r="N83" s="347">
        <f>VLOOKUP(B83,'26MY_PASSPORT_DATA'!B:AR,17,FALSE)</f>
        <v>0</v>
      </c>
      <c r="O83" s="347" t="str">
        <f>VLOOKUP(B83,'26MY_PASSPORT_DATA'!B:AR,18,FALSE)</f>
        <v>•</v>
      </c>
      <c r="P83" s="347" t="str">
        <f>VLOOKUP(B83,'26MY_PASSPORT_DATA'!B:AR,19,FALSE)</f>
        <v>•</v>
      </c>
      <c r="Q83" s="373"/>
    </row>
    <row r="84" spans="2:17" s="135" customFormat="1" ht="15" customHeight="1">
      <c r="B84" s="298" t="s">
        <v>429</v>
      </c>
      <c r="C84" s="192" t="str">
        <f>VLOOKUP(B84,'26MY_PASSPORT_DATA'!B:AR,4,FALSE)</f>
        <v>Porte-kayak de toit</v>
      </c>
      <c r="D84" s="79" t="str">
        <f t="shared" ref="D84" si="21">B84</f>
        <v>08L09-E09-101</v>
      </c>
      <c r="E84" s="343">
        <f>VLOOKUP(B84,'26MY_PASSPORT_DATA'!B:AR,9,FALSE)</f>
        <v>442</v>
      </c>
      <c r="F84" s="343">
        <f>VLOOKUP(B84,'26MY_PASSPORT_DATA'!B:AR,10,FALSE)</f>
        <v>737</v>
      </c>
      <c r="G84" s="344">
        <f>VLOOKUP(B84,'26MY_PASSPORT_DATA'!B:AR,7,FALSE)</f>
        <v>0.4</v>
      </c>
      <c r="H84" s="345">
        <f>VLOOKUP(B84,'26MY_PASSPORT_DATA'!B:AR,11,FALSE)</f>
        <v>805.4</v>
      </c>
      <c r="I84" s="347">
        <f>VLOOKUP($B84,'26MY_PASSPORT_DATA'!$B:$AR,12,FALSE)</f>
        <v>0</v>
      </c>
      <c r="J84" s="347">
        <f>VLOOKUP($B84,'26MY_PASSPORT_DATA'!$B:$AR,13,FALSE)</f>
        <v>0</v>
      </c>
      <c r="K84" s="347" t="str">
        <f>VLOOKUP(B84,'26MY_PASSPORT_DATA'!B:AR,14,FALSE)</f>
        <v>•</v>
      </c>
      <c r="L84" s="347" t="str">
        <f>VLOOKUP(B84,'26MY_PASSPORT_DATA'!B:AR,15,FALSE)</f>
        <v>•</v>
      </c>
      <c r="M84" s="347">
        <f>VLOOKUP($B84,'26MY_PASSPORT_DATA'!$B:$AR,16,FALSE)</f>
        <v>0</v>
      </c>
      <c r="N84" s="347">
        <f>VLOOKUP(B84,'26MY_PASSPORT_DATA'!B:AR,17,FALSE)</f>
        <v>0</v>
      </c>
      <c r="O84" s="347" t="str">
        <f>VLOOKUP(B84,'26MY_PASSPORT_DATA'!B:AR,18,FALSE)</f>
        <v>•</v>
      </c>
      <c r="P84" s="347" t="str">
        <f>VLOOKUP(B84,'26MY_PASSPORT_DATA'!B:AR,19,FALSE)</f>
        <v>•</v>
      </c>
      <c r="Q84" s="373"/>
    </row>
    <row r="85" spans="2:17" s="135" customFormat="1" ht="15" customHeight="1">
      <c r="B85" s="298" t="s">
        <v>169</v>
      </c>
      <c r="C85" s="192" t="str">
        <f>VLOOKUP(B85,'26MY_PASSPORT_DATA'!B:AR,4,FALSE)</f>
        <v>Boîte de toit courte</v>
      </c>
      <c r="D85" s="79" t="str">
        <f t="shared" ref="D85:D86" si="22">B85</f>
        <v>08L20-E09-300B</v>
      </c>
      <c r="E85" s="343">
        <f>VLOOKUP(B85,'26MY_PASSPORT_DATA'!B:AR,9,FALSE)</f>
        <v>820</v>
      </c>
      <c r="F85" s="343">
        <f>VLOOKUP(B85,'26MY_PASSPORT_DATA'!B:AR,10,FALSE)</f>
        <v>1367</v>
      </c>
      <c r="G85" s="344">
        <f>VLOOKUP(B85,'26MY_PASSPORT_DATA'!B:AR,7,FALSE)</f>
        <v>0.2</v>
      </c>
      <c r="H85" s="345">
        <f>VLOOKUP(B85,'26MY_PASSPORT_DATA'!B:AR,11,FALSE)</f>
        <v>1401.2</v>
      </c>
      <c r="I85" s="347">
        <f>VLOOKUP($B85,'26MY_PASSPORT_DATA'!$B:$AR,12,FALSE)</f>
        <v>0</v>
      </c>
      <c r="J85" s="347">
        <f>VLOOKUP($B85,'26MY_PASSPORT_DATA'!$B:$AR,13,FALSE)</f>
        <v>0</v>
      </c>
      <c r="K85" s="347" t="str">
        <f>VLOOKUP(B85,'26MY_PASSPORT_DATA'!B:AR,14,FALSE)</f>
        <v>•</v>
      </c>
      <c r="L85" s="347" t="str">
        <f>VLOOKUP(B85,'26MY_PASSPORT_DATA'!B:AR,15,FALSE)</f>
        <v>•</v>
      </c>
      <c r="M85" s="347">
        <f>VLOOKUP($B85,'26MY_PASSPORT_DATA'!$B:$AR,16,FALSE)</f>
        <v>0</v>
      </c>
      <c r="N85" s="347">
        <f>VLOOKUP(B85,'26MY_PASSPORT_DATA'!B:AR,17,FALSE)</f>
        <v>0</v>
      </c>
      <c r="O85" s="347" t="str">
        <f>VLOOKUP(B85,'26MY_PASSPORT_DATA'!B:AR,18,FALSE)</f>
        <v>•</v>
      </c>
      <c r="P85" s="347" t="str">
        <f>VLOOKUP(B85,'26MY_PASSPORT_DATA'!B:AR,19,FALSE)</f>
        <v>•</v>
      </c>
      <c r="Q85" s="373"/>
    </row>
    <row r="86" spans="2:17" s="135" customFormat="1" ht="15" customHeight="1">
      <c r="B86" s="298" t="s">
        <v>194</v>
      </c>
      <c r="C86" s="192" t="str">
        <f>VLOOKUP(B86,'26MY_PASSPORT_DATA'!B:AR,4,FALSE)</f>
        <v>Boîte de toit longue</v>
      </c>
      <c r="D86" s="79" t="str">
        <f t="shared" si="22"/>
        <v>08L20-E09-300A</v>
      </c>
      <c r="E86" s="343">
        <f>VLOOKUP(B86,'26MY_PASSPORT_DATA'!B:AR,9,FALSE)</f>
        <v>898</v>
      </c>
      <c r="F86" s="343">
        <f>VLOOKUP(B86,'26MY_PASSPORT_DATA'!B:AR,10,FALSE)</f>
        <v>1497</v>
      </c>
      <c r="G86" s="344">
        <f>VLOOKUP(B86,'26MY_PASSPORT_DATA'!B:AR,7,FALSE)</f>
        <v>0.2</v>
      </c>
      <c r="H86" s="345">
        <f>VLOOKUP(B86,'26MY_PASSPORT_DATA'!B:AR,11,FALSE)</f>
        <v>1531.2</v>
      </c>
      <c r="I86" s="347">
        <f>VLOOKUP($B86,'26MY_PASSPORT_DATA'!$B:$AR,12,FALSE)</f>
        <v>0</v>
      </c>
      <c r="J86" s="347">
        <f>VLOOKUP($B86,'26MY_PASSPORT_DATA'!$B:$AR,13,FALSE)</f>
        <v>0</v>
      </c>
      <c r="K86" s="347" t="str">
        <f>VLOOKUP(B86,'26MY_PASSPORT_DATA'!B:AR,14,FALSE)</f>
        <v>•</v>
      </c>
      <c r="L86" s="347" t="str">
        <f>VLOOKUP(B86,'26MY_PASSPORT_DATA'!B:AR,15,FALSE)</f>
        <v>•</v>
      </c>
      <c r="M86" s="347">
        <f>VLOOKUP($B86,'26MY_PASSPORT_DATA'!$B:$AR,16,FALSE)</f>
        <v>0</v>
      </c>
      <c r="N86" s="347">
        <f>VLOOKUP(B86,'26MY_PASSPORT_DATA'!B:AR,17,FALSE)</f>
        <v>0</v>
      </c>
      <c r="O86" s="347" t="str">
        <f>VLOOKUP(B86,'26MY_PASSPORT_DATA'!B:AR,18,FALSE)</f>
        <v>•</v>
      </c>
      <c r="P86" s="347" t="str">
        <f>VLOOKUP(B86,'26MY_PASSPORT_DATA'!B:AR,19,FALSE)</f>
        <v>•</v>
      </c>
      <c r="Q86" s="373"/>
    </row>
    <row r="87" spans="2:17" s="135" customFormat="1" ht="15" customHeight="1">
      <c r="B87" s="298" t="s">
        <v>427</v>
      </c>
      <c r="C87" s="192" t="str">
        <f>VLOOKUP(B87,'26MY_PASSPORT_DATA'!B:AR,4,FALSE)</f>
        <v>Panier de toit</v>
      </c>
      <c r="D87" s="79" t="str">
        <f t="shared" ref="D87" si="23">B87</f>
        <v>08L20-E09-101C</v>
      </c>
      <c r="E87" s="343">
        <f>VLOOKUP(B87,'26MY_PASSPORT_DATA'!B:AR,9,FALSE)</f>
        <v>586</v>
      </c>
      <c r="F87" s="343">
        <f>VLOOKUP(B87,'26MY_PASSPORT_DATA'!B:AR,10,FALSE)</f>
        <v>977</v>
      </c>
      <c r="G87" s="344">
        <f>VLOOKUP(B87,'26MY_PASSPORT_DATA'!B:AR,7,FALSE)</f>
        <v>0.4</v>
      </c>
      <c r="H87" s="345">
        <f>VLOOKUP(B87,'26MY_PASSPORT_DATA'!B:AR,11,FALSE)</f>
        <v>1045.4000000000001</v>
      </c>
      <c r="I87" s="347">
        <f>VLOOKUP($B87,'26MY_PASSPORT_DATA'!$B:$AR,12,FALSE)</f>
        <v>0</v>
      </c>
      <c r="J87" s="347">
        <f>VLOOKUP($B87,'26MY_PASSPORT_DATA'!$B:$AR,13,FALSE)</f>
        <v>0</v>
      </c>
      <c r="K87" s="347" t="str">
        <f>VLOOKUP(B87,'26MY_PASSPORT_DATA'!B:AR,14,FALSE)</f>
        <v>•</v>
      </c>
      <c r="L87" s="347" t="str">
        <f>VLOOKUP(B87,'26MY_PASSPORT_DATA'!B:AR,15,FALSE)</f>
        <v>•</v>
      </c>
      <c r="M87" s="347">
        <f>VLOOKUP($B87,'26MY_PASSPORT_DATA'!$B:$AR,16,FALSE)</f>
        <v>0</v>
      </c>
      <c r="N87" s="347">
        <f>VLOOKUP(B87,'26MY_PASSPORT_DATA'!B:AR,17,FALSE)</f>
        <v>0</v>
      </c>
      <c r="O87" s="347" t="str">
        <f>VLOOKUP(B87,'26MY_PASSPORT_DATA'!B:AR,18,FALSE)</f>
        <v>•</v>
      </c>
      <c r="P87" s="347" t="str">
        <f>VLOOKUP(B87,'26MY_PASSPORT_DATA'!B:AR,19,FALSE)</f>
        <v>•</v>
      </c>
      <c r="Q87" s="373"/>
    </row>
    <row r="88" spans="2:17" s="135" customFormat="1" ht="15" customHeight="1">
      <c r="B88" s="298"/>
      <c r="C88" s="130"/>
      <c r="D88" s="130"/>
      <c r="E88" s="140"/>
      <c r="F88" s="140"/>
      <c r="G88" s="193"/>
      <c r="H88" s="140"/>
      <c r="I88" s="140"/>
      <c r="J88" s="140"/>
      <c r="K88" s="140"/>
      <c r="L88" s="140"/>
      <c r="M88" s="140"/>
      <c r="N88" s="140"/>
      <c r="O88" s="140"/>
      <c r="P88" s="140"/>
      <c r="Q88" s="140"/>
    </row>
    <row r="89" spans="2:17" s="133" customFormat="1" ht="18">
      <c r="B89" s="300"/>
      <c r="C89" s="152" t="s">
        <v>83</v>
      </c>
      <c r="D89" s="152"/>
      <c r="E89" s="194"/>
      <c r="F89" s="194"/>
      <c r="G89" s="194"/>
      <c r="H89" s="194"/>
      <c r="I89" s="194"/>
      <c r="J89" s="194"/>
      <c r="K89" s="194"/>
      <c r="L89" s="194"/>
      <c r="M89" s="194"/>
      <c r="N89" s="194"/>
      <c r="O89" s="194"/>
      <c r="P89" s="194"/>
      <c r="Q89" s="194"/>
    </row>
    <row r="90" spans="2:17" s="134" customFormat="1" ht="15" customHeight="1">
      <c r="B90" s="299"/>
      <c r="C90" s="387" t="s">
        <v>74</v>
      </c>
      <c r="D90" s="387" t="s">
        <v>75</v>
      </c>
      <c r="E90" s="387" t="s">
        <v>76</v>
      </c>
      <c r="F90" s="387" t="s">
        <v>77</v>
      </c>
      <c r="G90" s="387" t="s">
        <v>78</v>
      </c>
      <c r="H90" s="388" t="s">
        <v>79</v>
      </c>
      <c r="I90" s="387" t="s">
        <v>23</v>
      </c>
      <c r="J90" s="387"/>
      <c r="K90" s="387"/>
      <c r="L90" s="387"/>
      <c r="M90" s="387"/>
      <c r="N90" s="387"/>
      <c r="O90" s="387"/>
      <c r="P90" s="387"/>
      <c r="Q90" s="387" t="s">
        <v>80</v>
      </c>
    </row>
    <row r="91" spans="2:17" s="134" customFormat="1" ht="43.2">
      <c r="B91" s="299"/>
      <c r="C91" s="387"/>
      <c r="D91" s="387"/>
      <c r="E91" s="387"/>
      <c r="F91" s="387"/>
      <c r="G91" s="387"/>
      <c r="H91" s="388"/>
      <c r="I91" s="174">
        <f>'26MY_PASSPORT_DATA'!$M$6</f>
        <v>0</v>
      </c>
      <c r="J91" s="174">
        <f>'26MY_PASSPORT_DATA'!$M$6</f>
        <v>0</v>
      </c>
      <c r="K91" s="174" t="str">
        <f>'26MY_PASSPORT_DATA'!$O$6</f>
        <v>TrailSport</v>
      </c>
      <c r="L91" s="174" t="str">
        <f>'26MY_PASSPORT_DATA'!$P$6</f>
        <v>TrailSport Blackout</v>
      </c>
      <c r="M91" s="174">
        <f>'26MY_PASSPORT_DATA'!$R$6</f>
        <v>0</v>
      </c>
      <c r="N91" s="174">
        <f>'26MY_PASSPORT_DATA'!$R$6</f>
        <v>0</v>
      </c>
      <c r="O91" s="174" t="str">
        <f>'26MY_PASSPORT_DATA'!$S$6</f>
        <v>TrailSport Touring</v>
      </c>
      <c r="P91" s="174" t="str">
        <f>'26MY_PASSPORT_DATA'!$T$6</f>
        <v>Trailsport Touring Blackout</v>
      </c>
      <c r="Q91" s="387"/>
    </row>
    <row r="92" spans="2:17" s="135" customFormat="1" ht="15" customHeight="1">
      <c r="B92" s="298" t="s">
        <v>240</v>
      </c>
      <c r="C92" s="224" t="str">
        <f>VLOOKUP(B92,'26MY_PASSPORT_DATA'!B:AR,4,FALSE)</f>
        <v>Tapis toutes saisons (logo TrailSport)</v>
      </c>
      <c r="D92" s="79" t="str">
        <f t="shared" ref="D92:D103" si="24">B92</f>
        <v>08P17-3BM-120A</v>
      </c>
      <c r="E92" s="343">
        <f>VLOOKUP(B92,'26MY_PASSPORT_DATA'!B:AR,9,FALSE)</f>
        <v>216</v>
      </c>
      <c r="F92" s="343">
        <f>VLOOKUP(B92,'26MY_PASSPORT_DATA'!B:AR,10,FALSE)</f>
        <v>360</v>
      </c>
      <c r="G92" s="344">
        <f>VLOOKUP(B92,'26MY_PASSPORT_DATA'!B:AR,7,FALSE)</f>
        <v>0.1</v>
      </c>
      <c r="H92" s="345">
        <f>VLOOKUP(B92,'26MY_PASSPORT_DATA'!B:AR,11,FALSE)</f>
        <v>377.1</v>
      </c>
      <c r="I92" s="347">
        <f>VLOOKUP($B92,'26MY_PASSPORT_DATA'!$B:$AR,12,FALSE)</f>
        <v>0</v>
      </c>
      <c r="J92" s="347">
        <f>VLOOKUP($B92,'26MY_PASSPORT_DATA'!$B:$AR,13,FALSE)</f>
        <v>0</v>
      </c>
      <c r="K92" s="347" t="str">
        <f>VLOOKUP(B92,'26MY_PASSPORT_DATA'!B:AR,14,FALSE)</f>
        <v>•</v>
      </c>
      <c r="L92" s="347" t="str">
        <f>VLOOKUP(B92,'26MY_PASSPORT_DATA'!B:AR,15,FALSE)</f>
        <v>•</v>
      </c>
      <c r="M92" s="347">
        <f>VLOOKUP($B92,'26MY_PASSPORT_DATA'!$B:$AR,16,FALSE)</f>
        <v>0</v>
      </c>
      <c r="N92" s="347">
        <f>VLOOKUP(B92,'26MY_PASSPORT_DATA'!B:AR,17,FALSE)</f>
        <v>0</v>
      </c>
      <c r="O92" s="347" t="str">
        <f>VLOOKUP(B92,'26MY_PASSPORT_DATA'!B:AR,18,FALSE)</f>
        <v>•</v>
      </c>
      <c r="P92" s="347" t="str">
        <f>VLOOKUP(B92,'26MY_PASSPORT_DATA'!B:AR,19,FALSE)</f>
        <v>•</v>
      </c>
      <c r="Q92" s="346" t="str">
        <f>IF(VLOOKUP(B92,'26MY_PASSPORT_DATA'!B:AR,21,FALSE)="","",VLOOKUP(B92,'26MY_PASSPORT_DATA'!B:AR,21,FALSE))</f>
        <v/>
      </c>
    </row>
    <row r="93" spans="2:17" s="135" customFormat="1" ht="15" customHeight="1">
      <c r="B93" s="298" t="s">
        <v>244</v>
      </c>
      <c r="C93" s="224" t="str">
        <f>VLOOKUP(B93,'26MY_PASSPORT_DATA'!B:AR,4,FALSE)</f>
        <v>Plateau pour compartiment utilitaire</v>
      </c>
      <c r="D93" s="79" t="str">
        <f t="shared" si="24"/>
        <v>08U45-3BM-100</v>
      </c>
      <c r="E93" s="343">
        <f>VLOOKUP(B93,'26MY_PASSPORT_DATA'!B:AR,9,FALSE)</f>
        <v>124</v>
      </c>
      <c r="F93" s="343">
        <f>VLOOKUP(B93,'26MY_PASSPORT_DATA'!B:AR,10,FALSE)</f>
        <v>207</v>
      </c>
      <c r="G93" s="344">
        <f>VLOOKUP(B93,'26MY_PASSPORT_DATA'!B:AR,7,FALSE)</f>
        <v>0.1</v>
      </c>
      <c r="H93" s="345">
        <f>VLOOKUP(B93,'26MY_PASSPORT_DATA'!B:AR,11,FALSE)</f>
        <v>224.1</v>
      </c>
      <c r="I93" s="347">
        <f>VLOOKUP($B93,'26MY_PASSPORT_DATA'!$B:$AR,12,FALSE)</f>
        <v>0</v>
      </c>
      <c r="J93" s="347">
        <f>VLOOKUP($B93,'26MY_PASSPORT_DATA'!$B:$AR,13,FALSE)</f>
        <v>0</v>
      </c>
      <c r="K93" s="347" t="str">
        <f>VLOOKUP(B93,'26MY_PASSPORT_DATA'!B:AR,14,FALSE)</f>
        <v>•</v>
      </c>
      <c r="L93" s="347" t="str">
        <f>VLOOKUP(B93,'26MY_PASSPORT_DATA'!B:AR,15,FALSE)</f>
        <v>•</v>
      </c>
      <c r="M93" s="347">
        <f>VLOOKUP($B93,'26MY_PASSPORT_DATA'!$B:$AR,16,FALSE)</f>
        <v>0</v>
      </c>
      <c r="N93" s="347">
        <f>VLOOKUP(B93,'26MY_PASSPORT_DATA'!B:AR,17,FALSE)</f>
        <v>0</v>
      </c>
      <c r="O93" s="347" t="str">
        <f>VLOOKUP(B93,'26MY_PASSPORT_DATA'!B:AR,18,FALSE)</f>
        <v>•</v>
      </c>
      <c r="P93" s="347" t="str">
        <f>VLOOKUP(B93,'26MY_PASSPORT_DATA'!B:AR,19,FALSE)</f>
        <v>•</v>
      </c>
      <c r="Q93" s="346" t="str">
        <f>IF(VLOOKUP(B93,'26MY_PASSPORT_DATA'!B:AR,21,FALSE)="","",VLOOKUP(B93,'26MY_PASSPORT_DATA'!B:AR,21,FALSE))</f>
        <v/>
      </c>
    </row>
    <row r="94" spans="2:17" s="135" customFormat="1" ht="28.8">
      <c r="B94" s="298" t="s">
        <v>250</v>
      </c>
      <c r="C94" s="224" t="str">
        <f>VLOOKUP(B94,'26MY_PASSPORT_DATA'!B:AR,4,FALSE)</f>
        <v>Couvre-bagages</v>
      </c>
      <c r="D94" s="79" t="str">
        <f t="shared" si="24"/>
        <v>08U35-3BM-310</v>
      </c>
      <c r="E94" s="343">
        <f>VLOOKUP(B94,'26MY_PASSPORT_DATA'!B:AR,9,FALSE)</f>
        <v>281</v>
      </c>
      <c r="F94" s="343">
        <f>VLOOKUP(B94,'26MY_PASSPORT_DATA'!B:AR,10,FALSE)</f>
        <v>468</v>
      </c>
      <c r="G94" s="344">
        <f>VLOOKUP(B94,'26MY_PASSPORT_DATA'!B:AR,7,FALSE)</f>
        <v>0.1</v>
      </c>
      <c r="H94" s="345">
        <f>VLOOKUP(B94,'26MY_PASSPORT_DATA'!B:AR,11,FALSE)</f>
        <v>485.1</v>
      </c>
      <c r="I94" s="347">
        <f>VLOOKUP($B94,'26MY_PASSPORT_DATA'!$B:$AR,12,FALSE)</f>
        <v>0</v>
      </c>
      <c r="J94" s="347">
        <f>VLOOKUP($B94,'26MY_PASSPORT_DATA'!$B:$AR,13,FALSE)</f>
        <v>0</v>
      </c>
      <c r="K94" s="347" t="str">
        <f>VLOOKUP(B94,'26MY_PASSPORT_DATA'!B:AR,14,FALSE)</f>
        <v>•</v>
      </c>
      <c r="L94" s="347" t="str">
        <f>VLOOKUP(B94,'26MY_PASSPORT_DATA'!B:AR,15,FALSE)</f>
        <v>•</v>
      </c>
      <c r="M94" s="347">
        <f>VLOOKUP($B94,'26MY_PASSPORT_DATA'!$B:$AR,16,FALSE)</f>
        <v>0</v>
      </c>
      <c r="N94" s="347">
        <f>VLOOKUP(B94,'26MY_PASSPORT_DATA'!B:AR,17,FALSE)</f>
        <v>0</v>
      </c>
      <c r="O94" s="347" t="str">
        <f>VLOOKUP(B94,'26MY_PASSPORT_DATA'!B:AR,18,FALSE)</f>
        <v>•</v>
      </c>
      <c r="P94" s="347" t="str">
        <f>VLOOKUP(B94,'26MY_PASSPORT_DATA'!B:AR,19,FALSE)</f>
        <v>•</v>
      </c>
      <c r="Q94" s="346" t="str">
        <f>IF(VLOOKUP(B94,'26MY_PASSPORT_DATA'!B:AR,21,FALSE)="","",VLOOKUP(B94,'26MY_PASSPORT_DATA'!B:AR,21,FALSE))</f>
        <v>Ne peut pas être utilisé en conjonction avec tablette/table pour compartiment utilitaire.</v>
      </c>
    </row>
    <row r="95" spans="2:17" s="135" customFormat="1" ht="15" customHeight="1">
      <c r="B95" s="298" t="s">
        <v>241</v>
      </c>
      <c r="C95" s="224" t="str">
        <f>VLOOKUP(B95,'26MY_PASSPORT_DATA'!B:AR,4,FALSE)</f>
        <v>Protecteur de dossier de siège</v>
      </c>
      <c r="D95" s="79" t="str">
        <f t="shared" si="24"/>
        <v>08P42-3BM-100</v>
      </c>
      <c r="E95" s="343">
        <f>VLOOKUP(B95,'26MY_PASSPORT_DATA'!B:AR,9,FALSE)</f>
        <v>127</v>
      </c>
      <c r="F95" s="343">
        <f>VLOOKUP(B95,'26MY_PASSPORT_DATA'!B:AR,10,FALSE)</f>
        <v>212</v>
      </c>
      <c r="G95" s="344">
        <f>VLOOKUP(B95,'26MY_PASSPORT_DATA'!B:AR,7,FALSE)</f>
        <v>0.2</v>
      </c>
      <c r="H95" s="345">
        <f>VLOOKUP(B95,'26MY_PASSPORT_DATA'!B:AR,11,FALSE)</f>
        <v>246.2</v>
      </c>
      <c r="I95" s="347">
        <f>VLOOKUP($B95,'26MY_PASSPORT_DATA'!$B:$AR,12,FALSE)</f>
        <v>0</v>
      </c>
      <c r="J95" s="347">
        <f>VLOOKUP($B95,'26MY_PASSPORT_DATA'!$B:$AR,13,FALSE)</f>
        <v>0</v>
      </c>
      <c r="K95" s="347" t="str">
        <f>VLOOKUP(B95,'26MY_PASSPORT_DATA'!B:AR,14,FALSE)</f>
        <v>•</v>
      </c>
      <c r="L95" s="347" t="str">
        <f>VLOOKUP(B95,'26MY_PASSPORT_DATA'!B:AR,15,FALSE)</f>
        <v>•</v>
      </c>
      <c r="M95" s="347">
        <f>VLOOKUP($B95,'26MY_PASSPORT_DATA'!$B:$AR,16,FALSE)</f>
        <v>0</v>
      </c>
      <c r="N95" s="347">
        <f>VLOOKUP(B95,'26MY_PASSPORT_DATA'!B:AR,17,FALSE)</f>
        <v>0</v>
      </c>
      <c r="O95" s="347" t="str">
        <f>VLOOKUP(B95,'26MY_PASSPORT_DATA'!B:AR,18,FALSE)</f>
        <v>•</v>
      </c>
      <c r="P95" s="347" t="str">
        <f>VLOOKUP(B95,'26MY_PASSPORT_DATA'!B:AR,19,FALSE)</f>
        <v>•</v>
      </c>
      <c r="Q95" s="346" t="str">
        <f>IF(VLOOKUP(B95,'26MY_PASSPORT_DATA'!B:AR,21,FALSE)="","",VLOOKUP(B95,'26MY_PASSPORT_DATA'!B:AR,21,FALSE))</f>
        <v/>
      </c>
    </row>
    <row r="96" spans="2:17" s="135" customFormat="1" ht="15" customHeight="1">
      <c r="B96" s="298" t="s">
        <v>249</v>
      </c>
      <c r="C96" s="224" t="str">
        <f>VLOOKUP(B96,'26MY_PASSPORT_DATA'!B:AR,4,FALSE)</f>
        <v>Barrière de séparation</v>
      </c>
      <c r="D96" s="79" t="str">
        <f t="shared" si="24"/>
        <v>08U35-3BM-300A</v>
      </c>
      <c r="E96" s="343">
        <f>VLOOKUP(B96,'26MY_PASSPORT_DATA'!B:AR,9,FALSE)</f>
        <v>638</v>
      </c>
      <c r="F96" s="343">
        <f>VLOOKUP(B96,'26MY_PASSPORT_DATA'!B:AR,10,FALSE)</f>
        <v>1063</v>
      </c>
      <c r="G96" s="344">
        <f>VLOOKUP(B96,'26MY_PASSPORT_DATA'!B:AR,7,FALSE)</f>
        <v>0.4</v>
      </c>
      <c r="H96" s="345">
        <f>VLOOKUP(B96,'26MY_PASSPORT_DATA'!B:AR,11,FALSE)</f>
        <v>1131.4000000000001</v>
      </c>
      <c r="I96" s="347">
        <f>VLOOKUP($B96,'26MY_PASSPORT_DATA'!$B:$AR,12,FALSE)</f>
        <v>0</v>
      </c>
      <c r="J96" s="347">
        <f>VLOOKUP($B96,'26MY_PASSPORT_DATA'!$B:$AR,13,FALSE)</f>
        <v>0</v>
      </c>
      <c r="K96" s="347" t="str">
        <f>VLOOKUP(B96,'26MY_PASSPORT_DATA'!B:AR,14,FALSE)</f>
        <v>•</v>
      </c>
      <c r="L96" s="347" t="str">
        <f>VLOOKUP(B96,'26MY_PASSPORT_DATA'!B:AR,15,FALSE)</f>
        <v>•</v>
      </c>
      <c r="M96" s="347">
        <f>VLOOKUP($B96,'26MY_PASSPORT_DATA'!$B:$AR,16,FALSE)</f>
        <v>0</v>
      </c>
      <c r="N96" s="347">
        <f>VLOOKUP(B96,'26MY_PASSPORT_DATA'!B:AR,17,FALSE)</f>
        <v>0</v>
      </c>
      <c r="O96" s="347" t="str">
        <f>VLOOKUP(B96,'26MY_PASSPORT_DATA'!B:AR,18,FALSE)</f>
        <v>•</v>
      </c>
      <c r="P96" s="347" t="str">
        <f>VLOOKUP(B96,'26MY_PASSPORT_DATA'!B:AR,19,FALSE)</f>
        <v>•</v>
      </c>
      <c r="Q96" s="346" t="str">
        <f>IF(VLOOKUP(B96,'26MY_PASSPORT_DATA'!B:AR,21,FALSE)="","",VLOOKUP(B96,'26MY_PASSPORT_DATA'!B:AR,21,FALSE))</f>
        <v/>
      </c>
    </row>
    <row r="97" spans="2:17" s="135" customFormat="1" ht="15" customHeight="1">
      <c r="B97" s="298" t="s">
        <v>253</v>
      </c>
      <c r="C97" s="224" t="str">
        <f>VLOOKUP(B97,'26MY_PASSPORT_DATA'!B:AR,4,FALSE)</f>
        <v>Panneau utilitaire</v>
      </c>
      <c r="D97" s="79" t="str">
        <f t="shared" si="24"/>
        <v>08Z03-3BM-300</v>
      </c>
      <c r="E97" s="343">
        <f>VLOOKUP(B97,'26MY_PASSPORT_DATA'!B:AR,9,FALSE)</f>
        <v>170</v>
      </c>
      <c r="F97" s="343">
        <f>VLOOKUP(B97,'26MY_PASSPORT_DATA'!B:AR,10,FALSE)</f>
        <v>283</v>
      </c>
      <c r="G97" s="344">
        <f>VLOOKUP(B97,'26MY_PASSPORT_DATA'!B:AR,7,FALSE)</f>
        <v>0.3</v>
      </c>
      <c r="H97" s="345">
        <f>VLOOKUP(B97,'26MY_PASSPORT_DATA'!B:AR,11,FALSE)</f>
        <v>334.3</v>
      </c>
      <c r="I97" s="347">
        <f>VLOOKUP($B97,'26MY_PASSPORT_DATA'!$B:$AR,12,FALSE)</f>
        <v>0</v>
      </c>
      <c r="J97" s="347">
        <f>VLOOKUP($B97,'26MY_PASSPORT_DATA'!$B:$AR,13,FALSE)</f>
        <v>0</v>
      </c>
      <c r="K97" s="347" t="str">
        <f>VLOOKUP(B97,'26MY_PASSPORT_DATA'!B:AR,14,FALSE)</f>
        <v>•</v>
      </c>
      <c r="L97" s="347" t="str">
        <f>VLOOKUP(B97,'26MY_PASSPORT_DATA'!B:AR,15,FALSE)</f>
        <v>•</v>
      </c>
      <c r="M97" s="347">
        <f>VLOOKUP($B97,'26MY_PASSPORT_DATA'!$B:$AR,16,FALSE)</f>
        <v>0</v>
      </c>
      <c r="N97" s="347">
        <f>VLOOKUP(B97,'26MY_PASSPORT_DATA'!B:AR,17,FALSE)</f>
        <v>0</v>
      </c>
      <c r="O97" s="347" t="str">
        <f>VLOOKUP(B97,'26MY_PASSPORT_DATA'!B:AR,18,FALSE)</f>
        <v>•</v>
      </c>
      <c r="P97" s="347" t="str">
        <f>VLOOKUP(B97,'26MY_PASSPORT_DATA'!B:AR,19,FALSE)</f>
        <v>•</v>
      </c>
      <c r="Q97" s="346" t="str">
        <f>IF(VLOOKUP(B97,'26MY_PASSPORT_DATA'!B:AR,21,FALSE)="","",VLOOKUP(B97,'26MY_PASSPORT_DATA'!B:AR,21,FALSE))</f>
        <v/>
      </c>
    </row>
    <row r="98" spans="2:17" s="135" customFormat="1" ht="15" customHeight="1">
      <c r="B98" s="298" t="s">
        <v>248</v>
      </c>
      <c r="C98" s="224" t="str">
        <f>VLOOKUP(B98,'26MY_PASSPORT_DATA'!B:AR,4,FALSE)</f>
        <v>Filet pour compartiment utilitaire</v>
      </c>
      <c r="D98" s="79" t="str">
        <f t="shared" ref="D98:D102" si="25">B98</f>
        <v>08L96-3BM-300</v>
      </c>
      <c r="E98" s="343">
        <f>VLOOKUP(B98,'26MY_PASSPORT_DATA'!B:AR,9,FALSE)</f>
        <v>60</v>
      </c>
      <c r="F98" s="343">
        <f>VLOOKUP(B98,'26MY_PASSPORT_DATA'!B:AR,10,FALSE)</f>
        <v>100</v>
      </c>
      <c r="G98" s="344">
        <f>VLOOKUP(B98,'26MY_PASSPORT_DATA'!B:AR,7,FALSE)</f>
        <v>0.1</v>
      </c>
      <c r="H98" s="345">
        <f>VLOOKUP(B98,'26MY_PASSPORT_DATA'!B:AR,11,FALSE)</f>
        <v>117.1</v>
      </c>
      <c r="I98" s="347">
        <f>VLOOKUP($B98,'26MY_PASSPORT_DATA'!$B:$AR,12,FALSE)</f>
        <v>0</v>
      </c>
      <c r="J98" s="347">
        <f>VLOOKUP($B98,'26MY_PASSPORT_DATA'!$B:$AR,13,FALSE)</f>
        <v>0</v>
      </c>
      <c r="K98" s="347" t="str">
        <f>VLOOKUP(B98,'26MY_PASSPORT_DATA'!B:AR,14,FALSE)</f>
        <v>•</v>
      </c>
      <c r="L98" s="347" t="str">
        <f>VLOOKUP(B98,'26MY_PASSPORT_DATA'!B:AR,15,FALSE)</f>
        <v>•</v>
      </c>
      <c r="M98" s="347">
        <f>VLOOKUP($B98,'26MY_PASSPORT_DATA'!$B:$AR,16,FALSE)</f>
        <v>0</v>
      </c>
      <c r="N98" s="347">
        <f>VLOOKUP(B98,'26MY_PASSPORT_DATA'!B:AR,17,FALSE)</f>
        <v>0</v>
      </c>
      <c r="O98" s="347" t="str">
        <f>VLOOKUP(B98,'26MY_PASSPORT_DATA'!B:AR,18,FALSE)</f>
        <v>•</v>
      </c>
      <c r="P98" s="347" t="str">
        <f>VLOOKUP(B98,'26MY_PASSPORT_DATA'!B:AR,19,FALSE)</f>
        <v>•</v>
      </c>
      <c r="Q98" s="346" t="str">
        <f>IF(VLOOKUP(B98,'26MY_PASSPORT_DATA'!B:AR,21,FALSE)="","",VLOOKUP(B98,'26MY_PASSPORT_DATA'!B:AR,21,FALSE))</f>
        <v/>
      </c>
    </row>
    <row r="99" spans="2:17" s="135" customFormat="1" ht="15" customHeight="1">
      <c r="B99" s="298" t="s">
        <v>265</v>
      </c>
      <c r="C99" s="224" t="str">
        <f>VLOOKUP(B99,'26MY_PASSPORT_DATA'!B:AR,4,FALSE)</f>
        <v>Tablette/table pour compartiment utilitaire</v>
      </c>
      <c r="D99" s="79" t="str">
        <f t="shared" si="25"/>
        <v>08Z05-3BM-100</v>
      </c>
      <c r="E99" s="343">
        <f>VLOOKUP(B99,'26MY_PASSPORT_DATA'!B:AR,9,FALSE)</f>
        <v>590</v>
      </c>
      <c r="F99" s="343">
        <f>VLOOKUP(B99,'26MY_PASSPORT_DATA'!B:AR,10,FALSE)</f>
        <v>983</v>
      </c>
      <c r="G99" s="344">
        <f>VLOOKUP(B99,'26MY_PASSPORT_DATA'!B:AR,7,FALSE)</f>
        <v>0.5</v>
      </c>
      <c r="H99" s="345">
        <f>VLOOKUP(B99,'26MY_PASSPORT_DATA'!B:AR,11,FALSE)</f>
        <v>1068.5</v>
      </c>
      <c r="I99" s="347">
        <f>VLOOKUP($B99,'26MY_PASSPORT_DATA'!$B:$AR,12,FALSE)</f>
        <v>0</v>
      </c>
      <c r="J99" s="347">
        <f>VLOOKUP($B99,'26MY_PASSPORT_DATA'!$B:$AR,13,FALSE)</f>
        <v>0</v>
      </c>
      <c r="K99" s="347" t="str">
        <f>VLOOKUP(B99,'26MY_PASSPORT_DATA'!B:AR,14,FALSE)</f>
        <v>•</v>
      </c>
      <c r="L99" s="347" t="str">
        <f>VLOOKUP(B99,'26MY_PASSPORT_DATA'!B:AR,15,FALSE)</f>
        <v>•</v>
      </c>
      <c r="M99" s="347">
        <f>VLOOKUP($B99,'26MY_PASSPORT_DATA'!$B:$AR,16,FALSE)</f>
        <v>0</v>
      </c>
      <c r="N99" s="347">
        <f>VLOOKUP(B99,'26MY_PASSPORT_DATA'!B:AR,17,FALSE)</f>
        <v>0</v>
      </c>
      <c r="O99" s="347" t="str">
        <f>VLOOKUP(B99,'26MY_PASSPORT_DATA'!B:AR,18,FALSE)</f>
        <v>•</v>
      </c>
      <c r="P99" s="347" t="str">
        <f>VLOOKUP(B99,'26MY_PASSPORT_DATA'!B:AR,19,FALSE)</f>
        <v>•</v>
      </c>
      <c r="Q99" s="346" t="str">
        <f>IF(VLOOKUP(B99,'26MY_PASSPORT_DATA'!B:AR,21,FALSE)="","",VLOOKUP(B99,'26MY_PASSPORT_DATA'!B:AR,21,FALSE))</f>
        <v>Ne peut pas être utilisé en conjonction avec couvre-bagages</v>
      </c>
    </row>
    <row r="100" spans="2:17" s="135" customFormat="1" ht="15" customHeight="1">
      <c r="B100" s="298" t="s">
        <v>238</v>
      </c>
      <c r="C100" s="224" t="str">
        <f>VLOOKUP(B100,'26MY_PASSPORT_DATA'!B:AR,4,FALSE)</f>
        <v>Pellicule protectrice de seuil de portière</v>
      </c>
      <c r="D100" s="79" t="str">
        <f t="shared" si="25"/>
        <v>08P04-3BM-100</v>
      </c>
      <c r="E100" s="343">
        <f>VLOOKUP(B100,'26MY_PASSPORT_DATA'!B:AR,9,FALSE)</f>
        <v>118</v>
      </c>
      <c r="F100" s="343">
        <f>VLOOKUP(B100,'26MY_PASSPORT_DATA'!B:AR,10,FALSE)</f>
        <v>197</v>
      </c>
      <c r="G100" s="344">
        <f>VLOOKUP(B100,'26MY_PASSPORT_DATA'!B:AR,7,FALSE)</f>
        <v>0.4</v>
      </c>
      <c r="H100" s="345">
        <f>VLOOKUP(B100,'26MY_PASSPORT_DATA'!B:AR,11,FALSE)</f>
        <v>265.39999999999998</v>
      </c>
      <c r="I100" s="347">
        <f>VLOOKUP($B100,'26MY_PASSPORT_DATA'!$B:$AR,12,FALSE)</f>
        <v>0</v>
      </c>
      <c r="J100" s="347">
        <f>VLOOKUP($B100,'26MY_PASSPORT_DATA'!$B:$AR,13,FALSE)</f>
        <v>0</v>
      </c>
      <c r="K100" s="347" t="str">
        <f>VLOOKUP(B100,'26MY_PASSPORT_DATA'!B:AR,14,FALSE)</f>
        <v>•</v>
      </c>
      <c r="L100" s="347" t="str">
        <f>VLOOKUP(B100,'26MY_PASSPORT_DATA'!B:AR,15,FALSE)</f>
        <v>•</v>
      </c>
      <c r="M100" s="347">
        <f>VLOOKUP($B100,'26MY_PASSPORT_DATA'!$B:$AR,16,FALSE)</f>
        <v>0</v>
      </c>
      <c r="N100" s="347">
        <f>VLOOKUP(B100,'26MY_PASSPORT_DATA'!B:AR,17,FALSE)</f>
        <v>0</v>
      </c>
      <c r="O100" s="347" t="str">
        <f>VLOOKUP(B100,'26MY_PASSPORT_DATA'!B:AR,18,FALSE)</f>
        <v>•</v>
      </c>
      <c r="P100" s="347" t="str">
        <f>VLOOKUP(B100,'26MY_PASSPORT_DATA'!B:AR,19,FALSE)</f>
        <v>•</v>
      </c>
      <c r="Q100" s="346" t="str">
        <f>IF(VLOOKUP(B100,'26MY_PASSPORT_DATA'!B:AR,21,FALSE)="","",VLOOKUP(B100,'26MY_PASSPORT_DATA'!B:AR,21,FALSE))</f>
        <v/>
      </c>
    </row>
    <row r="101" spans="2:17" s="135" customFormat="1" ht="15" customHeight="1">
      <c r="B101" s="298" t="s">
        <v>271</v>
      </c>
      <c r="C101" s="224" t="str">
        <f>VLOOKUP(B101,'26MY_PASSPORT_DATA'!B:AR,4,FALSE)</f>
        <v>Organisateur souple pour compartiment utilitaire</v>
      </c>
      <c r="D101" s="79" t="str">
        <f t="shared" si="25"/>
        <v>08U20-S9V-101</v>
      </c>
      <c r="E101" s="343">
        <f>VLOOKUP(B101,'26MY_PASSPORT_DATA'!B:AR,9,FALSE)</f>
        <v>89</v>
      </c>
      <c r="F101" s="343">
        <f>VLOOKUP(B101,'26MY_PASSPORT_DATA'!B:AR,10,FALSE)</f>
        <v>148</v>
      </c>
      <c r="G101" s="344">
        <f>VLOOKUP(B101,'26MY_PASSPORT_DATA'!B:AR,7,FALSE)</f>
        <v>0</v>
      </c>
      <c r="H101" s="345">
        <f>VLOOKUP(B101,'26MY_PASSPORT_DATA'!B:AR,11,FALSE)</f>
        <v>148</v>
      </c>
      <c r="I101" s="347">
        <f>VLOOKUP($B101,'26MY_PASSPORT_DATA'!$B:$AR,12,FALSE)</f>
        <v>0</v>
      </c>
      <c r="J101" s="347">
        <f>VLOOKUP($B101,'26MY_PASSPORT_DATA'!$B:$AR,13,FALSE)</f>
        <v>0</v>
      </c>
      <c r="K101" s="347" t="str">
        <f>VLOOKUP(B101,'26MY_PASSPORT_DATA'!B:AR,14,FALSE)</f>
        <v>•</v>
      </c>
      <c r="L101" s="347" t="str">
        <f>VLOOKUP(B101,'26MY_PASSPORT_DATA'!B:AR,15,FALSE)</f>
        <v>•</v>
      </c>
      <c r="M101" s="347">
        <f>VLOOKUP($B101,'26MY_PASSPORT_DATA'!$B:$AR,16,FALSE)</f>
        <v>0</v>
      </c>
      <c r="N101" s="347">
        <f>VLOOKUP(B101,'26MY_PASSPORT_DATA'!B:AR,17,FALSE)</f>
        <v>0</v>
      </c>
      <c r="O101" s="347" t="str">
        <f>VLOOKUP(B101,'26MY_PASSPORT_DATA'!B:AR,18,FALSE)</f>
        <v>•</v>
      </c>
      <c r="P101" s="347" t="str">
        <f>VLOOKUP(B101,'26MY_PASSPORT_DATA'!B:AR,19,FALSE)</f>
        <v>•</v>
      </c>
      <c r="Q101" s="346" t="str">
        <f>IF(VLOOKUP(B101,'26MY_PASSPORT_DATA'!B:AR,21,FALSE)="","",VLOOKUP(B101,'26MY_PASSPORT_DATA'!B:AR,21,FALSE))</f>
        <v/>
      </c>
    </row>
    <row r="102" spans="2:17" s="135" customFormat="1" ht="15" customHeight="1">
      <c r="B102" s="298" t="s">
        <v>272</v>
      </c>
      <c r="C102" s="224" t="str">
        <f>VLOOKUP(B102,'26MY_PASSPORT_DATA'!B:AR,4,FALSE)</f>
        <v>Cendrier</v>
      </c>
      <c r="D102" s="79" t="str">
        <f t="shared" si="25"/>
        <v>08U25-S5D-106</v>
      </c>
      <c r="E102" s="343">
        <f>VLOOKUP(B102,'26MY_PASSPORT_DATA'!B:AR,9,FALSE)</f>
        <v>41</v>
      </c>
      <c r="F102" s="343">
        <f>VLOOKUP(B102,'26MY_PASSPORT_DATA'!B:AR,10,FALSE)</f>
        <v>68</v>
      </c>
      <c r="G102" s="344">
        <f>VLOOKUP(B102,'26MY_PASSPORT_DATA'!B:AR,7,FALSE)</f>
        <v>0</v>
      </c>
      <c r="H102" s="345">
        <f>VLOOKUP(B102,'26MY_PASSPORT_DATA'!B:AR,11,FALSE)</f>
        <v>68</v>
      </c>
      <c r="I102" s="347">
        <f>VLOOKUP($B102,'26MY_PASSPORT_DATA'!$B:$AR,12,FALSE)</f>
        <v>0</v>
      </c>
      <c r="J102" s="347">
        <f>VLOOKUP($B102,'26MY_PASSPORT_DATA'!$B:$AR,13,FALSE)</f>
        <v>0</v>
      </c>
      <c r="K102" s="347" t="str">
        <f>VLOOKUP(B102,'26MY_PASSPORT_DATA'!B:AR,14,FALSE)</f>
        <v>•</v>
      </c>
      <c r="L102" s="347" t="str">
        <f>VLOOKUP(B102,'26MY_PASSPORT_DATA'!B:AR,15,FALSE)</f>
        <v>•</v>
      </c>
      <c r="M102" s="347">
        <f>VLOOKUP($B102,'26MY_PASSPORT_DATA'!$B:$AR,16,FALSE)</f>
        <v>0</v>
      </c>
      <c r="N102" s="347">
        <f>VLOOKUP(B102,'26MY_PASSPORT_DATA'!B:AR,17,FALSE)</f>
        <v>0</v>
      </c>
      <c r="O102" s="347" t="str">
        <f>VLOOKUP(B102,'26MY_PASSPORT_DATA'!B:AR,18,FALSE)</f>
        <v>•</v>
      </c>
      <c r="P102" s="347" t="str">
        <f>VLOOKUP(B102,'26MY_PASSPORT_DATA'!B:AR,19,FALSE)</f>
        <v>•</v>
      </c>
      <c r="Q102" s="346" t="str">
        <f>IF(VLOOKUP(B102,'26MY_PASSPORT_DATA'!B:AR,21,FALSE)="","",VLOOKUP(B102,'26MY_PASSPORT_DATA'!B:AR,21,FALSE))</f>
        <v/>
      </c>
    </row>
    <row r="103" spans="2:17" s="135" customFormat="1" ht="14.4">
      <c r="B103" s="298" t="s">
        <v>280</v>
      </c>
      <c r="C103" s="224" t="str">
        <f>VLOOKUP(B103,'26MY_PASSPORT_DATA'!B:AR,4,FALSE)</f>
        <v>Organisateur d’outils</v>
      </c>
      <c r="D103" s="79" t="str">
        <f t="shared" si="24"/>
        <v>08U08-3BM-100</v>
      </c>
      <c r="E103" s="343">
        <f>VLOOKUP(B103,'26MY_PASSPORT_DATA'!B:AR,9,FALSE)</f>
        <v>108</v>
      </c>
      <c r="F103" s="343">
        <f>VLOOKUP(B103,'26MY_PASSPORT_DATA'!B:AR,10,FALSE)</f>
        <v>180</v>
      </c>
      <c r="G103" s="344">
        <f>VLOOKUP(B103,'26MY_PASSPORT_DATA'!B:AR,7,FALSE)</f>
        <v>0</v>
      </c>
      <c r="H103" s="345">
        <f>VLOOKUP(B103,'26MY_PASSPORT_DATA'!B:AR,11,FALSE)</f>
        <v>180</v>
      </c>
      <c r="I103" s="347">
        <f>VLOOKUP($B103,'26MY_PASSPORT_DATA'!$B:$AR,12,FALSE)</f>
        <v>0</v>
      </c>
      <c r="J103" s="347">
        <f>VLOOKUP($B103,'26MY_PASSPORT_DATA'!$B:$AR,13,FALSE)</f>
        <v>0</v>
      </c>
      <c r="K103" s="347" t="str">
        <f>VLOOKUP(B103,'26MY_PASSPORT_DATA'!B:AR,14,FALSE)</f>
        <v>•</v>
      </c>
      <c r="L103" s="347" t="str">
        <f>VLOOKUP(B103,'26MY_PASSPORT_DATA'!B:AR,15,FALSE)</f>
        <v>•</v>
      </c>
      <c r="M103" s="347">
        <f>VLOOKUP($B103,'26MY_PASSPORT_DATA'!$B:$AR,16,FALSE)</f>
        <v>0</v>
      </c>
      <c r="N103" s="347">
        <f>VLOOKUP(B103,'26MY_PASSPORT_DATA'!B:AR,17,FALSE)</f>
        <v>0</v>
      </c>
      <c r="O103" s="347" t="str">
        <f>VLOOKUP(B103,'26MY_PASSPORT_DATA'!B:AR,18,FALSE)</f>
        <v>•</v>
      </c>
      <c r="P103" s="347" t="str">
        <f>VLOOKUP(B103,'26MY_PASSPORT_DATA'!B:AR,19,FALSE)</f>
        <v>•</v>
      </c>
      <c r="Q103" s="346" t="str">
        <f>IF(VLOOKUP(B103,'26MY_PASSPORT_DATA'!B:AR,21,FALSE)="","",VLOOKUP(B103,'26MY_PASSPORT_DATA'!B:AR,21,FALSE))</f>
        <v/>
      </c>
    </row>
    <row r="104" spans="2:17" s="135" customFormat="1" ht="12" customHeight="1">
      <c r="B104" s="298"/>
      <c r="C104" s="19"/>
      <c r="D104" s="27"/>
      <c r="E104" s="21"/>
      <c r="F104" s="21"/>
      <c r="G104" s="22"/>
      <c r="H104" s="23"/>
      <c r="I104" s="24"/>
      <c r="J104" s="24"/>
      <c r="K104" s="24"/>
      <c r="L104" s="24"/>
      <c r="M104" s="24"/>
      <c r="N104" s="24"/>
      <c r="O104" s="24"/>
      <c r="P104" s="24"/>
      <c r="Q104" s="25"/>
    </row>
    <row r="105" spans="2:17" s="133" customFormat="1" ht="18">
      <c r="B105" s="300"/>
      <c r="C105" s="152" t="s">
        <v>84</v>
      </c>
      <c r="D105" s="152"/>
      <c r="E105" s="48"/>
      <c r="F105" s="49"/>
      <c r="G105" s="49"/>
      <c r="H105" s="49"/>
      <c r="I105" s="49"/>
      <c r="J105" s="49"/>
      <c r="K105" s="49"/>
      <c r="L105" s="49"/>
      <c r="M105" s="49"/>
      <c r="N105" s="49"/>
      <c r="O105" s="49"/>
      <c r="P105" s="49"/>
      <c r="Q105" s="49"/>
    </row>
    <row r="106" spans="2:17" s="134" customFormat="1" ht="15" customHeight="1">
      <c r="B106" s="299"/>
      <c r="C106" s="387" t="s">
        <v>74</v>
      </c>
      <c r="D106" s="387" t="s">
        <v>75</v>
      </c>
      <c r="E106" s="387" t="s">
        <v>76</v>
      </c>
      <c r="F106" s="387" t="s">
        <v>77</v>
      </c>
      <c r="G106" s="387" t="s">
        <v>78</v>
      </c>
      <c r="H106" s="388" t="s">
        <v>79</v>
      </c>
      <c r="I106" s="387" t="s">
        <v>23</v>
      </c>
      <c r="J106" s="387"/>
      <c r="K106" s="387"/>
      <c r="L106" s="387"/>
      <c r="M106" s="387"/>
      <c r="N106" s="387"/>
      <c r="O106" s="387"/>
      <c r="P106" s="387"/>
      <c r="Q106" s="387" t="s">
        <v>80</v>
      </c>
    </row>
    <row r="107" spans="2:17" s="134" customFormat="1" ht="43.2">
      <c r="B107" s="299"/>
      <c r="C107" s="387"/>
      <c r="D107" s="387"/>
      <c r="E107" s="387"/>
      <c r="F107" s="387"/>
      <c r="G107" s="387"/>
      <c r="H107" s="388"/>
      <c r="I107" s="174">
        <f>'26MY_PASSPORT_DATA'!$M$6</f>
        <v>0</v>
      </c>
      <c r="J107" s="174">
        <f>'26MY_PASSPORT_DATA'!$M$6</f>
        <v>0</v>
      </c>
      <c r="K107" s="174" t="str">
        <f>'26MY_PASSPORT_DATA'!$O$6</f>
        <v>TrailSport</v>
      </c>
      <c r="L107" s="174" t="str">
        <f>'26MY_PASSPORT_DATA'!$P$6</f>
        <v>TrailSport Blackout</v>
      </c>
      <c r="M107" s="174">
        <f>'26MY_PASSPORT_DATA'!$R$6</f>
        <v>0</v>
      </c>
      <c r="N107" s="174">
        <f>'26MY_PASSPORT_DATA'!$R$6</f>
        <v>0</v>
      </c>
      <c r="O107" s="174" t="str">
        <f>'26MY_PASSPORT_DATA'!$S$6</f>
        <v>TrailSport Touring</v>
      </c>
      <c r="P107" s="174" t="str">
        <f>'26MY_PASSPORT_DATA'!$T$6</f>
        <v>Trailsport Touring Blackout</v>
      </c>
      <c r="Q107" s="387"/>
    </row>
    <row r="108" spans="2:17" s="135" customFormat="1" ht="15" customHeight="1">
      <c r="B108" s="298" t="s">
        <v>251</v>
      </c>
      <c r="C108" s="224" t="str">
        <f>VLOOKUP(B108,'26MY_PASSPORT_DATA'!B:AR,4,FALSE)</f>
        <v>Lampe pour compartiment utilitaire</v>
      </c>
      <c r="D108" s="79" t="str">
        <f t="shared" ref="D108" si="26">B108</f>
        <v>08V30-3BM-300</v>
      </c>
      <c r="E108" s="343">
        <f>VLOOKUP(B108,'26MY_PASSPORT_DATA'!B:AR,9,FALSE)</f>
        <v>86</v>
      </c>
      <c r="F108" s="343">
        <f>VLOOKUP(B108,'26MY_PASSPORT_DATA'!B:AR,10,FALSE)</f>
        <v>143</v>
      </c>
      <c r="G108" s="344">
        <f>VLOOKUP(B108,'26MY_PASSPORT_DATA'!B:AR,7,FALSE)</f>
        <v>0.1</v>
      </c>
      <c r="H108" s="345">
        <f>VLOOKUP(B108,'26MY_PASSPORT_DATA'!B:AR,11,FALSE)</f>
        <v>160.1</v>
      </c>
      <c r="I108" s="347">
        <f>VLOOKUP($B108,'26MY_PASSPORT_DATA'!$B:$AR,12,FALSE)</f>
        <v>0</v>
      </c>
      <c r="J108" s="347">
        <f>VLOOKUP($B108,'26MY_PASSPORT_DATA'!$B:$AR,13,FALSE)</f>
        <v>0</v>
      </c>
      <c r="K108" s="347" t="str">
        <f>VLOOKUP(B108,'26MY_PASSPORT_DATA'!B:AR,14,FALSE)</f>
        <v>•</v>
      </c>
      <c r="L108" s="347" t="str">
        <f>VLOOKUP(B108,'26MY_PASSPORT_DATA'!B:AR,15,FALSE)</f>
        <v>•</v>
      </c>
      <c r="M108" s="347">
        <f>VLOOKUP($B108,'26MY_PASSPORT_DATA'!$B:$AR,16,FALSE)</f>
        <v>0</v>
      </c>
      <c r="N108" s="347">
        <f>VLOOKUP(B108,'26MY_PASSPORT_DATA'!B:AR,17,FALSE)</f>
        <v>0</v>
      </c>
      <c r="O108" s="347" t="str">
        <f>VLOOKUP(B108,'26MY_PASSPORT_DATA'!B:AR,18,FALSE)</f>
        <v>•</v>
      </c>
      <c r="P108" s="347" t="str">
        <f>VLOOKUP(B108,'26MY_PASSPORT_DATA'!B:AR,19,FALSE)</f>
        <v>•</v>
      </c>
      <c r="Q108" s="350" t="str">
        <f>IF(VLOOKUP(B108,'26MY_PASSPORT_DATA'!B:AR,21,FALSE)="","",VLOOKUP(B108,'26MY_PASSPORT_DATA'!B:AR,21,FALSE))</f>
        <v/>
      </c>
    </row>
    <row r="109" spans="2:17" s="135" customFormat="1" ht="15" hidden="1" customHeight="1">
      <c r="B109" s="298" t="s">
        <v>282</v>
      </c>
      <c r="C109" s="224" t="e">
        <f>VLOOKUP(B109,'26MY_PASSPORT_DATA'!B:AR,4,FALSE)</f>
        <v>#N/A</v>
      </c>
      <c r="D109" s="79" t="str">
        <f t="shared" ref="D109:D113" si="27">B109</f>
        <v>08V03-3BM-100</v>
      </c>
      <c r="E109" s="343" t="e">
        <f>VLOOKUP(B109,'26MY_PASSPORT_DATA'!B:AR,9,FALSE)</f>
        <v>#N/A</v>
      </c>
      <c r="F109" s="343" t="e">
        <f>VLOOKUP(B109,'26MY_PASSPORT_DATA'!B:AR,10,FALSE)</f>
        <v>#N/A</v>
      </c>
      <c r="G109" s="344" t="e">
        <f>VLOOKUP(B109,'26MY_PASSPORT_DATA'!B:AR,7,FALSE)</f>
        <v>#N/A</v>
      </c>
      <c r="H109" s="345" t="e">
        <f>VLOOKUP(B109,'26MY_PASSPORT_DATA'!B:AR,11,FALSE)</f>
        <v>#N/A</v>
      </c>
      <c r="I109" s="347" t="e">
        <f>VLOOKUP($B109,'26MY_PASSPORT_DATA'!$B:$AR,12,FALSE)</f>
        <v>#N/A</v>
      </c>
      <c r="J109" s="347" t="e">
        <f>VLOOKUP($B109,'26MY_PASSPORT_DATA'!$B:$AR,13,FALSE)</f>
        <v>#N/A</v>
      </c>
      <c r="K109" s="347" t="e">
        <f>VLOOKUP(B109,'26MY_PASSPORT_DATA'!B:AR,14,FALSE)</f>
        <v>#N/A</v>
      </c>
      <c r="L109" s="347" t="e">
        <f>VLOOKUP(B109,'26MY_PASSPORT_DATA'!B:AR,15,FALSE)</f>
        <v>#N/A</v>
      </c>
      <c r="M109" s="347" t="e">
        <f>VLOOKUP($B109,'26MY_PASSPORT_DATA'!$B:$AR,16,FALSE)</f>
        <v>#N/A</v>
      </c>
      <c r="N109" s="347" t="e">
        <f>VLOOKUP(B109,'26MY_PASSPORT_DATA'!B:AR,17,FALSE)</f>
        <v>#N/A</v>
      </c>
      <c r="O109" s="347" t="e">
        <f>VLOOKUP(B109,'26MY_PASSPORT_DATA'!B:AR,18,FALSE)</f>
        <v>#N/A</v>
      </c>
      <c r="P109" s="347" t="e">
        <f>VLOOKUP(B109,'26MY_PASSPORT_DATA'!B:AR,19,FALSE)</f>
        <v>#N/A</v>
      </c>
      <c r="Q109" s="350" t="e">
        <f>IF(VLOOKUP(B109,'26MY_PASSPORT_DATA'!B:AR,21,FALSE)="","",VLOOKUP(B109,'26MY_PASSPORT_DATA'!B:AR,21,FALSE))</f>
        <v>#N/A</v>
      </c>
    </row>
    <row r="110" spans="2:17" s="135" customFormat="1" ht="14.4" customHeight="1">
      <c r="B110" s="298" t="s">
        <v>531</v>
      </c>
      <c r="C110" s="224" t="str">
        <f>VLOOKUP(B110,'26MY_PASSPORT_DATA'!B:AR,4,FALSE)</f>
        <v>Rétroviseur intérieur Homelink</v>
      </c>
      <c r="D110" s="79" t="str">
        <f t="shared" ref="D110" si="28">B110</f>
        <v>76400-T90-A01</v>
      </c>
      <c r="E110" s="343">
        <f>VLOOKUP(B110,'26MY_PASSPORT_DATA'!B:AR,9,FALSE)</f>
        <v>353.98</v>
      </c>
      <c r="F110" s="343">
        <f>VLOOKUP(B110,'26MY_PASSPORT_DATA'!B:AR,10,FALSE)</f>
        <v>588.59</v>
      </c>
      <c r="G110" s="344">
        <f>VLOOKUP(B110,'26MY_PASSPORT_DATA'!B:AR,7,FALSE)</f>
        <v>1</v>
      </c>
      <c r="H110" s="345">
        <f>VLOOKUP(B110,'26MY_PASSPORT_DATA'!B:AR,11,FALSE)</f>
        <v>759.59</v>
      </c>
      <c r="I110" s="347">
        <f>VLOOKUP($B110,'26MY_PASSPORT_DATA'!$B:$AR,12,FALSE)</f>
        <v>0</v>
      </c>
      <c r="J110" s="347">
        <f>VLOOKUP($B110,'26MY_PASSPORT_DATA'!$B:$AR,13,FALSE)</f>
        <v>0</v>
      </c>
      <c r="K110" s="347" t="str">
        <f>VLOOKUP(B110,'26MY_PASSPORT_DATA'!B:AR,14,FALSE)</f>
        <v>•</v>
      </c>
      <c r="L110" s="347" t="str">
        <f>VLOOKUP(B110,'26MY_PASSPORT_DATA'!B:AR,15,FALSE)</f>
        <v>•</v>
      </c>
      <c r="M110" s="347">
        <f>VLOOKUP($B110,'26MY_PASSPORT_DATA'!$B:$AR,16,FALSE)</f>
        <v>0</v>
      </c>
      <c r="N110" s="347">
        <f>VLOOKUP(B110,'26MY_PASSPORT_DATA'!B:AR,17,FALSE)</f>
        <v>0</v>
      </c>
      <c r="O110" s="347" t="str">
        <f>VLOOKUP(B110,'26MY_PASSPORT_DATA'!B:AR,18,FALSE)</f>
        <v>•</v>
      </c>
      <c r="P110" s="347" t="str">
        <f>VLOOKUP(B110,'26MY_PASSPORT_DATA'!B:AR,19,FALSE)</f>
        <v>•</v>
      </c>
      <c r="Q110" s="350" t="str">
        <f>IF(VLOOKUP(B110,'26MY_PASSPORT_DATA'!B:AR,21,FALSE)="","",VLOOKUP(B110,'26MY_PASSPORT_DATA'!B:AR,21,FALSE))</f>
        <v/>
      </c>
    </row>
    <row r="111" spans="2:17" s="135" customFormat="1" ht="14.4" customHeight="1">
      <c r="B111" s="298" t="s">
        <v>426</v>
      </c>
      <c r="C111" s="224" t="str">
        <f>VLOOKUP(B111,'26MY_PASSPORT_DATA'!B:AR,4,FALSE)</f>
        <v xml:space="preserve">Chauffe-moteur   </v>
      </c>
      <c r="D111" s="79" t="str">
        <f t="shared" si="27"/>
        <v>08T44-SNA-302</v>
      </c>
      <c r="E111" s="343">
        <f>VLOOKUP(B111,'26MY_PASSPORT_DATA'!B:AR,9,FALSE)</f>
        <v>149</v>
      </c>
      <c r="F111" s="343">
        <f>VLOOKUP(B111,'26MY_PASSPORT_DATA'!B:AR,10,FALSE)</f>
        <v>248</v>
      </c>
      <c r="G111" s="344">
        <f>VLOOKUP(B111,'26MY_PASSPORT_DATA'!B:AR,7,FALSE)</f>
        <v>1.2</v>
      </c>
      <c r="H111" s="345">
        <f>VLOOKUP(B111,'26MY_PASSPORT_DATA'!B:AR,11,FALSE)</f>
        <v>453.2</v>
      </c>
      <c r="I111" s="347">
        <f>VLOOKUP($B111,'26MY_PASSPORT_DATA'!$B:$AR,12,FALSE)</f>
        <v>0</v>
      </c>
      <c r="J111" s="347">
        <f>VLOOKUP($B111,'26MY_PASSPORT_DATA'!$B:$AR,13,FALSE)</f>
        <v>0</v>
      </c>
      <c r="K111" s="347" t="str">
        <f>VLOOKUP(B111,'26MY_PASSPORT_DATA'!B:AR,14,FALSE)</f>
        <v>•</v>
      </c>
      <c r="L111" s="347" t="str">
        <f>VLOOKUP(B111,'26MY_PASSPORT_DATA'!B:AR,15,FALSE)</f>
        <v>•</v>
      </c>
      <c r="M111" s="347">
        <f>VLOOKUP($B111,'26MY_PASSPORT_DATA'!$B:$AR,16,FALSE)</f>
        <v>0</v>
      </c>
      <c r="N111" s="347">
        <f>VLOOKUP(B111,'26MY_PASSPORT_DATA'!B:AR,17,FALSE)</f>
        <v>0</v>
      </c>
      <c r="O111" s="347" t="str">
        <f>VLOOKUP(B111,'26MY_PASSPORT_DATA'!B:AR,18,FALSE)</f>
        <v>•</v>
      </c>
      <c r="P111" s="347" t="str">
        <f>VLOOKUP(B111,'26MY_PASSPORT_DATA'!B:AR,19,FALSE)</f>
        <v>•</v>
      </c>
      <c r="Q111" s="350" t="str">
        <f>IF(VLOOKUP(B111,'26MY_PASSPORT_DATA'!B:AR,21,FALSE)="","",VLOOKUP(B111,'26MY_PASSPORT_DATA'!B:AR,21,FALSE))</f>
        <v/>
      </c>
    </row>
    <row r="112" spans="2:17" s="135" customFormat="1" ht="15" customHeight="1">
      <c r="B112" s="298" t="s">
        <v>258</v>
      </c>
      <c r="C112" s="224" t="str">
        <f>VLOOKUP(B112,'26MY_PASSPORT_DATA'!B:AR,4,FALSE)</f>
        <v>Chargeur/mainteneur de batterie automobile 12 V Optimate</v>
      </c>
      <c r="D112" s="79" t="str">
        <f t="shared" si="27"/>
        <v>31670-BMS-004H</v>
      </c>
      <c r="E112" s="343">
        <f>VLOOKUP(B112,'26MY_PASSPORT_DATA'!B:AR,9,FALSE)</f>
        <v>94</v>
      </c>
      <c r="F112" s="343">
        <f>VLOOKUP(B112,'26MY_PASSPORT_DATA'!B:AR,10,FALSE)</f>
        <v>157</v>
      </c>
      <c r="G112" s="344">
        <f>VLOOKUP(B112,'26MY_PASSPORT_DATA'!B:AR,7,FALSE)</f>
        <v>0</v>
      </c>
      <c r="H112" s="345">
        <f>VLOOKUP(B112,'26MY_PASSPORT_DATA'!B:AR,11,FALSE)</f>
        <v>157</v>
      </c>
      <c r="I112" s="347">
        <f>VLOOKUP($B112,'26MY_PASSPORT_DATA'!$B:$AR,12,FALSE)</f>
        <v>0</v>
      </c>
      <c r="J112" s="347">
        <f>VLOOKUP($B112,'26MY_PASSPORT_DATA'!$B:$AR,13,FALSE)</f>
        <v>0</v>
      </c>
      <c r="K112" s="347" t="str">
        <f>VLOOKUP(B112,'26MY_PASSPORT_DATA'!B:AR,14,FALSE)</f>
        <v>•</v>
      </c>
      <c r="L112" s="347" t="str">
        <f>VLOOKUP(B112,'26MY_PASSPORT_DATA'!B:AR,15,FALSE)</f>
        <v>•</v>
      </c>
      <c r="M112" s="347">
        <f>VLOOKUP($B112,'26MY_PASSPORT_DATA'!$B:$AR,16,FALSE)</f>
        <v>0</v>
      </c>
      <c r="N112" s="347">
        <f>VLOOKUP(B112,'26MY_PASSPORT_DATA'!B:AR,17,FALSE)</f>
        <v>0</v>
      </c>
      <c r="O112" s="347" t="str">
        <f>VLOOKUP(B112,'26MY_PASSPORT_DATA'!B:AR,18,FALSE)</f>
        <v>•</v>
      </c>
      <c r="P112" s="347" t="str">
        <f>VLOOKUP(B112,'26MY_PASSPORT_DATA'!B:AR,19,FALSE)</f>
        <v>•</v>
      </c>
      <c r="Q112" s="350" t="str">
        <f>IF(VLOOKUP(B112,'26MY_PASSPORT_DATA'!B:AR,21,FALSE)="","",VLOOKUP(B112,'26MY_PASSPORT_DATA'!B:AR,21,FALSE))</f>
        <v/>
      </c>
    </row>
    <row r="113" spans="2:17" s="135" customFormat="1" ht="15" customHeight="1">
      <c r="B113" s="298" t="s">
        <v>262</v>
      </c>
      <c r="C113" s="224" t="str">
        <f>VLOOKUP(B113,'26MY_PASSPORT_DATA'!B:AR,4,FALSE)</f>
        <v>Câble de batterie</v>
      </c>
      <c r="D113" s="79" t="str">
        <f t="shared" si="27"/>
        <v>31670-BMS-LEAD</v>
      </c>
      <c r="E113" s="343">
        <f>VLOOKUP(B113,'26MY_PASSPORT_DATA'!B:AR,9,FALSE)</f>
        <v>20</v>
      </c>
      <c r="F113" s="343">
        <f>VLOOKUP(B113,'26MY_PASSPORT_DATA'!B:AR,10,FALSE)</f>
        <v>28</v>
      </c>
      <c r="G113" s="344">
        <f>VLOOKUP(B113,'26MY_PASSPORT_DATA'!B:AR,7,FALSE)</f>
        <v>0</v>
      </c>
      <c r="H113" s="345">
        <f>VLOOKUP(B113,'26MY_PASSPORT_DATA'!B:AR,11,FALSE)</f>
        <v>28</v>
      </c>
      <c r="I113" s="347">
        <f>VLOOKUP($B113,'26MY_PASSPORT_DATA'!$B:$AR,12,FALSE)</f>
        <v>0</v>
      </c>
      <c r="J113" s="347">
        <f>VLOOKUP($B113,'26MY_PASSPORT_DATA'!$B:$AR,13,FALSE)</f>
        <v>0</v>
      </c>
      <c r="K113" s="347" t="str">
        <f>VLOOKUP(B113,'26MY_PASSPORT_DATA'!B:AR,14,FALSE)</f>
        <v>•</v>
      </c>
      <c r="L113" s="347" t="str">
        <f>VLOOKUP(B113,'26MY_PASSPORT_DATA'!B:AR,15,FALSE)</f>
        <v>•</v>
      </c>
      <c r="M113" s="347">
        <f>VLOOKUP($B113,'26MY_PASSPORT_DATA'!$B:$AR,16,FALSE)</f>
        <v>0</v>
      </c>
      <c r="N113" s="347">
        <f>VLOOKUP(B113,'26MY_PASSPORT_DATA'!B:AR,17,FALSE)</f>
        <v>0</v>
      </c>
      <c r="O113" s="347" t="str">
        <f>VLOOKUP(B113,'26MY_PASSPORT_DATA'!B:AR,18,FALSE)</f>
        <v>•</v>
      </c>
      <c r="P113" s="347" t="str">
        <f>VLOOKUP(B113,'26MY_PASSPORT_DATA'!B:AR,19,FALSE)</f>
        <v>•</v>
      </c>
      <c r="Q113" s="350" t="str">
        <f>IF(VLOOKUP(B113,'26MY_PASSPORT_DATA'!B:AR,21,FALSE)="","",VLOOKUP(B113,'26MY_PASSPORT_DATA'!B:AR,21,FALSE))</f>
        <v/>
      </c>
    </row>
    <row r="114" spans="2:17" s="135" customFormat="1" ht="15" customHeight="1">
      <c r="B114" s="298"/>
      <c r="C114" s="136"/>
      <c r="D114" s="200"/>
      <c r="E114" s="132"/>
      <c r="F114" s="132"/>
      <c r="G114" s="201"/>
      <c r="H114" s="132"/>
      <c r="I114" s="132"/>
      <c r="J114" s="132"/>
      <c r="K114" s="132"/>
      <c r="L114" s="132"/>
      <c r="M114" s="132"/>
      <c r="N114" s="132"/>
      <c r="O114" s="132"/>
      <c r="P114" s="132"/>
      <c r="Q114" s="132"/>
    </row>
    <row r="115" spans="2:17" s="133" customFormat="1" ht="18">
      <c r="B115" s="298"/>
      <c r="C115" s="152" t="s">
        <v>85</v>
      </c>
      <c r="D115" s="152"/>
      <c r="E115" s="143"/>
      <c r="F115" s="143"/>
      <c r="G115" s="143"/>
      <c r="H115" s="143"/>
      <c r="I115" s="143"/>
      <c r="J115" s="143"/>
      <c r="K115" s="143"/>
      <c r="L115" s="143"/>
      <c r="M115" s="143"/>
      <c r="N115" s="143"/>
      <c r="O115" s="143"/>
      <c r="P115" s="143"/>
      <c r="Q115" s="143"/>
    </row>
    <row r="116" spans="2:17" s="134" customFormat="1" ht="15" customHeight="1">
      <c r="B116" s="299"/>
      <c r="C116" s="387" t="s">
        <v>74</v>
      </c>
      <c r="D116" s="387" t="s">
        <v>75</v>
      </c>
      <c r="E116" s="387" t="s">
        <v>76</v>
      </c>
      <c r="F116" s="387" t="s">
        <v>77</v>
      </c>
      <c r="G116" s="387" t="s">
        <v>78</v>
      </c>
      <c r="H116" s="388" t="s">
        <v>79</v>
      </c>
      <c r="I116" s="387" t="s">
        <v>23</v>
      </c>
      <c r="J116" s="387"/>
      <c r="K116" s="387"/>
      <c r="L116" s="387"/>
      <c r="M116" s="387"/>
      <c r="N116" s="387"/>
      <c r="O116" s="387"/>
      <c r="P116" s="387"/>
      <c r="Q116" s="387" t="s">
        <v>80</v>
      </c>
    </row>
    <row r="117" spans="2:17" s="134" customFormat="1" ht="43.2">
      <c r="B117" s="299"/>
      <c r="C117" s="387"/>
      <c r="D117" s="387"/>
      <c r="E117" s="387"/>
      <c r="F117" s="387"/>
      <c r="G117" s="387"/>
      <c r="H117" s="388"/>
      <c r="I117" s="174">
        <f>'26MY_PASSPORT_DATA'!$M$6</f>
        <v>0</v>
      </c>
      <c r="J117" s="174">
        <f>'26MY_PASSPORT_DATA'!$M$6</f>
        <v>0</v>
      </c>
      <c r="K117" s="174" t="str">
        <f>'26MY_PASSPORT_DATA'!$O$6</f>
        <v>TrailSport</v>
      </c>
      <c r="L117" s="174" t="str">
        <f>'26MY_PASSPORT_DATA'!$P$6</f>
        <v>TrailSport Blackout</v>
      </c>
      <c r="M117" s="174">
        <f>'26MY_PASSPORT_DATA'!$R$6</f>
        <v>0</v>
      </c>
      <c r="N117" s="174">
        <f>'26MY_PASSPORT_DATA'!$R$6</f>
        <v>0</v>
      </c>
      <c r="O117" s="174" t="str">
        <f>'26MY_PASSPORT_DATA'!$S$6</f>
        <v>TrailSport Touring</v>
      </c>
      <c r="P117" s="174" t="str">
        <f>'26MY_PASSPORT_DATA'!$T$6</f>
        <v>Trailsport Touring Blackout</v>
      </c>
      <c r="Q117" s="387"/>
    </row>
    <row r="118" spans="2:17" s="135" customFormat="1" ht="15" customHeight="1">
      <c r="B118" s="298" t="s">
        <v>160</v>
      </c>
      <c r="C118" s="224" t="str">
        <f>VLOOKUP(B118,'26MY_PASSPORT_DATA'!B:AR,4,FALSE)</f>
        <v>Blanc platine nacré (NH-883P)</v>
      </c>
      <c r="D118" s="79" t="str">
        <f t="shared" ref="D118:D123" si="29">B118</f>
        <v>TUCH-NH883P-A1</v>
      </c>
      <c r="E118" s="378">
        <f>VLOOKUP(B118,'26MY_PASSPORT_DATA'!B:AR,9,FALSE)</f>
        <v>13.25</v>
      </c>
      <c r="F118" s="378">
        <f>VLOOKUP(B118,'26MY_PASSPORT_DATA'!B:AR,10,FALSE)</f>
        <v>22</v>
      </c>
      <c r="G118" s="381">
        <f>VLOOKUP(B118,'26MY_PASSPORT_DATA'!B:AR,7,FALSE)</f>
        <v>0</v>
      </c>
      <c r="H118" s="384">
        <f>VLOOKUP(B118,'26MY_PASSPORT_DATA'!B:AR,11,FALSE)</f>
        <v>22</v>
      </c>
      <c r="I118" s="347">
        <f>VLOOKUP($B118,'26MY_PASSPORT_DATA'!$B:$AR,12,FALSE)</f>
        <v>0</v>
      </c>
      <c r="J118" s="347">
        <f>VLOOKUP($B118,'26MY_PASSPORT_DATA'!$B:$AR,13,FALSE)</f>
        <v>0</v>
      </c>
      <c r="K118" s="347" t="str">
        <f>VLOOKUP(B118,'26MY_PASSPORT_DATA'!B:AR,14,FALSE)</f>
        <v>•</v>
      </c>
      <c r="L118" s="347" t="str">
        <f>VLOOKUP(B118,'26MY_PASSPORT_DATA'!B:AR,15,FALSE)</f>
        <v>•</v>
      </c>
      <c r="M118" s="347">
        <f>VLOOKUP($B118,'26MY_PASSPORT_DATA'!$B:$AR,16,FALSE)</f>
        <v>0</v>
      </c>
      <c r="N118" s="347">
        <f>VLOOKUP(B118,'26MY_PASSPORT_DATA'!B:AR,17,FALSE)</f>
        <v>0</v>
      </c>
      <c r="O118" s="347" t="str">
        <f>VLOOKUP(B118,'26MY_PASSPORT_DATA'!B:AR,18,FALSE)</f>
        <v>•</v>
      </c>
      <c r="P118" s="347" t="str">
        <f>VLOOKUP(B118,'26MY_PASSPORT_DATA'!B:AR,19,FALSE)</f>
        <v>•</v>
      </c>
      <c r="Q118" s="350" t="str">
        <f>IF(VLOOKUP(B118,'26MY_PASSPORT_DATA'!B:AR,21,FALSE)="","",VLOOKUP(B118,'26MY_PASSPORT_DATA'!B:AR,21,FALSE))</f>
        <v/>
      </c>
    </row>
    <row r="119" spans="2:17" s="135" customFormat="1" ht="15" customHeight="1">
      <c r="B119" s="299" t="s">
        <v>213</v>
      </c>
      <c r="C119" s="224" t="str">
        <f>VLOOKUP(B119,'26MY_PASSPORT_DATA'!B:AR,4,FALSE)</f>
        <v>Acier moderne métallisé (NH-797M)</v>
      </c>
      <c r="D119" s="79" t="str">
        <f t="shared" si="29"/>
        <v>TUCH-NH797M-A1</v>
      </c>
      <c r="E119" s="379"/>
      <c r="F119" s="379"/>
      <c r="G119" s="382"/>
      <c r="H119" s="385"/>
      <c r="I119" s="347">
        <f>VLOOKUP($B119,'26MY_PASSPORT_DATA'!$B:$AR,12,FALSE)</f>
        <v>0</v>
      </c>
      <c r="J119" s="347">
        <f>VLOOKUP($B119,'26MY_PASSPORT_DATA'!$B:$AR,13,FALSE)</f>
        <v>0</v>
      </c>
      <c r="K119" s="347" t="str">
        <f>VLOOKUP(B119,'26MY_PASSPORT_DATA'!B:AR,14,FALSE)</f>
        <v>•</v>
      </c>
      <c r="L119" s="347" t="str">
        <f>VLOOKUP(B119,'26MY_PASSPORT_DATA'!B:AR,15,FALSE)</f>
        <v>N/A</v>
      </c>
      <c r="M119" s="347">
        <f>VLOOKUP($B119,'26MY_PASSPORT_DATA'!$B:$AR,16,FALSE)</f>
        <v>0</v>
      </c>
      <c r="N119" s="347">
        <f>VLOOKUP(B119,'26MY_PASSPORT_DATA'!B:AR,17,FALSE)</f>
        <v>0</v>
      </c>
      <c r="O119" s="347" t="str">
        <f>VLOOKUP(B119,'26MY_PASSPORT_DATA'!B:AR,18,FALSE)</f>
        <v>•</v>
      </c>
      <c r="P119" s="347" t="str">
        <f>VLOOKUP(B119,'26MY_PASSPORT_DATA'!B:AR,19,FALSE)</f>
        <v>N/A</v>
      </c>
      <c r="Q119" s="350" t="str">
        <f>IF(VLOOKUP(B119,'26MY_PASSPORT_DATA'!B:AR,21,FALSE)="","",VLOOKUP(B119,'26MY_PASSPORT_DATA'!B:AR,21,FALSE))</f>
        <v/>
      </c>
    </row>
    <row r="120" spans="2:17" s="135" customFormat="1" ht="15" customHeight="1">
      <c r="B120" s="299" t="s">
        <v>216</v>
      </c>
      <c r="C120" s="224" t="str">
        <f>VLOOKUP(B120,'26MY_PASSPORT_DATA'!B:AR,4,FALSE)</f>
        <v>Noir cristal nacré  (NH-731P)</v>
      </c>
      <c r="D120" s="79" t="str">
        <f t="shared" si="29"/>
        <v>TUCH-NH731P-A1</v>
      </c>
      <c r="E120" s="379"/>
      <c r="F120" s="379"/>
      <c r="G120" s="382"/>
      <c r="H120" s="385"/>
      <c r="I120" s="347">
        <f>VLOOKUP($B120,'26MY_PASSPORT_DATA'!$B:$AR,12,FALSE)</f>
        <v>0</v>
      </c>
      <c r="J120" s="347">
        <f>VLOOKUP($B120,'26MY_PASSPORT_DATA'!$B:$AR,13,FALSE)</f>
        <v>0</v>
      </c>
      <c r="K120" s="347" t="str">
        <f>VLOOKUP(B120,'26MY_PASSPORT_DATA'!B:AR,14,FALSE)</f>
        <v>•</v>
      </c>
      <c r="L120" s="347" t="str">
        <f>VLOOKUP(B120,'26MY_PASSPORT_DATA'!B:AR,15,FALSE)</f>
        <v>•</v>
      </c>
      <c r="M120" s="347">
        <f>VLOOKUP($B120,'26MY_PASSPORT_DATA'!$B:$AR,16,FALSE)</f>
        <v>0</v>
      </c>
      <c r="N120" s="347">
        <f>VLOOKUP(B120,'26MY_PASSPORT_DATA'!B:AR,17,FALSE)</f>
        <v>0</v>
      </c>
      <c r="O120" s="347" t="str">
        <f>VLOOKUP(B120,'26MY_PASSPORT_DATA'!B:AR,18,FALSE)</f>
        <v>•</v>
      </c>
      <c r="P120" s="347" t="str">
        <f>VLOOKUP(B120,'26MY_PASSPORT_DATA'!B:AR,19,FALSE)</f>
        <v>•</v>
      </c>
      <c r="Q120" s="350" t="str">
        <f>IF(VLOOKUP(B120,'26MY_PASSPORT_DATA'!B:AR,21,FALSE)="","",VLOOKUP(B120,'26MY_PASSPORT_DATA'!B:AR,21,FALSE))</f>
        <v/>
      </c>
    </row>
    <row r="121" spans="2:17" s="135" customFormat="1" ht="15" customHeight="1">
      <c r="B121" s="299" t="s">
        <v>218</v>
      </c>
      <c r="C121" s="224" t="str">
        <f>VLOOKUP(B121,'26MY_PASSPORT_DATA'!B:AR,4,FALSE)</f>
        <v>Radiant rouge métallisé II (R-580M)</v>
      </c>
      <c r="D121" s="79" t="str">
        <f t="shared" si="29"/>
        <v>TUCH-R580M-A1</v>
      </c>
      <c r="E121" s="379"/>
      <c r="F121" s="379"/>
      <c r="G121" s="382"/>
      <c r="H121" s="385"/>
      <c r="I121" s="347">
        <f>VLOOKUP($B121,'26MY_PASSPORT_DATA'!$B:$AR,12,FALSE)</f>
        <v>0</v>
      </c>
      <c r="J121" s="347">
        <f>VLOOKUP($B121,'26MY_PASSPORT_DATA'!$B:$AR,13,FALSE)</f>
        <v>0</v>
      </c>
      <c r="K121" s="347" t="str">
        <f>VLOOKUP(B121,'26MY_PASSPORT_DATA'!B:AR,14,FALSE)</f>
        <v>•</v>
      </c>
      <c r="L121" s="347" t="str">
        <f>VLOOKUP(B121,'26MY_PASSPORT_DATA'!B:AR,15,FALSE)</f>
        <v>•</v>
      </c>
      <c r="M121" s="347">
        <f>VLOOKUP($B121,'26MY_PASSPORT_DATA'!$B:$AR,16,FALSE)</f>
        <v>0</v>
      </c>
      <c r="N121" s="347">
        <f>VLOOKUP(B121,'26MY_PASSPORT_DATA'!B:AR,17,FALSE)</f>
        <v>0</v>
      </c>
      <c r="O121" s="347" t="str">
        <f>VLOOKUP(B121,'26MY_PASSPORT_DATA'!B:AR,18,FALSE)</f>
        <v>•</v>
      </c>
      <c r="P121" s="347" t="str">
        <f>VLOOKUP(B121,'26MY_PASSPORT_DATA'!B:AR,19,FALSE)</f>
        <v>•</v>
      </c>
      <c r="Q121" s="350" t="str">
        <f>IF(VLOOKUP(B121,'26MY_PASSPORT_DATA'!B:AR,21,FALSE)="","",VLOOKUP(B121,'26MY_PASSPORT_DATA'!B:AR,21,FALSE))</f>
        <v/>
      </c>
    </row>
    <row r="122" spans="2:17" s="135" customFormat="1" ht="15" customHeight="1">
      <c r="B122" s="298" t="s">
        <v>221</v>
      </c>
      <c r="C122" s="224" t="str">
        <f>VLOOKUP(B122,'26MY_PASSPORT_DATA'!B:AR,4,FALSE)</f>
        <v>Coucher de soleil orangé (YR-585)</v>
      </c>
      <c r="D122" s="79" t="str">
        <f t="shared" si="29"/>
        <v>TUCH-YR585-A1</v>
      </c>
      <c r="E122" s="379"/>
      <c r="F122" s="379"/>
      <c r="G122" s="382"/>
      <c r="H122" s="385"/>
      <c r="I122" s="347">
        <f>VLOOKUP($B122,'26MY_PASSPORT_DATA'!$B:$AR,12,FALSE)</f>
        <v>0</v>
      </c>
      <c r="J122" s="347">
        <f>VLOOKUP($B122,'26MY_PASSPORT_DATA'!$B:$AR,13,FALSE)</f>
        <v>0</v>
      </c>
      <c r="K122" s="347" t="str">
        <f>VLOOKUP(B122,'26MY_PASSPORT_DATA'!B:AR,14,FALSE)</f>
        <v>N/A</v>
      </c>
      <c r="L122" s="347" t="str">
        <f>VLOOKUP(B122,'26MY_PASSPORT_DATA'!B:AR,15,FALSE)</f>
        <v>N/A</v>
      </c>
      <c r="M122" s="347">
        <f>VLOOKUP($B122,'26MY_PASSPORT_DATA'!$B:$AR,16,FALSE)</f>
        <v>0</v>
      </c>
      <c r="N122" s="347">
        <f>VLOOKUP(B122,'26MY_PASSPORT_DATA'!B:AR,17,FALSE)</f>
        <v>0</v>
      </c>
      <c r="O122" s="347" t="str">
        <f>VLOOKUP(B122,'26MY_PASSPORT_DATA'!B:AR,18,FALSE)</f>
        <v>•</v>
      </c>
      <c r="P122" s="347" t="str">
        <f>VLOOKUP(B122,'26MY_PASSPORT_DATA'!B:AR,19,FALSE)</f>
        <v>•</v>
      </c>
      <c r="Q122" s="350" t="str">
        <f>IF(VLOOKUP(B122,'26MY_PASSPORT_DATA'!B:AR,21,FALSE)="","",VLOOKUP(B122,'26MY_PASSPORT_DATA'!B:AR,21,FALSE))</f>
        <v/>
      </c>
    </row>
    <row r="123" spans="2:17" s="135" customFormat="1" ht="15" customHeight="1">
      <c r="B123" s="298" t="s">
        <v>223</v>
      </c>
      <c r="C123" s="224" t="str">
        <f>VLOOKUP(B123,'26MY_PASSPORT_DATA'!B:AR,4,FALSE)</f>
        <v>Vert cendré métallisé (G-545M)</v>
      </c>
      <c r="D123" s="79" t="str">
        <f t="shared" si="29"/>
        <v>TUCH-G545M-A1</v>
      </c>
      <c r="E123" s="380"/>
      <c r="F123" s="380"/>
      <c r="G123" s="383"/>
      <c r="H123" s="386"/>
      <c r="I123" s="347">
        <f>VLOOKUP($B123,'26MY_PASSPORT_DATA'!$B:$AR,12,FALSE)</f>
        <v>0</v>
      </c>
      <c r="J123" s="347">
        <f>VLOOKUP($B123,'26MY_PASSPORT_DATA'!$B:$AR,13,FALSE)</f>
        <v>0</v>
      </c>
      <c r="K123" s="347" t="str">
        <f>VLOOKUP(B123,'26MY_PASSPORT_DATA'!B:AR,14,FALSE)</f>
        <v>N/A</v>
      </c>
      <c r="L123" s="347" t="str">
        <f>VLOOKUP(B123,'26MY_PASSPORT_DATA'!B:AR,15,FALSE)</f>
        <v>N/A</v>
      </c>
      <c r="M123" s="347">
        <f>VLOOKUP($B123,'26MY_PASSPORT_DATA'!$B:$AR,16,FALSE)</f>
        <v>0</v>
      </c>
      <c r="N123" s="347">
        <f>VLOOKUP(B123,'26MY_PASSPORT_DATA'!B:AR,17,FALSE)</f>
        <v>0</v>
      </c>
      <c r="O123" s="347" t="str">
        <f>VLOOKUP(B123,'26MY_PASSPORT_DATA'!B:AR,18,FALSE)</f>
        <v>•</v>
      </c>
      <c r="P123" s="347" t="str">
        <f>VLOOKUP(B123,'26MY_PASSPORT_DATA'!B:AR,19,FALSE)</f>
        <v>•</v>
      </c>
      <c r="Q123" s="350" t="str">
        <f>IF(VLOOKUP(B123,'26MY_PASSPORT_DATA'!B:AR,21,FALSE)="","",VLOOKUP(B123,'26MY_PASSPORT_DATA'!B:AR,21,FALSE))</f>
        <v/>
      </c>
    </row>
    <row r="124" spans="2:17" s="134" customFormat="1" ht="6.9" customHeight="1">
      <c r="B124" s="298"/>
      <c r="C124" s="199"/>
      <c r="D124" s="189"/>
      <c r="E124" s="189"/>
      <c r="F124" s="189"/>
      <c r="G124" s="189"/>
      <c r="H124" s="189"/>
      <c r="I124" s="189"/>
      <c r="J124" s="189"/>
      <c r="K124" s="189"/>
      <c r="L124" s="189"/>
      <c r="M124" s="189"/>
      <c r="N124" s="189"/>
      <c r="O124" s="189"/>
      <c r="P124" s="189"/>
      <c r="Q124" s="351"/>
    </row>
    <row r="125" spans="2:17" s="135" customFormat="1" ht="15" customHeight="1">
      <c r="B125" s="298" t="s">
        <v>58</v>
      </c>
      <c r="C125" s="224" t="str">
        <f>VLOOKUP(B125,'26MY_PASSPORT_DATA'!B:AR,4,FALSE)</f>
        <v>Aiguilles abrasives fines</v>
      </c>
      <c r="D125" s="79" t="str">
        <f t="shared" ref="D125:D127" si="30">B125</f>
        <v>TUCH-NEEDLES</v>
      </c>
      <c r="E125" s="343">
        <f>VLOOKUP(B125,'26MY_PASSPORT_DATA'!B:AR,9,FALSE)</f>
        <v>9.5</v>
      </c>
      <c r="F125" s="343">
        <f>VLOOKUP(B125,'26MY_PASSPORT_DATA'!B:AR,10,FALSE)</f>
        <v>15.75</v>
      </c>
      <c r="G125" s="344">
        <f>VLOOKUP(B125,'26MY_PASSPORT_DATA'!B:AR,7,FALSE)</f>
        <v>0</v>
      </c>
      <c r="H125" s="345">
        <f>VLOOKUP(B125,'26MY_PASSPORT_DATA'!B:AR,11,FALSE)</f>
        <v>15.75</v>
      </c>
      <c r="I125" s="347">
        <f>VLOOKUP($B125,'26MY_PASSPORT_DATA'!$B:$AR,12,FALSE)</f>
        <v>0</v>
      </c>
      <c r="J125" s="347">
        <f>VLOOKUP($B125,'26MY_PASSPORT_DATA'!$B:$AR,13,FALSE)</f>
        <v>0</v>
      </c>
      <c r="K125" s="347" t="str">
        <f>VLOOKUP(B125,'26MY_PASSPORT_DATA'!B:AR,14,FALSE)</f>
        <v>•</v>
      </c>
      <c r="L125" s="347" t="str">
        <f>VLOOKUP(B125,'26MY_PASSPORT_DATA'!B:AR,15,FALSE)</f>
        <v>•</v>
      </c>
      <c r="M125" s="347">
        <f>VLOOKUP($B125,'26MY_PASSPORT_DATA'!$B:$AR,16,FALSE)</f>
        <v>0</v>
      </c>
      <c r="N125" s="347">
        <f>VLOOKUP(B125,'26MY_PASSPORT_DATA'!B:AR,17,FALSE)</f>
        <v>0</v>
      </c>
      <c r="O125" s="347" t="str">
        <f>VLOOKUP(B125,'26MY_PASSPORT_DATA'!B:AR,18,FALSE)</f>
        <v>•</v>
      </c>
      <c r="P125" s="347" t="str">
        <f>VLOOKUP(B125,'26MY_PASSPORT_DATA'!B:AR,19,FALSE)</f>
        <v>•</v>
      </c>
      <c r="Q125" s="350" t="str">
        <f>IF(VLOOKUP(B125,'26MY_PASSPORT_DATA'!B:AR,21,FALSE)="","",VLOOKUP(B125,'26MY_PASSPORT_DATA'!B:AR,21,FALSE))</f>
        <v>Quantité de 5</v>
      </c>
    </row>
    <row r="126" spans="2:17" s="135" customFormat="1" ht="15" customHeight="1">
      <c r="B126" s="298" t="s">
        <v>57</v>
      </c>
      <c r="C126" s="224" t="str">
        <f>VLOOKUP(B126,'26MY_PASSPORT_DATA'!B:AR,4,FALSE)</f>
        <v>Bâtons abrasifs fins</v>
      </c>
      <c r="D126" s="79" t="str">
        <f t="shared" si="30"/>
        <v>TUCH-STICKS</v>
      </c>
      <c r="E126" s="343">
        <f>VLOOKUP(B126,'26MY_PASSPORT_DATA'!B:AR,9,FALSE)</f>
        <v>2.4500000000000002</v>
      </c>
      <c r="F126" s="343">
        <f>VLOOKUP(B126,'26MY_PASSPORT_DATA'!B:AR,10,FALSE)</f>
        <v>4</v>
      </c>
      <c r="G126" s="344">
        <f>VLOOKUP(B126,'26MY_PASSPORT_DATA'!B:AR,7,FALSE)</f>
        <v>0</v>
      </c>
      <c r="H126" s="345">
        <f>VLOOKUP(B126,'26MY_PASSPORT_DATA'!B:AR,11,FALSE)</f>
        <v>4</v>
      </c>
      <c r="I126" s="347">
        <f>VLOOKUP($B126,'26MY_PASSPORT_DATA'!$B:$AR,12,FALSE)</f>
        <v>0</v>
      </c>
      <c r="J126" s="347">
        <f>VLOOKUP($B126,'26MY_PASSPORT_DATA'!$B:$AR,13,FALSE)</f>
        <v>0</v>
      </c>
      <c r="K126" s="347" t="str">
        <f>VLOOKUP(B126,'26MY_PASSPORT_DATA'!B:AR,14,FALSE)</f>
        <v>•</v>
      </c>
      <c r="L126" s="347" t="str">
        <f>VLOOKUP(B126,'26MY_PASSPORT_DATA'!B:AR,15,FALSE)</f>
        <v>•</v>
      </c>
      <c r="M126" s="347">
        <f>VLOOKUP($B126,'26MY_PASSPORT_DATA'!$B:$AR,16,FALSE)</f>
        <v>0</v>
      </c>
      <c r="N126" s="347">
        <f>VLOOKUP(B126,'26MY_PASSPORT_DATA'!B:AR,17,FALSE)</f>
        <v>0</v>
      </c>
      <c r="O126" s="347" t="str">
        <f>VLOOKUP(B126,'26MY_PASSPORT_DATA'!B:AR,18,FALSE)</f>
        <v>•</v>
      </c>
      <c r="P126" s="347" t="str">
        <f>VLOOKUP(B126,'26MY_PASSPORT_DATA'!B:AR,19,FALSE)</f>
        <v>•</v>
      </c>
      <c r="Q126" s="350" t="str">
        <f>IF(VLOOKUP(B126,'26MY_PASSPORT_DATA'!B:AR,21,FALSE)="","",VLOOKUP(B126,'26MY_PASSPORT_DATA'!B:AR,21,FALSE))</f>
        <v>Quantité de 5</v>
      </c>
    </row>
    <row r="127" spans="2:17" s="135" customFormat="1" ht="15" customHeight="1">
      <c r="B127" s="299" t="s">
        <v>56</v>
      </c>
      <c r="C127" s="224" t="str">
        <f>VLOOKUP(B127,'26MY_PASSPORT_DATA'!B:AR,4,FALSE)</f>
        <v>Pointes de remplacement pour stylos de peinture</v>
      </c>
      <c r="D127" s="79" t="str">
        <f t="shared" si="30"/>
        <v>TUCH-TIPS</v>
      </c>
      <c r="E127" s="343">
        <f>VLOOKUP(B127,'26MY_PASSPORT_DATA'!B:AR,9,FALSE)</f>
        <v>6.25</v>
      </c>
      <c r="F127" s="343">
        <f>VLOOKUP(B127,'26MY_PASSPORT_DATA'!B:AR,10,FALSE)</f>
        <v>13.75</v>
      </c>
      <c r="G127" s="344">
        <f>VLOOKUP(B127,'26MY_PASSPORT_DATA'!B:AR,7,FALSE)</f>
        <v>0</v>
      </c>
      <c r="H127" s="345">
        <f>VLOOKUP(B127,'26MY_PASSPORT_DATA'!B:AR,11,FALSE)</f>
        <v>13.75</v>
      </c>
      <c r="I127" s="347">
        <f>VLOOKUP($B127,'26MY_PASSPORT_DATA'!$B:$AR,12,FALSE)</f>
        <v>0</v>
      </c>
      <c r="J127" s="347">
        <f>VLOOKUP($B127,'26MY_PASSPORT_DATA'!$B:$AR,13,FALSE)</f>
        <v>0</v>
      </c>
      <c r="K127" s="347" t="str">
        <f>VLOOKUP(B127,'26MY_PASSPORT_DATA'!B:AR,14,FALSE)</f>
        <v>•</v>
      </c>
      <c r="L127" s="347" t="str">
        <f>VLOOKUP(B127,'26MY_PASSPORT_DATA'!B:AR,15,FALSE)</f>
        <v>•</v>
      </c>
      <c r="M127" s="347">
        <f>VLOOKUP($B127,'26MY_PASSPORT_DATA'!$B:$AR,16,FALSE)</f>
        <v>0</v>
      </c>
      <c r="N127" s="347">
        <f>VLOOKUP(B127,'26MY_PASSPORT_DATA'!B:AR,17,FALSE)</f>
        <v>0</v>
      </c>
      <c r="O127" s="347" t="str">
        <f>VLOOKUP(B127,'26MY_PASSPORT_DATA'!B:AR,18,FALSE)</f>
        <v>•</v>
      </c>
      <c r="P127" s="347" t="str">
        <f>VLOOKUP(B127,'26MY_PASSPORT_DATA'!B:AR,19,FALSE)</f>
        <v>•</v>
      </c>
      <c r="Q127" s="350" t="str">
        <f>IF(VLOOKUP(B127,'26MY_PASSPORT_DATA'!B:AR,21,FALSE)="","",VLOOKUP(B127,'26MY_PASSPORT_DATA'!B:AR,21,FALSE))</f>
        <v>Quantité de 25</v>
      </c>
    </row>
    <row r="128" spans="2:17" s="135" customFormat="1" ht="15" customHeight="1">
      <c r="B128" s="299"/>
      <c r="C128" s="20"/>
      <c r="D128" s="26"/>
      <c r="E128" s="18"/>
      <c r="F128" s="18"/>
      <c r="G128" s="16"/>
      <c r="H128" s="17"/>
      <c r="I128" s="16"/>
      <c r="J128" s="16"/>
      <c r="K128" s="16"/>
      <c r="L128" s="16"/>
      <c r="M128" s="16"/>
      <c r="N128" s="16"/>
      <c r="O128" s="16"/>
      <c r="P128" s="16"/>
      <c r="Q128" s="16"/>
    </row>
    <row r="129" spans="2:17" s="135" customFormat="1" ht="15" customHeight="1">
      <c r="B129" s="301"/>
      <c r="C129" s="44" t="s">
        <v>104</v>
      </c>
      <c r="D129" s="43" t="s">
        <v>88</v>
      </c>
      <c r="E129" s="129"/>
      <c r="F129" s="129"/>
      <c r="G129" s="129"/>
      <c r="H129" s="129"/>
      <c r="I129" s="129"/>
      <c r="J129" s="129"/>
      <c r="K129" s="129"/>
      <c r="L129" s="129"/>
      <c r="M129" s="129"/>
      <c r="N129" s="129"/>
      <c r="O129" s="129"/>
      <c r="P129" s="129"/>
      <c r="Q129" s="129"/>
    </row>
    <row r="130" spans="2:17" ht="14.25" customHeight="1">
      <c r="C130" s="137">
        <f>'26MY_PASSPORT_DATA'!$C$4</f>
        <v>46113</v>
      </c>
      <c r="D130" s="43" t="s">
        <v>158</v>
      </c>
      <c r="E130" s="51"/>
      <c r="F130" s="51"/>
      <c r="G130" s="51"/>
      <c r="H130" s="51"/>
      <c r="I130" s="51"/>
      <c r="J130" s="51"/>
      <c r="K130" s="51"/>
      <c r="L130" s="51"/>
      <c r="M130" s="51"/>
      <c r="N130" s="51"/>
      <c r="O130" s="51"/>
      <c r="P130" s="51"/>
      <c r="Q130" s="51"/>
    </row>
    <row r="131" spans="2:17" ht="14.25" customHeight="1"/>
    <row r="132" spans="2:17" ht="14.25" customHeight="1"/>
    <row r="133" spans="2:17" ht="14.25" customHeight="1"/>
    <row r="134" spans="2:17" ht="14.25" customHeight="1"/>
    <row r="135" spans="2:17" ht="14.25" customHeight="1"/>
    <row r="136" spans="2:17" ht="14.25" customHeight="1"/>
    <row r="137" spans="2:17" ht="14.25" customHeight="1"/>
    <row r="138" spans="2:17" ht="14.25" customHeight="1"/>
    <row r="139" spans="2:17" ht="14.25" customHeight="1"/>
    <row r="140" spans="2:17" ht="14.25" customHeight="1"/>
    <row r="141" spans="2:17" ht="14.25" customHeight="1"/>
    <row r="142" spans="2:17" ht="14.25" customHeight="1"/>
    <row r="143" spans="2:17" ht="14.25" customHeight="1"/>
    <row r="144" spans="2:17" ht="14.25" customHeight="1"/>
    <row r="145" ht="14.25" customHeight="1"/>
    <row r="146" ht="14.25" customHeight="1"/>
    <row r="147" ht="14.25" customHeight="1"/>
    <row r="148" ht="14.25" customHeight="1"/>
    <row r="149" ht="14.25" customHeight="1"/>
  </sheetData>
  <mergeCells count="148">
    <mergeCell ref="Q45:Q47"/>
    <mergeCell ref="I106:P106"/>
    <mergeCell ref="Q106:Q107"/>
    <mergeCell ref="I90:P90"/>
    <mergeCell ref="M24:M26"/>
    <mergeCell ref="O24:O26"/>
    <mergeCell ref="P24:P26"/>
    <mergeCell ref="J24:J26"/>
    <mergeCell ref="Q24:Q26"/>
    <mergeCell ref="Q28:Q31"/>
    <mergeCell ref="P33:P36"/>
    <mergeCell ref="Q33:Q36"/>
    <mergeCell ref="Q38:Q43"/>
    <mergeCell ref="Q50:Q51"/>
    <mergeCell ref="I59:P59"/>
    <mergeCell ref="Q80:Q87"/>
    <mergeCell ref="M45:M47"/>
    <mergeCell ref="O45:O47"/>
    <mergeCell ref="Q59:Q60"/>
    <mergeCell ref="L45:L47"/>
    <mergeCell ref="N33:N36"/>
    <mergeCell ref="N38:N43"/>
    <mergeCell ref="N45:N47"/>
    <mergeCell ref="P28:P31"/>
    <mergeCell ref="H118:H123"/>
    <mergeCell ref="E118:E123"/>
    <mergeCell ref="F118:F123"/>
    <mergeCell ref="G118:G123"/>
    <mergeCell ref="F24:F26"/>
    <mergeCell ref="G24:G26"/>
    <mergeCell ref="L24:L26"/>
    <mergeCell ref="I116:P116"/>
    <mergeCell ref="J45:J47"/>
    <mergeCell ref="E33:E36"/>
    <mergeCell ref="F33:F36"/>
    <mergeCell ref="G33:G36"/>
    <mergeCell ref="H33:H36"/>
    <mergeCell ref="I33:I36"/>
    <mergeCell ref="K33:K36"/>
    <mergeCell ref="L33:L36"/>
    <mergeCell ref="M33:M36"/>
    <mergeCell ref="O33:O36"/>
    <mergeCell ref="P45:P47"/>
    <mergeCell ref="E28:E31"/>
    <mergeCell ref="F28:F31"/>
    <mergeCell ref="G28:G31"/>
    <mergeCell ref="E45:E47"/>
    <mergeCell ref="F45:F47"/>
    <mergeCell ref="Q116:Q117"/>
    <mergeCell ref="Q90:Q91"/>
    <mergeCell ref="E90:E91"/>
    <mergeCell ref="F90:F91"/>
    <mergeCell ref="G90:G91"/>
    <mergeCell ref="H90:H91"/>
    <mergeCell ref="C5:O5"/>
    <mergeCell ref="C6:O6"/>
    <mergeCell ref="C7:O7"/>
    <mergeCell ref="C8:O8"/>
    <mergeCell ref="I50:P50"/>
    <mergeCell ref="E38:E43"/>
    <mergeCell ref="F38:F43"/>
    <mergeCell ref="G38:G43"/>
    <mergeCell ref="H38:H43"/>
    <mergeCell ref="I38:I43"/>
    <mergeCell ref="K38:K43"/>
    <mergeCell ref="L38:L43"/>
    <mergeCell ref="M38:M43"/>
    <mergeCell ref="O38:O43"/>
    <mergeCell ref="P38:P43"/>
    <mergeCell ref="M28:M31"/>
    <mergeCell ref="O28:O31"/>
    <mergeCell ref="E24:E26"/>
    <mergeCell ref="K45:K47"/>
    <mergeCell ref="C116:C117"/>
    <mergeCell ref="D116:D117"/>
    <mergeCell ref="E116:E117"/>
    <mergeCell ref="F116:F117"/>
    <mergeCell ref="G116:G117"/>
    <mergeCell ref="H116:H117"/>
    <mergeCell ref="C59:C60"/>
    <mergeCell ref="D59:D60"/>
    <mergeCell ref="E59:E60"/>
    <mergeCell ref="F59:F60"/>
    <mergeCell ref="G59:G60"/>
    <mergeCell ref="H59:H60"/>
    <mergeCell ref="C106:C107"/>
    <mergeCell ref="D106:D107"/>
    <mergeCell ref="E106:E107"/>
    <mergeCell ref="F106:F107"/>
    <mergeCell ref="G106:G107"/>
    <mergeCell ref="H106:H107"/>
    <mergeCell ref="C90:C91"/>
    <mergeCell ref="D90:D91"/>
    <mergeCell ref="J33:J36"/>
    <mergeCell ref="J38:J43"/>
    <mergeCell ref="C50:C51"/>
    <mergeCell ref="D50:D51"/>
    <mergeCell ref="E50:E51"/>
    <mergeCell ref="F50:F51"/>
    <mergeCell ref="G50:G51"/>
    <mergeCell ref="H50:H51"/>
    <mergeCell ref="J28:J31"/>
    <mergeCell ref="G45:G47"/>
    <mergeCell ref="H45:H47"/>
    <mergeCell ref="I45:I47"/>
    <mergeCell ref="H28:H31"/>
    <mergeCell ref="I28:I31"/>
    <mergeCell ref="C12:C13"/>
    <mergeCell ref="D12:D13"/>
    <mergeCell ref="E12:E13"/>
    <mergeCell ref="F12:F13"/>
    <mergeCell ref="G12:G13"/>
    <mergeCell ref="H12:H13"/>
    <mergeCell ref="I12:P12"/>
    <mergeCell ref="M18:M22"/>
    <mergeCell ref="O18:O22"/>
    <mergeCell ref="P18:P22"/>
    <mergeCell ref="L18:L22"/>
    <mergeCell ref="E18:E22"/>
    <mergeCell ref="F18:F22"/>
    <mergeCell ref="G18:G22"/>
    <mergeCell ref="H18:H22"/>
    <mergeCell ref="I18:I22"/>
    <mergeCell ref="K18:K22"/>
    <mergeCell ref="J14:J16"/>
    <mergeCell ref="J18:J22"/>
    <mergeCell ref="N14:N16"/>
    <mergeCell ref="N18:N22"/>
    <mergeCell ref="E14:E16"/>
    <mergeCell ref="F14:F16"/>
    <mergeCell ref="G14:G16"/>
    <mergeCell ref="K28:K31"/>
    <mergeCell ref="L28:L31"/>
    <mergeCell ref="Q12:Q13"/>
    <mergeCell ref="P14:P16"/>
    <mergeCell ref="Q14:Q16"/>
    <mergeCell ref="N24:N26"/>
    <mergeCell ref="N28:N31"/>
    <mergeCell ref="H14:H16"/>
    <mergeCell ref="I14:I16"/>
    <mergeCell ref="K14:K16"/>
    <mergeCell ref="L14:L16"/>
    <mergeCell ref="M14:M16"/>
    <mergeCell ref="O14:O16"/>
    <mergeCell ref="Q18:Q22"/>
    <mergeCell ref="I24:I26"/>
    <mergeCell ref="K24:K26"/>
    <mergeCell ref="H24:H26"/>
  </mergeCells>
  <conditionalFormatting sqref="E124:F124 E1:F13 E48:F51 E56:F60 E69:F69 E78:F78 E88:F91 E104:F107 E114:F117 E128:F1048576">
    <cfRule type="containsText" dxfId="9" priority="10" operator="containsText" text=".99">
      <formula>NOT(ISERROR(SEARCH(".99",E1)))</formula>
    </cfRule>
  </conditionalFormatting>
  <conditionalFormatting sqref="E14:F14 E17:F18 E27:F28 E23:F24 E44:F45 E37:F38 E32:F33">
    <cfRule type="containsText" dxfId="8" priority="9" operator="containsText" text=".99">
      <formula>NOT(ISERROR(SEARCH(".99",E14)))</formula>
    </cfRule>
  </conditionalFormatting>
  <conditionalFormatting sqref="E52:F55">
    <cfRule type="containsText" dxfId="7" priority="8" operator="containsText" text=".99">
      <formula>NOT(ISERROR(SEARCH(".99",E52)))</formula>
    </cfRule>
  </conditionalFormatting>
  <conditionalFormatting sqref="E61:F68">
    <cfRule type="containsText" dxfId="6" priority="7" operator="containsText" text=".99">
      <formula>NOT(ISERROR(SEARCH(".99",E61)))</formula>
    </cfRule>
  </conditionalFormatting>
  <conditionalFormatting sqref="E70:F77">
    <cfRule type="containsText" dxfId="5" priority="6" operator="containsText" text=".99">
      <formula>NOT(ISERROR(SEARCH(".99",E70)))</formula>
    </cfRule>
  </conditionalFormatting>
  <conditionalFormatting sqref="E79:F87">
    <cfRule type="containsText" dxfId="4" priority="5" operator="containsText" text=".99">
      <formula>NOT(ISERROR(SEARCH(".99",E79)))</formula>
    </cfRule>
  </conditionalFormatting>
  <conditionalFormatting sqref="E92:F103">
    <cfRule type="containsText" dxfId="3" priority="4" operator="containsText" text=".99">
      <formula>NOT(ISERROR(SEARCH(".99",E92)))</formula>
    </cfRule>
  </conditionalFormatting>
  <conditionalFormatting sqref="E108:F113">
    <cfRule type="containsText" dxfId="2" priority="3" operator="containsText" text=".99">
      <formula>NOT(ISERROR(SEARCH(".99",E108)))</formula>
    </cfRule>
  </conditionalFormatting>
  <conditionalFormatting sqref="E118:F118">
    <cfRule type="containsText" dxfId="1" priority="2" operator="containsText" text=".99">
      <formula>NOT(ISERROR(SEARCH(".99",E118)))</formula>
    </cfRule>
  </conditionalFormatting>
  <conditionalFormatting sqref="E125:F127">
    <cfRule type="containsText" dxfId="0" priority="1" operator="containsText" text=".99">
      <formula>NOT(ISERROR(SEARCH(".99",E125)))</formula>
    </cfRule>
  </conditionalFormatting>
  <printOptions horizontalCentered="1"/>
  <pageMargins left="0.23622047244094499" right="0.23622047244094499" top="0.39370078740157499" bottom="0.39370078740157499" header="0.31496062992126" footer="0.31496062992126"/>
  <pageSetup scale="48" fitToHeight="0" orientation="portrait" horizontalDpi="1200" verticalDpi="1200" r:id="rId1"/>
  <headerFooter>
    <oddFooter>&amp;CPage &amp;P of &amp;N</oddFooter>
  </headerFooter>
  <rowBreaks count="1" manualBreakCount="1">
    <brk id="88" min="2" max="14"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Normal="100" zoomScaleSheetLayoutView="100" workbookViewId="0"/>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8.1" customHeight="1">
      <c r="B2" s="50"/>
      <c r="C2" s="51"/>
      <c r="D2" s="51"/>
      <c r="E2" s="51"/>
      <c r="F2" s="51"/>
      <c r="G2" s="51"/>
      <c r="H2" s="51"/>
      <c r="I2" s="51"/>
      <c r="J2" s="51"/>
      <c r="K2" s="51"/>
      <c r="L2" s="51"/>
      <c r="M2" s="51"/>
      <c r="N2" s="51"/>
      <c r="O2" s="51"/>
      <c r="R2" s="47"/>
    </row>
    <row r="3" spans="2:22" ht="24.9" customHeight="1">
      <c r="B3" s="392" t="s">
        <v>300</v>
      </c>
      <c r="C3" s="392"/>
      <c r="D3" s="392"/>
      <c r="E3" s="392"/>
      <c r="F3" s="392"/>
      <c r="G3" s="392"/>
      <c r="H3" s="392"/>
      <c r="I3" s="392"/>
      <c r="J3" s="392"/>
      <c r="K3" s="392"/>
      <c r="L3" s="392"/>
      <c r="M3" s="392"/>
      <c r="N3" s="392"/>
      <c r="O3" s="392"/>
      <c r="P3" s="392"/>
      <c r="Q3" s="392"/>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3" t="s">
        <v>91</v>
      </c>
      <c r="C6" s="393"/>
      <c r="D6" s="393"/>
      <c r="E6" s="393"/>
      <c r="F6" s="393"/>
      <c r="G6" s="393"/>
      <c r="H6" s="393"/>
      <c r="I6" s="393"/>
      <c r="J6" s="393"/>
      <c r="K6" s="393"/>
      <c r="L6" s="393"/>
      <c r="M6" s="393"/>
      <c r="N6" s="393"/>
      <c r="O6" s="393"/>
      <c r="P6" s="393"/>
      <c r="Q6" s="393"/>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4"/>
      <c r="D8" s="394"/>
      <c r="E8" s="394"/>
      <c r="F8" s="394"/>
      <c r="G8" s="51"/>
      <c r="H8" s="394"/>
      <c r="I8" s="394"/>
      <c r="J8" s="394"/>
      <c r="K8" s="394"/>
      <c r="L8" s="51"/>
      <c r="M8" s="394"/>
      <c r="N8" s="394"/>
      <c r="O8" s="394"/>
      <c r="P8" s="394"/>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89" t="str">
        <f>'26MY_Passport_APP_FR'!$C$92</f>
        <v>Tapis toutes saisons (logo TrailSport)</v>
      </c>
      <c r="D10" s="390"/>
      <c r="E10" s="390"/>
      <c r="F10" s="391"/>
      <c r="G10" s="55"/>
      <c r="H10" s="398" t="str">
        <f>'26MY_Passport_APP_FR'!$C$93</f>
        <v>Plateau pour compartiment utilitaire</v>
      </c>
      <c r="I10" s="399"/>
      <c r="J10" s="399"/>
      <c r="K10" s="400"/>
      <c r="L10" s="55"/>
      <c r="M10" s="389" t="str">
        <f>'26MY_Passport_APP_FR'!$C$94</f>
        <v>Couvre-bagages</v>
      </c>
      <c r="N10" s="390"/>
      <c r="O10" s="390"/>
      <c r="P10" s="391"/>
      <c r="Q10" s="51"/>
      <c r="R10" s="47"/>
    </row>
    <row r="11" spans="2:22" ht="15" customHeight="1">
      <c r="B11" s="53">
        <v>20</v>
      </c>
      <c r="C11" s="74">
        <f>'26MY_Passport_APP_FR'!$H$92</f>
        <v>377.1</v>
      </c>
      <c r="D11" s="72">
        <f>-PMT($D$29/52,5*52,C11)</f>
        <v>1.7195378481777173</v>
      </c>
      <c r="E11" s="58" t="s">
        <v>28</v>
      </c>
      <c r="F11" s="75" t="str">
        <f>$C$29</f>
        <v>(6.99%)</v>
      </c>
      <c r="G11" s="51"/>
      <c r="H11" s="74">
        <f>'26MY_Passport_APP_FR'!$H$93</f>
        <v>224.1</v>
      </c>
      <c r="I11" s="72">
        <f>-PMT($D$29/52,5*52,H11)</f>
        <v>1.0218733274373546</v>
      </c>
      <c r="J11" s="58" t="s">
        <v>28</v>
      </c>
      <c r="K11" s="75" t="str">
        <f>$C$29</f>
        <v>(6.99%)</v>
      </c>
      <c r="L11" s="51"/>
      <c r="M11" s="74">
        <f>'26MY_Passport_APP_FR'!$H$94</f>
        <v>485.1</v>
      </c>
      <c r="N11" s="72">
        <f>-PMT($D$29/52,5*52,M11)</f>
        <v>2.2120069216415028</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94"/>
      <c r="D13" s="394"/>
      <c r="E13" s="394"/>
      <c r="F13" s="394"/>
      <c r="G13" s="51"/>
      <c r="H13" s="394"/>
      <c r="I13" s="394"/>
      <c r="J13" s="394"/>
      <c r="K13" s="394"/>
      <c r="L13" s="51"/>
      <c r="M13" s="394"/>
      <c r="N13" s="394"/>
      <c r="O13" s="394"/>
      <c r="P13" s="394"/>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389" t="str">
        <f>'26MY_Passport_APP_FR'!$C$79</f>
        <v>Plateforme de toit</v>
      </c>
      <c r="D15" s="390"/>
      <c r="E15" s="390"/>
      <c r="F15" s="391"/>
      <c r="G15" s="64"/>
      <c r="H15" s="389" t="str">
        <f>'26MY_Passport_APP_FR'!$C$63</f>
        <v>Marchepieds</v>
      </c>
      <c r="I15" s="390"/>
      <c r="J15" s="390"/>
      <c r="K15" s="391"/>
      <c r="L15" s="64"/>
      <c r="M15" s="389" t="str">
        <f>'26MY_Passport_APP_FR'!$C$68</f>
        <v>Visière de portière</v>
      </c>
      <c r="N15" s="390"/>
      <c r="O15" s="390"/>
      <c r="P15" s="391"/>
      <c r="Q15" s="51"/>
      <c r="R15" s="47"/>
    </row>
    <row r="16" spans="2:22" s="63" customFormat="1" ht="15.6">
      <c r="B16" s="56">
        <v>50</v>
      </c>
      <c r="C16" s="74">
        <f>'26MY_Passport_APP_FR'!$H$79</f>
        <v>1469.6</v>
      </c>
      <c r="D16" s="72">
        <f>-PMT($D$29/52,5*52,C16)</f>
        <v>6.7012273181701758</v>
      </c>
      <c r="E16" s="58" t="s">
        <v>28</v>
      </c>
      <c r="F16" s="75" t="str">
        <f>$C$29</f>
        <v>(6.99%)</v>
      </c>
      <c r="G16" s="60"/>
      <c r="H16" s="74">
        <f>'26MY_Passport_APP_FR'!$H$63</f>
        <v>1475.6</v>
      </c>
      <c r="I16" s="294">
        <f>-PMT($D$29/52,5*52,H16)</f>
        <v>6.7285867111403848</v>
      </c>
      <c r="J16" s="58" t="s">
        <v>28</v>
      </c>
      <c r="K16" s="75" t="str">
        <f>$C$29</f>
        <v>(6.99%)</v>
      </c>
      <c r="L16" s="60"/>
      <c r="M16" s="74">
        <f>'26MY_Passport_APP_FR'!$H$68</f>
        <v>544.6</v>
      </c>
      <c r="N16" s="72">
        <f>-PMT($D$29/52,5*52,M16)</f>
        <v>2.4833209019294213</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4"/>
      <c r="D18" s="394"/>
      <c r="E18" s="394"/>
      <c r="F18" s="394"/>
      <c r="G18" s="51"/>
      <c r="H18" s="394"/>
      <c r="I18" s="394"/>
      <c r="J18" s="394"/>
      <c r="K18" s="394"/>
      <c r="L18" s="51"/>
      <c r="M18" s="394"/>
      <c r="N18" s="394"/>
      <c r="O18" s="394"/>
      <c r="P18" s="394"/>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10" t="s">
        <v>329</v>
      </c>
      <c r="D20" s="411"/>
      <c r="E20" s="411"/>
      <c r="F20" s="412"/>
      <c r="G20" s="64"/>
      <c r="H20" s="389" t="str">
        <f>'26MY_Passport_APP_FR'!$C$108</f>
        <v>Lampe pour compartiment utilitaire</v>
      </c>
      <c r="I20" s="390"/>
      <c r="J20" s="390"/>
      <c r="K20" s="391"/>
      <c r="L20" s="64"/>
      <c r="M20" s="389" t="str">
        <f>'26MY_Passport_APP_FR'!$C$97</f>
        <v>Panneau utilitaire</v>
      </c>
      <c r="N20" s="390"/>
      <c r="O20" s="390"/>
      <c r="P20" s="391"/>
      <c r="Q20" s="51"/>
    </row>
    <row r="21" spans="1:20" ht="15.6">
      <c r="B21" s="52">
        <v>50</v>
      </c>
      <c r="C21" s="74">
        <f>'26MY_Passport_APP_FR'!$H$28</f>
        <v>354.34999999999997</v>
      </c>
      <c r="D21" s="72">
        <f>-PMT($D$29/52,5*52,C21)</f>
        <v>1.6158001498323362</v>
      </c>
      <c r="E21" s="58" t="s">
        <v>28</v>
      </c>
      <c r="F21" s="76" t="str">
        <f>$C$29</f>
        <v>(6.99%)</v>
      </c>
      <c r="G21" s="60"/>
      <c r="H21" s="74">
        <f>'26MY_Passport_APP_FR'!$H$108</f>
        <v>160.1</v>
      </c>
      <c r="I21" s="72">
        <f>-PMT($D$29/52,5*52,H21)</f>
        <v>0.73003980242177813</v>
      </c>
      <c r="J21" s="58" t="s">
        <v>28</v>
      </c>
      <c r="K21" s="76" t="str">
        <f>$C$29</f>
        <v>(6.99%)</v>
      </c>
      <c r="L21" s="60"/>
      <c r="M21" s="74">
        <f>'26MY_Passport_APP_FR'!$H$97</f>
        <v>334.3</v>
      </c>
      <c r="N21" s="72">
        <f>-PMT($D$29/52,5*52,M21)</f>
        <v>1.5243741783235505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47</v>
      </c>
      <c r="D23" s="51"/>
      <c r="E23" s="51"/>
      <c r="F23" s="51"/>
      <c r="G23" s="51"/>
      <c r="H23" s="51"/>
      <c r="I23" s="51"/>
      <c r="J23" s="51"/>
      <c r="K23" s="51"/>
      <c r="L23" s="51"/>
      <c r="M23" s="51"/>
      <c r="N23" s="51"/>
      <c r="O23" s="51"/>
      <c r="P23" s="51"/>
      <c r="Q23" s="51"/>
    </row>
    <row r="24" spans="1:20" ht="15" customHeight="1">
      <c r="B24" s="65"/>
      <c r="C24" s="66" t="s">
        <v>48</v>
      </c>
      <c r="D24" s="51"/>
      <c r="E24" s="51"/>
      <c r="F24" s="51"/>
      <c r="G24" s="67"/>
      <c r="H24" s="67"/>
      <c r="I24" s="67"/>
      <c r="J24" s="67"/>
      <c r="K24" s="67"/>
      <c r="L24" s="67"/>
      <c r="M24" s="67"/>
      <c r="N24" s="67"/>
      <c r="O24" s="67"/>
      <c r="P24" s="67"/>
      <c r="Q24" s="51"/>
    </row>
    <row r="25" spans="1:20" ht="15" customHeight="1">
      <c r="B25" s="65">
        <v>20</v>
      </c>
      <c r="C25" s="66" t="s">
        <v>90</v>
      </c>
      <c r="D25" s="51"/>
      <c r="E25" s="51"/>
      <c r="F25" s="51"/>
      <c r="G25" s="67"/>
      <c r="H25" s="67"/>
      <c r="I25" s="67"/>
      <c r="J25" s="67"/>
      <c r="K25" s="67"/>
      <c r="L25" s="67"/>
      <c r="M25" s="67"/>
      <c r="N25" s="67"/>
      <c r="O25" s="67"/>
      <c r="P25" s="67"/>
      <c r="Q25" s="51"/>
    </row>
    <row r="26" spans="1:20" ht="85.5" customHeight="1">
      <c r="B26" s="52">
        <v>60</v>
      </c>
      <c r="C26" s="395" t="s">
        <v>105</v>
      </c>
      <c r="D26" s="395"/>
      <c r="E26" s="395"/>
      <c r="F26" s="395"/>
      <c r="G26" s="395"/>
      <c r="H26" s="395"/>
      <c r="I26" s="395"/>
      <c r="J26" s="395"/>
      <c r="K26" s="395"/>
      <c r="L26" s="395"/>
      <c r="M26" s="395"/>
      <c r="N26" s="395"/>
      <c r="O26" s="395"/>
      <c r="P26" s="395"/>
      <c r="Q26" s="51"/>
    </row>
    <row r="27" spans="1:20" ht="20.25" customHeight="1" thickBot="1">
      <c r="B27" s="236"/>
      <c r="C27" s="237" t="s">
        <v>89</v>
      </c>
      <c r="D27" s="238"/>
      <c r="E27" s="239"/>
      <c r="F27" s="238"/>
      <c r="G27" s="240"/>
      <c r="H27" s="240"/>
      <c r="I27" s="240"/>
      <c r="J27" s="240"/>
      <c r="K27" s="241"/>
      <c r="L27" s="241"/>
      <c r="M27" s="241"/>
      <c r="N27" s="242"/>
      <c r="O27" s="396"/>
      <c r="P27" s="396"/>
      <c r="Q27" s="243"/>
    </row>
    <row r="28" spans="1:20" ht="20.25" customHeight="1">
      <c r="A28" s="68"/>
      <c r="B28" s="231">
        <v>20</v>
      </c>
      <c r="C28" s="233"/>
      <c r="D28" s="231"/>
      <c r="E28" s="230"/>
      <c r="F28" s="231"/>
      <c r="G28" s="232"/>
      <c r="H28" s="232"/>
      <c r="I28" s="232"/>
      <c r="J28" s="232"/>
      <c r="K28" s="233"/>
      <c r="L28" s="233"/>
      <c r="M28" s="233"/>
      <c r="N28" s="233"/>
      <c r="O28" s="233"/>
      <c r="P28" s="77"/>
      <c r="Q28" s="51"/>
    </row>
    <row r="29" spans="1:20" ht="18" customHeight="1">
      <c r="A29" s="68"/>
      <c r="B29" s="231">
        <v>18</v>
      </c>
      <c r="C29" s="229" t="s">
        <v>106</v>
      </c>
      <c r="D29" s="230">
        <v>6.9900000000000004E-2</v>
      </c>
      <c r="E29" s="230"/>
      <c r="F29" s="231"/>
      <c r="G29" s="232"/>
      <c r="H29" s="232"/>
      <c r="I29" s="232"/>
      <c r="J29" s="232"/>
      <c r="K29" s="233"/>
      <c r="L29" s="233"/>
      <c r="M29" s="233"/>
      <c r="N29" s="233"/>
      <c r="O29" s="233"/>
      <c r="P29" s="77"/>
      <c r="Q29" s="51"/>
    </row>
    <row r="30" spans="1:20" s="51" customFormat="1" ht="15" customHeight="1">
      <c r="A30" s="69"/>
      <c r="B30" s="234">
        <v>7.5</v>
      </c>
      <c r="C30" s="234">
        <v>12</v>
      </c>
      <c r="D30" s="234">
        <v>8</v>
      </c>
      <c r="E30" s="234">
        <v>8</v>
      </c>
      <c r="F30" s="234">
        <v>10</v>
      </c>
      <c r="G30" s="234">
        <v>8.5</v>
      </c>
      <c r="H30" s="234">
        <v>12</v>
      </c>
      <c r="I30" s="234">
        <v>8</v>
      </c>
      <c r="J30" s="234">
        <v>8</v>
      </c>
      <c r="K30" s="234">
        <v>10</v>
      </c>
      <c r="L30" s="234">
        <v>8.5</v>
      </c>
      <c r="M30" s="234">
        <v>12</v>
      </c>
      <c r="N30" s="234">
        <v>8</v>
      </c>
      <c r="O30" s="234">
        <v>8</v>
      </c>
      <c r="P30" s="52">
        <v>10</v>
      </c>
      <c r="Q30" s="52">
        <v>7.5</v>
      </c>
    </row>
    <row r="31" spans="1:20" s="51" customFormat="1" ht="21.9" customHeight="1">
      <c r="A31" s="69"/>
      <c r="B31" s="235" t="s">
        <v>104</v>
      </c>
      <c r="C31" s="228">
        <f>'26MY_PASSPORT_DATA'!$C$4</f>
        <v>46113</v>
      </c>
      <c r="D31" s="67" t="s">
        <v>88</v>
      </c>
      <c r="E31" s="225"/>
      <c r="F31" s="225"/>
      <c r="G31" s="225"/>
      <c r="H31" s="225"/>
      <c r="I31" s="225"/>
      <c r="J31" s="225"/>
      <c r="K31" s="225"/>
      <c r="L31" s="225"/>
      <c r="M31" s="225"/>
      <c r="N31" s="225"/>
      <c r="O31" s="65"/>
      <c r="P31" s="227" t="s">
        <v>54</v>
      </c>
      <c r="Q31" s="226" t="str">
        <f>'26MY_PASSPORT_DATA'!L6</f>
        <v>AB</v>
      </c>
    </row>
    <row r="32" spans="1:20" ht="15.6">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26MY_PASSPORT_DATA</vt:lpstr>
      <vt:lpstr>SELECT PROVINCE</vt:lpstr>
      <vt:lpstr>26MY_Passport_APP_EN</vt:lpstr>
      <vt:lpstr>26MY_Passport_SELL_EN</vt:lpstr>
      <vt:lpstr>26MY_Passport_APP_FR</vt:lpstr>
      <vt:lpstr>26MY_Passport_SELL_FR</vt:lpstr>
      <vt:lpstr>'26MY_Passport_APP_EN'!Print_Area</vt:lpstr>
      <vt:lpstr>'26MY_Passport_APP_FR'!Print_Area</vt:lpstr>
      <vt:lpstr>'26MY_Passport_SELL_EN'!Print_Area</vt:lpstr>
      <vt:lpstr>'26MY_Passport_SELL_FR'!Print_Area</vt:lpstr>
      <vt:lpstr>'SELECT PROVINCE'!Print_Area</vt:lpstr>
      <vt:lpstr>'26MY_Passport_APP_EN'!Print_Titles</vt:lpstr>
      <vt:lpstr>'26MY_Passport_APP_FR'!Print_Titles</vt:lpstr>
      <vt:lpstr>'26MY_PASSPORT_DATA'!Print_Titles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2026-03-10T14:31:56Z</cp:lastPrinted>
  <dcterms:created xsi:type="dcterms:W3CDTF">2013-01-30T20:30:05Z</dcterms:created>
  <dcterms:modified xsi:type="dcterms:W3CDTF">2026-03-25T19:15:17Z</dcterms:modified>
</cp:coreProperties>
</file>